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8.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Discard\"/>
    </mc:Choice>
  </mc:AlternateContent>
  <bookViews>
    <workbookView xWindow="0" yWindow="0" windowWidth="15360" windowHeight="7650" tabRatio="877" activeTab="17"/>
  </bookViews>
  <sheets>
    <sheet name="Valuation_Chart" sheetId="1" r:id="rId1"/>
    <sheet name="Valuation_Table" sheetId="11" r:id="rId2"/>
    <sheet name="|" sheetId="33" r:id="rId3"/>
    <sheet name="Scorecard" sheetId="18" r:id="rId4"/>
    <sheet name="Revenue" sheetId="27" r:id="rId5"/>
    <sheet name="Profit" sheetId="28" r:id="rId6"/>
    <sheet name="Efficiency" sheetId="29" r:id="rId7"/>
    <sheet name="Dupont" sheetId="16" r:id="rId8"/>
    <sheet name="Others" sheetId="30" r:id="rId9"/>
    <sheet name="Piotroski" sheetId="14" r:id="rId10"/>
    <sheet name="Altman" sheetId="15" r:id="rId11"/>
    <sheet name="||" sheetId="32" r:id="rId12"/>
    <sheet name="Analysis" sheetId="19" state="hidden" r:id="rId13"/>
    <sheet name="MICAP" sheetId="17" state="hidden" r:id="rId14"/>
    <sheet name="Screener Output" sheetId="20" state="hidden" r:id="rId15"/>
    <sheet name="|||" sheetId="34" state="hidden" r:id="rId16"/>
    <sheet name="Screener Input" sheetId="21" r:id="rId17"/>
    <sheet name="Shareholding input" sheetId="31" r:id="rId18"/>
    <sheet name="Phil Fisher" sheetId="25" state="hidden" r:id="rId1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'Screener Input'!$E$1</definedName>
  </definedNames>
  <calcPr calcId="152511"/>
</workbook>
</file>

<file path=xl/calcChain.xml><?xml version="1.0" encoding="utf-8"?>
<calcChain xmlns="http://schemas.openxmlformats.org/spreadsheetml/2006/main">
  <c r="B8" i="11" l="1"/>
  <c r="B5" i="1"/>
  <c r="A1" i="20"/>
  <c r="B3" i="1"/>
  <c r="K93" i="21"/>
  <c r="J93" i="21"/>
  <c r="I93" i="21"/>
  <c r="H93" i="21"/>
  <c r="G93" i="21"/>
  <c r="F93" i="21"/>
  <c r="E93" i="21"/>
  <c r="D93" i="21"/>
  <c r="C93" i="21"/>
  <c r="B93" i="21"/>
  <c r="B6" i="21"/>
  <c r="E1" i="21"/>
  <c r="B53" i="11" l="1"/>
  <c r="B55" i="11" s="1"/>
  <c r="B54" i="11" l="1"/>
  <c r="N35" i="20"/>
  <c r="M29" i="20" l="1"/>
  <c r="M34" i="20"/>
  <c r="M132" i="20" s="1"/>
  <c r="M32" i="20"/>
  <c r="M131" i="20" s="1"/>
  <c r="M30" i="20"/>
  <c r="N29" i="20"/>
  <c r="N25" i="20"/>
  <c r="M25" i="20"/>
  <c r="B41" i="11" s="1"/>
  <c r="M31" i="20" l="1"/>
  <c r="M130" i="20"/>
  <c r="B8" i="1"/>
  <c r="F4" i="30"/>
  <c r="E4" i="30"/>
  <c r="H26" i="31"/>
  <c r="G26" i="31"/>
  <c r="F26" i="31"/>
  <c r="E26" i="31"/>
  <c r="D26" i="31"/>
  <c r="C26" i="31"/>
  <c r="H13" i="31"/>
  <c r="H17" i="31" s="1"/>
  <c r="G13" i="31"/>
  <c r="G17" i="31" s="1"/>
  <c r="F13" i="31"/>
  <c r="F17" i="31" s="1"/>
  <c r="E13" i="31"/>
  <c r="E17" i="31" s="1"/>
  <c r="D13" i="31"/>
  <c r="D17" i="31" s="1"/>
  <c r="C13" i="31"/>
  <c r="C17" i="31" s="1"/>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H6" i="28" l="1"/>
  <c r="M127" i="20"/>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B42" i="11" l="1"/>
  <c r="E186" i="20"/>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L190" i="20"/>
  <c r="L191" i="20" s="1"/>
  <c r="F5" i="27" s="1"/>
  <c r="D190" i="20"/>
  <c r="C52" i="11" l="1"/>
  <c r="E52" i="11"/>
  <c r="K191" i="20"/>
  <c r="H191" i="20"/>
  <c r="H193" i="20"/>
  <c r="D189" i="20"/>
  <c r="E189" i="20"/>
  <c r="F189" i="20"/>
  <c r="G189" i="20"/>
  <c r="H189" i="20"/>
  <c r="I189" i="20"/>
  <c r="J189" i="20"/>
  <c r="K189" i="20"/>
  <c r="L189" i="20"/>
  <c r="C189" i="20"/>
  <c r="D52" i="11" l="1"/>
  <c r="K43" i="11"/>
  <c r="E185" i="20"/>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M74" i="20" l="1"/>
  <c r="B9" i="11" l="1"/>
  <c r="H5" i="28"/>
  <c r="B46" i="11" l="1"/>
  <c r="B13" i="11"/>
  <c r="B24" i="11"/>
  <c r="E21" i="11" s="1"/>
  <c r="D72" i="20" l="1"/>
  <c r="E72" i="20"/>
  <c r="F72" i="20"/>
  <c r="G72" i="20"/>
  <c r="H72" i="20"/>
  <c r="I72" i="20"/>
  <c r="J72" i="20"/>
  <c r="K72" i="20"/>
  <c r="L72" i="20"/>
  <c r="C72" i="20"/>
  <c r="C25" i="20"/>
  <c r="E12" i="19" s="1"/>
  <c r="D25" i="20"/>
  <c r="E25" i="20"/>
  <c r="F25" i="20"/>
  <c r="G25" i="20"/>
  <c r="H25" i="20"/>
  <c r="G41" i="11" s="1"/>
  <c r="I25" i="20"/>
  <c r="F41" i="11" s="1"/>
  <c r="J25" i="20"/>
  <c r="E41" i="11" s="1"/>
  <c r="K25" i="20"/>
  <c r="D41" i="11" s="1"/>
  <c r="L25" i="20"/>
  <c r="C41" i="11" s="1"/>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I54" i="20"/>
  <c r="I6" i="20" s="1"/>
  <c r="H54" i="20"/>
  <c r="H6" i="20" s="1"/>
  <c r="G54" i="20"/>
  <c r="G6" i="20" s="1"/>
  <c r="F54" i="20"/>
  <c r="F6"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K34" i="20"/>
  <c r="J34" i="20"/>
  <c r="I34" i="20"/>
  <c r="H34" i="20"/>
  <c r="G34" i="20"/>
  <c r="F34" i="20"/>
  <c r="E34" i="20"/>
  <c r="D34" i="20"/>
  <c r="C34" i="20"/>
  <c r="L32" i="20"/>
  <c r="K32" i="20"/>
  <c r="J32" i="20"/>
  <c r="I32" i="20"/>
  <c r="H32" i="20"/>
  <c r="G32" i="20"/>
  <c r="F32" i="20"/>
  <c r="E32" i="20"/>
  <c r="D32" i="20"/>
  <c r="C32" i="20"/>
  <c r="L30" i="20"/>
  <c r="K30" i="20"/>
  <c r="J30" i="20"/>
  <c r="I30" i="20"/>
  <c r="H30" i="20"/>
  <c r="G30" i="20"/>
  <c r="F30" i="20"/>
  <c r="E30" i="20"/>
  <c r="D30" i="20"/>
  <c r="C30" i="20"/>
  <c r="L29" i="20"/>
  <c r="K29" i="20"/>
  <c r="J29" i="20"/>
  <c r="I29" i="20"/>
  <c r="H29" i="20"/>
  <c r="G29" i="20"/>
  <c r="F29" i="20"/>
  <c r="E29" i="20"/>
  <c r="D29" i="20"/>
  <c r="C29" i="20"/>
  <c r="A27" i="20"/>
  <c r="L26" i="20"/>
  <c r="K26" i="20"/>
  <c r="K95" i="20" s="1"/>
  <c r="K96" i="20" s="1"/>
  <c r="J26" i="20"/>
  <c r="J95" i="20" s="1"/>
  <c r="J96" i="20" s="1"/>
  <c r="I26" i="20"/>
  <c r="H26" i="20"/>
  <c r="G26" i="20"/>
  <c r="F26" i="20"/>
  <c r="F95" i="20" s="1"/>
  <c r="F96" i="20" s="1"/>
  <c r="E26" i="20"/>
  <c r="D26" i="20"/>
  <c r="C26" i="20"/>
  <c r="C95" i="20" s="1"/>
  <c r="C96" i="20" s="1"/>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K15" i="20"/>
  <c r="K27" i="20" s="1"/>
  <c r="J15" i="20"/>
  <c r="J27" i="20" s="1"/>
  <c r="I15" i="20"/>
  <c r="I27" i="20" s="1"/>
  <c r="I113" i="20" s="1"/>
  <c r="H15" i="20"/>
  <c r="H27" i="20" s="1"/>
  <c r="G15" i="20"/>
  <c r="G27" i="20" s="1"/>
  <c r="F15" i="20"/>
  <c r="F27" i="20" s="1"/>
  <c r="E15" i="20"/>
  <c r="E27" i="20" s="1"/>
  <c r="E113" i="20" s="1"/>
  <c r="D15" i="20"/>
  <c r="D27" i="20" s="1"/>
  <c r="C15" i="20"/>
  <c r="C27" i="20" s="1"/>
  <c r="L183" i="20"/>
  <c r="K183" i="20"/>
  <c r="J183" i="20"/>
  <c r="I183" i="20"/>
  <c r="H183" i="20"/>
  <c r="G183" i="20"/>
  <c r="F183" i="20"/>
  <c r="E183" i="20"/>
  <c r="D183" i="20"/>
  <c r="C183" i="20"/>
  <c r="A4" i="20"/>
  <c r="K4" i="19"/>
  <c r="K3" i="19"/>
  <c r="K3" i="18"/>
  <c r="B4" i="18" s="1"/>
  <c r="H8" i="16" l="1"/>
  <c r="M93" i="20"/>
  <c r="H11" i="16" s="1"/>
  <c r="D113" i="20"/>
  <c r="H113" i="20"/>
  <c r="L113" i="20"/>
  <c r="D130" i="20"/>
  <c r="H130" i="20"/>
  <c r="L130" i="20"/>
  <c r="D132" i="20"/>
  <c r="H132" i="20"/>
  <c r="L132" i="20"/>
  <c r="F114" i="20"/>
  <c r="J114" i="20"/>
  <c r="E13" i="19"/>
  <c r="H41" i="11"/>
  <c r="G95" i="20"/>
  <c r="G96" i="20" s="1"/>
  <c r="K8" i="16"/>
  <c r="E130" i="20"/>
  <c r="I130" i="20"/>
  <c r="E132" i="20"/>
  <c r="I132" i="20"/>
  <c r="C114" i="20"/>
  <c r="G114" i="20"/>
  <c r="K114" i="20"/>
  <c r="J131" i="20"/>
  <c r="M117" i="20"/>
  <c r="C5" i="29"/>
  <c r="L4" i="19"/>
  <c r="K131" i="20"/>
  <c r="M138" i="20"/>
  <c r="M120" i="20"/>
  <c r="F130" i="20"/>
  <c r="J130" i="20"/>
  <c r="D131" i="20"/>
  <c r="H131" i="20"/>
  <c r="L131" i="20"/>
  <c r="F132" i="20"/>
  <c r="J132" i="20"/>
  <c r="F131" i="20"/>
  <c r="C131" i="20"/>
  <c r="G131" i="20"/>
  <c r="C130" i="20"/>
  <c r="G130" i="20"/>
  <c r="K130" i="20"/>
  <c r="E131" i="20"/>
  <c r="I131" i="20"/>
  <c r="C132" i="20"/>
  <c r="G132" i="20"/>
  <c r="K132" i="20"/>
  <c r="D114" i="20"/>
  <c r="H114" i="20"/>
  <c r="L114" i="20"/>
  <c r="E114" i="20"/>
  <c r="I114" i="20"/>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I41" i="11" s="1"/>
  <c r="C5" i="27"/>
  <c r="J41" i="11" s="1"/>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G7" i="14"/>
  <c r="C7" i="14"/>
  <c r="B11" i="11"/>
  <c r="B16" i="11" s="1"/>
  <c r="G11" i="14"/>
  <c r="F23" i="20"/>
  <c r="F63" i="20" s="1"/>
  <c r="C11" i="14"/>
  <c r="E42" i="20"/>
  <c r="I42" i="20"/>
  <c r="I100" i="20" s="1"/>
  <c r="F58" i="20"/>
  <c r="J58" i="20"/>
  <c r="D11" i="14"/>
  <c r="H4" i="19"/>
  <c r="G13" i="19"/>
  <c r="E4" i="19"/>
  <c r="I31" i="20"/>
  <c r="D86" i="20"/>
  <c r="C11" i="15"/>
  <c r="G4" i="19"/>
  <c r="F31" i="20"/>
  <c r="J31" i="20"/>
  <c r="D89" i="20"/>
  <c r="H89" i="20"/>
  <c r="L89" i="20"/>
  <c r="D11" i="20"/>
  <c r="L11" i="20"/>
  <c r="M119" i="20" s="1"/>
  <c r="E11" i="20"/>
  <c r="D23" i="20"/>
  <c r="D63" i="20" s="1"/>
  <c r="D80" i="20" s="1"/>
  <c r="H23" i="20"/>
  <c r="H63" i="20" s="1"/>
  <c r="L23" i="20"/>
  <c r="E23" i="20"/>
  <c r="E63" i="20" s="1"/>
  <c r="I23" i="20"/>
  <c r="I63" i="20" s="1"/>
  <c r="E86" i="20"/>
  <c r="I86" i="20"/>
  <c r="H3" i="19"/>
  <c r="I3" i="19"/>
  <c r="C9" i="15"/>
  <c r="E31" i="20"/>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G31" i="20"/>
  <c r="K31" i="20"/>
  <c r="F86" i="20"/>
  <c r="J86" i="20"/>
  <c r="J4" i="19"/>
  <c r="F11" i="20"/>
  <c r="J11" i="20"/>
  <c r="J106" i="20" s="1"/>
  <c r="D31" i="20"/>
  <c r="H31" i="20"/>
  <c r="L31" i="20"/>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M118" i="20" s="1"/>
  <c r="E28" i="20"/>
  <c r="I28" i="20"/>
  <c r="F28" i="20"/>
  <c r="J28" i="20"/>
  <c r="D82" i="20"/>
  <c r="L82" i="20"/>
  <c r="D84" i="20"/>
  <c r="L84" i="20"/>
  <c r="H10" i="16" l="1"/>
  <c r="K33" i="20"/>
  <c r="K35" i="20" s="1"/>
  <c r="K133" i="20" s="1"/>
  <c r="K93" i="20"/>
  <c r="F11" i="16" s="1"/>
  <c r="J33" i="20"/>
  <c r="J35" i="20" s="1"/>
  <c r="J133" i="20" s="1"/>
  <c r="J134" i="20" s="1"/>
  <c r="J93" i="20"/>
  <c r="E11" i="16" s="1"/>
  <c r="H88" i="20"/>
  <c r="H93" i="20"/>
  <c r="C11" i="16" s="1"/>
  <c r="G33" i="20"/>
  <c r="G35" i="20" s="1"/>
  <c r="G118" i="20" s="1"/>
  <c r="G93" i="20"/>
  <c r="F88" i="20"/>
  <c r="F93" i="20"/>
  <c r="I88" i="20"/>
  <c r="I93" i="20"/>
  <c r="D11" i="16" s="1"/>
  <c r="E88" i="20"/>
  <c r="E93" i="20"/>
  <c r="L33" i="20"/>
  <c r="L35" i="20" s="1"/>
  <c r="L133" i="20" s="1"/>
  <c r="L134" i="20" s="1"/>
  <c r="L93" i="20"/>
  <c r="G11" i="16" s="1"/>
  <c r="D33" i="20"/>
  <c r="D93" i="20"/>
  <c r="C88" i="20"/>
  <c r="C93" i="20"/>
  <c r="M41" i="11"/>
  <c r="K134" i="20"/>
  <c r="M4" i="19"/>
  <c r="B12" i="11" s="1"/>
  <c r="F5" i="28"/>
  <c r="I5" i="18" s="1"/>
  <c r="I12" i="19"/>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L5" i="27"/>
  <c r="L4" i="18" s="1"/>
  <c r="I4" i="18"/>
  <c r="K118" i="20"/>
  <c r="L107" i="20"/>
  <c r="F106" i="20"/>
  <c r="H106" i="20"/>
  <c r="D106" i="20"/>
  <c r="G106" i="20"/>
  <c r="E106" i="20"/>
  <c r="I106" i="20"/>
  <c r="L106" i="20"/>
  <c r="K119" i="20"/>
  <c r="C9" i="14"/>
  <c r="F5" i="29"/>
  <c r="C18" i="14"/>
  <c r="K117" i="20"/>
  <c r="J9" i="11"/>
  <c r="G5" i="28"/>
  <c r="K139" i="20"/>
  <c r="K127" i="20"/>
  <c r="D42" i="11" s="1"/>
  <c r="K140" i="20"/>
  <c r="K80" i="20"/>
  <c r="E10" i="11"/>
  <c r="K10" i="11" s="1"/>
  <c r="B15" i="11"/>
  <c r="F7" i="16"/>
  <c r="K92" i="20"/>
  <c r="C82" i="20"/>
  <c r="G80" i="20"/>
  <c r="G84" i="20"/>
  <c r="C79" i="20"/>
  <c r="G82" i="20"/>
  <c r="C81" i="20"/>
  <c r="E69" i="20"/>
  <c r="C19" i="14"/>
  <c r="F33" i="20"/>
  <c r="F35" i="20" s="1"/>
  <c r="F133" i="20" s="1"/>
  <c r="F134"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F6" i="28" s="1"/>
  <c r="I78" i="20"/>
  <c r="H11" i="11" s="1"/>
  <c r="F69" i="20"/>
  <c r="F80" i="20"/>
  <c r="H80" i="20"/>
  <c r="F82" i="20"/>
  <c r="H8" i="11"/>
  <c r="F78" i="20"/>
  <c r="F79" i="20"/>
  <c r="F89" i="20"/>
  <c r="F84" i="20"/>
  <c r="F81" i="20"/>
  <c r="J69" i="20"/>
  <c r="J82" i="20"/>
  <c r="J80" i="20"/>
  <c r="B3" i="19"/>
  <c r="J79" i="20"/>
  <c r="E8" i="11"/>
  <c r="B4" i="19"/>
  <c r="J77" i="20"/>
  <c r="G8" i="11"/>
  <c r="C21" i="14"/>
  <c r="K78" i="20"/>
  <c r="F11" i="11" s="1"/>
  <c r="J88" i="20"/>
  <c r="C22" i="14"/>
  <c r="I57" i="20"/>
  <c r="H78" i="20"/>
  <c r="D78" i="20"/>
  <c r="I33" i="20"/>
  <c r="I35" i="20" s="1"/>
  <c r="I133" i="20" s="1"/>
  <c r="I134" i="20" s="1"/>
  <c r="K88" i="20"/>
  <c r="J78" i="20"/>
  <c r="G11" i="11" s="1"/>
  <c r="G78" i="20"/>
  <c r="M12" i="19"/>
  <c r="K70" i="20"/>
  <c r="K87" i="20" s="1"/>
  <c r="D8" i="14"/>
  <c r="D4" i="14"/>
  <c r="M13" i="19"/>
  <c r="D35" i="20"/>
  <c r="D133" i="20" s="1"/>
  <c r="D134" i="20" s="1"/>
  <c r="D66" i="20"/>
  <c r="D67" i="20" s="1"/>
  <c r="L77" i="20"/>
  <c r="D88" i="20"/>
  <c r="C78" i="20"/>
  <c r="K13" i="19"/>
  <c r="L63" i="20"/>
  <c r="M9" i="19" s="1"/>
  <c r="K12" i="19"/>
  <c r="J9" i="19"/>
  <c r="F9" i="19"/>
  <c r="L8" i="19"/>
  <c r="K9" i="19"/>
  <c r="G9" i="19"/>
  <c r="E8" i="19"/>
  <c r="I9" i="19"/>
  <c r="E9" i="19"/>
  <c r="K8" i="19"/>
  <c r="G8" i="19"/>
  <c r="I8" i="19"/>
  <c r="L9" i="19"/>
  <c r="J8" i="19"/>
  <c r="F8" i="19"/>
  <c r="K66" i="20"/>
  <c r="K67" i="20" s="1"/>
  <c r="L79" i="20"/>
  <c r="L127" i="20" l="1"/>
  <c r="C42" i="11" s="1"/>
  <c r="I44" i="11"/>
  <c r="K44" i="11" s="1"/>
  <c r="H13" i="19"/>
  <c r="E7" i="16"/>
  <c r="L140" i="20"/>
  <c r="G127" i="20"/>
  <c r="I42" i="11" s="1"/>
  <c r="K107" i="20"/>
  <c r="G6" i="28"/>
  <c r="O4" i="19"/>
  <c r="E8" i="14"/>
  <c r="L66" i="20"/>
  <c r="L67" i="20" s="1"/>
  <c r="G66" i="20"/>
  <c r="G67" i="20" s="1"/>
  <c r="J70" i="20"/>
  <c r="J87" i="20" s="1"/>
  <c r="J140" i="20"/>
  <c r="L117" i="20"/>
  <c r="L118" i="20"/>
  <c r="J118" i="20"/>
  <c r="G133" i="20"/>
  <c r="G134" i="20" s="1"/>
  <c r="K7" i="16"/>
  <c r="L70" i="20"/>
  <c r="H9" i="19"/>
  <c r="C8" i="14"/>
  <c r="C14" i="14" s="1"/>
  <c r="G7" i="16"/>
  <c r="L92" i="20"/>
  <c r="G70" i="20"/>
  <c r="G87" i="20" s="1"/>
  <c r="G140" i="20"/>
  <c r="L38" i="20"/>
  <c r="J127" i="20"/>
  <c r="E42" i="11" s="1"/>
  <c r="G117" i="20"/>
  <c r="G119" i="20"/>
  <c r="H107" i="20"/>
  <c r="N4" i="19"/>
  <c r="G92" i="20"/>
  <c r="G139" i="20"/>
  <c r="L119" i="20"/>
  <c r="J66" i="20"/>
  <c r="J67" i="20" s="1"/>
  <c r="E4" i="14"/>
  <c r="C4" i="14"/>
  <c r="C16" i="14" s="1"/>
  <c r="J92" i="20"/>
  <c r="L139" i="20"/>
  <c r="J139" i="20"/>
  <c r="J119" i="20"/>
  <c r="J117" i="20"/>
  <c r="B22" i="11"/>
  <c r="B21" i="11"/>
  <c r="B25" i="11" s="1"/>
  <c r="L5" i="28"/>
  <c r="L5" i="18" s="1"/>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F42" i="11" s="1"/>
  <c r="H127" i="20"/>
  <c r="G42" i="11" s="1"/>
  <c r="C5" i="28"/>
  <c r="P5" i="28" s="1"/>
  <c r="D127" i="20"/>
  <c r="C127" i="20"/>
  <c r="J42" i="11" s="1"/>
  <c r="E127" i="20"/>
  <c r="F127" i="20"/>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F4" i="14"/>
  <c r="I11" i="11"/>
  <c r="C5" i="19"/>
  <c r="C3" i="19"/>
  <c r="K9" i="11"/>
  <c r="L12" i="19"/>
  <c r="L13" i="19"/>
  <c r="N9" i="19"/>
  <c r="N8" i="19"/>
  <c r="L80" i="20"/>
  <c r="L142" i="20" l="1"/>
  <c r="G5" i="27" s="1"/>
  <c r="H42" i="11"/>
  <c r="C17" i="14"/>
  <c r="M42" i="11"/>
  <c r="M43" i="11" s="1"/>
  <c r="J17" i="11" s="1"/>
  <c r="E20" i="11" s="1"/>
  <c r="E23" i="11" s="1"/>
  <c r="E53" i="11"/>
  <c r="C54" i="11"/>
  <c r="C53" i="11"/>
  <c r="F8" i="1" s="1"/>
  <c r="E54" i="11"/>
  <c r="C55" i="11"/>
  <c r="E55" i="11"/>
  <c r="G8" i="1" s="1"/>
  <c r="D53" i="11"/>
  <c r="D55" i="11"/>
  <c r="D54" i="11"/>
  <c r="L7" i="18"/>
  <c r="I7" i="18"/>
  <c r="M5" i="29"/>
  <c r="L10" i="18" s="1"/>
  <c r="I10" i="18"/>
  <c r="G142" i="20"/>
  <c r="K142" i="20"/>
  <c r="J142" i="20"/>
  <c r="I142" i="20"/>
  <c r="F142" i="20"/>
  <c r="H142" i="20"/>
  <c r="E142" i="20"/>
  <c r="F6" i="1"/>
  <c r="B17" i="11"/>
  <c r="I7" i="1" s="1"/>
  <c r="B19" i="11"/>
  <c r="C15" i="14"/>
  <c r="C23" i="14" s="1"/>
  <c r="J19" i="16"/>
  <c r="M45" i="11" l="1"/>
  <c r="M46" i="11" s="1"/>
  <c r="M47" i="11"/>
  <c r="B16" i="17"/>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D4" i="16" s="1"/>
  <c r="F10" i="16"/>
  <c r="I8" i="18" l="1"/>
  <c r="K4" i="16"/>
  <c r="L8" i="18" s="1"/>
  <c r="L3" i="18" s="1"/>
  <c r="C4" i="18" s="1"/>
  <c r="F3" i="17"/>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C14" i="15" l="1"/>
  <c r="P3" i="17"/>
  <c r="O5" i="17"/>
  <c r="O6" i="17" s="1"/>
  <c r="O8" i="17" s="1"/>
  <c r="O9" i="17" s="1"/>
  <c r="K12" i="14"/>
  <c r="K14" i="14" s="1"/>
  <c r="F14" i="11"/>
  <c r="E14" i="11"/>
  <c r="B14" i="11"/>
  <c r="H14" i="11"/>
  <c r="I14" i="11"/>
  <c r="P5" i="17" l="1"/>
  <c r="P6" i="17" s="1"/>
  <c r="P8" i="17" s="1"/>
  <c r="P9" i="17" s="1"/>
  <c r="Q3" i="17"/>
  <c r="E27" i="11"/>
  <c r="E28" i="11" s="1"/>
  <c r="G14" i="11"/>
  <c r="B20" i="11" s="1"/>
  <c r="E22" i="11" s="1"/>
  <c r="E24" i="11" s="1"/>
  <c r="F7" i="1" s="1"/>
  <c r="E29" i="11" l="1"/>
  <c r="Q5" i="17"/>
  <c r="Q6" i="17" s="1"/>
  <c r="Q8" i="17" s="1"/>
  <c r="Q9" i="17" s="1"/>
  <c r="R3" i="17"/>
  <c r="R5" i="17" l="1"/>
  <c r="R6" i="17" s="1"/>
  <c r="R8" i="17" s="1"/>
  <c r="R9" i="17" s="1"/>
  <c r="S3" i="17"/>
  <c r="F27" i="11"/>
  <c r="F28" i="11" s="1"/>
  <c r="F29" i="11" l="1"/>
  <c r="S5" i="17"/>
  <c r="S6" i="17" s="1"/>
  <c r="S8" i="17" s="1"/>
  <c r="S9" i="17" s="1"/>
  <c r="T3" i="17"/>
  <c r="G27" i="11" l="1"/>
  <c r="G28" i="11" s="1"/>
  <c r="T5" i="17"/>
  <c r="T6" i="17" s="1"/>
  <c r="T8" i="17" s="1"/>
  <c r="T9" i="17" s="1"/>
  <c r="U3" i="17"/>
  <c r="G29" i="11" l="1"/>
  <c r="U5" i="17"/>
  <c r="U6" i="17" s="1"/>
  <c r="U8" i="17" s="1"/>
  <c r="U9" i="17" s="1"/>
  <c r="V3" i="17"/>
  <c r="H27" i="11" l="1"/>
  <c r="V5" i="17"/>
  <c r="V6" i="17" s="1"/>
  <c r="V8" i="17" s="1"/>
  <c r="V9" i="17" s="1"/>
  <c r="W3" i="17"/>
  <c r="B26" i="11" l="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D6" authorId="0" shapeId="0">
      <text>
        <r>
          <rPr>
            <sz val="9"/>
            <color indexed="81"/>
            <rFont val="Tahoma"/>
            <family val="2"/>
          </rPr>
          <t xml:space="preserve">How much CMP higher than P E/B Valuation
</t>
        </r>
      </text>
    </comment>
    <comment ref="D7" authorId="0" shapeId="0">
      <text>
        <r>
          <rPr>
            <sz val="9"/>
            <color indexed="81"/>
            <rFont val="Tahoma"/>
            <family val="2"/>
          </rPr>
          <t xml:space="preserve">Sanjay Bakshi's valuation formala
</t>
        </r>
      </text>
    </comment>
    <comment ref="D8" authorId="0" shapeId="0">
      <text>
        <r>
          <rPr>
            <sz val="9"/>
            <color indexed="81"/>
            <rFont val="Tahoma"/>
            <family val="2"/>
          </rPr>
          <t xml:space="preserve">Conservative valuation formula
</t>
        </r>
      </text>
    </comment>
  </commentList>
</comments>
</file>

<file path=xl/comments2.xml><?xml version="1.0" encoding="utf-8"?>
<comments xmlns="http://schemas.openxmlformats.org/spreadsheetml/2006/main">
  <authors>
    <author>HP</author>
  </authors>
  <commentList>
    <comment ref="L41" authorId="0" shapeId="0">
      <text>
        <r>
          <rPr>
            <sz val="9"/>
            <color indexed="81"/>
            <rFont val="Tahoma"/>
            <family val="2"/>
          </rPr>
          <t xml:space="preserve">Sales growth capped at 25%
</t>
        </r>
      </text>
    </comment>
    <comment ref="M41" authorId="0" shapeId="0">
      <text>
        <r>
          <rPr>
            <sz val="9"/>
            <color indexed="81"/>
            <rFont val="Tahoma"/>
            <family val="2"/>
          </rPr>
          <t xml:space="preserve">Sales growth capped at 25%
</t>
        </r>
      </text>
    </comment>
    <comment ref="I42" authorId="0" shapeId="0">
      <text>
        <r>
          <rPr>
            <sz val="9"/>
            <color indexed="81"/>
            <rFont val="Tahoma"/>
            <family val="2"/>
          </rPr>
          <t xml:space="preserve">Lower Cap at 0%
</t>
        </r>
      </text>
    </comment>
    <comment ref="J42" authorId="0" shapeId="0">
      <text>
        <r>
          <rPr>
            <b/>
            <sz val="9"/>
            <color indexed="81"/>
            <rFont val="Tahoma"/>
            <family val="2"/>
          </rPr>
          <t>Lower Cap at 0%</t>
        </r>
      </text>
    </comment>
    <comment ref="L42" authorId="0" shapeId="0">
      <text>
        <r>
          <rPr>
            <sz val="9"/>
            <color indexed="81"/>
            <rFont val="Tahoma"/>
            <family val="2"/>
          </rPr>
          <t xml:space="preserve">Capped at 15%
</t>
        </r>
      </text>
    </comment>
    <comment ref="M42" authorId="0" shapeId="0">
      <text>
        <r>
          <rPr>
            <sz val="9"/>
            <color indexed="81"/>
            <rFont val="Tahoma"/>
            <family val="2"/>
          </rPr>
          <t xml:space="preserve">Capped at 15%
</t>
        </r>
      </text>
    </comment>
  </commentList>
</comments>
</file>

<file path=xl/comments3.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4.xml><?xml version="1.0" encoding="utf-8"?>
<comments xmlns="http://schemas.openxmlformats.org/spreadsheetml/2006/main">
  <authors>
    <author>Kumar Saurabh</author>
    <author>HP</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 ref="A93" authorId="1" shapeId="0">
      <text>
        <r>
          <rPr>
            <sz val="9"/>
            <color indexed="81"/>
            <rFont val="Tahoma"/>
            <family val="2"/>
          </rPr>
          <t xml:space="preserve">EBIT/(total assets less current liabilities)
</t>
        </r>
      </text>
    </comment>
  </commentList>
</comments>
</file>

<file path=xl/sharedStrings.xml><?xml version="1.0" encoding="utf-8"?>
<sst xmlns="http://schemas.openxmlformats.org/spreadsheetml/2006/main" count="753" uniqueCount="565">
  <si>
    <t>Company</t>
  </si>
  <si>
    <t>Sector</t>
  </si>
  <si>
    <t>Face value</t>
  </si>
  <si>
    <t>No of shares outstanding</t>
  </si>
  <si>
    <t>Market Cap</t>
  </si>
  <si>
    <t>Promoter Shareholding</t>
  </si>
  <si>
    <t>Business Summary</t>
  </si>
  <si>
    <t>Equity Share Capital</t>
  </si>
  <si>
    <t>Reserves</t>
  </si>
  <si>
    <t>Networth</t>
  </si>
  <si>
    <t>Secured Loans</t>
  </si>
  <si>
    <t>Unsecured Loans</t>
  </si>
  <si>
    <t>Total Liabilities</t>
  </si>
  <si>
    <t>Net Block</t>
  </si>
  <si>
    <t>Capital Work in Progress</t>
  </si>
  <si>
    <t>Investments</t>
  </si>
  <si>
    <t>Current Liabilities</t>
  </si>
  <si>
    <t>Total Assets</t>
  </si>
  <si>
    <t>Net Sales</t>
  </si>
  <si>
    <t>Other Income</t>
  </si>
  <si>
    <t>Total Income</t>
  </si>
  <si>
    <t>Raw Materials</t>
  </si>
  <si>
    <t>Employee Cost</t>
  </si>
  <si>
    <t>Operating Profit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</si>
  <si>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</si>
  <si>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</si>
  <si>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</si>
  <si>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</si>
  <si>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</si>
  <si>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</si>
  <si>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</si>
  <si>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</si>
  <si>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</si>
  <si>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</si>
  <si>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</si>
  <si>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</si>
  <si>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</si>
  <si>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</si>
  <si>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</si>
  <si>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</si>
  <si>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</si>
  <si>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</si>
  <si>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</si>
  <si>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</si>
  <si>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</si>
  <si>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</si>
  <si>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</si>
  <si>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</si>
  <si>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</si>
  <si>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</si>
  <si>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</si>
  <si>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</si>
  <si>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</si>
  <si>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</si>
  <si>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</si>
  <si>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</si>
  <si>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</si>
  <si>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</si>
  <si>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</si>
  <si>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</si>
  <si>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</si>
  <si>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</si>
  <si>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</si>
  <si>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</si>
  <si>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</si>
  <si>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</si>
  <si>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</si>
  <si>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</si>
  <si>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</si>
  <si>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</si>
  <si>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</si>
  <si>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</si>
  <si>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</si>
  <si>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</si>
  <si>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</si>
  <si>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</si>
  <si>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</si>
  <si>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</si>
  <si>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</si>
  <si>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</si>
  <si>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</si>
  <si>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</si>
  <si>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</si>
  <si>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</si>
  <si>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</si>
  <si>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</si>
  <si>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</si>
  <si>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</si>
  <si>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</si>
  <si>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</si>
  <si>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</si>
  <si>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</si>
  <si>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</si>
  <si>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</si>
  <si>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</si>
  <si>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</si>
  <si>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</si>
  <si>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</si>
  <si>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</si>
  <si>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</si>
  <si>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</si>
  <si>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</si>
  <si>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</si>
  <si>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</si>
  <si>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</si>
  <si>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</si>
  <si>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</si>
  <si>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</si>
  <si>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</si>
  <si>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</si>
  <si>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</si>
  <si>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</si>
  <si>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</si>
  <si>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</si>
  <si>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</si>
  <si>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</si>
  <si>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</si>
  <si>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</si>
  <si>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</si>
  <si>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</si>
  <si>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</si>
  <si>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</si>
  <si>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</si>
  <si>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</si>
  <si>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</si>
  <si>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</si>
  <si>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</si>
  <si>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</si>
  <si>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</si>
  <si>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</si>
  <si>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</si>
  <si>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</si>
  <si>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</si>
  <si>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</si>
  <si>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</si>
  <si>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</si>
  <si>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</si>
  <si>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</si>
  <si>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</si>
  <si>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</si>
  <si>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</si>
  <si>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</si>
  <si>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</si>
  <si>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</si>
  <si>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</si>
  <si>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</si>
  <si>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</si>
  <si>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Financial Anlaysis</t>
  </si>
  <si>
    <t>ROE/ROA 5 Yr.</t>
  </si>
  <si>
    <t>EPS growth 5 Yr.</t>
  </si>
  <si>
    <t>&gt;20%</t>
  </si>
  <si>
    <t>Promoter Pledged Holding</t>
  </si>
  <si>
    <t>EPS growth 10 Yr.</t>
  </si>
  <si>
    <t>Growth should be consistent year on year. Ignore companies where a sudden spurt of sales in one year is confounding the 10 years performance.
Very high growth rates of &gt;50% are unsustainable.</t>
  </si>
  <si>
    <t>Avg. NP margin 5 Yr.</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</si>
  <si>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</si>
  <si>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</si>
  <si>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</si>
  <si>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</si>
  <si>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</si>
  <si>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</si>
  <si>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</si>
  <si>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</si>
  <si>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</si>
  <si>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</si>
  <si>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</si>
  <si>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</si>
  <si>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</si>
  <si>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</si>
  <si>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</si>
  <si>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</si>
  <si>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</si>
  <si>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</si>
  <si>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</si>
  <si>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</si>
  <si>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</si>
  <si>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</si>
  <si>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</si>
  <si>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</si>
  <si>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</si>
  <si>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</si>
  <si>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</si>
  <si>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</si>
  <si>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</si>
  <si>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</si>
  <si>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</si>
  <si>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</si>
  <si>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</si>
  <si>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</si>
  <si>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</si>
  <si>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</si>
  <si>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</si>
  <si>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FII</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</si>
  <si>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</si>
  <si>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</si>
  <si>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</si>
  <si>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</si>
  <si>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</si>
  <si>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</si>
  <si>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</si>
  <si>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</si>
  <si>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</si>
  <si>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</si>
  <si>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</si>
  <si>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</si>
  <si>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</si>
  <si>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</si>
  <si>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</si>
  <si>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</si>
  <si>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</si>
  <si>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</si>
  <si>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</si>
  <si>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</si>
  <si>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</si>
  <si>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</si>
  <si>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</si>
  <si>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</si>
  <si>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</si>
  <si>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</si>
  <si>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</si>
  <si>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</si>
  <si>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</si>
  <si>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</si>
  <si>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</si>
  <si>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</si>
  <si>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</si>
  <si>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</si>
  <si>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</si>
  <si>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</si>
  <si>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</si>
  <si>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</si>
  <si>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</si>
  <si>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</si>
  <si>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</si>
  <si>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</si>
  <si>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</si>
  <si>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</si>
  <si>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</si>
  <si>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</si>
  <si>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</si>
  <si>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</si>
  <si>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</si>
  <si>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</si>
  <si>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</si>
  <si>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COMPANY NAME</t>
  </si>
  <si>
    <t>LATEST VERSION</t>
  </si>
  <si>
    <t>PLEASE DO NOT MAKE ANY CHANGES TO THIS SHEET</t>
  </si>
  <si>
    <t>CURRENT VERSION</t>
  </si>
  <si>
    <t>META</t>
  </si>
  <si>
    <t>Number of shares</t>
  </si>
  <si>
    <t>Face Value</t>
  </si>
  <si>
    <t>Current Price</t>
  </si>
  <si>
    <t>Market Capitalization</t>
  </si>
  <si>
    <t>PROFIT &amp; LOSS</t>
  </si>
  <si>
    <t>Report Date</t>
  </si>
  <si>
    <t>Raw Material Cost</t>
  </si>
  <si>
    <t>Change in Inventory</t>
  </si>
  <si>
    <t>Power and Fuel</t>
  </si>
  <si>
    <t>Other Mfr. Exp</t>
  </si>
  <si>
    <t>Selling and admin</t>
  </si>
  <si>
    <t>Other Expenses</t>
  </si>
  <si>
    <t>Profit before tax</t>
  </si>
  <si>
    <t>Net profit</t>
  </si>
  <si>
    <t>Dividend Amount</t>
  </si>
  <si>
    <t>Quarters</t>
  </si>
  <si>
    <t>Expenses</t>
  </si>
  <si>
    <t>BALANCE SHEET</t>
  </si>
  <si>
    <t>Total</t>
  </si>
  <si>
    <t>Other Assets</t>
  </si>
  <si>
    <t>Receivables</t>
  </si>
  <si>
    <t>Cash &amp; Bank</t>
  </si>
  <si>
    <t>No. of Equity Shares</t>
  </si>
  <si>
    <t>New Bonus Shares</t>
  </si>
  <si>
    <t>CASH FLOW:</t>
  </si>
  <si>
    <t>Cash from Operating Activity</t>
  </si>
  <si>
    <t>Net Cash Flow</t>
  </si>
  <si>
    <t>PRICE:</t>
  </si>
  <si>
    <t>DERIVED:</t>
  </si>
  <si>
    <t>Adjusted Equity Shares in Cr</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</si>
  <si>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</si>
  <si>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</si>
  <si>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</si>
  <si>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</si>
  <si>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</si>
  <si>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</si>
  <si>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</si>
  <si>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</si>
  <si>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</si>
  <si>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</si>
  <si>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</si>
  <si>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</si>
  <si>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</si>
  <si>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</si>
  <si>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</si>
  <si>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</si>
  <si>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</si>
  <si>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</si>
  <si>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</si>
  <si>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</si>
  <si>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</si>
  <si>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</si>
  <si>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</si>
  <si>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</si>
  <si>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</si>
  <si>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</si>
  <si>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</si>
  <si>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</si>
  <si>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</si>
  <si>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</si>
  <si>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</si>
  <si>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</si>
  <si>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</si>
  <si>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</si>
  <si>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</si>
  <si>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</si>
  <si>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</si>
  <si>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</si>
  <si>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</si>
  <si>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</si>
  <si>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</si>
  <si>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</si>
  <si>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</si>
  <si>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</si>
  <si>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</si>
  <si>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</si>
  <si>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</si>
  <si>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</si>
  <si>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</si>
  <si>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</si>
  <si>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</si>
  <si>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</si>
  <si>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</si>
  <si>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</si>
  <si>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</si>
  <si>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</si>
  <si>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</si>
  <si>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</si>
  <si>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</si>
  <si>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</si>
  <si>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</si>
  <si>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</si>
  <si>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</si>
  <si>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</si>
  <si>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</si>
  <si>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</si>
  <si>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</si>
  <si>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</si>
  <si>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</si>
  <si>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</si>
  <si>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</si>
  <si>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</si>
  <si>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</si>
  <si>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</si>
  <si>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</si>
  <si>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</si>
  <si>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</si>
  <si>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</si>
  <si>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</si>
  <si>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</si>
  <si>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</si>
  <si>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</si>
  <si>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</si>
  <si>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</si>
  <si>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</si>
  <si>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</si>
  <si>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</si>
  <si>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</si>
  <si>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</si>
  <si>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</si>
  <si>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</si>
  <si>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</si>
  <si>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</si>
  <si>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</si>
  <si>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</si>
  <si>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</si>
  <si>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</si>
  <si>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</si>
  <si>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</si>
  <si>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</si>
  <si>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</si>
  <si>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</si>
  <si>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</si>
  <si>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</si>
  <si>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</si>
  <si>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</si>
  <si>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</si>
  <si>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</si>
  <si>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</si>
  <si>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</si>
  <si>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</si>
  <si>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</si>
  <si>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</si>
  <si>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</si>
  <si>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</si>
  <si>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</si>
  <si>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</si>
  <si>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</si>
  <si>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</si>
  <si>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</si>
  <si>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</si>
  <si>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</si>
  <si>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</si>
  <si>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</si>
  <si>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</si>
  <si>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</si>
  <si>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</si>
  <si>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</si>
  <si>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</si>
  <si>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</si>
  <si>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</si>
  <si>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</si>
  <si>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</si>
  <si>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</si>
  <si>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</si>
  <si>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</si>
  <si>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</si>
  <si>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</si>
  <si>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</si>
  <si>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</si>
  <si>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</si>
  <si>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</si>
  <si>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</si>
  <si>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</si>
  <si>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</si>
  <si>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</si>
  <si>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</si>
  <si>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</si>
  <si>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</si>
  <si>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</si>
  <si>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</si>
  <si>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</si>
  <si>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</si>
  <si>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</si>
  <si>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</si>
  <si>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</si>
  <si>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</si>
  <si>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</si>
  <si>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</si>
  <si>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</si>
  <si>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Promoters</t>
  </si>
  <si>
    <t>Others</t>
  </si>
  <si>
    <t>Shareholding Dist.</t>
  </si>
  <si>
    <t>Promoter pledged</t>
  </si>
  <si>
    <t>Mutual funds</t>
  </si>
  <si>
    <t>Bodies corporate</t>
  </si>
  <si>
    <t>Individuals &lt;= 2 lakh</t>
  </si>
  <si>
    <t>Individuals &gt; 2 lakh</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</si>
  <si>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</si>
  <si>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</si>
  <si>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</si>
  <si>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</si>
  <si>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</si>
  <si>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</si>
  <si>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</si>
  <si>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</si>
  <si>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</si>
  <si>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</si>
  <si>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</si>
  <si>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</si>
  <si>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</si>
  <si>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Not bad. Revenue growth has slowed down</t>
  </si>
  <si>
    <t>TTM</t>
  </si>
  <si>
    <t>Cash Sales</t>
  </si>
  <si>
    <t>Credit Sales</t>
  </si>
  <si>
    <t>Sales Type</t>
  </si>
  <si>
    <t>Sales in Cash/Credit</t>
  </si>
  <si>
    <t xml:space="preserve">Inventory/Sales
</t>
  </si>
  <si>
    <t>Operating Profit Components</t>
  </si>
  <si>
    <t>CY0</t>
  </si>
  <si>
    <t>CY+1</t>
  </si>
  <si>
    <t xml:space="preserve"> &gt;10%</t>
  </si>
  <si>
    <t>EPS Expected Score</t>
  </si>
  <si>
    <t>EPS Actual Score</t>
  </si>
  <si>
    <t>EPS Expected Gth</t>
  </si>
  <si>
    <t>EPS Actual Gth</t>
  </si>
  <si>
    <t>PAT Actual Gth</t>
  </si>
  <si>
    <t>Company might be making profit but not paying reasonable taxes. There could be genuine reasons (tax exemptions etc.). Company could be showing profits while there is no cost to show.</t>
  </si>
  <si>
    <t>When debtors are increasing at a rate faster than sales, there is a reason to worry. Either the company is trying to increase sales by giving more credit or the company is unable to collect dues in a timely manner.</t>
  </si>
  <si>
    <t xml:space="preserve">    If the ratio &gt;5, the company has taken more loan than what it chew, affecting PAT. </t>
  </si>
  <si>
    <t>SSGR and FCF determine the margin of safety. WC if managed well growth funded by profit allows the company to have SSGR &gt;= Sales gth rate. If sales is debt funded then SSGR &lt; Sales gth rate. Sales funded by debt is a recipe for disaster</t>
  </si>
  <si>
    <t>Equity dilution is a sign of trouble. Company is either trying to be too aggressive or does not generate sufficent funds internally for expansion</t>
  </si>
  <si>
    <t>Red Flags</t>
  </si>
  <si>
    <t>1. Skewed business performance - Significant change In financial ratios from previous year</t>
  </si>
  <si>
    <t>2.Absence or low implementation of policies</t>
  </si>
  <si>
    <t>3.Unusual related party transactions</t>
  </si>
  <si>
    <t>4.Too many acquisitions</t>
  </si>
  <si>
    <t>5.Formation of too many subsidiaries</t>
  </si>
  <si>
    <t>When your stock falls, ask yourself. Is it critical to its survival or is it just a temporary patch? If it is temporary, your stock will most likely pass through the tough phase. As you go about investing, always keep in mind, every good stock will have bad days.</t>
  </si>
  <si>
    <t>Outperformers</t>
  </si>
  <si>
    <t>Use of technology and premiumization to improve margins</t>
  </si>
  <si>
    <t>Limited Capex (higher FCF) and higher operating cash flow are signs of efficient use of capital</t>
  </si>
  <si>
    <t>Company is in perpetual challenger mode. Responds swiftly to competition.</t>
  </si>
  <si>
    <t>Up the ante in customer satisfaction</t>
  </si>
  <si>
    <t>There is relentless focus on execution and excellent capital allocation</t>
  </si>
  <si>
    <t>They stay relevant through economic cycles by anticipating and adapting to disruption better.</t>
  </si>
  <si>
    <t>Ability to convert as opportunities what peers see as risk</t>
  </si>
  <si>
    <t>Stable leadership</t>
  </si>
  <si>
    <t>Not venturing in unrelated business or making unrelated acquisitions</t>
  </si>
  <si>
    <t>Avg. Realization</t>
  </si>
  <si>
    <t>Sales/share</t>
  </si>
  <si>
    <t>Volume/share</t>
  </si>
  <si>
    <t>Net Profit margin</t>
  </si>
  <si>
    <t>Net Profit/share (EPS)</t>
  </si>
  <si>
    <t>Future in 10 Yrs</t>
  </si>
  <si>
    <t>Exit PE</t>
  </si>
  <si>
    <t>Price/share</t>
  </si>
  <si>
    <t>Wealth compounding</t>
  </si>
  <si>
    <t>Price/revenue</t>
  </si>
  <si>
    <t>Fundo Prof Concept</t>
  </si>
  <si>
    <t>Revenue Growth</t>
  </si>
  <si>
    <t>Conservative</t>
  </si>
  <si>
    <t>Conservative +2%</t>
  </si>
  <si>
    <t>TTM+1%</t>
  </si>
  <si>
    <t>10 Yr estimate</t>
  </si>
  <si>
    <t>Conservative 10 Yr</t>
  </si>
  <si>
    <t>TTM+1.5%</t>
  </si>
  <si>
    <t>Conservative +3%</t>
  </si>
  <si>
    <t>Distance Left (Fundoo)</t>
  </si>
  <si>
    <t>Distance Left (Mine)</t>
  </si>
  <si>
    <t>EPS/BV  after 10 years</t>
  </si>
  <si>
    <t>Dividend after 10 Yrs</t>
  </si>
  <si>
    <t>My Concept</t>
  </si>
  <si>
    <t>Good investing means being prepared for an environment different than what we thought and keeping Plan B ready. Predit less and plan more.</t>
  </si>
  <si>
    <t>Accept that market and returns have cycles. What goes up will go down.</t>
  </si>
  <si>
    <r>
      <t xml:space="preserve">Invest in companies with </t>
    </r>
    <r>
      <rPr>
        <b/>
        <sz val="12"/>
        <color theme="1"/>
        <rFont val="Calibri"/>
        <family val="2"/>
        <scheme val="minor"/>
      </rPr>
      <t xml:space="preserve">share of mind </t>
    </r>
    <r>
      <rPr>
        <sz val="10"/>
        <color theme="1"/>
        <rFont val="Calibri"/>
        <family val="2"/>
        <scheme val="minor"/>
      </rPr>
      <t>among consumers. These companies have pricing power and a unique moat. The consumers keep coming back to these products</t>
    </r>
  </si>
  <si>
    <t>A vast majority of customers will have something positive about the company</t>
  </si>
  <si>
    <t>Employee trust &amp; Insurance Co</t>
  </si>
  <si>
    <t>The art of valuation</t>
  </si>
  <si>
    <t>1.Analysts need to be careful of and fix their own internal flaws, keeping emotions in check. Steering clear of the overconfidence mind trap, the heuristics mind trap, confirmation bias, and the like would keep you in good stead. “Make sure we know there’s always a different view on a particular stock,” Valentine states</t>
  </si>
  <si>
    <t>2.It is essential to get a grasp on expectations and concerns of market participants and where those fit into the larger market outlook.</t>
  </si>
  <si>
    <t>3.Don’t change price target unless there is ample reason, whether a revised forecast, a revised multiple, or a new valuation method. Another critical point: If you’re going to change your price target, don’t do it incrementally.</t>
  </si>
  <si>
    <t>4.Which factors are going to move my stocks and where can I get unique insights on these factors?</t>
  </si>
  <si>
    <t>RoCE</t>
  </si>
  <si>
    <t>Going to Bed Smarter #4: ROCE, the Secret Winning Edge to any portfolio</t>
  </si>
  <si>
    <t>At Marketsmojo we use the concept of Return on Capital Employed (ROCE) to uncover great companies that can deliver fantastic shareholder returns.  In this, the fourth piece in the series of Going to Bed Smarter, I present pieces which let you into the secret of ROCE.</t>
  </si>
  <si>
    <t>Sanjeev Mohta</t>
  </si>
  <si>
    <t>August 28, 11:54: AM IST</t>
  </si>
  <si>
    <t>  </t>
  </si>
  <si>
    <t>Yesterday’s ET story says,“Warren Buffett in Talks for a Slice of Paytm”.</t>
  </si>
  <si>
    <t>Let’s discuss how Warren Buffett finds a great business.</t>
  </si>
  <si>
    <t>At Marketsmojo we use the concept of Return on Capital Employed (ROCE) to uncover great companies that can deliver fantastic shareholder returns. </t>
  </si>
  <si>
    <t>The Magic of ROCE</t>
  </si>
  <si>
    <t>The 2007 letter of Berkshire Hathaway is a classic. If there is only one Berkshire Hathaway letter you want to read, this one is it. In that letter, Warren Buffett narrates the success of See’s Candy.</t>
  </si>
  <si>
    <t>ROCE = EBIT/Capital Employed</t>
  </si>
  <si>
    <t>How do we calculated ROCE? Well, there are a few variants. But the easiest one is shown in this paper by Mirae Asset Management. Marketsmojo uses the same method.</t>
  </si>
  <si>
    <t>EBIT is easy to calculate, but what about the Capital Employed? The paper says: “Capital Employed is the capital investment necessary for a business to function. It is commonly represented as total assets less current liabilities (or Fixed Assets plus Working Capital).”</t>
  </si>
  <si>
    <t>ROCE is a far more useful measure compared to Return on Equity (ROE) as: “ ROCE is especially useful when comparing the performance of companies in capital-intensive sectors such as utilities and telecoms. This is because unlike return on equity (ROE), which only analyzes profitability related to a company’s equity, ROCE considers debt and other liabilities as well. This provides a better indication of financial performance for companies with significant debt.”</t>
  </si>
  <si>
    <t>It follows from the equation that in order to generate high ROCE, a company must either have very high profit margins or need low levels of Capital Employed or a combination of the two.</t>
  </si>
  <si>
    <t>We have had many such companies in India as well. Many consumer related business enjoy high ROCE due to their Asset Light nature.  Hindustan Unilever with ROCE at close to 800%, Nestle at 400%, Page Industries at 84% are great examples.</t>
  </si>
  <si>
    <t>High ROCE Means High Valuation</t>
  </si>
  <si>
    <t>A 2011 report, “Impact of ROCE on valuation”, by PWC concluded: “Companies that deliver better Return on Capital Employed (ROCE) experience higher valuation”</t>
  </si>
  <si>
    <t>The relationship remains the same today. Is it any wonder why Hindustan Unilever, Nestle or Page Industries enjoy such high valuations?</t>
  </si>
  <si>
    <t>At Marketsmojo, the five-year average ROCE  is one of the most important metric used in our Quality Parameter.</t>
  </si>
  <si>
    <t>An interesting example: The Abrasives Industry</t>
  </si>
  <si>
    <t>Let us look at the Abrasives Industry (which was picked randomly) which has a fairly uniform product, the relationship between the five-year average ROCE and Price/Book Value is fairly consistent with the findings above.</t>
  </si>
  <si>
    <t>Next time you look at a stock, don’t forget to look at its long term ROCE – it’ll give you an insight about the inherent strength of the company’s business, and its ability to squeeze value from every rupee of capital. That will not only determine its valuation but also the price performance.</t>
  </si>
  <si>
    <t>His 2007 newsletter reads: “A truly great business must have an enduring ‘moat’ that protects excellent returns on invested capital (ROIC).” </t>
  </si>
  <si>
    <t>In this, the fourth piece in the series of Going to Bed Smarter, I present pieces which let you into the secret of ROCE.</t>
  </si>
  <si>
    <t>“We bought See’s for $25 million when its sales were $30 million and pre-tax earnings were less than $5 million. The capital then required to conduct the business was $8 million (Modest seasonal debt was also needed for a few months each year). Consequently, the company was earning 60% pre-tax on invested capital. Two factors helped to minimize the funds required for operations. First, the product was sold for cash, and that eliminated accounts receivable. Second, the production and distribution cycle was short, which minimized inventories.</t>
  </si>
  <si>
    <t>Last year See’s sales were $383 million, and pre-tax profits were $82 million. The capital now required to run the business is $40 million. This means we have had to reinvest only $32 million since 1972 to handle the modest physical growth – and somewhat immodest financial growth – of the business. In the meantime pre-tax earnings have totaled $1.35 billion. All of that, except for the $32 million, has been sent to Berkshire (or, in the early years, to Blue Chip). After paying corporate taxes on the profits, we have used the rest to buy other attractive businesses. Just as Adam and Eve kick-started an activity that led to six billion humans, See’s has given birth to multiple new streams of cash for us. (The biblical command to “be fruitful and multiply” is one we take seriously at Berkshire.)</t>
  </si>
  <si>
    <t>There aren’t many See’s in Corporate America. Typically, companies that increase their earnings from $5 million to $82 million require, say, $400 million or so of capital investment to finance their growth. That’s because growing businesses have both working capital needs that increase in proportion to sales growth and significant requirements for fixed asset investments.</t>
  </si>
  <si>
    <t>A company that needs large increases in capital to engender its growth may well prove to be a satisfactory investment. There is, to follow through on our example, nothing shabby about earning $82 million pre-tax on $400 million of net tangible assets. But that equation for the owner is vastly different from the See’s situation.It’s far better to have an ever-increasing stream of earnings with virtually no major capital requirements. Ask Microsoft or Google.”</t>
  </si>
  <si>
    <t>In 1997, when running research for HSBC, I had written a piece on the importance of ROCE. I had found that, everything else remaining the same, high ROCE companies enjoy far higher valuation that companies with low ROCE. At least for the companies where market believes that the high ROCE is sustainable.</t>
  </si>
  <si>
    <t>BRITANNIA INDUSTRIES LTD</t>
  </si>
  <si>
    <t>FMCG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</si>
</sst>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2">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
      <i/>
      <sz val="10"/>
      <color theme="1"/>
      <name val="Calibri"/>
      <family val="2"/>
      <scheme val="minor"/>
    </font>
    <font>
      <sz val="10"/>
      <color theme="0" tint="-0.499984740745262"/>
      <name val="Arial"/>
      <family val="2"/>
    </font>
  </fonts>
  <fills count="32">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00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35">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9" fontId="33" fillId="5" borderId="1" xfId="6" applyFont="1" applyFill="1" applyBorder="1" applyAlignment="1">
      <alignment horizontal="center"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50" fillId="6" borderId="23" xfId="0" applyFont="1" applyFill="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171" fontId="66" fillId="6" borderId="39" xfId="0" applyNumberFormat="1" applyFont="1" applyFill="1" applyBorder="1" applyAlignment="1">
      <alignment horizontal="left" vertical="center"/>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2" fontId="42" fillId="0" borderId="0" xfId="0" applyNumberFormat="1" applyFont="1"/>
    <xf numFmtId="0" fontId="42" fillId="25" borderId="31" xfId="0" applyFont="1" applyFill="1" applyBorder="1" applyAlignment="1"/>
    <xf numFmtId="0" fontId="13" fillId="31" borderId="0" xfId="0" applyFont="1" applyFill="1"/>
    <xf numFmtId="0" fontId="15" fillId="7" borderId="3" xfId="4" applyFont="1" applyBorder="1" applyAlignment="1" applyProtection="1">
      <alignment vertical="center"/>
      <protection hidden="1"/>
    </xf>
    <xf numFmtId="0" fontId="15" fillId="7" borderId="1" xfId="4" applyFont="1" applyBorder="1" applyAlignment="1" applyProtection="1">
      <alignment vertical="center"/>
      <protection hidden="1"/>
    </xf>
    <xf numFmtId="0" fontId="12" fillId="0" borderId="0" xfId="0" applyFont="1" applyAlignment="1" applyProtection="1">
      <alignment vertical="center"/>
      <protection hidden="1"/>
    </xf>
    <xf numFmtId="2" fontId="12" fillId="0" borderId="1" xfId="0" applyNumberFormat="1" applyFont="1" applyBorder="1" applyAlignment="1" applyProtection="1">
      <alignment vertical="center"/>
      <protection hidden="1"/>
    </xf>
    <xf numFmtId="2" fontId="12" fillId="0" borderId="1" xfId="0" applyNumberFormat="1" applyFont="1" applyFill="1" applyBorder="1" applyAlignment="1" applyProtection="1">
      <alignment vertical="center"/>
      <protection hidden="1"/>
    </xf>
    <xf numFmtId="0" fontId="12" fillId="0" borderId="1" xfId="0" applyFont="1" applyBorder="1" applyAlignment="1" applyProtection="1">
      <alignment vertical="center"/>
      <protection hidden="1"/>
    </xf>
    <xf numFmtId="0" fontId="12" fillId="0" borderId="3" xfId="0" applyFont="1" applyBorder="1" applyAlignment="1" applyProtection="1">
      <alignment vertical="center"/>
      <protection hidden="1"/>
    </xf>
    <xf numFmtId="9" fontId="12" fillId="0" borderId="1" xfId="0" applyNumberFormat="1" applyFont="1" applyBorder="1" applyAlignment="1" applyProtection="1">
      <alignment vertical="center"/>
      <protection hidden="1"/>
    </xf>
    <xf numFmtId="167" fontId="12" fillId="0" borderId="1" xfId="0" applyNumberFormat="1" applyFont="1" applyBorder="1" applyAlignment="1" applyProtection="1">
      <alignment vertical="center"/>
      <protection hidden="1"/>
    </xf>
    <xf numFmtId="1" fontId="12" fillId="0" borderId="1" xfId="0" applyNumberFormat="1" applyFont="1" applyBorder="1" applyAlignment="1" applyProtection="1">
      <alignment vertical="center"/>
      <protection hidden="1"/>
    </xf>
    <xf numFmtId="169" fontId="12" fillId="0" borderId="1" xfId="7" applyNumberFormat="1" applyFont="1" applyBorder="1" applyAlignment="1" applyProtection="1">
      <alignment vertical="center"/>
      <protection hidden="1"/>
    </xf>
    <xf numFmtId="166" fontId="12" fillId="0" borderId="1" xfId="7" applyNumberFormat="1" applyFont="1" applyBorder="1" applyAlignment="1" applyProtection="1">
      <alignment vertical="center"/>
      <protection hidden="1"/>
    </xf>
    <xf numFmtId="0" fontId="42" fillId="0" borderId="0" xfId="0" applyFont="1" applyAlignment="1">
      <alignment horizontal="right"/>
    </xf>
    <xf numFmtId="168" fontId="12" fillId="0" borderId="1" xfId="6" applyNumberFormat="1" applyFont="1" applyBorder="1" applyAlignment="1" applyProtection="1">
      <alignment vertical="center"/>
      <protection hidden="1"/>
    </xf>
    <xf numFmtId="166" fontId="12" fillId="6" borderId="1" xfId="7" applyNumberFormat="1" applyFont="1" applyFill="1" applyBorder="1" applyAlignment="1" applyProtection="1">
      <alignment vertical="center"/>
      <protection hidden="1"/>
    </xf>
    <xf numFmtId="9" fontId="12" fillId="6" borderId="1" xfId="0" applyNumberFormat="1" applyFont="1" applyFill="1" applyBorder="1" applyAlignment="1" applyProtection="1">
      <alignment vertical="center"/>
      <protection hidden="1"/>
    </xf>
    <xf numFmtId="168" fontId="12" fillId="6" borderId="1" xfId="6" applyNumberFormat="1" applyFont="1" applyFill="1" applyBorder="1" applyAlignment="1" applyProtection="1">
      <alignment vertical="center"/>
      <protection hidden="1"/>
    </xf>
    <xf numFmtId="1" fontId="12" fillId="6" borderId="1" xfId="0" applyNumberFormat="1" applyFont="1" applyFill="1" applyBorder="1" applyAlignment="1" applyProtection="1">
      <alignment vertical="center"/>
      <protection hidden="1"/>
    </xf>
    <xf numFmtId="1" fontId="12" fillId="0" borderId="1" xfId="0" applyNumberFormat="1" applyFont="1" applyBorder="1" applyProtection="1">
      <protection hidden="1"/>
    </xf>
    <xf numFmtId="0" fontId="12" fillId="6" borderId="0" xfId="0" applyFont="1" applyFill="1" applyProtection="1">
      <protection hidden="1"/>
    </xf>
    <xf numFmtId="9" fontId="12" fillId="0" borderId="1" xfId="0" applyNumberFormat="1" applyFont="1" applyFill="1" applyBorder="1" applyAlignment="1" applyProtection="1">
      <alignment vertical="center"/>
      <protection hidden="1"/>
    </xf>
    <xf numFmtId="168" fontId="12" fillId="0" borderId="1" xfId="0" applyNumberFormat="1" applyFont="1" applyBorder="1" applyAlignment="1" applyProtection="1">
      <alignment vertical="center"/>
      <protection hidden="1"/>
    </xf>
    <xf numFmtId="0" fontId="71" fillId="0" borderId="1" xfId="0" applyFont="1" applyBorder="1" applyAlignment="1" applyProtection="1">
      <alignment vertical="center"/>
      <protection hidden="1"/>
    </xf>
    <xf numFmtId="9" fontId="71" fillId="0" borderId="1" xfId="6" applyFont="1" applyBorder="1" applyAlignment="1" applyProtection="1">
      <alignment vertical="center"/>
      <protection hidden="1"/>
    </xf>
    <xf numFmtId="9" fontId="71" fillId="0" borderId="1" xfId="6" applyNumberFormat="1" applyFont="1" applyBorder="1" applyAlignment="1" applyProtection="1">
      <alignment vertical="center"/>
      <protection hidden="1"/>
    </xf>
    <xf numFmtId="168" fontId="71" fillId="0" borderId="1" xfId="0" applyNumberFormat="1" applyFont="1" applyFill="1" applyBorder="1" applyProtection="1">
      <protection hidden="1"/>
    </xf>
    <xf numFmtId="168" fontId="71" fillId="0" borderId="1" xfId="0" applyNumberFormat="1" applyFont="1" applyBorder="1" applyProtection="1">
      <protection hidden="1"/>
    </xf>
    <xf numFmtId="168" fontId="14" fillId="0" borderId="1" xfId="6" applyNumberFormat="1" applyFont="1" applyBorder="1" applyAlignment="1" applyProtection="1">
      <alignment vertical="center"/>
      <protection hidden="1"/>
    </xf>
    <xf numFmtId="168" fontId="1" fillId="0" borderId="34" xfId="6" applyNumberFormat="1" applyFont="1" applyBorder="1" applyAlignment="1" applyProtection="1">
      <protection locked="0"/>
    </xf>
    <xf numFmtId="168" fontId="1" fillId="0" borderId="33" xfId="6" applyNumberFormat="1" applyFont="1" applyBorder="1" applyAlignment="1" applyProtection="1">
      <protection locked="0"/>
    </xf>
    <xf numFmtId="166" fontId="42" fillId="0" borderId="1" xfId="7" applyNumberFormat="1" applyFont="1" applyFill="1" applyBorder="1"/>
    <xf numFmtId="166" fontId="40" fillId="0" borderId="1" xfId="7" applyNumberFormat="1" applyFont="1" applyBorder="1"/>
    <xf numFmtId="166" fontId="42" fillId="0" borderId="1" xfId="7" applyNumberFormat="1" applyFont="1" applyBorder="1"/>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0" fillId="0" borderId="0" xfId="0" applyAlignment="1" applyProtection="1">
      <alignment horizontal="center"/>
      <protection locked="0"/>
    </xf>
    <xf numFmtId="0" fontId="11" fillId="0" borderId="0" xfId="3" applyFont="1" applyAlignment="1" applyProtection="1">
      <alignment horizontal="center" vertical="center"/>
      <protection hidden="1"/>
    </xf>
    <xf numFmtId="0" fontId="15" fillId="7" borderId="1" xfId="4" applyFont="1" applyBorder="1" applyAlignment="1" applyProtection="1">
      <alignment horizontal="center" vertical="center"/>
      <protection hidden="1"/>
    </xf>
    <xf numFmtId="0" fontId="25" fillId="7" borderId="1" xfId="4" applyFont="1" applyBorder="1" applyAlignment="1" applyProtection="1">
      <alignment horizontal="center" vertical="center"/>
      <protection hidden="1"/>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64" fillId="0" borderId="0" xfId="0" applyFont="1" applyAlignment="1">
      <alignment horizontal="left" wrapText="1"/>
    </xf>
    <xf numFmtId="0" fontId="70" fillId="0" borderId="0" xfId="0" applyFont="1" applyAlignment="1">
      <alignment horizontal="left" wrapText="1"/>
    </xf>
    <xf numFmtId="0" fontId="55" fillId="29" borderId="0" xfId="0" applyFont="1" applyFill="1" applyBorder="1" applyAlignment="1" applyProtection="1">
      <alignment horizontal="center"/>
      <protection locked="0"/>
    </xf>
    <xf numFmtId="0" fontId="67" fillId="0" borderId="0" xfId="0" applyFont="1" applyAlignment="1">
      <alignment horizontal="left" wrapText="1"/>
    </xf>
    <xf numFmtId="0" fontId="55" fillId="29" borderId="0" xfId="0" applyFont="1" applyFill="1" applyBorder="1" applyAlignment="1" applyProtection="1">
      <alignment horizontal="left"/>
      <protection locked="0"/>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67" fillId="0" borderId="0" xfId="0" applyFont="1" applyAlignment="1">
      <alignment horizontal="left"/>
    </xf>
    <xf numFmtId="0" fontId="67" fillId="0" borderId="0" xfId="0" applyFont="1" applyAlignment="1">
      <alignment horizontal="left" vertical="center" wrapText="1"/>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68" fillId="0" borderId="0" xfId="0" applyFont="1" applyAlignment="1">
      <alignment horizontal="left" vertical="top" wrapText="1"/>
    </xf>
    <xf numFmtId="0" fontId="55" fillId="29" borderId="0" xfId="0" applyFont="1" applyFill="1" applyBorder="1" applyAlignment="1" applyProtection="1">
      <alignment horizontal="left" vertical="top" wrapText="1"/>
      <protection locked="0"/>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50" fillId="0" borderId="0" xfId="0" applyFont="1" applyAlignment="1">
      <alignment horizontal="left" wrapText="1"/>
    </xf>
    <xf numFmtId="0" fontId="50" fillId="0" borderId="0" xfId="0" applyFont="1" applyAlignment="1">
      <alignment horizontal="left" vertical="center" wrapText="1"/>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2">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Output'!$D$184:$L$184</c:f>
              <c:numCache>
                <c:formatCode>_(* #,##0_);_(* \(#,##0\);_(* "-"??_);_(@_)</c:formatCode>
                <c:ptCount val="9"/>
                <c:pt idx="0">
                  <c:v>3831.1499999999996</c:v>
                </c:pt>
                <c:pt idx="1">
                  <c:v>4668.3900000000003</c:v>
                </c:pt>
                <c:pt idx="2">
                  <c:v>5544.51</c:v>
                </c:pt>
                <c:pt idx="3">
                  <c:v>6237.65</c:v>
                </c:pt>
                <c:pt idx="4">
                  <c:v>6946.3</c:v>
                </c:pt>
                <c:pt idx="5">
                  <c:v>8106.3</c:v>
                </c:pt>
                <c:pt idx="6">
                  <c:v>8521.58</c:v>
                </c:pt>
                <c:pt idx="7">
                  <c:v>9204.630000000001</c:v>
                </c:pt>
                <c:pt idx="8">
                  <c:v>10080.36</c:v>
                </c:pt>
              </c:numCache>
            </c:numRef>
          </c:val>
        </c:ser>
        <c:dLbls>
          <c:dLblPos val="inEnd"/>
          <c:showLegendKey val="0"/>
          <c:showVal val="1"/>
          <c:showCatName val="0"/>
          <c:showSerName val="0"/>
          <c:showPercent val="0"/>
          <c:showBubbleSize val="0"/>
        </c:dLbls>
        <c:gapWidth val="41"/>
        <c:axId val="-1808799520"/>
        <c:axId val="-1808813120"/>
      </c:barChart>
      <c:lineChart>
        <c:grouping val="standard"/>
        <c:varyColors val="0"/>
        <c:ser>
          <c:idx val="1"/>
          <c:order val="1"/>
          <c:tx>
            <c:strRef>
              <c:f>'Screener Output'!$A$185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Output'!$D$185:$L$185</c:f>
              <c:numCache>
                <c:formatCode>0%</c:formatCode>
                <c:ptCount val="9"/>
                <c:pt idx="0">
                  <c:v>9.3380327915637995E-2</c:v>
                </c:pt>
                <c:pt idx="1">
                  <c:v>0.21853490466309089</c:v>
                </c:pt>
                <c:pt idx="2">
                  <c:v>0.18767069589301655</c:v>
                </c:pt>
                <c:pt idx="3">
                  <c:v>0.12501375234240708</c:v>
                </c:pt>
                <c:pt idx="4">
                  <c:v>0.11360849037698495</c:v>
                </c:pt>
                <c:pt idx="5">
                  <c:v>0.16699537883477533</c:v>
                </c:pt>
                <c:pt idx="6">
                  <c:v>5.1229290798514793E-2</c:v>
                </c:pt>
                <c:pt idx="7">
                  <c:v>8.0155323308588544E-2</c:v>
                </c:pt>
                <c:pt idx="8">
                  <c:v>9.5140163157019897E-2</c:v>
                </c:pt>
              </c:numCache>
            </c:numRef>
          </c:val>
          <c:smooth val="0"/>
        </c:ser>
        <c:dLbls>
          <c:showLegendKey val="0"/>
          <c:showVal val="0"/>
          <c:showCatName val="0"/>
          <c:showSerName val="0"/>
          <c:showPercent val="0"/>
          <c:showBubbleSize val="0"/>
        </c:dLbls>
        <c:marker val="1"/>
        <c:smooth val="0"/>
        <c:axId val="-1808804416"/>
        <c:axId val="-1808810400"/>
      </c:lineChart>
      <c:dateAx>
        <c:axId val="-1808799520"/>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1808813120"/>
        <c:crosses val="autoZero"/>
        <c:auto val="1"/>
        <c:lblOffset val="100"/>
        <c:baseTimeUnit val="years"/>
      </c:dateAx>
      <c:valAx>
        <c:axId val="-1808813120"/>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8799520"/>
        <c:crosses val="autoZero"/>
        <c:crossBetween val="between"/>
      </c:valAx>
      <c:valAx>
        <c:axId val="-1808810400"/>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8804416"/>
        <c:crosses val="max"/>
        <c:crossBetween val="between"/>
        <c:majorUnit val="0.2"/>
      </c:valAx>
      <c:dateAx>
        <c:axId val="-1808804416"/>
        <c:scaling>
          <c:orientation val="minMax"/>
        </c:scaling>
        <c:delete val="1"/>
        <c:axPos val="b"/>
        <c:numFmt formatCode="[$-409]mmm\-yy;@" sourceLinked="1"/>
        <c:majorTickMark val="out"/>
        <c:minorTickMark val="none"/>
        <c:tickLblPos val="nextTo"/>
        <c:crossAx val="-1808810400"/>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Output'!$B$126:$M$126</c:f>
              <c:numCache>
                <c:formatCode>0%</c:formatCode>
                <c:ptCount val="12"/>
                <c:pt idx="1">
                  <c:v>8.6118150489736117E-2</c:v>
                </c:pt>
                <c:pt idx="2">
                  <c:v>5.0422618085244571E-2</c:v>
                </c:pt>
                <c:pt idx="3">
                  <c:v>6.4149625329220042E-2</c:v>
                </c:pt>
                <c:pt idx="4">
                  <c:v>6.745397302278601E-2</c:v>
                </c:pt>
                <c:pt idx="5">
                  <c:v>7.6450873911349387E-2</c:v>
                </c:pt>
                <c:pt idx="6">
                  <c:v>9.559058603644599E-2</c:v>
                </c:pt>
                <c:pt idx="7">
                  <c:v>0.13971383560563069</c:v>
                </c:pt>
                <c:pt idx="8">
                  <c:v>0.15942638227129657</c:v>
                </c:pt>
                <c:pt idx="9">
                  <c:v>0.15779829889033575</c:v>
                </c:pt>
                <c:pt idx="10">
                  <c:v>0.16824911060027292</c:v>
                </c:pt>
                <c:pt idx="11">
                  <c:v>0.17022754293651632</c:v>
                </c:pt>
              </c:numCache>
            </c:numRef>
          </c:val>
          <c:smooth val="0"/>
        </c:ser>
        <c:ser>
          <c:idx val="1"/>
          <c:order val="1"/>
          <c:tx>
            <c:strRef>
              <c:f>'Screener Output'!$A$127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Output'!$B$127:$M$127</c:f>
              <c:numCache>
                <c:formatCode>0%</c:formatCode>
                <c:ptCount val="12"/>
                <c:pt idx="1">
                  <c:v>4.087957876111243E-2</c:v>
                </c:pt>
                <c:pt idx="2">
                  <c:v>2.6910979731934306E-2</c:v>
                </c:pt>
                <c:pt idx="3">
                  <c:v>2.8748669241430189E-2</c:v>
                </c:pt>
                <c:pt idx="4">
                  <c:v>3.6023020970293071E-2</c:v>
                </c:pt>
                <c:pt idx="5" formatCode="0.0%">
                  <c:v>4.166312633764311E-2</c:v>
                </c:pt>
                <c:pt idx="6" formatCode="0.0%">
                  <c:v>5.6971337258684564E-2</c:v>
                </c:pt>
                <c:pt idx="7" formatCode="0.0%">
                  <c:v>8.4931473051823914E-2</c:v>
                </c:pt>
                <c:pt idx="8" formatCode="0.0%">
                  <c:v>9.6737928881733146E-2</c:v>
                </c:pt>
                <c:pt idx="9" formatCode="0.0%">
                  <c:v>9.6074475562841724E-2</c:v>
                </c:pt>
                <c:pt idx="10" formatCode="0.0%">
                  <c:v>9.9613505866853941E-2</c:v>
                </c:pt>
                <c:pt idx="11" formatCode="0.0%">
                  <c:v>0.10088352174080788</c:v>
                </c:pt>
              </c:numCache>
            </c:numRef>
          </c:val>
          <c:smooth val="0"/>
        </c:ser>
        <c:dLbls>
          <c:dLblPos val="ctr"/>
          <c:showLegendKey val="0"/>
          <c:showVal val="1"/>
          <c:showCatName val="0"/>
          <c:showSerName val="0"/>
          <c:showPercent val="0"/>
          <c:showBubbleSize val="0"/>
        </c:dLbls>
        <c:marker val="1"/>
        <c:smooth val="0"/>
        <c:axId val="-1827086032"/>
        <c:axId val="-1827086576"/>
      </c:lineChart>
      <c:catAx>
        <c:axId val="-182708603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1827086576"/>
        <c:crosses val="autoZero"/>
        <c:auto val="1"/>
        <c:lblAlgn val="ctr"/>
        <c:lblOffset val="100"/>
        <c:noMultiLvlLbl val="1"/>
      </c:catAx>
      <c:valAx>
        <c:axId val="-1827086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27086032"/>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Output'!$C$116:$M$116</c:f>
              <c:strCache>
                <c:ptCount val="11"/>
                <c:pt idx="0">
                  <c:v>Mar-09</c:v>
                </c:pt>
                <c:pt idx="1">
                  <c:v>Mar-10</c:v>
                </c:pt>
                <c:pt idx="2">
                  <c:v>Mar-11</c:v>
                </c:pt>
                <c:pt idx="3">
                  <c:v>Mar-12</c:v>
                </c:pt>
                <c:pt idx="4">
                  <c:v>Mar-13</c:v>
                </c:pt>
                <c:pt idx="5">
                  <c:v>Mar-14</c:v>
                </c:pt>
                <c:pt idx="6">
                  <c:v>Mar-15</c:v>
                </c:pt>
                <c:pt idx="7">
                  <c:v>Mar-16</c:v>
                </c:pt>
                <c:pt idx="8">
                  <c:v>Mar-17</c:v>
                </c:pt>
                <c:pt idx="9">
                  <c:v>Mar-18</c:v>
                </c:pt>
                <c:pt idx="10">
                  <c:v>TTM</c:v>
                </c:pt>
              </c:strCache>
            </c:strRef>
          </c:cat>
          <c:val>
            <c:numRef>
              <c:f>'Screener Output'!$C$117:$M$117</c:f>
              <c:numCache>
                <c:formatCode>0.0</c:formatCode>
                <c:ptCount val="11"/>
                <c:pt idx="0">
                  <c:v>1.9185981569394037</c:v>
                </c:pt>
                <c:pt idx="1">
                  <c:v>6.3720659553831167</c:v>
                </c:pt>
                <c:pt idx="2">
                  <c:v>4.6042023694210465</c:v>
                </c:pt>
                <c:pt idx="3">
                  <c:v>3.0251339308065943</c:v>
                </c:pt>
                <c:pt idx="4">
                  <c:v>1.4622133292288775</c:v>
                </c:pt>
                <c:pt idx="5">
                  <c:v>0.3784302825087173</c:v>
                </c:pt>
                <c:pt idx="6">
                  <c:v>0.21071055077852652</c:v>
                </c:pt>
                <c:pt idx="7">
                  <c:v>0.15897180843320888</c:v>
                </c:pt>
                <c:pt idx="8">
                  <c:v>0.1408523967297276</c:v>
                </c:pt>
                <c:pt idx="9">
                  <c:v>0.19987252773517639</c:v>
                </c:pt>
                <c:pt idx="10">
                  <c:v>0.19188848095456634</c:v>
                </c:pt>
              </c:numCache>
            </c:numRef>
          </c:val>
          <c:smooth val="0"/>
        </c:ser>
        <c:dLbls>
          <c:dLblPos val="ctr"/>
          <c:showLegendKey val="0"/>
          <c:showVal val="1"/>
          <c:showCatName val="0"/>
          <c:showSerName val="0"/>
          <c:showPercent val="0"/>
          <c:showBubbleSize val="0"/>
        </c:dLbls>
        <c:marker val="1"/>
        <c:smooth val="0"/>
        <c:axId val="-1806658256"/>
        <c:axId val="-1806657712"/>
      </c:lineChart>
      <c:catAx>
        <c:axId val="-180665825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7712"/>
        <c:crosses val="autoZero"/>
        <c:auto val="1"/>
        <c:lblAlgn val="ctr"/>
        <c:lblOffset val="100"/>
        <c:noMultiLvlLbl val="1"/>
      </c:catAx>
      <c:valAx>
        <c:axId val="-18066577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8066582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'Screener Output'!$C$116:$M$116</c:f>
              <c:strCache>
                <c:ptCount val="11"/>
                <c:pt idx="0">
                  <c:v>Mar-09</c:v>
                </c:pt>
                <c:pt idx="1">
                  <c:v>Mar-10</c:v>
                </c:pt>
                <c:pt idx="2">
                  <c:v>Mar-11</c:v>
                </c:pt>
                <c:pt idx="3">
                  <c:v>Mar-12</c:v>
                </c:pt>
                <c:pt idx="4">
                  <c:v>Mar-13</c:v>
                </c:pt>
                <c:pt idx="5">
                  <c:v>Mar-14</c:v>
                </c:pt>
                <c:pt idx="6">
                  <c:v>Mar-15</c:v>
                </c:pt>
                <c:pt idx="7">
                  <c:v>Mar-16</c:v>
                </c:pt>
                <c:pt idx="8">
                  <c:v>Mar-17</c:v>
                </c:pt>
                <c:pt idx="9">
                  <c:v>Mar-18</c:v>
                </c:pt>
                <c:pt idx="10">
                  <c:v>TTM</c:v>
                </c:pt>
              </c:strCache>
            </c:strRef>
          </c:cat>
          <c:val>
            <c:numRef>
              <c:f>'Screener Output'!$C$118:$M$118</c:f>
              <c:numCache>
                <c:formatCode>0.0</c:formatCode>
                <c:ptCount val="11"/>
                <c:pt idx="0">
                  <c:v>1.7475565484501547</c:v>
                </c:pt>
                <c:pt idx="1">
                  <c:v>2.3059165858389887</c:v>
                </c:pt>
                <c:pt idx="2">
                  <c:v>2.2089263095149345</c:v>
                </c:pt>
                <c:pt idx="3">
                  <c:v>1.2322635558003325</c:v>
                </c:pt>
                <c:pt idx="4">
                  <c:v>1.2305679544405133</c:v>
                </c:pt>
                <c:pt idx="5">
                  <c:v>1.6967706069641659</c:v>
                </c:pt>
                <c:pt idx="6">
                  <c:v>0.84891354868696234</c:v>
                </c:pt>
                <c:pt idx="7">
                  <c:v>1.1636057062448451</c:v>
                </c:pt>
                <c:pt idx="8">
                  <c:v>0.49899924236427579</c:v>
                </c:pt>
                <c:pt idx="9">
                  <c:v>1.2436214073734739</c:v>
                </c:pt>
                <c:pt idx="10">
                  <c:v>1.1939440875019123</c:v>
                </c:pt>
              </c:numCache>
            </c:numRef>
          </c:val>
        </c:ser>
        <c:dLbls>
          <c:dLblPos val="inEnd"/>
          <c:showLegendKey val="0"/>
          <c:showVal val="1"/>
          <c:showCatName val="0"/>
          <c:showSerName val="0"/>
          <c:showPercent val="0"/>
          <c:showBubbleSize val="0"/>
        </c:dLbls>
        <c:gapWidth val="65"/>
        <c:axId val="-1806661520"/>
        <c:axId val="-1806651184"/>
      </c:barChart>
      <c:catAx>
        <c:axId val="-18066615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1184"/>
        <c:crosses val="autoZero"/>
        <c:auto val="1"/>
        <c:lblAlgn val="ctr"/>
        <c:lblOffset val="100"/>
        <c:noMultiLvlLbl val="1"/>
      </c:catAx>
      <c:valAx>
        <c:axId val="-18066511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8066615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'Screener Output'!$C$116:$M$116</c:f>
              <c:strCache>
                <c:ptCount val="11"/>
                <c:pt idx="0">
                  <c:v>Mar-09</c:v>
                </c:pt>
                <c:pt idx="1">
                  <c:v>Mar-10</c:v>
                </c:pt>
                <c:pt idx="2">
                  <c:v>Mar-11</c:v>
                </c:pt>
                <c:pt idx="3">
                  <c:v>Mar-12</c:v>
                </c:pt>
                <c:pt idx="4">
                  <c:v>Mar-13</c:v>
                </c:pt>
                <c:pt idx="5">
                  <c:v>Mar-14</c:v>
                </c:pt>
                <c:pt idx="6">
                  <c:v>Mar-15</c:v>
                </c:pt>
                <c:pt idx="7">
                  <c:v>Mar-16</c:v>
                </c:pt>
                <c:pt idx="8">
                  <c:v>Mar-17</c:v>
                </c:pt>
                <c:pt idx="9">
                  <c:v>Mar-18</c:v>
                </c:pt>
                <c:pt idx="10">
                  <c:v>TTM</c:v>
                </c:pt>
              </c:strCache>
            </c:strRef>
          </c:cat>
          <c:val>
            <c:numRef>
              <c:f>'Screener Output'!$C$119:$M$119</c:f>
              <c:numCache>
                <c:formatCode>0%</c:formatCode>
                <c:ptCount val="11"/>
                <c:pt idx="0">
                  <c:v>1.008448324415657</c:v>
                </c:pt>
                <c:pt idx="1">
                  <c:v>1.6154810404262019</c:v>
                </c:pt>
                <c:pt idx="2">
                  <c:v>3.5561738208797102</c:v>
                </c:pt>
                <c:pt idx="3">
                  <c:v>6.8353867214236637</c:v>
                </c:pt>
                <c:pt idx="4">
                  <c:v>-4.5818053596614847</c:v>
                </c:pt>
                <c:pt idx="5">
                  <c:v>-1.9334571037717434</c:v>
                </c:pt>
                <c:pt idx="6">
                  <c:v>-34.083168316831618</c:v>
                </c:pt>
                <c:pt idx="7">
                  <c:v>2.0920718708760524</c:v>
                </c:pt>
                <c:pt idx="8">
                  <c:v>0.77296843724597253</c:v>
                </c:pt>
                <c:pt idx="9">
                  <c:v>1.0254383546255732</c:v>
                </c:pt>
                <c:pt idx="10">
                  <c:v>1.0681045311111792</c:v>
                </c:pt>
              </c:numCache>
            </c:numRef>
          </c:val>
          <c:smooth val="0"/>
        </c:ser>
        <c:dLbls>
          <c:dLblPos val="ctr"/>
          <c:showLegendKey val="0"/>
          <c:showVal val="1"/>
          <c:showCatName val="0"/>
          <c:showSerName val="0"/>
          <c:showPercent val="0"/>
          <c:showBubbleSize val="0"/>
        </c:dLbls>
        <c:smooth val="0"/>
        <c:axId val="-1806664784"/>
        <c:axId val="-1806660976"/>
      </c:lineChart>
      <c:catAx>
        <c:axId val="-1806664784"/>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06660976"/>
        <c:crosses val="autoZero"/>
        <c:auto val="1"/>
        <c:lblAlgn val="ctr"/>
        <c:lblOffset val="100"/>
        <c:noMultiLvlLbl val="1"/>
      </c:catAx>
      <c:valAx>
        <c:axId val="-180666097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06664784"/>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Output'!$C$121:$L$121</c:f>
              <c:numCache>
                <c:formatCode>0.00</c:formatCode>
                <c:ptCount val="10"/>
                <c:pt idx="0">
                  <c:v>0.78253414171106628</c:v>
                </c:pt>
                <c:pt idx="1">
                  <c:v>0.90376669984016411</c:v>
                </c:pt>
                <c:pt idx="2">
                  <c:v>0.94882434301521434</c:v>
                </c:pt>
                <c:pt idx="3">
                  <c:v>0.96691613546042277</c:v>
                </c:pt>
                <c:pt idx="4">
                  <c:v>1.0617703432653773</c:v>
                </c:pt>
                <c:pt idx="5">
                  <c:v>1.2068519454269835</c:v>
                </c:pt>
                <c:pt idx="6">
                  <c:v>1.0143677138975624</c:v>
                </c:pt>
                <c:pt idx="7">
                  <c:v>0.76845284615429821</c:v>
                </c:pt>
                <c:pt idx="8">
                  <c:v>0.53869447233344214</c:v>
                </c:pt>
                <c:pt idx="9">
                  <c:v>0.62552916477053278</c:v>
                </c:pt>
              </c:numCache>
            </c:numRef>
          </c:val>
        </c:ser>
        <c:dLbls>
          <c:dLblPos val="inEnd"/>
          <c:showLegendKey val="0"/>
          <c:showVal val="1"/>
          <c:showCatName val="0"/>
          <c:showSerName val="0"/>
          <c:showPercent val="0"/>
          <c:showBubbleSize val="0"/>
        </c:dLbls>
        <c:gapWidth val="41"/>
        <c:axId val="-1806663152"/>
        <c:axId val="-1806652816"/>
      </c:barChart>
      <c:dateAx>
        <c:axId val="-180666315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806652816"/>
        <c:crosses val="autoZero"/>
        <c:auto val="1"/>
        <c:lblOffset val="100"/>
        <c:baseTimeUnit val="years"/>
      </c:dateAx>
      <c:valAx>
        <c:axId val="-1806652816"/>
        <c:scaling>
          <c:orientation val="minMax"/>
        </c:scaling>
        <c:delete val="1"/>
        <c:axPos val="l"/>
        <c:numFmt formatCode="0.00" sourceLinked="1"/>
        <c:majorTickMark val="none"/>
        <c:minorTickMark val="none"/>
        <c:tickLblPos val="nextTo"/>
        <c:crossAx val="-180666315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Output'!$D$106:$L$106</c:f>
              <c:numCache>
                <c:formatCode>0</c:formatCode>
                <c:ptCount val="9"/>
                <c:pt idx="0">
                  <c:v>-78.220000000000027</c:v>
                </c:pt>
                <c:pt idx="1">
                  <c:v>-26.079999999999927</c:v>
                </c:pt>
                <c:pt idx="2">
                  <c:v>-8.5199999999999818</c:v>
                </c:pt>
                <c:pt idx="3">
                  <c:v>-85.940000000000055</c:v>
                </c:pt>
                <c:pt idx="4">
                  <c:v>-147.96000000000004</c:v>
                </c:pt>
                <c:pt idx="5">
                  <c:v>184.48000000000002</c:v>
                </c:pt>
                <c:pt idx="6">
                  <c:v>414.24</c:v>
                </c:pt>
                <c:pt idx="7">
                  <c:v>750.0300000000002</c:v>
                </c:pt>
                <c:pt idx="8">
                  <c:v>-164.84000000000037</c:v>
                </c:pt>
              </c:numCache>
            </c:numRef>
          </c:val>
        </c:ser>
        <c:ser>
          <c:idx val="1"/>
          <c:order val="1"/>
          <c:tx>
            <c:strRef>
              <c:f>'Screener Output'!$A$107:$C$107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Output'!$D$107:$L$107</c:f>
              <c:numCache>
                <c:formatCode>0</c:formatCode>
                <c:ptCount val="9"/>
                <c:pt idx="0">
                  <c:v>143.2399999999999</c:v>
                </c:pt>
                <c:pt idx="1">
                  <c:v>103.10000000000011</c:v>
                </c:pt>
                <c:pt idx="2">
                  <c:v>134.21000000000029</c:v>
                </c:pt>
                <c:pt idx="3">
                  <c:v>199.72999999999965</c:v>
                </c:pt>
                <c:pt idx="4">
                  <c:v>259.87999999999954</c:v>
                </c:pt>
                <c:pt idx="5">
                  <c:v>395.74000000000058</c:v>
                </c:pt>
                <c:pt idx="6">
                  <c:v>688.48000000000025</c:v>
                </c:pt>
                <c:pt idx="7">
                  <c:v>824.35999999999956</c:v>
                </c:pt>
                <c:pt idx="8">
                  <c:v>884.32999999999993</c:v>
                </c:pt>
              </c:numCache>
            </c:numRef>
          </c:val>
        </c:ser>
        <c:dLbls>
          <c:dLblPos val="inEnd"/>
          <c:showLegendKey val="0"/>
          <c:showVal val="1"/>
          <c:showCatName val="0"/>
          <c:showSerName val="0"/>
          <c:showPercent val="0"/>
          <c:showBubbleSize val="0"/>
        </c:dLbls>
        <c:gapWidth val="65"/>
        <c:axId val="-1806650640"/>
        <c:axId val="-1806660432"/>
      </c:barChart>
      <c:dateAx>
        <c:axId val="-1806650640"/>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60432"/>
        <c:crosses val="autoZero"/>
        <c:auto val="1"/>
        <c:lblOffset val="100"/>
        <c:baseTimeUnit val="years"/>
      </c:dateAx>
      <c:valAx>
        <c:axId val="-18066604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665064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8888888888889E-2"/>
          <c:y val="5.0925925925925923E-2"/>
          <c:w val="0.93888888888888888"/>
          <c:h val="0.80439705453485"/>
        </c:manualLayout>
      </c:layout>
      <c:barChart>
        <c:barDir val="col"/>
        <c:grouping val="clustered"/>
        <c:varyColors val="0"/>
        <c:ser>
          <c:idx val="0"/>
          <c:order val="0"/>
          <c:tx>
            <c:strRef>
              <c:f>'Screener Output'!$A$62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Output'!$C$24:$L$24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Output'!$C$62:$L$62</c:f>
              <c:numCache>
                <c:formatCode>0</c:formatCode>
                <c:ptCount val="10"/>
                <c:pt idx="0">
                  <c:v>250.32</c:v>
                </c:pt>
                <c:pt idx="1">
                  <c:v>237.74</c:v>
                </c:pt>
                <c:pt idx="2">
                  <c:v>296.45999999999998</c:v>
                </c:pt>
                <c:pt idx="3">
                  <c:v>246.12</c:v>
                </c:pt>
                <c:pt idx="4">
                  <c:v>319.8</c:v>
                </c:pt>
                <c:pt idx="5">
                  <c:v>671.48</c:v>
                </c:pt>
                <c:pt idx="6">
                  <c:v>584.46</c:v>
                </c:pt>
                <c:pt idx="7">
                  <c:v>959.23</c:v>
                </c:pt>
                <c:pt idx="8">
                  <c:v>441.28</c:v>
                </c:pt>
                <c:pt idx="9">
                  <c:v>1248.77</c:v>
                </c:pt>
              </c:numCache>
            </c:numRef>
          </c:val>
        </c:ser>
        <c:ser>
          <c:idx val="2"/>
          <c:order val="2"/>
          <c:tx>
            <c:strRef>
              <c:f>'Screener Output'!$A$64</c:f>
              <c:strCache>
                <c:ptCount val="1"/>
                <c:pt idx="0">
                  <c:v>Cash from Investing Activity</c:v>
                </c:pt>
              </c:strCache>
            </c:strRef>
          </c:tx>
          <c:spPr>
            <a:solidFill>
              <a:schemeClr val="bg1">
                <a:lumMod val="50000"/>
                <a:alpha val="85000"/>
              </a:schemeClr>
            </a:solidFill>
            <a:ln w="9525" cap="flat" cmpd="sng" algn="ctr">
              <a:solidFill>
                <a:schemeClr val="lt1">
                  <a:alpha val="50000"/>
                </a:schemeClr>
              </a:solidFill>
              <a:round/>
            </a:ln>
            <a:effectLst/>
          </c:spPr>
          <c:invertIfNegative val="0"/>
          <c:dLbls>
            <c:delete val="1"/>
          </c:dLbls>
          <c:cat>
            <c:numRef>
              <c:f>'Screener Output'!$C$24:$L$24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Output'!$C$64:$L$64</c:f>
              <c:numCache>
                <c:formatCode>0</c:formatCode>
                <c:ptCount val="10"/>
                <c:pt idx="0">
                  <c:v>-6.02</c:v>
                </c:pt>
                <c:pt idx="1">
                  <c:v>-36.68</c:v>
                </c:pt>
                <c:pt idx="2">
                  <c:v>-117.85</c:v>
                </c:pt>
                <c:pt idx="3">
                  <c:v>-64.78</c:v>
                </c:pt>
                <c:pt idx="4">
                  <c:v>28.18</c:v>
                </c:pt>
                <c:pt idx="5">
                  <c:v>-245.64</c:v>
                </c:pt>
                <c:pt idx="6">
                  <c:v>-450.3</c:v>
                </c:pt>
                <c:pt idx="7">
                  <c:v>-705.2</c:v>
                </c:pt>
                <c:pt idx="8">
                  <c:v>-149.85</c:v>
                </c:pt>
                <c:pt idx="9">
                  <c:v>-956.26</c:v>
                </c:pt>
              </c:numCache>
            </c:numRef>
          </c:val>
        </c:ser>
        <c:ser>
          <c:idx val="3"/>
          <c:order val="3"/>
          <c:tx>
            <c:strRef>
              <c:f>'Screener Output'!$A$65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delete val="1"/>
          </c:dLbls>
          <c:cat>
            <c:numRef>
              <c:f>'Screener Output'!$C$24:$L$24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Output'!$C$65:$L$65</c:f>
              <c:numCache>
                <c:formatCode>0</c:formatCode>
                <c:ptCount val="10"/>
                <c:pt idx="0">
                  <c:v>-112.69</c:v>
                </c:pt>
                <c:pt idx="1">
                  <c:v>-222.89</c:v>
                </c:pt>
                <c:pt idx="2">
                  <c:v>-165.8</c:v>
                </c:pt>
                <c:pt idx="3">
                  <c:v>-168.41</c:v>
                </c:pt>
                <c:pt idx="4">
                  <c:v>-378.15</c:v>
                </c:pt>
                <c:pt idx="5">
                  <c:v>-357.34</c:v>
                </c:pt>
                <c:pt idx="6">
                  <c:v>-181.37</c:v>
                </c:pt>
                <c:pt idx="7">
                  <c:v>-246.18</c:v>
                </c:pt>
                <c:pt idx="8">
                  <c:v>-295.08</c:v>
                </c:pt>
                <c:pt idx="9">
                  <c:v>-231.75</c:v>
                </c:pt>
              </c:numCache>
            </c:numRef>
          </c:val>
        </c:ser>
        <c:dLbls>
          <c:dLblPos val="inEnd"/>
          <c:showLegendKey val="0"/>
          <c:showVal val="1"/>
          <c:showCatName val="0"/>
          <c:showSerName val="0"/>
          <c:showPercent val="0"/>
          <c:showBubbleSize val="0"/>
        </c:dLbls>
        <c:gapWidth val="65"/>
        <c:axId val="-1806653360"/>
        <c:axId val="-1806658800"/>
      </c:barChart>
      <c:lineChart>
        <c:grouping val="stacked"/>
        <c:varyColors val="0"/>
        <c:ser>
          <c:idx val="1"/>
          <c:order val="1"/>
          <c:tx>
            <c:strRef>
              <c:f>'Screener Output'!$A$63</c:f>
              <c:strCache>
                <c:ptCount val="1"/>
                <c:pt idx="0">
                  <c:v>Free Cash Flow</c:v>
                </c:pt>
              </c:strCache>
            </c:strRef>
          </c:tx>
          <c:spPr>
            <a:ln w="31750" cap="rnd">
              <a:solidFill>
                <a:schemeClr val="tx1">
                  <a:lumMod val="75000"/>
                  <a:lumOff val="25000"/>
                  <a:alpha val="85000"/>
                </a:schemeClr>
              </a:solidFill>
              <a:round/>
            </a:ln>
            <a:effectLst/>
          </c:spPr>
          <c:marker>
            <c:symbol val="circle"/>
            <c:size val="6"/>
            <c:spPr>
              <a:solidFill>
                <a:schemeClr val="accent2">
                  <a:alpha val="85000"/>
                </a:schemeClr>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Output'!$C$24:$L$24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Output'!$C$63:$L$63</c:f>
              <c:numCache>
                <c:formatCode>0</c:formatCode>
                <c:ptCount val="10"/>
                <c:pt idx="1">
                  <c:v>146.82000000000002</c:v>
                </c:pt>
                <c:pt idx="2">
                  <c:v>223.33999999999997</c:v>
                </c:pt>
                <c:pt idx="3">
                  <c:v>-33.649999999999977</c:v>
                </c:pt>
                <c:pt idx="4">
                  <c:v>98.200000000000017</c:v>
                </c:pt>
                <c:pt idx="5">
                  <c:v>517.71999999999991</c:v>
                </c:pt>
                <c:pt idx="6">
                  <c:v>502.22</c:v>
                </c:pt>
                <c:pt idx="7">
                  <c:v>697.95</c:v>
                </c:pt>
                <c:pt idx="8">
                  <c:v>172.26</c:v>
                </c:pt>
                <c:pt idx="9">
                  <c:v>748.34000000000015</c:v>
                </c:pt>
              </c:numCache>
            </c:numRef>
          </c:val>
          <c:smooth val="0"/>
        </c:ser>
        <c:dLbls>
          <c:showLegendKey val="0"/>
          <c:showVal val="0"/>
          <c:showCatName val="0"/>
          <c:showSerName val="0"/>
          <c:showPercent val="0"/>
          <c:showBubbleSize val="0"/>
        </c:dLbls>
        <c:marker val="1"/>
        <c:smooth val="0"/>
        <c:axId val="-1806653360"/>
        <c:axId val="-1806658800"/>
      </c:lineChart>
      <c:dateAx>
        <c:axId val="-1806653360"/>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8800"/>
        <c:crosses val="autoZero"/>
        <c:auto val="1"/>
        <c:lblOffset val="100"/>
        <c:baseTimeUnit val="years"/>
      </c:dateAx>
      <c:valAx>
        <c:axId val="-1806658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6653360"/>
        <c:crosses val="autoZero"/>
        <c:crossBetween val="between"/>
      </c:valAx>
      <c:spPr>
        <a:noFill/>
        <a:ln>
          <a:noFill/>
        </a:ln>
        <a:effectLst/>
      </c:spPr>
    </c:plotArea>
    <c:legend>
      <c:legendPos val="b"/>
      <c:layout>
        <c:manualLayout>
          <c:xMode val="edge"/>
          <c:yMode val="edge"/>
          <c:x val="1.4461251554082056E-2"/>
          <c:y val="0.87847112860892385"/>
          <c:w val="0.93379679513744973"/>
          <c:h val="0.1122696121318168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3.2428281319296932</c:v>
                </c:pt>
                <c:pt idx="1">
                  <c:v>2.8783408076525667</c:v>
                </c:pt>
                <c:pt idx="2">
                  <c:v>2.4137307886224457</c:v>
                </c:pt>
                <c:pt idx="3">
                  <c:v>2.214258909111904</c:v>
                </c:pt>
                <c:pt idx="4">
                  <c:v>1.9227531009962482</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2.6839032213604641</c:v>
                </c:pt>
                <c:pt idx="1">
                  <c:v>2.2618965392615915</c:v>
                </c:pt>
                <c:pt idx="2">
                  <c:v>1.6878585634513885</c:v>
                </c:pt>
                <c:pt idx="3">
                  <c:v>1.5416663576149114</c:v>
                </c:pt>
                <c:pt idx="4">
                  <c:v>1.5391415142254046</c:v>
                </c:pt>
              </c:numCache>
            </c:numRef>
          </c:val>
        </c:ser>
        <c:dLbls>
          <c:showLegendKey val="0"/>
          <c:showVal val="0"/>
          <c:showCatName val="0"/>
          <c:showSerName val="0"/>
          <c:showPercent val="0"/>
          <c:showBubbleSize val="0"/>
        </c:dLbls>
        <c:gapWidth val="247"/>
        <c:axId val="-1806650096"/>
        <c:axId val="-1806665328"/>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5.7248170399163363E-2</c:v>
                </c:pt>
                <c:pt idx="1">
                  <c:v>8.7610486586362168E-2</c:v>
                </c:pt>
                <c:pt idx="2">
                  <c:v>9.8170468118653362E-2</c:v>
                </c:pt>
                <c:pt idx="3">
                  <c:v>9.7671880884771398E-2</c:v>
                </c:pt>
                <c:pt idx="4">
                  <c:v>0.10128515360616663</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0.49825583696947595</c:v>
                </c:pt>
                <c:pt idx="1">
                  <c:v>0.57038887119614146</c:v>
                </c:pt>
                <c:pt idx="2">
                  <c:v>0.39995003906455778</c:v>
                </c:pt>
                <c:pt idx="3">
                  <c:v>0.33341746647346981</c:v>
                </c:pt>
                <c:pt idx="4">
                  <c:v>0.29974218153367738</c:v>
                </c:pt>
              </c:numCache>
            </c:numRef>
          </c:val>
          <c:smooth val="0"/>
        </c:ser>
        <c:dLbls>
          <c:showLegendKey val="0"/>
          <c:showVal val="0"/>
          <c:showCatName val="0"/>
          <c:showSerName val="0"/>
          <c:showPercent val="0"/>
          <c:showBubbleSize val="0"/>
        </c:dLbls>
        <c:marker val="1"/>
        <c:smooth val="0"/>
        <c:axId val="-1806664240"/>
        <c:axId val="-1806657168"/>
      </c:lineChart>
      <c:catAx>
        <c:axId val="-18066500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1806665328"/>
        <c:crosses val="autoZero"/>
        <c:auto val="1"/>
        <c:lblAlgn val="ctr"/>
        <c:lblOffset val="100"/>
        <c:noMultiLvlLbl val="0"/>
      </c:catAx>
      <c:valAx>
        <c:axId val="-1806665328"/>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6650096"/>
        <c:crosses val="autoZero"/>
        <c:crossBetween val="between"/>
      </c:valAx>
      <c:valAx>
        <c:axId val="-180665716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6664240"/>
        <c:crosses val="max"/>
        <c:crossBetween val="between"/>
      </c:valAx>
      <c:catAx>
        <c:axId val="-1806664240"/>
        <c:scaling>
          <c:orientation val="minMax"/>
        </c:scaling>
        <c:delete val="1"/>
        <c:axPos val="b"/>
        <c:numFmt formatCode="General" sourceLinked="1"/>
        <c:majorTickMark val="out"/>
        <c:minorTickMark val="none"/>
        <c:tickLblPos val="nextTo"/>
        <c:crossAx val="-1806657168"/>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Output'!$C$157:$L$157</c:f>
              <c:numCache>
                <c:formatCode>0%</c:formatCode>
                <c:ptCount val="10"/>
                <c:pt idx="0">
                  <c:v>0.31215211204065524</c:v>
                </c:pt>
                <c:pt idx="1">
                  <c:v>0.32443214304277768</c:v>
                </c:pt>
                <c:pt idx="2">
                  <c:v>0.3071704954735715</c:v>
                </c:pt>
                <c:pt idx="3">
                  <c:v>0.33436865752368305</c:v>
                </c:pt>
                <c:pt idx="4">
                  <c:v>0.38565013032964501</c:v>
                </c:pt>
                <c:pt idx="5">
                  <c:v>0.39569104362643259</c:v>
                </c:pt>
                <c:pt idx="6">
                  <c:v>0.29970777364707724</c:v>
                </c:pt>
                <c:pt idx="7">
                  <c:v>0.26915472771253607</c:v>
                </c:pt>
                <c:pt idx="8">
                  <c:v>0.27904632690077896</c:v>
                </c:pt>
                <c:pt idx="9">
                  <c:v>0.25666311249802104</c:v>
                </c:pt>
              </c:numCache>
            </c:numRef>
          </c:val>
        </c:ser>
        <c:ser>
          <c:idx val="2"/>
          <c:order val="1"/>
          <c:tx>
            <c:strRef>
              <c:f>'Screener Output'!$A$158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Output'!$C$158:$L$158</c:f>
              <c:numCache>
                <c:formatCode>0%</c:formatCode>
                <c:ptCount val="10"/>
                <c:pt idx="0">
                  <c:v>0.25034000968612957</c:v>
                </c:pt>
                <c:pt idx="1">
                  <c:v>0.23808410000519778</c:v>
                </c:pt>
                <c:pt idx="2">
                  <c:v>0.23636595931081475</c:v>
                </c:pt>
                <c:pt idx="3">
                  <c:v>0.13308021441920992</c:v>
                </c:pt>
                <c:pt idx="4">
                  <c:v>5.6633203178159057E-2</c:v>
                </c:pt>
                <c:pt idx="5">
                  <c:v>9.2374127588058158E-2</c:v>
                </c:pt>
                <c:pt idx="6">
                  <c:v>0.18390731134001587</c:v>
                </c:pt>
                <c:pt idx="7">
                  <c:v>0.22330801085410965</c:v>
                </c:pt>
                <c:pt idx="8">
                  <c:v>0.11711627190893391</c:v>
                </c:pt>
                <c:pt idx="9">
                  <c:v>0.20586456900777655</c:v>
                </c:pt>
              </c:numCache>
            </c:numRef>
          </c:val>
        </c:ser>
        <c:ser>
          <c:idx val="3"/>
          <c:order val="2"/>
          <c:tx>
            <c:strRef>
              <c:f>'Screener Output'!$A$159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Output'!$C$159:$L$159</c:f>
              <c:numCache>
                <c:formatCode>0%</c:formatCode>
                <c:ptCount val="10"/>
                <c:pt idx="0">
                  <c:v>0.19152662690488353</c:v>
                </c:pt>
                <c:pt idx="1">
                  <c:v>0.19765190498466656</c:v>
                </c:pt>
                <c:pt idx="2">
                  <c:v>0.2110812323566631</c:v>
                </c:pt>
                <c:pt idx="3">
                  <c:v>0.2312128822889947</c:v>
                </c:pt>
                <c:pt idx="4">
                  <c:v>0.19610685984067333</c:v>
                </c:pt>
                <c:pt idx="5">
                  <c:v>0.19619990196307274</c:v>
                </c:pt>
                <c:pt idx="6">
                  <c:v>0.14346432033405415</c:v>
                </c:pt>
                <c:pt idx="7">
                  <c:v>0.12481376364553061</c:v>
                </c:pt>
                <c:pt idx="8">
                  <c:v>0.15911791733421862</c:v>
                </c:pt>
                <c:pt idx="9">
                  <c:v>0.12451479875712183</c:v>
                </c:pt>
              </c:numCache>
            </c:numRef>
          </c:val>
        </c:ser>
        <c:ser>
          <c:idx val="4"/>
          <c:order val="3"/>
          <c:tx>
            <c:strRef>
              <c:f>'Screener Output'!$A$160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Output'!$C$160:$L$160</c:f>
              <c:numCache>
                <c:formatCode>0%</c:formatCode>
                <c:ptCount val="10"/>
                <c:pt idx="0">
                  <c:v>4.9094081509443978E-2</c:v>
                </c:pt>
                <c:pt idx="1">
                  <c:v>4.7605125006497218E-2</c:v>
                </c:pt>
                <c:pt idx="2">
                  <c:v>4.9255329504526421E-2</c:v>
                </c:pt>
                <c:pt idx="3">
                  <c:v>6.0518269009355412E-2</c:v>
                </c:pt>
                <c:pt idx="4">
                  <c:v>6.4280255843897544E-2</c:v>
                </c:pt>
                <c:pt idx="5">
                  <c:v>5.0745780910809737E-2</c:v>
                </c:pt>
                <c:pt idx="6">
                  <c:v>4.8222674350479888E-2</c:v>
                </c:pt>
                <c:pt idx="7">
                  <c:v>4.8325147431212932E-2</c:v>
                </c:pt>
                <c:pt idx="8">
                  <c:v>4.3098595615085958E-2</c:v>
                </c:pt>
                <c:pt idx="9">
                  <c:v>5.8100166518205425E-2</c:v>
                </c:pt>
              </c:numCache>
            </c:numRef>
          </c:val>
        </c:ser>
        <c:ser>
          <c:idx val="5"/>
          <c:order val="4"/>
          <c:tx>
            <c:strRef>
              <c:f>'Screener Output'!$A$161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Output'!$C$161:$L$161</c:f>
              <c:numCache>
                <c:formatCode>0%</c:formatCode>
                <c:ptCount val="10"/>
                <c:pt idx="0">
                  <c:v>4.5670764474461133E-2</c:v>
                </c:pt>
                <c:pt idx="1">
                  <c:v>2.7775612038047716E-2</c:v>
                </c:pt>
                <c:pt idx="2">
                  <c:v>4.6773094519614519E-2</c:v>
                </c:pt>
                <c:pt idx="3">
                  <c:v>3.284298237628322E-2</c:v>
                </c:pt>
                <c:pt idx="4">
                  <c:v>5.3874820731311571E-2</c:v>
                </c:pt>
                <c:pt idx="5">
                  <c:v>5.0918512639760972E-2</c:v>
                </c:pt>
                <c:pt idx="6">
                  <c:v>8.0364022426508447E-2</c:v>
                </c:pt>
                <c:pt idx="7">
                  <c:v>2.482679310911326E-2</c:v>
                </c:pt>
                <c:pt idx="8">
                  <c:v>2.9049935289561176E-2</c:v>
                </c:pt>
                <c:pt idx="9">
                  <c:v>3.5558217473157759E-2</c:v>
                </c:pt>
              </c:numCache>
            </c:numRef>
          </c:val>
        </c:ser>
        <c:ser>
          <c:idx val="1"/>
          <c:order val="5"/>
          <c:tx>
            <c:strRef>
              <c:f>'Screener Output'!$A$162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Output'!$C$162:$L$162</c:f>
              <c:numCache>
                <c:formatCode>0%</c:formatCode>
                <c:ptCount val="10"/>
                <c:pt idx="0">
                  <c:v>0.1512164053844266</c:v>
                </c:pt>
                <c:pt idx="1">
                  <c:v>0.16445111492281303</c:v>
                </c:pt>
                <c:pt idx="2">
                  <c:v>0.14935388883480968</c:v>
                </c:pt>
                <c:pt idx="3">
                  <c:v>0.2079769943824738</c:v>
                </c:pt>
                <c:pt idx="4">
                  <c:v>0.24345473007631346</c:v>
                </c:pt>
                <c:pt idx="5">
                  <c:v>0.21407063327186579</c:v>
                </c:pt>
                <c:pt idx="6">
                  <c:v>0.24433389790186441</c:v>
                </c:pt>
                <c:pt idx="7">
                  <c:v>0.30957155724749746</c:v>
                </c:pt>
                <c:pt idx="8">
                  <c:v>0.37257095295142145</c:v>
                </c:pt>
                <c:pt idx="9">
                  <c:v>0.31929913574571733</c:v>
                </c:pt>
              </c:numCache>
            </c:numRef>
          </c:val>
        </c:ser>
        <c:dLbls>
          <c:showLegendKey val="0"/>
          <c:showVal val="1"/>
          <c:showCatName val="0"/>
          <c:showSerName val="0"/>
          <c:showPercent val="0"/>
          <c:showBubbleSize val="0"/>
        </c:dLbls>
        <c:axId val="-1806663696"/>
        <c:axId val="-1806656624"/>
      </c:areaChart>
      <c:dateAx>
        <c:axId val="-180666369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6624"/>
        <c:crosses val="autoZero"/>
        <c:auto val="1"/>
        <c:lblOffset val="100"/>
        <c:baseTimeUnit val="years"/>
      </c:dateAx>
      <c:valAx>
        <c:axId val="-180665662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06663696"/>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Output'!$C$112:$L$112</c:f>
              <c:numCache>
                <c:formatCode>0</c:formatCode>
                <c:ptCount val="10"/>
                <c:pt idx="0">
                  <c:v>7.8948214531031242</c:v>
                </c:pt>
                <c:pt idx="1">
                  <c:v>7.0883084939741465</c:v>
                </c:pt>
                <c:pt idx="2">
                  <c:v>6.4109272830619286</c:v>
                </c:pt>
                <c:pt idx="3">
                  <c:v>7.5197570993387872</c:v>
                </c:pt>
                <c:pt idx="4">
                  <c:v>7.2469973696165653</c:v>
                </c:pt>
                <c:pt idx="5">
                  <c:v>5.7395001381513184</c:v>
                </c:pt>
                <c:pt idx="6">
                  <c:v>6.3079664869019476</c:v>
                </c:pt>
                <c:pt idx="7">
                  <c:v>7.4158561811454504</c:v>
                </c:pt>
                <c:pt idx="8">
                  <c:v>7.2225259523596517</c:v>
                </c:pt>
                <c:pt idx="9">
                  <c:v>11.2143546644691</c:v>
                </c:pt>
              </c:numCache>
            </c:numRef>
          </c:val>
        </c:ser>
        <c:dLbls>
          <c:dLblPos val="inEnd"/>
          <c:showLegendKey val="0"/>
          <c:showVal val="1"/>
          <c:showCatName val="0"/>
          <c:showSerName val="0"/>
          <c:showPercent val="0"/>
          <c:showBubbleSize val="0"/>
        </c:dLbls>
        <c:gapWidth val="65"/>
        <c:axId val="-1806653904"/>
        <c:axId val="-1806654992"/>
      </c:barChart>
      <c:dateAx>
        <c:axId val="-1806653904"/>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4992"/>
        <c:crosses val="autoZero"/>
        <c:auto val="1"/>
        <c:lblOffset val="100"/>
        <c:baseTimeUnit val="years"/>
      </c:dateAx>
      <c:valAx>
        <c:axId val="-18066549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066539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Output'!$C$171:$L$171</c:f>
              <c:numCache>
                <c:formatCode>0%</c:formatCode>
                <c:ptCount val="10"/>
                <c:pt idx="0">
                  <c:v>0.60476604974386061</c:v>
                </c:pt>
                <c:pt idx="1">
                  <c:v>0.62944285658353238</c:v>
                </c:pt>
                <c:pt idx="2">
                  <c:v>0.64853407705868615</c:v>
                </c:pt>
                <c:pt idx="3">
                  <c:v>0.63716541227268053</c:v>
                </c:pt>
                <c:pt idx="4">
                  <c:v>0.61903922150168733</c:v>
                </c:pt>
                <c:pt idx="5">
                  <c:v>0.60046643536846944</c:v>
                </c:pt>
                <c:pt idx="6">
                  <c:v>0.57878563586346421</c:v>
                </c:pt>
                <c:pt idx="7">
                  <c:v>0.5882383313892493</c:v>
                </c:pt>
                <c:pt idx="8">
                  <c:v>0.60715965769400826</c:v>
                </c:pt>
                <c:pt idx="9">
                  <c:v>0.60584145804316514</c:v>
                </c:pt>
              </c:numCache>
            </c:numRef>
          </c:val>
        </c:ser>
        <c:ser>
          <c:idx val="1"/>
          <c:order val="1"/>
          <c:tx>
            <c:strRef>
              <c:f>'Screener Output'!$A$172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Output'!$C$172:$L$172</c:f>
              <c:numCache>
                <c:formatCode>0%</c:formatCode>
                <c:ptCount val="10"/>
                <c:pt idx="0">
                  <c:v>1.4691990467900512E-2</c:v>
                </c:pt>
                <c:pt idx="1">
                  <c:v>1.1868499014656175E-2</c:v>
                </c:pt>
                <c:pt idx="2">
                  <c:v>1.2111241777143724E-2</c:v>
                </c:pt>
                <c:pt idx="3">
                  <c:v>1.3142730376534626E-2</c:v>
                </c:pt>
                <c:pt idx="4">
                  <c:v>1.4590430691045507E-2</c:v>
                </c:pt>
                <c:pt idx="5">
                  <c:v>1.593942098671235E-2</c:v>
                </c:pt>
                <c:pt idx="6">
                  <c:v>1.3688119117229808E-2</c:v>
                </c:pt>
                <c:pt idx="7">
                  <c:v>1.1166943219449913E-2</c:v>
                </c:pt>
                <c:pt idx="8">
                  <c:v>1.1329081125477069E-2</c:v>
                </c:pt>
                <c:pt idx="9">
                  <c:v>1.2780297529056503E-2</c:v>
                </c:pt>
              </c:numCache>
            </c:numRef>
          </c:val>
        </c:ser>
        <c:ser>
          <c:idx val="2"/>
          <c:order val="2"/>
          <c:tx>
            <c:strRef>
              <c:f>'Screener Output'!$A$173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Output'!$C$173:$L$173</c:f>
              <c:numCache>
                <c:formatCode>0%</c:formatCode>
                <c:ptCount val="10"/>
                <c:pt idx="0">
                  <c:v>7.3488491559525679E-2</c:v>
                </c:pt>
                <c:pt idx="1">
                  <c:v>7.3641073829006962E-2</c:v>
                </c:pt>
                <c:pt idx="2">
                  <c:v>6.8522552743022741E-2</c:v>
                </c:pt>
                <c:pt idx="3">
                  <c:v>7.0920604345559843E-2</c:v>
                </c:pt>
                <c:pt idx="4">
                  <c:v>7.4975351294157264E-2</c:v>
                </c:pt>
                <c:pt idx="5">
                  <c:v>7.341318399723594E-2</c:v>
                </c:pt>
                <c:pt idx="6">
                  <c:v>6.8549153127814164E-2</c:v>
                </c:pt>
                <c:pt idx="7">
                  <c:v>5.986565871587194E-2</c:v>
                </c:pt>
                <c:pt idx="8">
                  <c:v>5.5399293616364802E-2</c:v>
                </c:pt>
                <c:pt idx="9">
                  <c:v>4.8370296298941698E-2</c:v>
                </c:pt>
              </c:numCache>
            </c:numRef>
          </c:val>
        </c:ser>
        <c:ser>
          <c:idx val="3"/>
          <c:order val="3"/>
          <c:tx>
            <c:strRef>
              <c:f>'Screener Output'!$A$174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Output'!$C$174:$L$174</c:f>
              <c:numCache>
                <c:formatCode>0%</c:formatCode>
                <c:ptCount val="10"/>
                <c:pt idx="0">
                  <c:v>4.5294596098688626E-2</c:v>
                </c:pt>
                <c:pt idx="1">
                  <c:v>4.2940109366639265E-2</c:v>
                </c:pt>
                <c:pt idx="2">
                  <c:v>3.8019531358776795E-2</c:v>
                </c:pt>
                <c:pt idx="3">
                  <c:v>3.8082716056062664E-2</c:v>
                </c:pt>
                <c:pt idx="4">
                  <c:v>3.6351831218487736E-2</c:v>
                </c:pt>
                <c:pt idx="5">
                  <c:v>3.781293638339836E-2</c:v>
                </c:pt>
                <c:pt idx="6">
                  <c:v>3.6322366554408299E-2</c:v>
                </c:pt>
                <c:pt idx="7">
                  <c:v>4.0058299047829163E-2</c:v>
                </c:pt>
                <c:pt idx="8">
                  <c:v>3.8307895048470167E-2</c:v>
                </c:pt>
                <c:pt idx="9">
                  <c:v>3.9839846989591643E-2</c:v>
                </c:pt>
              </c:numCache>
            </c:numRef>
          </c:val>
        </c:ser>
        <c:ser>
          <c:idx val="4"/>
          <c:order val="4"/>
          <c:tx>
            <c:strRef>
              <c:f>'Screener Output'!$A$175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Output'!$C$175:$L$175</c:f>
              <c:numCache>
                <c:formatCode>0%</c:formatCode>
                <c:ptCount val="10"/>
                <c:pt idx="0">
                  <c:v>0.1426361677535353</c:v>
                </c:pt>
                <c:pt idx="1">
                  <c:v>0.15737050232958774</c:v>
                </c:pt>
                <c:pt idx="2">
                  <c:v>0.14222462133626368</c:v>
                </c:pt>
                <c:pt idx="3">
                  <c:v>0.14185563737823539</c:v>
                </c:pt>
                <c:pt idx="4">
                  <c:v>0.14759244266670943</c:v>
                </c:pt>
                <c:pt idx="5">
                  <c:v>0.1484085052473979</c:v>
                </c:pt>
                <c:pt idx="6">
                  <c:v>0.13928302678163895</c:v>
                </c:pt>
                <c:pt idx="7">
                  <c:v>0.11227612719706909</c:v>
                </c:pt>
                <c:pt idx="8">
                  <c:v>9.9407580750122487E-2</c:v>
                </c:pt>
                <c:pt idx="9">
                  <c:v>9.4587891702280477E-2</c:v>
                </c:pt>
              </c:numCache>
            </c:numRef>
          </c:val>
        </c:ser>
        <c:ser>
          <c:idx val="5"/>
          <c:order val="5"/>
          <c:tx>
            <c:strRef>
              <c:f>'Screener Output'!$A$176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Output'!$C$176:$L$176</c:f>
              <c:numCache>
                <c:formatCode>0%</c:formatCode>
                <c:ptCount val="10"/>
                <c:pt idx="0">
                  <c:v>3.5037600422380459E-2</c:v>
                </c:pt>
                <c:pt idx="1">
                  <c:v>3.5080850397400262E-2</c:v>
                </c:pt>
                <c:pt idx="2">
                  <c:v>2.7249222965519158E-2</c:v>
                </c:pt>
                <c:pt idx="3">
                  <c:v>3.2098418074816351E-2</c:v>
                </c:pt>
                <c:pt idx="4">
                  <c:v>3.1640120878856627E-2</c:v>
                </c:pt>
                <c:pt idx="5">
                  <c:v>2.8831176309690051E-2</c:v>
                </c:pt>
                <c:pt idx="6">
                  <c:v>2.7930128418637356E-2</c:v>
                </c:pt>
                <c:pt idx="7">
                  <c:v>3.1294666012640852E-2</c:v>
                </c:pt>
                <c:pt idx="8">
                  <c:v>3.3178954504417879E-2</c:v>
                </c:pt>
                <c:pt idx="9">
                  <c:v>3.3107944557535643E-2</c:v>
                </c:pt>
              </c:numCache>
            </c:numRef>
          </c:val>
        </c:ser>
        <c:ser>
          <c:idx val="6"/>
          <c:order val="6"/>
          <c:tx>
            <c:strRef>
              <c:f>'Screener Output'!$A$177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Output'!$C$177:$L$177</c:f>
              <c:numCache>
                <c:formatCode>0%</c:formatCode>
                <c:ptCount val="10"/>
                <c:pt idx="0">
                  <c:v>1.8810199917236262E-2</c:v>
                </c:pt>
                <c:pt idx="1">
                  <c:v>1.5199091656552212E-2</c:v>
                </c:pt>
                <c:pt idx="2">
                  <c:v>1.3904151109911552E-2</c:v>
                </c:pt>
                <c:pt idx="3">
                  <c:v>1.1151571554564785E-2</c:v>
                </c:pt>
                <c:pt idx="4">
                  <c:v>1.172717289363783E-2</c:v>
                </c:pt>
                <c:pt idx="5">
                  <c:v>1.1974720354721219E-2</c:v>
                </c:pt>
                <c:pt idx="6">
                  <c:v>1.7823174567928646E-2</c:v>
                </c:pt>
                <c:pt idx="7">
                  <c:v>1.3308564843608815E-2</c:v>
                </c:pt>
                <c:pt idx="8">
                  <c:v>1.2957609377020042E-2</c:v>
                </c:pt>
                <c:pt idx="9">
                  <c:v>1.4093742683793037E-2</c:v>
                </c:pt>
              </c:numCache>
            </c:numRef>
          </c:val>
        </c:ser>
        <c:ser>
          <c:idx val="7"/>
          <c:order val="7"/>
          <c:tx>
            <c:strRef>
              <c:f>'Screener Output'!$A$178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Output'!$C$178:$L$178</c:f>
              <c:numCache>
                <c:formatCode>0%</c:formatCode>
                <c:ptCount val="10"/>
                <c:pt idx="0">
                  <c:v>9.303785727536068E-3</c:v>
                </c:pt>
                <c:pt idx="1">
                  <c:v>6.1208775432963995E-3</c:v>
                </c:pt>
                <c:pt idx="2">
                  <c:v>9.345834431142213E-3</c:v>
                </c:pt>
                <c:pt idx="3">
                  <c:v>7.5029173001762107E-3</c:v>
                </c:pt>
                <c:pt idx="4">
                  <c:v>6.6210832605227933E-3</c:v>
                </c:pt>
                <c:pt idx="5">
                  <c:v>1.1934411125347306E-3</c:v>
                </c:pt>
                <c:pt idx="6">
                  <c:v>4.7617285321293311E-4</c:v>
                </c:pt>
                <c:pt idx="7">
                  <c:v>5.7149026354267642E-4</c:v>
                </c:pt>
                <c:pt idx="8">
                  <c:v>5.920933269452438E-4</c:v>
                </c:pt>
                <c:pt idx="9">
                  <c:v>7.5294929942978223E-4</c:v>
                </c:pt>
              </c:numCache>
            </c:numRef>
          </c:val>
        </c:ser>
        <c:ser>
          <c:idx val="8"/>
          <c:order val="8"/>
          <c:tx>
            <c:strRef>
              <c:f>'Screener Output'!$A$179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Output'!$C$179:$L$179</c:f>
              <c:numCache>
                <c:formatCode>0%</c:formatCode>
                <c:ptCount val="10"/>
                <c:pt idx="0">
                  <c:v>1.5091539548224149E-2</c:v>
                </c:pt>
                <c:pt idx="1">
                  <c:v>1.4251595473943855E-3</c:v>
                </c:pt>
                <c:pt idx="2">
                  <c:v>1.13400979781038E-2</c:v>
                </c:pt>
                <c:pt idx="3">
                  <c:v>1.2056971671076432E-2</c:v>
                </c:pt>
                <c:pt idx="4">
                  <c:v>1.579921925725233E-2</c:v>
                </c:pt>
                <c:pt idx="5">
                  <c:v>2.4988842981155435E-2</c:v>
                </c:pt>
                <c:pt idx="6">
                  <c:v>3.2210749663841708E-2</c:v>
                </c:pt>
                <c:pt idx="7">
                  <c:v>4.648199042900495E-2</c:v>
                </c:pt>
                <c:pt idx="8">
                  <c:v>4.5593358994332193E-2</c:v>
                </c:pt>
                <c:pt idx="9">
                  <c:v>5.1012067029352126E-2</c:v>
                </c:pt>
              </c:numCache>
            </c:numRef>
          </c:val>
        </c:ser>
        <c:ser>
          <c:idx val="9"/>
          <c:order val="9"/>
          <c:tx>
            <c:strRef>
              <c:f>'Screener Output'!$A$180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Output'!$C$180:$L$180</c:f>
              <c:numCache>
                <c:formatCode>0%</c:formatCode>
                <c:ptCount val="10"/>
                <c:pt idx="0">
                  <c:v>4.0879578761112367E-2</c:v>
                </c:pt>
                <c:pt idx="1">
                  <c:v>2.6910979731934237E-2</c:v>
                </c:pt>
                <c:pt idx="2">
                  <c:v>2.8748669241430269E-2</c:v>
                </c:pt>
                <c:pt idx="3">
                  <c:v>3.6023020970293307E-2</c:v>
                </c:pt>
                <c:pt idx="4">
                  <c:v>4.1663126337643241E-2</c:v>
                </c:pt>
                <c:pt idx="5">
                  <c:v>5.697133725868464E-2</c:v>
                </c:pt>
                <c:pt idx="6">
                  <c:v>8.4931473051823914E-2</c:v>
                </c:pt>
                <c:pt idx="7">
                  <c:v>9.6737928881733382E-2</c:v>
                </c:pt>
                <c:pt idx="8">
                  <c:v>9.6074475562841988E-2</c:v>
                </c:pt>
                <c:pt idx="9">
                  <c:v>9.9613505866853913E-2</c:v>
                </c:pt>
              </c:numCache>
            </c:numRef>
          </c:val>
        </c:ser>
        <c:dLbls>
          <c:showLegendKey val="0"/>
          <c:showVal val="1"/>
          <c:showCatName val="0"/>
          <c:showSerName val="0"/>
          <c:showPercent val="0"/>
          <c:showBubbleSize val="0"/>
        </c:dLbls>
        <c:axId val="-1808798976"/>
        <c:axId val="-1808804960"/>
      </c:areaChart>
      <c:dateAx>
        <c:axId val="-180879897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808804960"/>
        <c:crosses val="autoZero"/>
        <c:auto val="1"/>
        <c:lblOffset val="100"/>
        <c:baseTimeUnit val="years"/>
      </c:dateAx>
      <c:valAx>
        <c:axId val="-18088049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8798976"/>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Output'!$C$113:$L$113</c:f>
              <c:numCache>
                <c:formatCode>0.0</c:formatCode>
                <c:ptCount val="10"/>
                <c:pt idx="0">
                  <c:v>7.4082579930028754</c:v>
                </c:pt>
                <c:pt idx="1">
                  <c:v>8.226480013493001</c:v>
                </c:pt>
                <c:pt idx="2">
                  <c:v>9.3472879169482166</c:v>
                </c:pt>
                <c:pt idx="3">
                  <c:v>9.1094245611331566</c:v>
                </c:pt>
                <c:pt idx="4">
                  <c:v>9.5954267574370977</c:v>
                </c:pt>
                <c:pt idx="5">
                  <c:v>10.522882230105415</c:v>
                </c:pt>
                <c:pt idx="6">
                  <c:v>11.457364341085272</c:v>
                </c:pt>
                <c:pt idx="7">
                  <c:v>11.878890480531318</c:v>
                </c:pt>
                <c:pt idx="8">
                  <c:v>10.240232283821795</c:v>
                </c:pt>
                <c:pt idx="9">
                  <c:v>9.2841490138787446</c:v>
                </c:pt>
              </c:numCache>
            </c:numRef>
          </c:val>
        </c:ser>
        <c:dLbls>
          <c:dLblPos val="inEnd"/>
          <c:showLegendKey val="0"/>
          <c:showVal val="1"/>
          <c:showCatName val="0"/>
          <c:showSerName val="0"/>
          <c:showPercent val="0"/>
          <c:showBubbleSize val="0"/>
        </c:dLbls>
        <c:gapWidth val="41"/>
        <c:axId val="-1806662608"/>
        <c:axId val="-1806656080"/>
      </c:barChart>
      <c:dateAx>
        <c:axId val="-180666260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806656080"/>
        <c:crosses val="autoZero"/>
        <c:auto val="1"/>
        <c:lblOffset val="100"/>
        <c:baseTimeUnit val="years"/>
      </c:dateAx>
      <c:valAx>
        <c:axId val="-1806656080"/>
        <c:scaling>
          <c:orientation val="minMax"/>
        </c:scaling>
        <c:delete val="1"/>
        <c:axPos val="l"/>
        <c:numFmt formatCode="0.0" sourceLinked="1"/>
        <c:majorTickMark val="none"/>
        <c:minorTickMark val="none"/>
        <c:tickLblPos val="nextTo"/>
        <c:crossAx val="-180666260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Output'!$C$100:$L$100</c:f>
              <c:numCache>
                <c:formatCode>0%</c:formatCode>
                <c:ptCount val="10"/>
                <c:pt idx="0">
                  <c:v>0.47858104835767029</c:v>
                </c:pt>
                <c:pt idx="1">
                  <c:v>0.18374135869847705</c:v>
                </c:pt>
                <c:pt idx="2">
                  <c:v>0.19835369414971285</c:v>
                </c:pt>
                <c:pt idx="3">
                  <c:v>0.21911565463727059</c:v>
                </c:pt>
                <c:pt idx="4">
                  <c:v>0.29079736618966362</c:v>
                </c:pt>
                <c:pt idx="5">
                  <c:v>0.37259167619803457</c:v>
                </c:pt>
                <c:pt idx="6">
                  <c:v>0.44210687033742729</c:v>
                </c:pt>
                <c:pt idx="7">
                  <c:v>0.59246670405556212</c:v>
                </c:pt>
                <c:pt idx="8">
                  <c:v>0.64864877868067683</c:v>
                </c:pt>
                <c:pt idx="9">
                  <c:v>0.64971283716121742</c:v>
                </c:pt>
              </c:numCache>
            </c:numRef>
          </c:val>
        </c:ser>
        <c:ser>
          <c:idx val="1"/>
          <c:order val="1"/>
          <c:tx>
            <c:strRef>
              <c:f>'Screener Output'!$A$101:$B$101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Output'!$C$101:$L$101</c:f>
              <c:numCache>
                <c:formatCode>0%</c:formatCode>
                <c:ptCount val="10"/>
                <c:pt idx="0">
                  <c:v>0.3390941478527974</c:v>
                </c:pt>
                <c:pt idx="1">
                  <c:v>0.38941732938302404</c:v>
                </c:pt>
                <c:pt idx="2">
                  <c:v>0.42570329991239175</c:v>
                </c:pt>
                <c:pt idx="3">
                  <c:v>0.45732233033624836</c:v>
                </c:pt>
                <c:pt idx="4">
                  <c:v>0.51030598678907535</c:v>
                </c:pt>
                <c:pt idx="5">
                  <c:v>0.55749398940267503</c:v>
                </c:pt>
                <c:pt idx="6">
                  <c:v>0.50638246499852646</c:v>
                </c:pt>
                <c:pt idx="7">
                  <c:v>0.37041348719430328</c:v>
                </c:pt>
                <c:pt idx="8">
                  <c:v>0.32138716087159425</c:v>
                </c:pt>
                <c:pt idx="9">
                  <c:v>0.31200514241789012</c:v>
                </c:pt>
              </c:numCache>
            </c:numRef>
          </c:val>
        </c:ser>
        <c:ser>
          <c:idx val="2"/>
          <c:order val="2"/>
          <c:tx>
            <c:strRef>
              <c:f>'Screener Output'!$A$102:$B$102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Output'!$C$102:$L$102</c:f>
              <c:numCache>
                <c:formatCode>0%</c:formatCode>
                <c:ptCount val="10"/>
                <c:pt idx="0">
                  <c:v>0.18232480378953234</c:v>
                </c:pt>
                <c:pt idx="1">
                  <c:v>0.42684131191849889</c:v>
                </c:pt>
                <c:pt idx="2">
                  <c:v>0.37594300593789548</c:v>
                </c:pt>
                <c:pt idx="3">
                  <c:v>0.32356201502648113</c:v>
                </c:pt>
                <c:pt idx="4">
                  <c:v>0.198896647021261</c:v>
                </c:pt>
                <c:pt idx="5">
                  <c:v>6.9914334399290387E-2</c:v>
                </c:pt>
                <c:pt idx="6">
                  <c:v>5.1510664664046218E-2</c:v>
                </c:pt>
                <c:pt idx="7">
                  <c:v>3.7119808750134549E-2</c:v>
                </c:pt>
                <c:pt idx="8">
                  <c:v>2.9964060447728879E-2</c:v>
                </c:pt>
                <c:pt idx="9">
                  <c:v>3.8282020420892404E-2</c:v>
                </c:pt>
              </c:numCache>
            </c:numRef>
          </c:val>
        </c:ser>
        <c:dLbls>
          <c:dLblPos val="ctr"/>
          <c:showLegendKey val="0"/>
          <c:showVal val="1"/>
          <c:showCatName val="0"/>
          <c:showSerName val="0"/>
          <c:showPercent val="0"/>
          <c:showBubbleSize val="0"/>
        </c:dLbls>
        <c:gapWidth val="150"/>
        <c:overlap val="100"/>
        <c:axId val="-1806652272"/>
        <c:axId val="-1806659888"/>
      </c:barChart>
      <c:dateAx>
        <c:axId val="-180665227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9888"/>
        <c:crosses val="autoZero"/>
        <c:auto val="1"/>
        <c:lblOffset val="100"/>
        <c:baseTimeUnit val="years"/>
      </c:dateAx>
      <c:valAx>
        <c:axId val="-18066598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66522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Output'!$C$114:$L$114</c:f>
              <c:numCache>
                <c:formatCode>0%</c:formatCode>
                <c:ptCount val="10"/>
                <c:pt idx="0">
                  <c:v>8.4381932813637206E-2</c:v>
                </c:pt>
                <c:pt idx="1">
                  <c:v>8.0630070688142569E-2</c:v>
                </c:pt>
                <c:pt idx="2">
                  <c:v>7.5270426825299705E-2</c:v>
                </c:pt>
                <c:pt idx="3">
                  <c:v>7.8711189947077403E-2</c:v>
                </c:pt>
                <c:pt idx="4">
                  <c:v>6.0573187549410636E-2</c:v>
                </c:pt>
                <c:pt idx="5">
                  <c:v>6.0796706356841236E-2</c:v>
                </c:pt>
                <c:pt idx="6">
                  <c:v>5.1414915466467814E-2</c:v>
                </c:pt>
                <c:pt idx="7">
                  <c:v>5.2475637799607726E-2</c:v>
                </c:pt>
                <c:pt idx="8">
                  <c:v>7.3055381601022304E-2</c:v>
                </c:pt>
                <c:pt idx="9">
                  <c:v>6.5845335732636401E-2</c:v>
                </c:pt>
              </c:numCache>
            </c:numRef>
          </c:val>
          <c:smooth val="0"/>
        </c:ser>
        <c:dLbls>
          <c:dLblPos val="ctr"/>
          <c:showLegendKey val="0"/>
          <c:showVal val="1"/>
          <c:showCatName val="0"/>
          <c:showSerName val="0"/>
          <c:showPercent val="0"/>
          <c:showBubbleSize val="0"/>
        </c:dLbls>
        <c:marker val="1"/>
        <c:smooth val="0"/>
        <c:axId val="-1806662064"/>
        <c:axId val="-1806659344"/>
      </c:lineChart>
      <c:dateAx>
        <c:axId val="-180666206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9344"/>
        <c:crosses val="autoZero"/>
        <c:auto val="1"/>
        <c:lblOffset val="100"/>
        <c:baseTimeUnit val="years"/>
      </c:dateAx>
      <c:valAx>
        <c:axId val="-18066593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66620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Employee trust &amp; Insurance Co</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input'!$C$6:$H$6</c:f>
              <c:numCache>
                <c:formatCode>0%</c:formatCode>
                <c:ptCount val="6"/>
                <c:pt idx="0">
                  <c:v>0.50700000000000001</c:v>
                </c:pt>
                <c:pt idx="1">
                  <c:v>0.50700000000000001</c:v>
                </c:pt>
                <c:pt idx="2">
                  <c:v>0.50700000000000001</c:v>
                </c:pt>
                <c:pt idx="3">
                  <c:v>0.50700000000000001</c:v>
                </c:pt>
                <c:pt idx="4">
                  <c:v>0.50700000000000001</c:v>
                </c:pt>
                <c:pt idx="5">
                  <c:v>0.50700000000000001</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input'!$C$7:$H$7</c:f>
              <c:numCache>
                <c:formatCode>0%</c:formatCode>
                <c:ptCount val="6"/>
                <c:pt idx="1">
                  <c:v>0</c:v>
                </c:pt>
                <c:pt idx="2">
                  <c:v>0</c:v>
                </c:pt>
                <c:pt idx="3">
                  <c:v>0</c:v>
                </c:pt>
                <c:pt idx="4">
                  <c:v>0</c:v>
                </c:pt>
                <c:pt idx="5">
                  <c:v>0</c:v>
                </c:pt>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input'!$C$8:$H$8</c:f>
              <c:numCache>
                <c:formatCode>0%</c:formatCode>
                <c:ptCount val="6"/>
                <c:pt idx="0">
                  <c:v>0.1726</c:v>
                </c:pt>
                <c:pt idx="1">
                  <c:v>0.17050000000000001</c:v>
                </c:pt>
                <c:pt idx="2">
                  <c:v>0.1101</c:v>
                </c:pt>
                <c:pt idx="3">
                  <c:v>6.5100000000000005E-2</c:v>
                </c:pt>
                <c:pt idx="4">
                  <c:v>0.191</c:v>
                </c:pt>
                <c:pt idx="5">
                  <c:v>0.2011</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input'!$C$9:$H$9</c:f>
              <c:numCache>
                <c:formatCode>0%</c:formatCode>
                <c:ptCount val="6"/>
                <c:pt idx="0">
                  <c:v>5.4800000000000001E-2</c:v>
                </c:pt>
                <c:pt idx="1">
                  <c:v>5.9700000000000003E-2</c:v>
                </c:pt>
                <c:pt idx="2">
                  <c:v>6.7000000000000004E-2</c:v>
                </c:pt>
                <c:pt idx="3">
                  <c:v>6.1600000000000002E-2</c:v>
                </c:pt>
                <c:pt idx="4">
                  <c:v>5.21E-2</c:v>
                </c:pt>
                <c:pt idx="5">
                  <c:v>3.7499999999999999E-2</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input'!$C$10:$H$10</c:f>
              <c:numCache>
                <c:formatCode>0%</c:formatCode>
                <c:ptCount val="6"/>
                <c:pt idx="0">
                  <c:v>2.52E-2</c:v>
                </c:pt>
                <c:pt idx="1">
                  <c:v>2.3599999999999999E-2</c:v>
                </c:pt>
                <c:pt idx="2">
                  <c:v>2.9000000000000001E-2</c:v>
                </c:pt>
                <c:pt idx="4">
                  <c:v>3.6999999999999998E-2</c:v>
                </c:pt>
                <c:pt idx="5">
                  <c:v>3.2500000000000001E-2</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input'!$C$11:$H$11</c:f>
              <c:numCache>
                <c:formatCode>0%</c:formatCode>
                <c:ptCount val="6"/>
                <c:pt idx="0">
                  <c:v>0.1353</c:v>
                </c:pt>
                <c:pt idx="1">
                  <c:v>0.13489999999999999</c:v>
                </c:pt>
                <c:pt idx="2">
                  <c:v>0.1449</c:v>
                </c:pt>
                <c:pt idx="3">
                  <c:v>0.14749999999999999</c:v>
                </c:pt>
                <c:pt idx="4">
                  <c:v>0.13589999999999999</c:v>
                </c:pt>
                <c:pt idx="5">
                  <c:v>0.13619999999999999</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input'!$C$12:$H$12</c:f>
              <c:numCache>
                <c:formatCode>0%</c:formatCode>
                <c:ptCount val="6"/>
                <c:pt idx="0">
                  <c:v>1.5699999999999999E-2</c:v>
                </c:pt>
                <c:pt idx="1">
                  <c:v>1.5699999999999999E-2</c:v>
                </c:pt>
                <c:pt idx="2">
                  <c:v>1.9099999999999999E-2</c:v>
                </c:pt>
                <c:pt idx="3">
                  <c:v>2.4500000000000001E-2</c:v>
                </c:pt>
                <c:pt idx="4">
                  <c:v>3.6299999999999999E-2</c:v>
                </c:pt>
                <c:pt idx="5">
                  <c:v>3.85E-2</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input'!$C$13:$H$13</c:f>
              <c:numCache>
                <c:formatCode>0%</c:formatCode>
                <c:ptCount val="6"/>
                <c:pt idx="0">
                  <c:v>8.9400000000000035E-2</c:v>
                </c:pt>
                <c:pt idx="1">
                  <c:v>8.8600000000000012E-2</c:v>
                </c:pt>
                <c:pt idx="2">
                  <c:v>0.12290000000000001</c:v>
                </c:pt>
                <c:pt idx="3">
                  <c:v>0.19430000000000003</c:v>
                </c:pt>
                <c:pt idx="4">
                  <c:v>4.0699999999999958E-2</c:v>
                </c:pt>
                <c:pt idx="5">
                  <c:v>4.7200000000000131E-2</c:v>
                </c:pt>
              </c:numCache>
            </c:numRef>
          </c:val>
        </c:ser>
        <c:dLbls>
          <c:dLblPos val="ctr"/>
          <c:showLegendKey val="0"/>
          <c:showVal val="1"/>
          <c:showCatName val="0"/>
          <c:showSerName val="0"/>
          <c:showPercent val="0"/>
          <c:showBubbleSize val="0"/>
        </c:dLbls>
        <c:gapWidth val="150"/>
        <c:overlap val="100"/>
        <c:axId val="-1806655536"/>
        <c:axId val="-1806654448"/>
      </c:barChart>
      <c:dateAx>
        <c:axId val="-1806655536"/>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6654448"/>
        <c:crosses val="autoZero"/>
        <c:auto val="1"/>
        <c:lblOffset val="100"/>
        <c:baseTimeUnit val="years"/>
      </c:dateAx>
      <c:valAx>
        <c:axId val="-180665444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66555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layout/>
      <c:overlay val="0"/>
    </c:title>
    <c:autoTitleDeleted val="0"/>
    <c:plotArea>
      <c:layout/>
      <c:doughnutChart>
        <c:varyColors val="1"/>
        <c:ser>
          <c:idx val="0"/>
          <c:order val="0"/>
          <c:tx>
            <c:strRef>
              <c:f>Piotroski!$F$11</c:f>
              <c:strCache>
                <c:ptCount val="1"/>
                <c:pt idx="0">
                  <c:v>288%</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221%</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44.444444444444443</c:v>
                </c:pt>
                <c:pt idx="1">
                  <c:v>1</c:v>
                </c:pt>
                <c:pt idx="2">
                  <c:v>154.55555555555554</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100</c:v>
                </c:pt>
                <c:pt idx="1">
                  <c:v>1</c:v>
                </c:pt>
                <c:pt idx="2">
                  <c:v>99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Output'!$D$190:$L$190</c:f>
              <c:numCache>
                <c:formatCode>0</c:formatCode>
                <c:ptCount val="9"/>
                <c:pt idx="0">
                  <c:v>2180.2599999999998</c:v>
                </c:pt>
                <c:pt idx="1">
                  <c:v>2428.16</c:v>
                </c:pt>
                <c:pt idx="2">
                  <c:v>2319.2399999999998</c:v>
                </c:pt>
                <c:pt idx="3">
                  <c:v>2278.04</c:v>
                </c:pt>
                <c:pt idx="4">
                  <c:v>2299.0499999999997</c:v>
                </c:pt>
                <c:pt idx="5">
                  <c:v>2596.2599999999998</c:v>
                </c:pt>
                <c:pt idx="6">
                  <c:v>2603.5700000000002</c:v>
                </c:pt>
                <c:pt idx="7">
                  <c:v>2581.9299999999998</c:v>
                </c:pt>
                <c:pt idx="8">
                  <c:v>2585.84</c:v>
                </c:pt>
              </c:numCache>
            </c:numRef>
          </c:val>
        </c:ser>
        <c:dLbls>
          <c:dLblPos val="inEnd"/>
          <c:showLegendKey val="0"/>
          <c:showVal val="1"/>
          <c:showCatName val="0"/>
          <c:showSerName val="0"/>
          <c:showPercent val="0"/>
          <c:showBubbleSize val="0"/>
        </c:dLbls>
        <c:gapWidth val="0"/>
        <c:axId val="-1808801152"/>
        <c:axId val="-1808808768"/>
      </c:barChart>
      <c:lineChart>
        <c:grouping val="standard"/>
        <c:varyColors val="0"/>
        <c:ser>
          <c:idx val="1"/>
          <c:order val="1"/>
          <c:tx>
            <c:strRef>
              <c:f>'Screener Output'!$A$191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Output'!$D$191:$L$191</c:f>
              <c:numCache>
                <c:formatCode>0%</c:formatCode>
                <c:ptCount val="9"/>
                <c:pt idx="3">
                  <c:v>4.9831559834278893E-2</c:v>
                </c:pt>
                <c:pt idx="4">
                  <c:v>5.4484327557263734E-2</c:v>
                </c:pt>
                <c:pt idx="5">
                  <c:v>6.9229375329467491E-2</c:v>
                </c:pt>
                <c:pt idx="6">
                  <c:v>0.12259619530535892</c:v>
                </c:pt>
                <c:pt idx="7">
                  <c:v>0.1333997647100138</c:v>
                </c:pt>
                <c:pt idx="8">
                  <c:v>0.1247428285596226</c:v>
                </c:pt>
              </c:numCache>
            </c:numRef>
          </c:val>
          <c:smooth val="0"/>
        </c:ser>
        <c:dLbls>
          <c:showLegendKey val="0"/>
          <c:showVal val="0"/>
          <c:showCatName val="0"/>
          <c:showSerName val="0"/>
          <c:showPercent val="0"/>
          <c:showBubbleSize val="0"/>
        </c:dLbls>
        <c:marker val="1"/>
        <c:smooth val="0"/>
        <c:axId val="-1808814208"/>
        <c:axId val="-1808806592"/>
      </c:lineChart>
      <c:dateAx>
        <c:axId val="-180880115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808808768"/>
        <c:crosses val="autoZero"/>
        <c:auto val="1"/>
        <c:lblOffset val="100"/>
        <c:baseTimeUnit val="months"/>
        <c:majorUnit val="3"/>
        <c:majorTimeUnit val="months"/>
      </c:dateAx>
      <c:valAx>
        <c:axId val="-180880876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8801152"/>
        <c:crosses val="autoZero"/>
        <c:crossBetween val="between"/>
      </c:valAx>
      <c:valAx>
        <c:axId val="-1808806592"/>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8814208"/>
        <c:crosses val="max"/>
        <c:crossBetween val="between"/>
        <c:majorUnit val="0.2"/>
      </c:valAx>
      <c:dateAx>
        <c:axId val="-1808814208"/>
        <c:scaling>
          <c:orientation val="minMax"/>
        </c:scaling>
        <c:delete val="1"/>
        <c:axPos val="b"/>
        <c:numFmt formatCode="[$-409]mmm\-yy;@" sourceLinked="1"/>
        <c:majorTickMark val="out"/>
        <c:minorTickMark val="none"/>
        <c:tickLblPos val="nextTo"/>
        <c:crossAx val="-1808806592"/>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Output'!$C$196:$L$196</c:f>
              <c:numCache>
                <c:formatCode>0%</c:formatCode>
                <c:ptCount val="10"/>
                <c:pt idx="0">
                  <c:v>0.84953753842325264</c:v>
                </c:pt>
                <c:pt idx="1">
                  <c:v>0.83685890673589391</c:v>
                </c:pt>
                <c:pt idx="2">
                  <c:v>0.84346995255666846</c:v>
                </c:pt>
                <c:pt idx="3">
                  <c:v>0.84845035442645012</c:v>
                </c:pt>
                <c:pt idx="4">
                  <c:v>0.84998068515039249</c:v>
                </c:pt>
                <c:pt idx="5">
                  <c:v>0.84173462952088918</c:v>
                </c:pt>
                <c:pt idx="6">
                  <c:v>0.83490867632671617</c:v>
                </c:pt>
                <c:pt idx="7">
                  <c:v>0.83312528566545163</c:v>
                </c:pt>
                <c:pt idx="8">
                  <c:v>0.82924014206426977</c:v>
                </c:pt>
                <c:pt idx="9">
                  <c:v>0.83319153543916091</c:v>
                </c:pt>
              </c:numCache>
            </c:numRef>
          </c:val>
        </c:ser>
        <c:ser>
          <c:idx val="1"/>
          <c:order val="1"/>
          <c:tx>
            <c:strRef>
              <c:f>'Screener Output'!$A$197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Output'!$C$197:$L$197</c:f>
              <c:numCache>
                <c:formatCode>0%</c:formatCode>
                <c:ptCount val="10"/>
                <c:pt idx="0">
                  <c:v>1.4203354056159013E-2</c:v>
                </c:pt>
                <c:pt idx="1">
                  <c:v>1.2778292497225103E-2</c:v>
                </c:pt>
                <c:pt idx="2">
                  <c:v>1.1914371375856617E-2</c:v>
                </c:pt>
                <c:pt idx="3">
                  <c:v>1.3051689346510065E-2</c:v>
                </c:pt>
                <c:pt idx="4">
                  <c:v>1.4139347860441433E-2</c:v>
                </c:pt>
                <c:pt idx="5">
                  <c:v>1.4436397642504513E-2</c:v>
                </c:pt>
                <c:pt idx="6">
                  <c:v>1.2957099828214432E-2</c:v>
                </c:pt>
                <c:pt idx="7">
                  <c:v>1.26326543937747E-2</c:v>
                </c:pt>
                <c:pt idx="8">
                  <c:v>1.6402458625911626E-2</c:v>
                </c:pt>
                <c:pt idx="9">
                  <c:v>1.3782755313553816E-2</c:v>
                </c:pt>
              </c:numCache>
            </c:numRef>
          </c:val>
        </c:ser>
        <c:ser>
          <c:idx val="2"/>
          <c:order val="2"/>
          <c:tx>
            <c:strRef>
              <c:f>'Screener Output'!$A$198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Output'!$C$198:$L$198</c:f>
              <c:numCache>
                <c:formatCode>0%</c:formatCode>
                <c:ptCount val="10"/>
                <c:pt idx="0">
                  <c:v>6.8205593780387209E-4</c:v>
                </c:pt>
                <c:pt idx="1">
                  <c:v>6.8799134048232787E-4</c:v>
                </c:pt>
                <c:pt idx="2">
                  <c:v>6.3010674749604647E-4</c:v>
                </c:pt>
                <c:pt idx="3">
                  <c:v>4.7429330297856203E-4</c:v>
                </c:pt>
                <c:pt idx="4">
                  <c:v>5.7944548822672125E-4</c:v>
                </c:pt>
                <c:pt idx="5">
                  <c:v>5.5240207911963642E-4</c:v>
                </c:pt>
                <c:pt idx="6">
                  <c:v>5.3923721044887645E-4</c:v>
                </c:pt>
                <c:pt idx="7">
                  <c:v>9.7942440571983837E-4</c:v>
                </c:pt>
                <c:pt idx="8">
                  <c:v>9.1791799157994226E-4</c:v>
                </c:pt>
                <c:pt idx="9">
                  <c:v>9.4360053212882457E-4</c:v>
                </c:pt>
              </c:numCache>
            </c:numRef>
          </c:val>
        </c:ser>
        <c:ser>
          <c:idx val="3"/>
          <c:order val="3"/>
          <c:tx>
            <c:strRef>
              <c:f>'Screener Output'!$A$199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Output'!$C$199:$L$199</c:f>
              <c:numCache>
                <c:formatCode>0%</c:formatCode>
                <c:ptCount val="10"/>
                <c:pt idx="0">
                  <c:v>4.3877395836693686E-2</c:v>
                </c:pt>
                <c:pt idx="1">
                  <c:v>4.9131754928311309E-2</c:v>
                </c:pt>
                <c:pt idx="2">
                  <c:v>4.7595710332103323E-2</c:v>
                </c:pt>
                <c:pt idx="3">
                  <c:v>4.297528500715752E-2</c:v>
                </c:pt>
                <c:pt idx="4">
                  <c:v>4.2716545802532001E-2</c:v>
                </c:pt>
                <c:pt idx="5">
                  <c:v>4.9272525608403478E-2</c:v>
                </c:pt>
                <c:pt idx="6">
                  <c:v>5.1054208746427562E-2</c:v>
                </c:pt>
                <c:pt idx="7">
                  <c:v>5.1997833743667343E-2</c:v>
                </c:pt>
                <c:pt idx="8">
                  <c:v>5.1515726607615234E-2</c:v>
                </c:pt>
                <c:pt idx="9">
                  <c:v>5.2277016366055133E-2</c:v>
                </c:pt>
              </c:numCache>
            </c:numRef>
          </c:val>
        </c:ser>
        <c:ser>
          <c:idx val="4"/>
          <c:order val="4"/>
          <c:tx>
            <c:strRef>
              <c:f>'Screener Output'!$A$200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Output'!$C$200:$L$200</c:f>
              <c:numCache>
                <c:formatCode>0%</c:formatCode>
                <c:ptCount val="10"/>
                <c:pt idx="0">
                  <c:v>9.1699655746090736E-2</c:v>
                </c:pt>
                <c:pt idx="1">
                  <c:v>0.10054305449808731</c:v>
                </c:pt>
                <c:pt idx="2">
                  <c:v>9.6389858987875554E-2</c:v>
                </c:pt>
                <c:pt idx="3">
                  <c:v>9.5048377916903792E-2</c:v>
                </c:pt>
                <c:pt idx="4">
                  <c:v>9.2583975698407261E-2</c:v>
                </c:pt>
                <c:pt idx="5">
                  <c:v>9.4004045149083226E-2</c:v>
                </c:pt>
                <c:pt idx="6">
                  <c:v>0.10054077788819293</c:v>
                </c:pt>
                <c:pt idx="7">
                  <c:v>0.10126480179138642</c:v>
                </c:pt>
                <c:pt idx="8">
                  <c:v>0.10192375471062343</c:v>
                </c:pt>
                <c:pt idx="9">
                  <c:v>9.9805092349101399E-2</c:v>
                </c:pt>
              </c:numCache>
            </c:numRef>
          </c:val>
        </c:ser>
        <c:dLbls>
          <c:showLegendKey val="0"/>
          <c:showVal val="1"/>
          <c:showCatName val="0"/>
          <c:showSerName val="0"/>
          <c:showPercent val="0"/>
          <c:showBubbleSize val="0"/>
        </c:dLbls>
        <c:axId val="-1808808224"/>
        <c:axId val="-1808803328"/>
      </c:areaChart>
      <c:dateAx>
        <c:axId val="-1808808224"/>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808803328"/>
        <c:crosses val="autoZero"/>
        <c:auto val="1"/>
        <c:lblOffset val="100"/>
        <c:baseTimeUnit val="months"/>
        <c:majorUnit val="3"/>
        <c:majorTimeUnit val="months"/>
      </c:dateAx>
      <c:valAx>
        <c:axId val="-1808803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8808224"/>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Output'!$C$116:$M$116</c:f>
              <c:strCache>
                <c:ptCount val="11"/>
                <c:pt idx="0">
                  <c:v>Mar-09</c:v>
                </c:pt>
                <c:pt idx="1">
                  <c:v>Mar-10</c:v>
                </c:pt>
                <c:pt idx="2">
                  <c:v>Mar-11</c:v>
                </c:pt>
                <c:pt idx="3">
                  <c:v>Mar-12</c:v>
                </c:pt>
                <c:pt idx="4">
                  <c:v>Mar-13</c:v>
                </c:pt>
                <c:pt idx="5">
                  <c:v>Mar-14</c:v>
                </c:pt>
                <c:pt idx="6">
                  <c:v>Mar-15</c:v>
                </c:pt>
                <c:pt idx="7">
                  <c:v>Mar-16</c:v>
                </c:pt>
                <c:pt idx="8">
                  <c:v>Mar-17</c:v>
                </c:pt>
                <c:pt idx="9">
                  <c:v>Mar-18</c:v>
                </c:pt>
                <c:pt idx="10">
                  <c:v>TTM</c:v>
                </c:pt>
              </c:strCache>
            </c:strRef>
          </c:cat>
          <c:val>
            <c:numRef>
              <c:f>'Screener Output'!$C$120:$M$120</c:f>
              <c:numCache>
                <c:formatCode>0.00</c:formatCode>
                <c:ptCount val="11"/>
                <c:pt idx="0">
                  <c:v>7.2713226073834774</c:v>
                </c:pt>
                <c:pt idx="1">
                  <c:v>7.7803990307779554</c:v>
                </c:pt>
                <c:pt idx="2">
                  <c:v>9.1799289007498288</c:v>
                </c:pt>
                <c:pt idx="3">
                  <c:v>9.7148094361008788</c:v>
                </c:pt>
                <c:pt idx="4">
                  <c:v>9.0882389673741351</c:v>
                </c:pt>
                <c:pt idx="5">
                  <c:v>8.7260207398430953</c:v>
                </c:pt>
                <c:pt idx="6">
                  <c:v>9.2907794710521028</c:v>
                </c:pt>
                <c:pt idx="7">
                  <c:v>9.3598430594490356</c:v>
                </c:pt>
                <c:pt idx="8">
                  <c:v>8.5811404444065342</c:v>
                </c:pt>
                <c:pt idx="9">
                  <c:v>7.9134974197693948</c:v>
                </c:pt>
                <c:pt idx="10" formatCode="0.0">
                  <c:v>8.1371014411775278</c:v>
                </c:pt>
              </c:numCache>
            </c:numRef>
          </c:val>
        </c:ser>
        <c:dLbls>
          <c:dLblPos val="inEnd"/>
          <c:showLegendKey val="0"/>
          <c:showVal val="1"/>
          <c:showCatName val="0"/>
          <c:showSerName val="0"/>
          <c:showPercent val="0"/>
          <c:showBubbleSize val="0"/>
        </c:dLbls>
        <c:gapWidth val="41"/>
        <c:axId val="-1808802240"/>
        <c:axId val="-1808807136"/>
      </c:barChart>
      <c:catAx>
        <c:axId val="-1808802240"/>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808807136"/>
        <c:crosses val="autoZero"/>
        <c:auto val="1"/>
        <c:lblAlgn val="ctr"/>
        <c:lblOffset val="100"/>
        <c:noMultiLvlLbl val="1"/>
      </c:catAx>
      <c:valAx>
        <c:axId val="-1808807136"/>
        <c:scaling>
          <c:orientation val="minMax"/>
        </c:scaling>
        <c:delete val="1"/>
        <c:axPos val="l"/>
        <c:numFmt formatCode="0.00" sourceLinked="1"/>
        <c:majorTickMark val="none"/>
        <c:minorTickMark val="none"/>
        <c:tickLblPos val="nextTo"/>
        <c:crossAx val="-1808802240"/>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Output'!$C$95:$L$95</c:f>
              <c:numCache>
                <c:formatCode>0%</c:formatCode>
                <c:ptCount val="10"/>
                <c:pt idx="0">
                  <c:v>0.97837035218327917</c:v>
                </c:pt>
                <c:pt idx="1">
                  <c:v>0.98057997672883801</c:v>
                </c:pt>
                <c:pt idx="2">
                  <c:v>0.98243581566284399</c:v>
                </c:pt>
                <c:pt idx="3">
                  <c:v>0.97939792575523621</c:v>
                </c:pt>
                <c:pt idx="4">
                  <c:v>0.98014521268598198</c:v>
                </c:pt>
                <c:pt idx="5">
                  <c:v>0.98427534208725664</c:v>
                </c:pt>
                <c:pt idx="6">
                  <c:v>0.98271790003588499</c:v>
                </c:pt>
                <c:pt idx="7">
                  <c:v>0.97968258580508094</c:v>
                </c:pt>
                <c:pt idx="8">
                  <c:v>0.98021225766476805</c:v>
                </c:pt>
                <c:pt idx="9">
                  <c:v>0.9692757406452901</c:v>
                </c:pt>
              </c:numCache>
            </c:numRef>
          </c:val>
        </c:ser>
        <c:ser>
          <c:idx val="1"/>
          <c:order val="1"/>
          <c:tx>
            <c:strRef>
              <c:f>'Screener Output'!$A$96:$B$96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Output'!$C$96:$L$96</c:f>
              <c:numCache>
                <c:formatCode>0%</c:formatCode>
                <c:ptCount val="10"/>
                <c:pt idx="0">
                  <c:v>2.1629647816720832E-2</c:v>
                </c:pt>
                <c:pt idx="1">
                  <c:v>1.942002327116199E-2</c:v>
                </c:pt>
                <c:pt idx="2">
                  <c:v>1.7564184337156008E-2</c:v>
                </c:pt>
                <c:pt idx="3">
                  <c:v>2.0602074244763791E-2</c:v>
                </c:pt>
                <c:pt idx="4">
                  <c:v>1.9854787314018019E-2</c:v>
                </c:pt>
                <c:pt idx="5">
                  <c:v>1.5724657912743356E-2</c:v>
                </c:pt>
                <c:pt idx="6">
                  <c:v>1.7282099964115005E-2</c:v>
                </c:pt>
                <c:pt idx="7">
                  <c:v>2.0317414194919059E-2</c:v>
                </c:pt>
                <c:pt idx="8">
                  <c:v>1.978774233523195E-2</c:v>
                </c:pt>
                <c:pt idx="9">
                  <c:v>3.0724259354709904E-2</c:v>
                </c:pt>
              </c:numCache>
            </c:numRef>
          </c:val>
        </c:ser>
        <c:dLbls>
          <c:dLblPos val="ctr"/>
          <c:showLegendKey val="0"/>
          <c:showVal val="1"/>
          <c:showCatName val="0"/>
          <c:showSerName val="0"/>
          <c:showPercent val="0"/>
          <c:showBubbleSize val="0"/>
        </c:dLbls>
        <c:gapWidth val="150"/>
        <c:overlap val="100"/>
        <c:axId val="-1808801696"/>
        <c:axId val="-1808800608"/>
      </c:barChart>
      <c:dateAx>
        <c:axId val="-180880169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08800608"/>
        <c:crosses val="autoZero"/>
        <c:auto val="1"/>
        <c:lblOffset val="100"/>
        <c:baseTimeUnit val="years"/>
      </c:dateAx>
      <c:valAx>
        <c:axId val="-18088006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0880169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Output'!$D$186:$L$186</c:f>
              <c:numCache>
                <c:formatCode>_(* #,##0.0_);_(* \(#,##0.0\);_(* "-"??_);_(@_)</c:formatCode>
                <c:ptCount val="9"/>
                <c:pt idx="0">
                  <c:v>8.6378648818762773</c:v>
                </c:pt>
                <c:pt idx="1">
                  <c:v>11.247307102927676</c:v>
                </c:pt>
                <c:pt idx="2">
                  <c:v>16.705620635572892</c:v>
                </c:pt>
                <c:pt idx="3">
                  <c:v>21.710791095630679</c:v>
                </c:pt>
                <c:pt idx="4">
                  <c:v>32.966217444453157</c:v>
                </c:pt>
                <c:pt idx="5">
                  <c:v>57.422172710125757</c:v>
                </c:pt>
                <c:pt idx="6">
                  <c:v>68.728851727325207</c:v>
                </c:pt>
                <c:pt idx="7">
                  <c:v>73.70533275128173</c:v>
                </c:pt>
                <c:pt idx="8">
                  <c:v>83.64460490757439</c:v>
                </c:pt>
              </c:numCache>
            </c:numRef>
          </c:val>
        </c:ser>
        <c:dLbls>
          <c:dLblPos val="inEnd"/>
          <c:showLegendKey val="0"/>
          <c:showVal val="1"/>
          <c:showCatName val="0"/>
          <c:showSerName val="0"/>
          <c:showPercent val="0"/>
          <c:showBubbleSize val="0"/>
        </c:dLbls>
        <c:gapWidth val="41"/>
        <c:axId val="-1808800064"/>
        <c:axId val="-1808803872"/>
      </c:barChart>
      <c:lineChart>
        <c:grouping val="standard"/>
        <c:varyColors val="0"/>
        <c:ser>
          <c:idx val="1"/>
          <c:order val="1"/>
          <c:tx>
            <c:strRef>
              <c:f>'Screener Output'!$A$187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Output'!$D$187:$L$187</c:f>
              <c:numCache>
                <c:formatCode>0%</c:formatCode>
                <c:ptCount val="9"/>
                <c:pt idx="0">
                  <c:v>-0.31885397412199612</c:v>
                </c:pt>
                <c:pt idx="1">
                  <c:v>0.30209342895910041</c:v>
                </c:pt>
                <c:pt idx="2">
                  <c:v>0.48529959062151118</c:v>
                </c:pt>
                <c:pt idx="3">
                  <c:v>0.29960996776137683</c:v>
                </c:pt>
                <c:pt idx="4">
                  <c:v>0.51842543642215078</c:v>
                </c:pt>
                <c:pt idx="5">
                  <c:v>0.74184899456178033</c:v>
                </c:pt>
                <c:pt idx="6">
                  <c:v>0.19690440963070088</c:v>
                </c:pt>
                <c:pt idx="7">
                  <c:v>7.2407451876254303E-2</c:v>
                </c:pt>
                <c:pt idx="8">
                  <c:v>0.13485146576615681</c:v>
                </c:pt>
              </c:numCache>
            </c:numRef>
          </c:val>
          <c:smooth val="0"/>
        </c:ser>
        <c:dLbls>
          <c:showLegendKey val="0"/>
          <c:showVal val="0"/>
          <c:showCatName val="0"/>
          <c:showSerName val="0"/>
          <c:showPercent val="0"/>
          <c:showBubbleSize val="0"/>
        </c:dLbls>
        <c:marker val="1"/>
        <c:smooth val="0"/>
        <c:axId val="-1808813664"/>
        <c:axId val="-1808809856"/>
      </c:lineChart>
      <c:dateAx>
        <c:axId val="-180880006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1808803872"/>
        <c:crosses val="autoZero"/>
        <c:auto val="1"/>
        <c:lblOffset val="100"/>
        <c:baseTimeUnit val="years"/>
      </c:dateAx>
      <c:valAx>
        <c:axId val="-1808803872"/>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08800064"/>
        <c:crossesAt val="39875"/>
        <c:crossBetween val="between"/>
      </c:valAx>
      <c:valAx>
        <c:axId val="-1808809856"/>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8813664"/>
        <c:crosses val="max"/>
        <c:crossBetween val="between"/>
        <c:majorUnit val="0.2"/>
      </c:valAx>
      <c:dateAx>
        <c:axId val="-1808813664"/>
        <c:scaling>
          <c:orientation val="minMax"/>
        </c:scaling>
        <c:delete val="1"/>
        <c:axPos val="b"/>
        <c:numFmt formatCode="[$-409]mmm\-yy;@" sourceLinked="1"/>
        <c:majorTickMark val="out"/>
        <c:minorTickMark val="none"/>
        <c:tickLblPos val="nextTo"/>
        <c:crossAx val="-1808809856"/>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Output'!$D$192:$L$192</c:f>
              <c:numCache>
                <c:formatCode>0</c:formatCode>
                <c:ptCount val="9"/>
                <c:pt idx="0">
                  <c:v>219.21</c:v>
                </c:pt>
                <c:pt idx="1">
                  <c:v>234.05</c:v>
                </c:pt>
                <c:pt idx="2">
                  <c:v>220.44</c:v>
                </c:pt>
                <c:pt idx="3">
                  <c:v>210.91</c:v>
                </c:pt>
                <c:pt idx="4">
                  <c:v>216.12</c:v>
                </c:pt>
                <c:pt idx="5">
                  <c:v>261.02999999999997</c:v>
                </c:pt>
                <c:pt idx="6">
                  <c:v>263.64999999999998</c:v>
                </c:pt>
                <c:pt idx="7">
                  <c:v>263.16000000000003</c:v>
                </c:pt>
                <c:pt idx="8">
                  <c:v>258.08</c:v>
                </c:pt>
              </c:numCache>
            </c:numRef>
          </c:val>
        </c:ser>
        <c:dLbls>
          <c:dLblPos val="inEnd"/>
          <c:showLegendKey val="0"/>
          <c:showVal val="1"/>
          <c:showCatName val="0"/>
          <c:showSerName val="0"/>
          <c:showPercent val="0"/>
          <c:showBubbleSize val="0"/>
        </c:dLbls>
        <c:gapWidth val="41"/>
        <c:axId val="-1808806048"/>
        <c:axId val="-1808805504"/>
      </c:barChart>
      <c:lineChart>
        <c:grouping val="standard"/>
        <c:varyColors val="0"/>
        <c:ser>
          <c:idx val="1"/>
          <c:order val="1"/>
          <c:tx>
            <c:strRef>
              <c:f>'Screener Output'!$A$193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Output'!$D$193:$L$193</c:f>
              <c:numCache>
                <c:formatCode>0%</c:formatCode>
                <c:ptCount val="9"/>
                <c:pt idx="3">
                  <c:v>5.9955774449693466E-2</c:v>
                </c:pt>
                <c:pt idx="4">
                  <c:v>-1.4096072259477177E-2</c:v>
                </c:pt>
                <c:pt idx="5">
                  <c:v>0.11527451399273647</c:v>
                </c:pt>
                <c:pt idx="6">
                  <c:v>0.19601705679549974</c:v>
                </c:pt>
                <c:pt idx="7">
                  <c:v>0.24773600113792638</c:v>
                </c:pt>
                <c:pt idx="8">
                  <c:v>0.19415139737183029</c:v>
                </c:pt>
              </c:numCache>
            </c:numRef>
          </c:val>
          <c:smooth val="0"/>
        </c:ser>
        <c:dLbls>
          <c:showLegendKey val="0"/>
          <c:showVal val="0"/>
          <c:showCatName val="0"/>
          <c:showSerName val="0"/>
          <c:showPercent val="0"/>
          <c:showBubbleSize val="0"/>
        </c:dLbls>
        <c:marker val="1"/>
        <c:smooth val="0"/>
        <c:axId val="-1808812032"/>
        <c:axId val="-1808812576"/>
      </c:lineChart>
      <c:dateAx>
        <c:axId val="-180880604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808805504"/>
        <c:crosses val="autoZero"/>
        <c:auto val="1"/>
        <c:lblOffset val="100"/>
        <c:baseTimeUnit val="months"/>
        <c:majorUnit val="3"/>
        <c:majorTimeUnit val="months"/>
      </c:dateAx>
      <c:valAx>
        <c:axId val="-18088055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8806048"/>
        <c:crosses val="autoZero"/>
        <c:crossBetween val="between"/>
      </c:valAx>
      <c:valAx>
        <c:axId val="-1808812576"/>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08812032"/>
        <c:crosses val="max"/>
        <c:crossBetween val="between"/>
        <c:majorUnit val="0.2"/>
      </c:valAx>
      <c:dateAx>
        <c:axId val="-1808812032"/>
        <c:scaling>
          <c:orientation val="minMax"/>
        </c:scaling>
        <c:delete val="1"/>
        <c:axPos val="b"/>
        <c:numFmt formatCode="[$-409]mmm\-yy;@" sourceLinked="1"/>
        <c:majorTickMark val="out"/>
        <c:minorTickMark val="none"/>
        <c:tickLblPos val="nextTo"/>
        <c:crossAx val="-1808812576"/>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Output'!$B$130:$M$130</c:f>
              <c:numCache>
                <c:formatCode>0%</c:formatCode>
                <c:ptCount val="12"/>
                <c:pt idx="1">
                  <c:v>0.22370430709703704</c:v>
                </c:pt>
                <c:pt idx="2">
                  <c:v>0.30608704793944475</c:v>
                </c:pt>
                <c:pt idx="3">
                  <c:v>0.21952044370793714</c:v>
                </c:pt>
                <c:pt idx="4">
                  <c:v>0.16710359179481651</c:v>
                </c:pt>
                <c:pt idx="5">
                  <c:v>0.15469040771443088</c:v>
                </c:pt>
                <c:pt idx="6">
                  <c:v>0.12587962892900911</c:v>
                </c:pt>
                <c:pt idx="7">
                  <c:v>0.13159308881258364</c:v>
                </c:pt>
                <c:pt idx="8">
                  <c:v>8.4713984791669805E-2</c:v>
                </c:pt>
                <c:pt idx="9">
                  <c:v>8.3480318046923116E-2</c:v>
                </c:pt>
                <c:pt idx="10">
                  <c:v>8.5172839654200791E-2</c:v>
                </c:pt>
                <c:pt idx="11">
                  <c:v>8.3281469700112937E-2</c:v>
                </c:pt>
              </c:numCache>
            </c:numRef>
          </c:val>
        </c:ser>
        <c:ser>
          <c:idx val="2"/>
          <c:order val="1"/>
          <c:tx>
            <c:strRef>
              <c:f>'Screener Output'!$A$131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Output'!$B$131:$M$131</c:f>
              <c:numCache>
                <c:formatCode>0%</c:formatCode>
                <c:ptCount val="12"/>
                <c:pt idx="1">
                  <c:v>0.11064725248616915</c:v>
                </c:pt>
                <c:pt idx="2">
                  <c:v>0.12326534903280061</c:v>
                </c:pt>
                <c:pt idx="3">
                  <c:v>0.14755318069599907</c:v>
                </c:pt>
                <c:pt idx="4">
                  <c:v>0.11242939380016767</c:v>
                </c:pt>
                <c:pt idx="5">
                  <c:v>8.7337167991879613E-2</c:v>
                </c:pt>
                <c:pt idx="6">
                  <c:v>1.2545589370299176E-2</c:v>
                </c:pt>
                <c:pt idx="7">
                  <c:v>3.515706830125781E-3</c:v>
                </c:pt>
                <c:pt idx="8">
                  <c:v>3.6377489280965698E-3</c:v>
                </c:pt>
                <c:pt idx="9">
                  <c:v>3.8146032812587491E-3</c:v>
                </c:pt>
                <c:pt idx="10">
                  <c:v>4.5503051522164011E-3</c:v>
                </c:pt>
                <c:pt idx="11">
                  <c:v>5.0480603001175576E-3</c:v>
                </c:pt>
              </c:numCache>
            </c:numRef>
          </c:val>
        </c:ser>
        <c:ser>
          <c:idx val="3"/>
          <c:order val="2"/>
          <c:tx>
            <c:strRef>
              <c:f>'Screener Output'!$A$132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Output'!$B$132:$M$132</c:f>
              <c:numCache>
                <c:formatCode>0%</c:formatCode>
                <c:ptCount val="12"/>
                <c:pt idx="1">
                  <c:v>0.17947934697756515</c:v>
                </c:pt>
                <c:pt idx="2">
                  <c:v>2.8700588730025216E-2</c:v>
                </c:pt>
                <c:pt idx="3">
                  <c:v>0.17903885826372196</c:v>
                </c:pt>
                <c:pt idx="4">
                  <c:v>0.18067079268127903</c:v>
                </c:pt>
                <c:pt idx="5">
                  <c:v>0.20840382338013891</c:v>
                </c:pt>
                <c:pt idx="6">
                  <c:v>0.26268557332889403</c:v>
                </c:pt>
                <c:pt idx="7">
                  <c:v>0.23782026176532198</c:v>
                </c:pt>
                <c:pt idx="8">
                  <c:v>0.29587522595873744</c:v>
                </c:pt>
                <c:pt idx="9">
                  <c:v>0.29373845120107511</c:v>
                </c:pt>
                <c:pt idx="10">
                  <c:v>0.30828167527967298</c:v>
                </c:pt>
                <c:pt idx="11">
                  <c:v>0.30894590046792525</c:v>
                </c:pt>
              </c:numCache>
            </c:numRef>
          </c:val>
        </c:ser>
        <c:ser>
          <c:idx val="4"/>
          <c:order val="3"/>
          <c:tx>
            <c:strRef>
              <c:f>'Screener Output'!$A$133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Output'!$B$133:$M$133</c:f>
              <c:numCache>
                <c:formatCode>0%</c:formatCode>
                <c:ptCount val="12"/>
                <c:pt idx="1">
                  <c:v>0.48616909343922871</c:v>
                </c:pt>
                <c:pt idx="2">
                  <c:v>0.54194701429772951</c:v>
                </c:pt>
                <c:pt idx="3">
                  <c:v>0.45388751733234184</c:v>
                </c:pt>
                <c:pt idx="4">
                  <c:v>0.53979622172373676</c:v>
                </c:pt>
                <c:pt idx="5">
                  <c:v>0.54956860091355053</c:v>
                </c:pt>
                <c:pt idx="6">
                  <c:v>0.59888920837179782</c:v>
                </c:pt>
                <c:pt idx="7">
                  <c:v>0.62707094259196861</c:v>
                </c:pt>
                <c:pt idx="8">
                  <c:v>0.61577304032149616</c:v>
                </c:pt>
                <c:pt idx="9">
                  <c:v>0.61896662747074294</c:v>
                </c:pt>
                <c:pt idx="10">
                  <c:v>0.60199517991390994</c:v>
                </c:pt>
                <c:pt idx="11">
                  <c:v>0.60272456953184417</c:v>
                </c:pt>
              </c:numCache>
            </c:numRef>
          </c:val>
        </c:ser>
        <c:dLbls>
          <c:dLblPos val="ctr"/>
          <c:showLegendKey val="0"/>
          <c:showVal val="1"/>
          <c:showCatName val="0"/>
          <c:showSerName val="0"/>
          <c:showPercent val="0"/>
          <c:showBubbleSize val="0"/>
        </c:dLbls>
        <c:gapWidth val="150"/>
        <c:overlap val="100"/>
        <c:axId val="-1808810944"/>
        <c:axId val="-1827087120"/>
      </c:barChart>
      <c:catAx>
        <c:axId val="-1808810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7087120"/>
        <c:crosses val="autoZero"/>
        <c:auto val="1"/>
        <c:lblAlgn val="ctr"/>
        <c:lblOffset val="100"/>
        <c:noMultiLvlLbl val="1"/>
      </c:catAx>
      <c:valAx>
        <c:axId val="-1827087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8810944"/>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image" Target="../media/image2.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6.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image" Target="../media/image1.png"/><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1</xdr:col>
          <xdr:colOff>0</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5</xdr:col>
          <xdr:colOff>333375</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xdr:row>
          <xdr:rowOff>133350</xdr:rowOff>
        </xdr:from>
        <xdr:to>
          <xdr:col>5</xdr:col>
          <xdr:colOff>142875</xdr:colOff>
          <xdr:row>4</xdr:row>
          <xdr:rowOff>28575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xdr:row>
          <xdr:rowOff>0</xdr:rowOff>
        </xdr:from>
        <xdr:to>
          <xdr:col>9</xdr:col>
          <xdr:colOff>190500</xdr:colOff>
          <xdr:row>4</xdr:row>
          <xdr:rowOff>133350</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xdr:row>
          <xdr:rowOff>123825</xdr:rowOff>
        </xdr:from>
        <xdr:to>
          <xdr:col>9</xdr:col>
          <xdr:colOff>28575</xdr:colOff>
          <xdr:row>4</xdr:row>
          <xdr:rowOff>19050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21166</xdr:colOff>
      <xdr:row>11</xdr:row>
      <xdr:rowOff>10584</xdr:rowOff>
    </xdr:from>
    <xdr:to>
      <xdr:col>9</xdr:col>
      <xdr:colOff>0</xdr:colOff>
      <xdr:row>26</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15</xdr:row>
      <xdr:rowOff>52917</xdr:rowOff>
    </xdr:from>
    <xdr:to>
      <xdr:col>8</xdr:col>
      <xdr:colOff>266700</xdr:colOff>
      <xdr:row>15</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17</xdr:row>
      <xdr:rowOff>28575</xdr:rowOff>
    </xdr:from>
    <xdr:to>
      <xdr:col>8</xdr:col>
      <xdr:colOff>295275</xdr:colOff>
      <xdr:row>17</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20110</xdr:rowOff>
    </xdr:from>
    <xdr:to>
      <xdr:col>21</xdr:col>
      <xdr:colOff>1</xdr:colOff>
      <xdr:row>26</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29</xdr:row>
      <xdr:rowOff>0</xdr:rowOff>
    </xdr:from>
    <xdr:to>
      <xdr:col>8</xdr:col>
      <xdr:colOff>600074</xdr:colOff>
      <xdr:row>44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37</xdr:row>
      <xdr:rowOff>88689</xdr:rowOff>
    </xdr:from>
    <xdr:to>
      <xdr:col>2</xdr:col>
      <xdr:colOff>3591984</xdr:colOff>
      <xdr:row>37</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36</xdr:row>
      <xdr:rowOff>8467</xdr:rowOff>
    </xdr:from>
    <xdr:to>
      <xdr:col>8</xdr:col>
      <xdr:colOff>371475</xdr:colOff>
      <xdr:row>36</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34</xdr:row>
      <xdr:rowOff>31750</xdr:rowOff>
    </xdr:from>
    <xdr:to>
      <xdr:col>8</xdr:col>
      <xdr:colOff>228600</xdr:colOff>
      <xdr:row>34</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29</xdr:row>
      <xdr:rowOff>10582</xdr:rowOff>
    </xdr:from>
    <xdr:to>
      <xdr:col>21</xdr:col>
      <xdr:colOff>9526</xdr:colOff>
      <xdr:row>44</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48</xdr:row>
      <xdr:rowOff>19050</xdr:rowOff>
    </xdr:from>
    <xdr:to>
      <xdr:col>9</xdr:col>
      <xdr:colOff>1</xdr:colOff>
      <xdr:row>60</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48</xdr:row>
      <xdr:rowOff>9525</xdr:rowOff>
    </xdr:from>
    <xdr:to>
      <xdr:col>20</xdr:col>
      <xdr:colOff>609599</xdr:colOff>
      <xdr:row>60</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10</xdr:col>
      <xdr:colOff>95250</xdr:colOff>
      <xdr:row>61</xdr:row>
      <xdr:rowOff>38100</xdr:rowOff>
    </xdr:from>
    <xdr:to>
      <xdr:col>10</xdr:col>
      <xdr:colOff>200025</xdr:colOff>
      <xdr:row>62</xdr:row>
      <xdr:rowOff>97894</xdr:rowOff>
    </xdr:to>
    <xdr:pic>
      <xdr:nvPicPr>
        <xdr:cNvPr id="18" name="Picture 1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34100" y="11468100"/>
          <a:ext cx="104775" cy="25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5</xdr:row>
      <xdr:rowOff>9525</xdr:rowOff>
    </xdr:from>
    <xdr:to>
      <xdr:col>1</xdr:col>
      <xdr:colOff>28574</xdr:colOff>
      <xdr:row>6</xdr:row>
      <xdr:rowOff>92071</xdr:rowOff>
    </xdr:to>
    <xdr:pic>
      <xdr:nvPicPr>
        <xdr:cNvPr id="19" name="Picture 1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962025"/>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1</xdr:col>
      <xdr:colOff>10583</xdr:colOff>
      <xdr:row>11</xdr:row>
      <xdr:rowOff>10582</xdr:rowOff>
    </xdr:from>
    <xdr:to>
      <xdr:col>9</xdr:col>
      <xdr:colOff>0</xdr:colOff>
      <xdr:row>26</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17</xdr:row>
      <xdr:rowOff>40217</xdr:rowOff>
    </xdr:from>
    <xdr:to>
      <xdr:col>8</xdr:col>
      <xdr:colOff>247650</xdr:colOff>
      <xdr:row>17</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13</xdr:row>
      <xdr:rowOff>0</xdr:rowOff>
    </xdr:from>
    <xdr:to>
      <xdr:col>8</xdr:col>
      <xdr:colOff>161925</xdr:colOff>
      <xdr:row>13</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33</xdr:row>
      <xdr:rowOff>10583</xdr:rowOff>
    </xdr:from>
    <xdr:to>
      <xdr:col>8</xdr:col>
      <xdr:colOff>590550</xdr:colOff>
      <xdr:row>47</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36</xdr:row>
      <xdr:rowOff>43392</xdr:rowOff>
    </xdr:from>
    <xdr:to>
      <xdr:col>8</xdr:col>
      <xdr:colOff>228600</xdr:colOff>
      <xdr:row>36</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40</xdr:row>
      <xdr:rowOff>28575</xdr:rowOff>
    </xdr:from>
    <xdr:to>
      <xdr:col>8</xdr:col>
      <xdr:colOff>247650</xdr:colOff>
      <xdr:row>40</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33</xdr:row>
      <xdr:rowOff>9525</xdr:rowOff>
    </xdr:from>
    <xdr:to>
      <xdr:col>17</xdr:col>
      <xdr:colOff>590549</xdr:colOff>
      <xdr:row>47</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11</xdr:row>
      <xdr:rowOff>19049</xdr:rowOff>
    </xdr:from>
    <xdr:to>
      <xdr:col>17</xdr:col>
      <xdr:colOff>600074</xdr:colOff>
      <xdr:row>26</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85726</xdr:colOff>
      <xdr:row>48</xdr:row>
      <xdr:rowOff>3702</xdr:rowOff>
    </xdr:from>
    <xdr:to>
      <xdr:col>10</xdr:col>
      <xdr:colOff>200025</xdr:colOff>
      <xdr:row>49</xdr:row>
      <xdr:rowOff>48148</xdr:rowOff>
    </xdr:to>
    <xdr:pic>
      <xdr:nvPicPr>
        <xdr:cNvPr id="14" name="Picture 1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86476" y="10862202"/>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238126</xdr:colOff>
      <xdr:row>48</xdr:row>
      <xdr:rowOff>156102</xdr:rowOff>
    </xdr:from>
    <xdr:to>
      <xdr:col>10</xdr:col>
      <xdr:colOff>352425</xdr:colOff>
      <xdr:row>49</xdr:row>
      <xdr:rowOff>200548</xdr:rowOff>
    </xdr:to>
    <xdr:pic>
      <xdr:nvPicPr>
        <xdr:cNvPr id="15" name="Picture 1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38876" y="11014602"/>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6</xdr:row>
      <xdr:rowOff>85725</xdr:rowOff>
    </xdr:from>
    <xdr:to>
      <xdr:col>1</xdr:col>
      <xdr:colOff>66674</xdr:colOff>
      <xdr:row>7</xdr:row>
      <xdr:rowOff>130171</xdr:rowOff>
    </xdr:to>
    <xdr:pic>
      <xdr:nvPicPr>
        <xdr:cNvPr id="16" name="Picture 1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3375" y="1571625"/>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21</xdr:row>
      <xdr:rowOff>0</xdr:rowOff>
    </xdr:from>
    <xdr:to>
      <xdr:col>1</xdr:col>
      <xdr:colOff>104775</xdr:colOff>
      <xdr:row>21</xdr:row>
      <xdr:rowOff>250294</xdr:rowOff>
    </xdr:to>
    <xdr:pic>
      <xdr:nvPicPr>
        <xdr:cNvPr id="9"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1925" y="4552950"/>
          <a:ext cx="104775" cy="25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0</xdr:rowOff>
    </xdr:from>
    <xdr:to>
      <xdr:col>8</xdr:col>
      <xdr:colOff>9525</xdr:colOff>
      <xdr:row>50</xdr:row>
      <xdr:rowOff>38100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
  <sheetViews>
    <sheetView showGridLines="0" zoomScale="90" zoomScaleNormal="90" workbookViewId="0">
      <selection sqref="A1:B1"/>
    </sheetView>
  </sheetViews>
  <sheetFormatPr defaultColWidth="9.140625" defaultRowHeight="15"/>
  <cols>
    <col min="1" max="1" width="28" style="2" customWidth="1"/>
    <col min="2" max="2" width="58.42578125" style="5" customWidth="1"/>
    <col min="3" max="4" width="9.140625" style="2"/>
    <col min="5" max="5" width="14.28515625" style="2" customWidth="1"/>
    <col min="6" max="9" width="9.140625" style="2"/>
    <col min="10" max="10" width="10.5703125" style="2" customWidth="1"/>
    <col min="11" max="11" width="9.140625" style="2"/>
    <col min="12" max="12" width="10.140625" style="2" customWidth="1"/>
    <col min="13" max="16384" width="9.140625" style="2"/>
  </cols>
  <sheetData>
    <row r="1" spans="1:13" ht="15.75">
      <c r="A1" s="367" t="s">
        <v>71</v>
      </c>
      <c r="B1" s="367"/>
      <c r="C1" s="367" t="s">
        <v>74</v>
      </c>
      <c r="D1" s="367"/>
      <c r="E1" s="367"/>
      <c r="F1" s="367"/>
      <c r="G1" s="367"/>
      <c r="H1" s="367"/>
      <c r="I1" s="367"/>
      <c r="J1" s="367"/>
      <c r="K1" s="367"/>
      <c r="L1" s="367"/>
      <c r="M1" s="367"/>
    </row>
    <row r="3" spans="1:13">
      <c r="A3" s="3" t="s">
        <v>0</v>
      </c>
      <c r="B3" s="17" t="str">
        <f>'Screener Input'!B1</f>
        <v>BRITANNIA INDUSTRIES LTD</v>
      </c>
    </row>
    <row r="4" spans="1:13">
      <c r="A4" s="3" t="s">
        <v>1</v>
      </c>
      <c r="B4" s="17" t="s">
        <v>564</v>
      </c>
    </row>
    <row r="5" spans="1:13" ht="15.75" thickBot="1">
      <c r="A5" s="3" t="s">
        <v>70</v>
      </c>
      <c r="B5" s="165">
        <f>'Screener Input'!B8</f>
        <v>5843.55</v>
      </c>
      <c r="K5" s="368"/>
      <c r="L5" s="368"/>
    </row>
    <row r="6" spans="1:13" ht="16.5" thickTop="1" thickBot="1">
      <c r="A6" s="3" t="s">
        <v>3</v>
      </c>
      <c r="B6" s="69">
        <f>'Screener Output'!L40</f>
        <v>24.01</v>
      </c>
      <c r="D6" s="362" t="s">
        <v>314</v>
      </c>
      <c r="E6" s="362"/>
      <c r="F6" s="358">
        <f>(Valuation_Table!B8-Valuation_Table!B25)/Valuation_Table!B25</f>
        <v>0.23975555752213068</v>
      </c>
      <c r="G6" s="207"/>
      <c r="I6" s="324" t="s">
        <v>230</v>
      </c>
    </row>
    <row r="7" spans="1:13" ht="15.75" thickTop="1">
      <c r="A7" s="3" t="s">
        <v>4</v>
      </c>
      <c r="B7" s="1">
        <f>'Screener Output'!B38</f>
        <v>70215.600000000006</v>
      </c>
      <c r="D7" s="229" t="s">
        <v>517</v>
      </c>
      <c r="F7" s="358">
        <f>POWER(Valuation_Table!E24/Valuation_Table!B8, 1/10)-1</f>
        <v>0.12789861067966068</v>
      </c>
      <c r="I7" s="364">
        <f>Valuation_Table!B17</f>
        <v>2.1662784053343982</v>
      </c>
    </row>
    <row r="8" spans="1:13" ht="15.75" thickBot="1">
      <c r="A8" s="3" t="s">
        <v>5</v>
      </c>
      <c r="B8" s="18">
        <f>SUM('Shareholding input'!C6:C7)</f>
        <v>0.50700000000000001</v>
      </c>
      <c r="D8" s="363" t="s">
        <v>518</v>
      </c>
      <c r="E8" s="363"/>
      <c r="F8" s="357">
        <f>Valuation_Table!C53</f>
        <v>9.6186416808810016E-2</v>
      </c>
      <c r="G8" s="357">
        <f>Valuation_Table!E55</f>
        <v>0.14125942993607876</v>
      </c>
      <c r="I8" s="365"/>
    </row>
    <row r="9" spans="1:13" ht="15.75" thickTop="1"/>
    <row r="11" spans="1:13" ht="185.25" customHeight="1">
      <c r="A11" s="3" t="s">
        <v>6</v>
      </c>
      <c r="B11" s="19" t="s">
        <v>460</v>
      </c>
    </row>
    <row r="12" spans="1:13">
      <c r="A12" s="366"/>
      <c r="B12" s="366"/>
    </row>
    <row r="13" spans="1:13">
      <c r="A13" s="77"/>
      <c r="B13" s="77"/>
    </row>
  </sheetData>
  <mergeCells count="5">
    <mergeCell ref="I7:I8"/>
    <mergeCell ref="A12:B12"/>
    <mergeCell ref="A1:B1"/>
    <mergeCell ref="C1:M1"/>
    <mergeCell ref="K5:L5"/>
  </mergeCells>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F6:G8 B6 B3 B7 B5"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workbookViewId="0"/>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404"/>
      <c r="C1" s="405"/>
      <c r="D1" s="405"/>
      <c r="E1" s="405"/>
      <c r="F1" s="405"/>
      <c r="G1" s="405"/>
    </row>
    <row r="2" spans="2:12" ht="15">
      <c r="B2" s="406" t="s">
        <v>95</v>
      </c>
      <c r="C2" s="406"/>
      <c r="D2" s="406"/>
      <c r="E2" s="406"/>
      <c r="F2" s="406"/>
      <c r="G2" s="406"/>
    </row>
    <row r="3" spans="2:12">
      <c r="B3" s="30" t="s">
        <v>91</v>
      </c>
      <c r="C3" s="31" t="s">
        <v>97</v>
      </c>
      <c r="D3" s="31" t="s">
        <v>98</v>
      </c>
      <c r="E3" s="31" t="s">
        <v>99</v>
      </c>
      <c r="F3" s="31" t="s">
        <v>100</v>
      </c>
      <c r="G3" s="31" t="s">
        <v>101</v>
      </c>
    </row>
    <row r="4" spans="2:12">
      <c r="B4" s="22" t="s">
        <v>57</v>
      </c>
      <c r="C4" s="161">
        <f>SUM('Screener Output'!L35:L35)/SUM('Screener Output'!L60:L60)</f>
        <v>0.19153217730660138</v>
      </c>
      <c r="D4" s="161">
        <f>SUM('Screener Output'!K35:K35)/SUM('Screener Output'!K60:K60)</f>
        <v>0.21273376345327619</v>
      </c>
      <c r="E4" s="161">
        <f>SUM('Screener Output'!J35:J35)/SUM('Screener Output'!J60:J60)</f>
        <v>0.23349931736940782</v>
      </c>
      <c r="F4" s="161">
        <f>SUM('Screener Output'!I35:I35)/SUM('Screener Output'!I60:I60)</f>
        <v>0.24446172473910907</v>
      </c>
      <c r="G4" s="161">
        <f>SUM('Screener Output'!H35:H35)/SUM('Screener Output'!H60:H60)</f>
        <v>0.18474825517611659</v>
      </c>
    </row>
    <row r="5" spans="2:12">
      <c r="B5" s="22" t="s">
        <v>282</v>
      </c>
      <c r="C5" s="23">
        <f>'Screener Output'!L45/'Screener Output'!L60</f>
        <v>3.8282020420892404E-2</v>
      </c>
      <c r="D5" s="23">
        <f>'Screener Output'!K45/'Screener Output'!K60</f>
        <v>2.9964060447728882E-2</v>
      </c>
      <c r="E5" s="23">
        <f>'Screener Output'!J45/'Screener Output'!J60</f>
        <v>3.7119808750134549E-2</v>
      </c>
      <c r="F5" s="23">
        <f>'Screener Output'!I45/'Screener Output'!I60</f>
        <v>5.1510664664046218E-2</v>
      </c>
      <c r="G5" s="23">
        <f>'Screener Output'!H45/'Screener Output'!H60</f>
        <v>6.9914334399290387E-2</v>
      </c>
    </row>
    <row r="6" spans="2:12">
      <c r="B6" s="22" t="s">
        <v>58</v>
      </c>
      <c r="C6" s="23">
        <f>SUM('Screener Output'!L9:L9)/SUM('Screener Output'!L10:L10)</f>
        <v>1.5986464841600743</v>
      </c>
      <c r="D6" s="23">
        <f>SUM('Screener Output'!K9:K9)/SUM('Screener Output'!K10:K10)</f>
        <v>1.8563398203592816</v>
      </c>
      <c r="E6" s="23">
        <f>SUM('Screener Output'!J9:J9)/SUM('Screener Output'!J10:J10)</f>
        <v>1.3013160208911625</v>
      </c>
      <c r="F6" s="23">
        <f>SUM('Screener Output'!I9:I9)/SUM('Screener Output'!I10:I10)</f>
        <v>0.98583579337087079</v>
      </c>
      <c r="G6" s="23">
        <f>SUM('Screener Output'!H9:H9)/SUM('Screener Output'!H10:H10)</f>
        <v>0.82860205329179848</v>
      </c>
    </row>
    <row r="7" spans="2:12">
      <c r="B7" s="22" t="s">
        <v>59</v>
      </c>
      <c r="C7" s="25">
        <f>'Screener Output'!L29/'Screener Output'!L26</f>
        <v>0.16824911060027292</v>
      </c>
      <c r="D7" s="25">
        <f>'Screener Output'!K29/'Screener Output'!K26</f>
        <v>0.15779829889033575</v>
      </c>
      <c r="E7" s="25">
        <f>'Screener Output'!J29/'Screener Output'!J26</f>
        <v>0.15942638227129657</v>
      </c>
      <c r="F7" s="25">
        <f>'Screener Output'!I29/'Screener Output'!I26</f>
        <v>0.13971383560563069</v>
      </c>
      <c r="G7" s="25">
        <f>'Screener Output'!H29/'Screener Output'!H26</f>
        <v>9.559058603644599E-2</v>
      </c>
    </row>
    <row r="8" spans="2:12">
      <c r="B8" s="22" t="s">
        <v>189</v>
      </c>
      <c r="C8" s="22">
        <f>'Screener Output'!L35</f>
        <v>1004.1399999999999</v>
      </c>
      <c r="D8" s="22">
        <f>'Screener Output'!K35</f>
        <v>884.32999999999993</v>
      </c>
      <c r="E8" s="22">
        <f>'Screener Output'!J35</f>
        <v>824.35999999999956</v>
      </c>
      <c r="F8" s="22">
        <f>'Screener Output'!I35</f>
        <v>688.48000000000025</v>
      </c>
      <c r="G8" s="22">
        <f>'Screener Output'!H35</f>
        <v>395.74000000000058</v>
      </c>
    </row>
    <row r="9" spans="2:12">
      <c r="B9" s="22" t="s">
        <v>61</v>
      </c>
      <c r="C9" s="22">
        <f>'Screener Output'!L62</f>
        <v>1248.77</v>
      </c>
      <c r="D9" s="22">
        <f>'Screener Output'!K62</f>
        <v>441.28</v>
      </c>
      <c r="E9" s="22">
        <f>'Screener Output'!J62</f>
        <v>959.23</v>
      </c>
      <c r="F9" s="22">
        <f>'Screener Output'!I62</f>
        <v>584.46</v>
      </c>
      <c r="G9" s="22">
        <f>'Screener Output'!H62</f>
        <v>671.48</v>
      </c>
    </row>
    <row r="10" spans="2:12">
      <c r="B10" s="22" t="s">
        <v>30</v>
      </c>
      <c r="C10" s="27">
        <f>'Screener Output'!L40</f>
        <v>24.01</v>
      </c>
      <c r="D10" s="27">
        <f>'Screener Output'!K40</f>
        <v>24</v>
      </c>
      <c r="E10" s="27">
        <f>'Screener Output'!J40</f>
        <v>24</v>
      </c>
      <c r="F10" s="27">
        <f>'Screener Output'!I40</f>
        <v>23.99</v>
      </c>
      <c r="G10" s="27">
        <f>'Screener Output'!H40</f>
        <v>23.99</v>
      </c>
      <c r="L10" s="164"/>
    </row>
    <row r="11" spans="2:12">
      <c r="B11" s="22" t="s">
        <v>62</v>
      </c>
      <c r="C11" s="160">
        <f>'Screener Output'!L25/'Screener Output'!L49</f>
        <v>1.9227531009962482</v>
      </c>
      <c r="D11" s="160">
        <f>'Screener Output'!K25/'Screener Output'!K49</f>
        <v>2.214258909111904</v>
      </c>
      <c r="E11" s="160">
        <f>'Screener Output'!J25/'Screener Output'!J49</f>
        <v>2.4137307886224457</v>
      </c>
      <c r="F11" s="160">
        <f>'Screener Output'!I25/'Screener Output'!I49</f>
        <v>2.8783408076525667</v>
      </c>
      <c r="G11" s="160">
        <f>'Screener Output'!H25/'Screener Output'!H49</f>
        <v>3.2428281319296932</v>
      </c>
    </row>
    <row r="12" spans="2:12">
      <c r="B12" s="22"/>
      <c r="C12" s="33"/>
      <c r="D12" s="28"/>
      <c r="E12" s="28"/>
      <c r="F12" s="28"/>
      <c r="G12" s="28"/>
      <c r="H12" s="32" t="s">
        <v>77</v>
      </c>
      <c r="I12" s="32">
        <v>0</v>
      </c>
      <c r="J12" s="32" t="s">
        <v>72</v>
      </c>
      <c r="K12" s="34">
        <f>(C23/9)*100</f>
        <v>44.444444444444443</v>
      </c>
    </row>
    <row r="13" spans="2:12">
      <c r="B13" s="22"/>
      <c r="C13" s="22"/>
      <c r="D13" s="28"/>
      <c r="E13" s="28"/>
      <c r="F13" s="28"/>
      <c r="G13" s="28"/>
      <c r="H13" s="32" t="s">
        <v>78</v>
      </c>
      <c r="I13" s="32">
        <v>30</v>
      </c>
      <c r="J13" s="32" t="s">
        <v>82</v>
      </c>
      <c r="K13" s="32">
        <v>1</v>
      </c>
    </row>
    <row r="14" spans="2:12">
      <c r="B14" s="24" t="s">
        <v>279</v>
      </c>
      <c r="C14" s="35">
        <f>--(C8&gt;0)</f>
        <v>1</v>
      </c>
      <c r="D14" s="36"/>
      <c r="E14" s="36"/>
      <c r="F14" s="36"/>
      <c r="G14" s="36"/>
      <c r="H14" s="32" t="s">
        <v>79</v>
      </c>
      <c r="I14" s="32">
        <v>40</v>
      </c>
      <c r="J14" s="32" t="s">
        <v>80</v>
      </c>
      <c r="K14" s="32">
        <f>SUM(I12:I16) - SUM(K12:K13)</f>
        <v>154.55555555555554</v>
      </c>
    </row>
    <row r="15" spans="2:12">
      <c r="B15" s="24" t="s">
        <v>130</v>
      </c>
      <c r="C15" s="35">
        <f>--(C9&gt;0)</f>
        <v>1</v>
      </c>
      <c r="D15" s="36"/>
      <c r="E15" s="36"/>
      <c r="F15" s="36"/>
      <c r="G15" s="36"/>
      <c r="H15" s="32" t="s">
        <v>80</v>
      </c>
      <c r="I15" s="32">
        <v>30</v>
      </c>
      <c r="J15" s="32"/>
      <c r="K15" s="32"/>
    </row>
    <row r="16" spans="2:12">
      <c r="B16" s="24" t="s">
        <v>131</v>
      </c>
      <c r="C16" s="37">
        <f>--(C4&gt;D4)</f>
        <v>0</v>
      </c>
      <c r="D16" s="38"/>
      <c r="E16" s="38"/>
      <c r="F16" s="38"/>
      <c r="G16" s="28"/>
      <c r="H16" s="32" t="s">
        <v>81</v>
      </c>
      <c r="I16" s="32">
        <v>100</v>
      </c>
      <c r="J16" s="32"/>
      <c r="K16" s="32"/>
    </row>
    <row r="17" spans="2:8">
      <c r="B17" s="24" t="s">
        <v>280</v>
      </c>
      <c r="C17" s="37">
        <f>--(C9&gt;C8)</f>
        <v>1</v>
      </c>
      <c r="D17" s="38"/>
      <c r="E17" s="38"/>
      <c r="F17" s="38"/>
      <c r="G17" s="28"/>
    </row>
    <row r="18" spans="2:8">
      <c r="B18" s="24" t="s">
        <v>283</v>
      </c>
      <c r="C18" s="37">
        <f>--(C5&lt;D5)</f>
        <v>0</v>
      </c>
      <c r="D18" s="38"/>
      <c r="E18" s="38"/>
      <c r="F18" s="38"/>
      <c r="G18" s="28"/>
    </row>
    <row r="19" spans="2:8">
      <c r="B19" s="24" t="s">
        <v>284</v>
      </c>
      <c r="C19" s="37">
        <f>--(C6&gt;D6)</f>
        <v>0</v>
      </c>
      <c r="D19" s="38"/>
      <c r="E19" s="38"/>
      <c r="F19" s="38"/>
      <c r="G19" s="28"/>
    </row>
    <row r="20" spans="2:8">
      <c r="B20" s="22" t="s">
        <v>132</v>
      </c>
      <c r="C20" s="37">
        <f>--(C10&lt;D10)</f>
        <v>0</v>
      </c>
      <c r="D20" s="38"/>
      <c r="E20" s="38"/>
      <c r="F20" s="38"/>
      <c r="G20" s="28"/>
    </row>
    <row r="21" spans="2:8">
      <c r="B21" s="22" t="s">
        <v>133</v>
      </c>
      <c r="C21" s="37">
        <f>--(C7&gt;D7)</f>
        <v>1</v>
      </c>
      <c r="D21" s="38"/>
      <c r="E21" s="38"/>
      <c r="F21" s="38"/>
      <c r="G21" s="28"/>
    </row>
    <row r="22" spans="2:8">
      <c r="B22" s="22" t="s">
        <v>134</v>
      </c>
      <c r="C22" s="37">
        <f>--(C11&gt;D11)</f>
        <v>0</v>
      </c>
      <c r="D22" s="38"/>
      <c r="E22" s="38"/>
      <c r="F22" s="38"/>
      <c r="G22" s="28"/>
    </row>
    <row r="23" spans="2:8" ht="15">
      <c r="B23" s="39" t="s">
        <v>56</v>
      </c>
      <c r="C23" s="40">
        <f>SUM(C14:C22)</f>
        <v>4</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407" t="s">
        <v>92</v>
      </c>
      <c r="C35" s="407"/>
      <c r="D35" s="407"/>
      <c r="E35" s="2"/>
      <c r="F35" s="2"/>
      <c r="G35" s="2"/>
      <c r="H35" s="2"/>
    </row>
    <row r="36" spans="2:8" ht="15">
      <c r="B36" s="408" t="s">
        <v>93</v>
      </c>
      <c r="C36" s="408"/>
      <c r="D36" s="408"/>
      <c r="E36" s="2"/>
      <c r="F36" s="2"/>
      <c r="G36" s="2"/>
      <c r="H36" s="2"/>
    </row>
    <row r="37" spans="2:8" ht="15">
      <c r="B37" s="409" t="s">
        <v>94</v>
      </c>
      <c r="C37" s="409"/>
      <c r="D37" s="409"/>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workbookViewId="0"/>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404"/>
      <c r="C1" s="405"/>
      <c r="D1" s="405"/>
      <c r="E1" s="405"/>
      <c r="F1" s="405"/>
    </row>
    <row r="2" spans="2:11" ht="15">
      <c r="B2" s="406" t="s">
        <v>96</v>
      </c>
      <c r="C2" s="406"/>
      <c r="D2" s="406"/>
      <c r="E2" s="406"/>
      <c r="F2" s="406"/>
    </row>
    <row r="3" spans="2:11" ht="15">
      <c r="B3" s="410" t="s">
        <v>73</v>
      </c>
      <c r="C3" s="411"/>
      <c r="D3" s="411"/>
      <c r="E3" s="411"/>
      <c r="F3" s="412"/>
    </row>
    <row r="4" spans="2:11" ht="15">
      <c r="B4" s="22" t="s">
        <v>34</v>
      </c>
      <c r="C4" s="42" t="s">
        <v>97</v>
      </c>
      <c r="D4" s="22"/>
      <c r="E4" s="22" t="s">
        <v>67</v>
      </c>
      <c r="F4" s="23">
        <f>C5/C6</f>
        <v>0.18678078154833316</v>
      </c>
      <c r="G4" s="32" t="s">
        <v>83</v>
      </c>
      <c r="I4" s="29" t="s">
        <v>82</v>
      </c>
    </row>
    <row r="5" spans="2:11">
      <c r="B5" s="22" t="s">
        <v>63</v>
      </c>
      <c r="C5" s="22">
        <f>'Screener Output'!L52</f>
        <v>979.22999999999979</v>
      </c>
      <c r="D5" s="22"/>
      <c r="E5" s="22" t="s">
        <v>281</v>
      </c>
      <c r="F5" s="23">
        <f>C8/C6</f>
        <v>0.64513310965595771</v>
      </c>
      <c r="G5" s="32" t="s">
        <v>77</v>
      </c>
      <c r="H5" s="29">
        <v>0</v>
      </c>
      <c r="I5" s="29" t="s">
        <v>72</v>
      </c>
      <c r="J5" s="224">
        <f>(C14/6)*100</f>
        <v>100</v>
      </c>
    </row>
    <row r="6" spans="2:11">
      <c r="B6" s="22" t="s">
        <v>17</v>
      </c>
      <c r="C6" s="22">
        <f>'Screener Output'!L60</f>
        <v>5242.67</v>
      </c>
      <c r="D6" s="22"/>
      <c r="E6" s="22" t="s">
        <v>68</v>
      </c>
      <c r="F6" s="23">
        <f>C9/C6</f>
        <v>0.31816231042579446</v>
      </c>
      <c r="G6" s="32" t="s">
        <v>78</v>
      </c>
      <c r="H6" s="29">
        <v>30</v>
      </c>
      <c r="I6" s="29" t="s">
        <v>82</v>
      </c>
      <c r="J6" s="29">
        <v>1</v>
      </c>
    </row>
    <row r="7" spans="2:11">
      <c r="B7" s="22" t="s">
        <v>12</v>
      </c>
      <c r="C7" s="22">
        <f>'Screener Output'!L60</f>
        <v>5242.67</v>
      </c>
      <c r="D7" s="22"/>
      <c r="E7" s="22" t="s">
        <v>285</v>
      </c>
      <c r="F7" s="23">
        <f>'Screener Output'!B38/'Screener Output'!L60</f>
        <v>13.393099317714066</v>
      </c>
      <c r="G7" s="32" t="s">
        <v>79</v>
      </c>
      <c r="H7" s="29">
        <v>20</v>
      </c>
      <c r="I7" s="29" t="s">
        <v>80</v>
      </c>
      <c r="J7" s="29">
        <f>SUM(H5:H9) - SUM(J5:J6)</f>
        <v>99</v>
      </c>
    </row>
    <row r="8" spans="2:11">
      <c r="B8" s="22" t="s">
        <v>214</v>
      </c>
      <c r="C8" s="22">
        <f>'Screener Output'!L41</f>
        <v>3382.22</v>
      </c>
      <c r="D8" s="22"/>
      <c r="E8" s="22" t="s">
        <v>69</v>
      </c>
      <c r="F8" s="23">
        <f>C11/C6</f>
        <v>1.8910192707151126</v>
      </c>
      <c r="G8" s="32" t="s">
        <v>80</v>
      </c>
      <c r="H8" s="29">
        <v>50</v>
      </c>
    </row>
    <row r="9" spans="2:11">
      <c r="B9" s="22" t="s">
        <v>64</v>
      </c>
      <c r="C9" s="22">
        <f>'Screener Output'!L29</f>
        <v>1668.0199999999998</v>
      </c>
      <c r="D9" s="22"/>
      <c r="E9" s="22"/>
      <c r="F9" s="22"/>
      <c r="G9" s="32" t="s">
        <v>81</v>
      </c>
      <c r="H9" s="29">
        <v>100</v>
      </c>
    </row>
    <row r="10" spans="2:11">
      <c r="B10" s="22" t="s">
        <v>65</v>
      </c>
      <c r="C10" s="23">
        <f>'Screener Output'!B38</f>
        <v>70215.600000000006</v>
      </c>
      <c r="D10" s="22"/>
      <c r="E10" s="22"/>
      <c r="F10" s="22"/>
      <c r="G10" s="32">
        <f>IF(SUM(C1:D1)&gt;=20,20,SUM(C1:D1))</f>
        <v>0</v>
      </c>
    </row>
    <row r="11" spans="2:11">
      <c r="B11" s="22" t="s">
        <v>18</v>
      </c>
      <c r="C11" s="22">
        <f>'Screener Output'!L26</f>
        <v>9913.99</v>
      </c>
      <c r="D11" s="22"/>
      <c r="E11" s="22"/>
      <c r="F11" s="22"/>
      <c r="G11" s="43"/>
    </row>
    <row r="12" spans="2:11">
      <c r="B12" s="22"/>
      <c r="C12" s="22"/>
      <c r="D12" s="22"/>
      <c r="E12" s="22"/>
      <c r="F12" s="22"/>
      <c r="G12" s="43"/>
    </row>
    <row r="13" spans="2:11">
      <c r="B13" s="22"/>
      <c r="C13" s="22"/>
      <c r="D13" s="22"/>
      <c r="E13" s="22"/>
      <c r="F13" s="22"/>
      <c r="G13" s="43"/>
    </row>
    <row r="14" spans="2:11">
      <c r="B14" s="26" t="s">
        <v>66</v>
      </c>
      <c r="C14" s="44">
        <f>IF((1.2*F4+1.4*F5+3.3*F6+0.6*F7+0.999*F8)&gt;=6,6,(1.2*F4+1.4*F5+3.3*F6+0.6*F7+0.999*F8))</f>
        <v>6</v>
      </c>
      <c r="D14" s="22"/>
      <c r="E14" s="22"/>
      <c r="F14" s="22"/>
      <c r="G14" s="43"/>
      <c r="H14" s="43"/>
      <c r="I14" s="43"/>
      <c r="J14" s="43"/>
      <c r="K14" s="43"/>
    </row>
    <row r="16" spans="2:11" ht="15">
      <c r="B16" s="45" t="s">
        <v>88</v>
      </c>
    </row>
    <row r="17" spans="2:3">
      <c r="B17" s="29" t="s">
        <v>86</v>
      </c>
      <c r="C17" s="29" t="s">
        <v>85</v>
      </c>
    </row>
    <row r="18" spans="2:3">
      <c r="B18" s="29" t="s">
        <v>89</v>
      </c>
      <c r="C18" s="29" t="s">
        <v>87</v>
      </c>
    </row>
    <row r="19" spans="2:3">
      <c r="B19" s="29" t="s">
        <v>90</v>
      </c>
      <c r="C19" s="29" t="s">
        <v>84</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90</v>
      </c>
      <c r="C32" s="5"/>
    </row>
    <row r="33" spans="2:3" ht="15">
      <c r="B33" s="6" t="s">
        <v>86</v>
      </c>
      <c r="C33" s="5"/>
    </row>
    <row r="34" spans="2:3" ht="15">
      <c r="B34" s="7" t="s">
        <v>89</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A12" sqref="A12:K12"/>
    </sheetView>
  </sheetViews>
  <sheetFormatPr defaultColWidth="14.42578125" defaultRowHeight="15" customHeight="1"/>
  <cols>
    <col min="1" max="1" width="3" style="110" customWidth="1"/>
    <col min="2" max="2" width="10.5703125" style="110" customWidth="1"/>
    <col min="3" max="3" width="10.5703125" style="97" customWidth="1"/>
    <col min="4" max="4" width="17.28515625" style="97" customWidth="1"/>
    <col min="5" max="6" width="10.5703125" style="97" customWidth="1"/>
    <col min="7" max="7" width="12.140625" style="97" customWidth="1"/>
    <col min="8" max="15" width="10.5703125" style="97" customWidth="1"/>
    <col min="16" max="16" width="12" style="97" customWidth="1"/>
    <col min="17" max="17" width="15.28515625" style="97" customWidth="1"/>
    <col min="18" max="19" width="14.42578125" style="97"/>
    <col min="20" max="20" width="15.85546875" style="97" customWidth="1"/>
    <col min="21" max="16384" width="14.42578125" style="97"/>
  </cols>
  <sheetData>
    <row r="1" spans="2:27" ht="15" customHeight="1">
      <c r="D1" s="106"/>
      <c r="E1" s="107"/>
      <c r="F1" s="108"/>
      <c r="G1" s="108"/>
      <c r="H1" s="109"/>
      <c r="I1" s="109"/>
      <c r="J1" s="108"/>
    </row>
    <row r="2" spans="2:27" ht="36">
      <c r="B2" s="96" t="s">
        <v>295</v>
      </c>
      <c r="C2" s="96" t="s">
        <v>296</v>
      </c>
      <c r="D2" s="95" t="s">
        <v>177</v>
      </c>
      <c r="E2" s="96" t="s">
        <v>178</v>
      </c>
      <c r="F2" s="96" t="s">
        <v>179</v>
      </c>
      <c r="G2" s="96" t="s">
        <v>180</v>
      </c>
      <c r="H2" s="96" t="s">
        <v>294</v>
      </c>
      <c r="I2" s="96" t="s">
        <v>181</v>
      </c>
      <c r="J2" s="96" t="s">
        <v>182</v>
      </c>
      <c r="K2" s="96" t="s">
        <v>183</v>
      </c>
      <c r="L2" s="96" t="s">
        <v>313</v>
      </c>
      <c r="M2" s="96" t="s">
        <v>42</v>
      </c>
      <c r="N2" s="96" t="s">
        <v>184</v>
      </c>
      <c r="O2" s="96" t="s">
        <v>57</v>
      </c>
    </row>
    <row r="3" spans="2:27" ht="15" customHeight="1">
      <c r="B3" s="98">
        <f>AVERAGE('Screener Output'!H76:L76)</f>
        <v>42.814306875239154</v>
      </c>
      <c r="C3" s="98">
        <f>AVERAGE('Screener Output'!H78:L78)</f>
        <v>16.766658078643147</v>
      </c>
      <c r="D3" s="96" t="s">
        <v>175</v>
      </c>
      <c r="E3" s="104">
        <f>SUM('Screener Output'!H29:L29)/SUM('Screener Output'!H26:L26)</f>
        <v>0.1470034013314841</v>
      </c>
      <c r="F3" s="101">
        <f>SUM('Screener Output'!H35:M35)/SUM('Screener Output'!H26:M26)</f>
        <v>9.2545732359829505E-2</v>
      </c>
      <c r="G3" s="104">
        <f>SUM('Screener Output'!H6:L6)/SUM('Screener Output'!H26:L26)</f>
        <v>6.1210676554545179E-2</v>
      </c>
      <c r="H3" s="104">
        <f>SUM('Screener Output'!H7:L7)/SUM('Screener Output'!H26:L26)</f>
        <v>2.1332604273165932E-2</v>
      </c>
      <c r="I3" s="99">
        <f>SUM('Screener Output'!H55:L55)/SUM('Screener Output'!H60:L60)</f>
        <v>4.082126643586622E-2</v>
      </c>
      <c r="J3" s="99">
        <f>SUM('Screener Output'!H9:L9)/SUM('Screener Output'!H10:L10)</f>
        <v>1.3322511732258129</v>
      </c>
      <c r="K3" s="98">
        <f>SUM('Screener Input'!G66:K66)/SUM('Screener Input'!G57:K58)</f>
        <v>1.7473389629354681</v>
      </c>
      <c r="L3" s="98">
        <f>SUM('Screener Output'!H45:L45)/SUM('Screener Output'!H35:L35)</f>
        <v>0.1978219933896051</v>
      </c>
      <c r="M3" s="182">
        <f>SUM('Screener Output'!H35:L35)/SUM('Screener Output'!H40:L41)</f>
        <v>0.37089440344613706</v>
      </c>
      <c r="N3" s="99">
        <f>SUM('Screener Output'!H35:L35)/SUM('Screener Output'!H42:L45)</f>
        <v>0.34554164327140002</v>
      </c>
      <c r="O3" s="99">
        <f>SUM('Screener Output'!H35:L35)/SUM('Screener Output'!H60:L60)</f>
        <v>0.212262423784706</v>
      </c>
    </row>
    <row r="4" spans="2:27" ht="15" customHeight="1">
      <c r="B4" s="98">
        <f>'Screener Output'!L76</f>
        <v>62.797919229867077</v>
      </c>
      <c r="C4" s="98">
        <f>'Screener Output'!L78</f>
        <v>18.514179731905774</v>
      </c>
      <c r="D4" s="96" t="s">
        <v>176</v>
      </c>
      <c r="E4" s="102">
        <f>'Screener Output'!L29/'Screener Output'!L26</f>
        <v>0.16824911060027292</v>
      </c>
      <c r="F4" s="101">
        <f>'Screener Output'!M35/'Screener Output'!M26</f>
        <v>0.10260032253887533</v>
      </c>
      <c r="G4" s="104">
        <f>SUM('Screener Output'!L6:L6)/SUM('Screener Output'!L26:L26)</f>
        <v>6.5845335732636401E-2</v>
      </c>
      <c r="H4" s="104">
        <f>SUM('Screener Output'!L7:L7)/SUM('Screener Output'!L26:L26)</f>
        <v>3.0724259354709862E-2</v>
      </c>
      <c r="I4" s="111">
        <f>'Screener Output'!L55/'Screener Output'!L60</f>
        <v>3.5558217473157759E-2</v>
      </c>
      <c r="J4" s="99">
        <f>SUM('Screener Output'!L9:L9)/SUM('Screener Output'!L10:L10)</f>
        <v>1.5986464841600743</v>
      </c>
      <c r="K4" s="98">
        <f>SUM('Screener Input'!K66:K66)/SUM('Screener Input'!K57:K58)</f>
        <v>1.5391415142254046</v>
      </c>
      <c r="L4" s="98">
        <f>SUM('Screener Output'!L45:L45)/SUM('Screener Output'!M35:M35)</f>
        <v>0.19188848095456634</v>
      </c>
      <c r="M4" s="182">
        <f>Dupont!H10</f>
        <v>0.30706088549510746</v>
      </c>
      <c r="N4" s="99">
        <f>SUM('Screener Output'!L35:L35)/SUM('Screener Output'!L42:L45)</f>
        <v>0.2783918734214415</v>
      </c>
      <c r="O4" s="99">
        <f>SUM('Screener Output'!L35:L35)/SUM('Screener Output'!L60:L60)</f>
        <v>0.19153217730660138</v>
      </c>
    </row>
    <row r="5" spans="2:27" ht="12.95" customHeight="1">
      <c r="B5" s="98">
        <f>MAX('Screener Output'!H76:L76)</f>
        <v>62.797919229867077</v>
      </c>
      <c r="C5" s="98">
        <f>MAX('Screener Output'!H78:L78)</f>
        <v>21.204909114616381</v>
      </c>
      <c r="D5" s="96" t="s">
        <v>292</v>
      </c>
      <c r="E5" s="102"/>
      <c r="F5" s="101"/>
      <c r="G5" s="104"/>
      <c r="H5" s="104"/>
      <c r="I5" s="111"/>
      <c r="J5" s="99"/>
      <c r="K5" s="98"/>
      <c r="L5" s="98"/>
      <c r="M5" s="99"/>
      <c r="N5" s="99"/>
      <c r="O5" s="99"/>
    </row>
    <row r="6" spans="2:27" ht="15" customHeight="1">
      <c r="D6" s="97" t="s">
        <v>293</v>
      </c>
      <c r="O6" s="112"/>
      <c r="S6" s="112"/>
      <c r="Z6" s="114"/>
    </row>
    <row r="7" spans="2:27" ht="26.25" customHeight="1">
      <c r="D7" s="95" t="s">
        <v>166</v>
      </c>
      <c r="E7" s="96" t="s">
        <v>102</v>
      </c>
      <c r="F7" s="96" t="s">
        <v>167</v>
      </c>
      <c r="G7" s="96" t="s">
        <v>168</v>
      </c>
      <c r="H7" s="96" t="s">
        <v>169</v>
      </c>
      <c r="I7" s="96" t="s">
        <v>170</v>
      </c>
      <c r="J7" s="96" t="s">
        <v>171</v>
      </c>
      <c r="K7" s="96" t="s">
        <v>172</v>
      </c>
      <c r="L7" s="96" t="s">
        <v>173</v>
      </c>
      <c r="M7" s="96" t="s">
        <v>298</v>
      </c>
      <c r="N7" s="96" t="s">
        <v>174</v>
      </c>
      <c r="S7" s="112"/>
      <c r="Z7" s="115"/>
      <c r="AA7" s="114"/>
    </row>
    <row r="8" spans="2:27" s="110" customFormat="1" ht="26.25" customHeight="1">
      <c r="D8" s="96" t="s">
        <v>175</v>
      </c>
      <c r="E8" s="98">
        <f>AVERAGE('Screener Output'!H62:L62)</f>
        <v>781.04399999999998</v>
      </c>
      <c r="F8" s="99">
        <f>SUM('Screener Output'!H65:L65)/SUM('Screener Output'!H62:L62)</f>
        <v>-0.33588888718177212</v>
      </c>
      <c r="G8" s="100">
        <f>SUM('Screener Output'!H23:L23)/SUM('Screener Output'!H62:L62)</f>
        <v>0.32436840946220702</v>
      </c>
      <c r="H8" s="99">
        <f>SUM('Screener Output'!H62:L62)/SUM('Screener Output'!H35:L35)</f>
        <v>1.02848790508421</v>
      </c>
      <c r="I8" s="101">
        <f>SUM('Screener Output'!H62:L62)/SUM('Screener Output'!H26:L26)</f>
        <v>9.268034983496469E-2</v>
      </c>
      <c r="J8" s="102">
        <f>SUM('Screener Output'!H62:L62)/SUM('Screener Output'!H60:L60)</f>
        <v>0.21830933556642906</v>
      </c>
      <c r="K8" s="103">
        <f>SUM('Screener Output'!H62:L62)/SUM('Screener Output'!H48:L48)</f>
        <v>0.56599195916391531</v>
      </c>
      <c r="L8" s="103">
        <f>SUM('Screener Output'!H62:L62)/SUM('Screener Output'!H45:L45)</f>
        <v>5.1990574327022916</v>
      </c>
      <c r="M8" s="104">
        <f>SUM('Screener Output'!H63:L63)/SUM('Screener Output'!H62:L62)</f>
        <v>0.67563159053779298</v>
      </c>
      <c r="N8" s="99">
        <f>SUM('Screener Output'!H23:L23)/SUM('Screener Output'!H63:L63)</f>
        <v>0.48009657038685011</v>
      </c>
      <c r="S8" s="112"/>
      <c r="Z8" s="115"/>
      <c r="AA8" s="114"/>
    </row>
    <row r="9" spans="2:27" s="110" customFormat="1" ht="26.25" customHeight="1">
      <c r="D9" s="96" t="s">
        <v>176</v>
      </c>
      <c r="E9" s="98">
        <f>'Screener Output'!L62</f>
        <v>1248.77</v>
      </c>
      <c r="F9" s="105">
        <f>SUM('Screener Output'!L65:L65)/SUM('Screener Output'!L62:L62)</f>
        <v>-0.18558261329147882</v>
      </c>
      <c r="G9" s="99">
        <f>SUM('Screener Output'!L23:L23)/SUM('Screener Output'!L62:L62)</f>
        <v>0.400738326513289</v>
      </c>
      <c r="H9" s="99">
        <f>SUM('Screener Output'!L62:L62)/SUM('Screener Output'!L35:L35)</f>
        <v>1.2436214073734739</v>
      </c>
      <c r="I9" s="104">
        <f>SUM('Screener Output'!L62:L62)/SUM('Screener Output'!L26:L26)</f>
        <v>0.12596038527373943</v>
      </c>
      <c r="J9" s="104">
        <f>SUM('Screener Output'!L62:L62)/SUM('Screener Output'!L60:L60)</f>
        <v>0.23819351589934135</v>
      </c>
      <c r="K9" s="104">
        <f>SUM('Screener Output'!L62:L62)/SUM('Screener Output'!L48:L48)</f>
        <v>0.76342817318155698</v>
      </c>
      <c r="L9" s="104">
        <f>SUM('Screener Output'!L62:L62)/SUM('Screener Output'!L45:L45)</f>
        <v>6.2220727453911309</v>
      </c>
      <c r="M9" s="104">
        <f>SUM('Screener Output'!L63:L63)/SUM('Screener Output'!L62:L62)</f>
        <v>0.599261673486711</v>
      </c>
      <c r="N9" s="99">
        <f>SUM('Screener Output'!L23:L23)/SUM('Screener Output'!L63:L63)</f>
        <v>0.66872010048908226</v>
      </c>
      <c r="S9" s="112"/>
      <c r="Z9" s="115"/>
      <c r="AA9" s="114"/>
    </row>
    <row r="10" spans="2:27" s="110" customFormat="1" ht="26.25" customHeight="1">
      <c r="S10" s="112"/>
      <c r="Z10" s="115"/>
      <c r="AA10" s="114"/>
    </row>
    <row r="11" spans="2:27" ht="12">
      <c r="D11" s="95" t="s">
        <v>185</v>
      </c>
      <c r="E11" s="96" t="s">
        <v>186</v>
      </c>
      <c r="F11" s="96" t="s">
        <v>187</v>
      </c>
      <c r="G11" s="96" t="s">
        <v>188</v>
      </c>
      <c r="H11" s="96" t="s">
        <v>189</v>
      </c>
      <c r="I11" s="96" t="s">
        <v>35</v>
      </c>
      <c r="J11" s="96" t="s">
        <v>37</v>
      </c>
      <c r="K11" s="96" t="s">
        <v>102</v>
      </c>
      <c r="L11" s="96" t="s">
        <v>32</v>
      </c>
      <c r="M11" s="96" t="s">
        <v>9</v>
      </c>
      <c r="N11" s="96"/>
      <c r="AA11" s="115"/>
    </row>
    <row r="12" spans="2:27" ht="12.95" customHeight="1">
      <c r="D12" s="96" t="s">
        <v>190</v>
      </c>
      <c r="E12" s="102">
        <f>POWER('Screener Output'!M25/'Screener Output'!C25,1/9)-1</f>
        <v>0.128097673658919</v>
      </c>
      <c r="F12" s="99">
        <f>('Screener Output'!L6/'Screener Output'!C6)^(1/9)-1</f>
        <v>9.4892058693979431E-2</v>
      </c>
      <c r="G12" s="99">
        <f>('Screener Output'!L7/'Screener Output'!C7)^(1/9)-1</f>
        <v>0.17024710512683505</v>
      </c>
      <c r="H12" s="102">
        <f>POWER('Screener Output'!M35/'Screener Output'!C35,1/9)-1</f>
        <v>0.24720294698205758</v>
      </c>
      <c r="I12" s="102">
        <f>('Screener Output'!M74/'Screener Output'!C74)^(1/9)-1</f>
        <v>0.23877662958659163</v>
      </c>
      <c r="J12" s="102">
        <f>('Screener Output'!L73/'Screener Output'!C73)^(1/9)-1</f>
        <v>0.18756294814527785</v>
      </c>
      <c r="K12" s="102">
        <f>('Screener Output'!L62/'Screener Output'!C62)^(1/9)-1</f>
        <v>0.19551244325963046</v>
      </c>
      <c r="L12" s="102">
        <f>('Screener Output'!L63/'Screener Output'!C62)^(1/9)-1</f>
        <v>0.12939230209663521</v>
      </c>
      <c r="M12" s="102">
        <f>('Screener Output'!L42/'Screener Output'!C42)^(1/9)-1</f>
        <v>0.18823342751723326</v>
      </c>
      <c r="N12" s="116"/>
      <c r="AA12" s="115"/>
    </row>
    <row r="13" spans="2:27" ht="12.95" customHeight="1">
      <c r="D13" s="96" t="s">
        <v>191</v>
      </c>
      <c r="E13" s="102">
        <f>POWER('Screener Output'!M25/'Screener Output'!G25,1/5)-1</f>
        <v>0.106958771903642</v>
      </c>
      <c r="F13" s="99">
        <f>('Screener Output'!L6/'Screener Output'!G6)^(1/5)-1</f>
        <v>0.11744180408979954</v>
      </c>
      <c r="G13" s="99">
        <f>('Screener Output'!L7/'Screener Output'!G7)^(1/5)-1</f>
        <v>0.19922102355315729</v>
      </c>
      <c r="H13" s="102">
        <f>POWER('Screener Output'!M35/'Screener Output'!G35,1/5)-1</f>
        <v>0.32112868386052984</v>
      </c>
      <c r="I13" s="102">
        <f>('Screener Output'!M74/'Screener Output'!G74)^(1/5)-1</f>
        <v>0.32033918485224477</v>
      </c>
      <c r="J13" s="102">
        <f>('Screener Output'!L73/'Screener Output'!G73)^(1/5)-1</f>
        <v>0.43588204387578577</v>
      </c>
      <c r="K13" s="102">
        <f>('Screener Output'!L62/'Screener Output'!G62)^(1/5)-1</f>
        <v>0.31316953732388653</v>
      </c>
      <c r="L13" s="102">
        <f>('Screener Output'!L63/'Screener Output'!G63)^(1/5)-1</f>
        <v>0.50105807227290544</v>
      </c>
      <c r="M13" s="102">
        <f>('Screener Output'!L42/'Screener Output'!G42)^(1/5)-1</f>
        <v>0.4371611652066385</v>
      </c>
      <c r="N13" s="117"/>
      <c r="P13" s="115"/>
    </row>
    <row r="14" spans="2:27" ht="23.25" customHeight="1"/>
    <row r="15" spans="2:27" ht="12.95" customHeight="1"/>
    <row r="16" spans="2:27" ht="12.95" customHeight="1">
      <c r="D16" s="106"/>
      <c r="E16" s="112"/>
      <c r="F16" s="108"/>
      <c r="G16" s="108"/>
      <c r="H16" s="112"/>
      <c r="I16" s="109"/>
      <c r="J16" s="109"/>
      <c r="K16" s="108"/>
      <c r="L16" s="113"/>
      <c r="M16" s="113"/>
      <c r="N16" s="113"/>
    </row>
    <row r="17" spans="6:11" ht="15" customHeight="1">
      <c r="F17" s="113"/>
      <c r="G17" s="113"/>
      <c r="H17" s="113"/>
      <c r="I17" s="113"/>
      <c r="J17" s="113"/>
      <c r="K17" s="113"/>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418" t="s">
        <v>34</v>
      </c>
      <c r="B1" s="418"/>
      <c r="C1" s="55" t="s">
        <v>28</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116</v>
      </c>
      <c r="B2" s="65">
        <v>0.25</v>
      </c>
      <c r="C2" s="57" t="s">
        <v>110</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117</v>
      </c>
      <c r="B3" s="67">
        <v>25</v>
      </c>
      <c r="C3" s="57" t="s">
        <v>32</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36</v>
      </c>
      <c r="B4" s="64">
        <f>Valuation_Chart!B5</f>
        <v>5843.55</v>
      </c>
      <c r="C4" s="57" t="s">
        <v>41</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41</v>
      </c>
      <c r="B5" s="65">
        <v>0.09</v>
      </c>
      <c r="C5" s="57" t="s">
        <v>111</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112</v>
      </c>
      <c r="B6" s="64">
        <f>MIN(D9:X9)</f>
        <v>0</v>
      </c>
      <c r="C6" s="57" t="s">
        <v>113</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414"/>
      <c r="B7" s="415"/>
      <c r="C7" s="57" t="s">
        <v>114</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416"/>
      <c r="B8" s="417"/>
      <c r="C8" s="57" t="s">
        <v>115</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t="str">
        <f>IF(D8&gt;B4,1*D1,"No")</f>
        <v>No</v>
      </c>
      <c r="E9" s="57" t="str">
        <f>IF(E8&gt;B4,E1*1,"No")</f>
        <v>No</v>
      </c>
      <c r="F9" s="57" t="str">
        <f>IF(F8&gt;B4,F1*1,"No")</f>
        <v>No</v>
      </c>
      <c r="G9" s="57" t="str">
        <f>IF(G8&gt;B4,G1*1,"No")</f>
        <v>No</v>
      </c>
      <c r="H9" s="57" t="str">
        <f>IF(H8&gt;B4,H1*1,"No")</f>
        <v>No</v>
      </c>
      <c r="I9" s="57" t="str">
        <f>IF(I8&gt;B4,I1*1,"No")</f>
        <v>No</v>
      </c>
      <c r="J9" s="57" t="str">
        <f>IF(J8&gt;B4,J1*1,"No")</f>
        <v>No</v>
      </c>
      <c r="K9" s="57" t="str">
        <f>IF(K8&gt;B4,1*K1,"No")</f>
        <v>No</v>
      </c>
      <c r="L9" s="57" t="str">
        <f>IF(L8&gt;B4,L1*1,"No")</f>
        <v>No</v>
      </c>
      <c r="M9" s="57" t="str">
        <f>IF(M8&gt;B4,M1*1,"No")</f>
        <v>No</v>
      </c>
      <c r="N9" s="57" t="str">
        <f>IF(N8&gt;B4,N1*1,"No")</f>
        <v>No</v>
      </c>
      <c r="O9" s="57" t="str">
        <f>IF(O8&gt;B4,O1*1,"No")</f>
        <v>No</v>
      </c>
      <c r="P9" s="57" t="str">
        <f>IF(P8&gt;B4,P1*1,"No")</f>
        <v>No</v>
      </c>
      <c r="Q9" s="57" t="str">
        <f>IF(Q8&gt;B4,Q1*1,"No")</f>
        <v>No</v>
      </c>
      <c r="R9" s="57" t="str">
        <f>IF(R8&gt;B4,1*R1,"No")</f>
        <v>No</v>
      </c>
      <c r="S9" s="57" t="str">
        <f>IF(S8&gt;B4,S1*1,"No")</f>
        <v>No</v>
      </c>
      <c r="T9" s="57" t="str">
        <f>IF(T8&gt;B4,T1*1,"No")</f>
        <v>No</v>
      </c>
      <c r="U9" s="57" t="str">
        <f>IF(U8&gt;B4,U1*1,"No")</f>
        <v>No</v>
      </c>
      <c r="V9" s="57" t="str">
        <f>IF(V8&gt;B4,V1*1,"No")</f>
        <v>No</v>
      </c>
      <c r="W9" s="57" t="str">
        <f>IF(W8&gt;B4,W1*1,"No")</f>
        <v>No</v>
      </c>
      <c r="X9" s="57" t="str">
        <f>IF(X8&gt;B4,X1*1,"No")</f>
        <v>No</v>
      </c>
    </row>
    <row r="10" spans="1:24">
      <c r="C10" s="54"/>
    </row>
    <row r="11" spans="1:24">
      <c r="A11" s="413" t="s">
        <v>118</v>
      </c>
      <c r="B11" s="413"/>
      <c r="C11" s="413"/>
      <c r="D11" s="413"/>
      <c r="E11" s="413"/>
      <c r="F11" s="413"/>
    </row>
    <row r="12" spans="1:24">
      <c r="A12" s="66" t="s">
        <v>119</v>
      </c>
      <c r="B12" s="68" t="e">
        <f>(#REF!/Valuation_Chart!B6)*10^7</f>
        <v>#REF!</v>
      </c>
      <c r="C12" s="70" t="s">
        <v>126</v>
      </c>
    </row>
    <row r="13" spans="1:24" ht="15.75" thickBot="1">
      <c r="A13" s="424" t="s">
        <v>124</v>
      </c>
      <c r="B13" s="424"/>
      <c r="C13" s="424"/>
    </row>
    <row r="14" spans="1:24">
      <c r="A14" s="419" t="s">
        <v>125</v>
      </c>
      <c r="B14" s="420"/>
      <c r="C14" s="420"/>
      <c r="D14" s="420"/>
      <c r="E14" s="420"/>
      <c r="F14" s="420"/>
      <c r="G14" s="420"/>
      <c r="H14" s="420"/>
      <c r="I14" s="420"/>
      <c r="J14" s="420"/>
      <c r="K14" s="420"/>
      <c r="L14" s="420"/>
      <c r="M14" s="420"/>
      <c r="N14" s="420"/>
      <c r="O14" s="420"/>
      <c r="P14" s="420"/>
      <c r="Q14" s="420"/>
      <c r="R14" s="420"/>
      <c r="S14" s="420"/>
      <c r="T14" s="420"/>
      <c r="U14" s="420"/>
      <c r="V14" s="420"/>
      <c r="W14" s="420"/>
      <c r="X14" s="421"/>
    </row>
    <row r="15" spans="1:24">
      <c r="A15" s="63" t="s">
        <v>60</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122</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123</v>
      </c>
      <c r="B17" s="75" t="e">
        <f>MAX(#REF!,#REF!)</f>
        <v>#REF!</v>
      </c>
      <c r="C17" s="422"/>
      <c r="D17" s="422"/>
      <c r="E17" s="422"/>
      <c r="F17" s="422"/>
      <c r="G17" s="422"/>
      <c r="H17" s="422"/>
      <c r="I17" s="422"/>
      <c r="J17" s="422"/>
      <c r="K17" s="422"/>
      <c r="L17" s="422"/>
      <c r="M17" s="422"/>
      <c r="N17" s="422"/>
      <c r="O17" s="422"/>
      <c r="P17" s="422"/>
      <c r="Q17" s="422"/>
      <c r="R17" s="422"/>
      <c r="S17" s="422"/>
      <c r="T17" s="422"/>
      <c r="U17" s="422"/>
      <c r="V17" s="422"/>
      <c r="W17" s="422"/>
      <c r="X17" s="423"/>
    </row>
    <row r="18" spans="1:24" ht="15.75" thickBot="1">
      <c r="A18" s="63" t="s">
        <v>121</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1"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7" workbookViewId="0">
      <selection activeCell="A12" sqref="A12:K12"/>
    </sheetView>
  </sheetViews>
  <sheetFormatPr defaultRowHeight="15"/>
  <cols>
    <col min="1" max="1" width="30" bestFit="1" customWidth="1"/>
    <col min="3" max="5" width="10.5703125" bestFit="1" customWidth="1"/>
    <col min="6" max="11" width="11.5703125" bestFit="1" customWidth="1"/>
    <col min="12" max="12" width="11" customWidth="1"/>
  </cols>
  <sheetData>
    <row r="1" spans="1:14">
      <c r="A1" s="118" t="str">
        <f>'Screener Input'!B1</f>
        <v>BRITANNIA INDUSTRIES LTD</v>
      </c>
      <c r="B1" s="119"/>
      <c r="C1" s="119"/>
      <c r="D1" s="119"/>
      <c r="E1" s="119"/>
      <c r="F1" s="119"/>
      <c r="G1" s="119"/>
      <c r="H1" s="119"/>
      <c r="I1" s="119"/>
      <c r="J1" s="119"/>
      <c r="K1" s="119"/>
      <c r="L1" s="119"/>
      <c r="M1" s="119"/>
      <c r="N1" s="119"/>
    </row>
    <row r="2" spans="1:14">
      <c r="A2" s="118"/>
      <c r="B2" s="119"/>
      <c r="C2" s="119"/>
      <c r="D2" s="119"/>
      <c r="E2" s="119"/>
      <c r="F2" s="119"/>
      <c r="G2" s="119"/>
      <c r="H2" s="119"/>
      <c r="I2" s="119"/>
      <c r="J2" s="119"/>
      <c r="K2" s="119"/>
      <c r="L2" s="119"/>
      <c r="M2" s="119"/>
      <c r="N2" s="119"/>
    </row>
    <row r="3" spans="1:14">
      <c r="A3" s="428" t="s">
        <v>193</v>
      </c>
      <c r="B3" s="428"/>
      <c r="C3" s="428"/>
      <c r="D3" s="428"/>
      <c r="E3" s="428"/>
      <c r="F3" s="428"/>
      <c r="G3" s="428"/>
      <c r="H3" s="428"/>
      <c r="I3" s="428"/>
      <c r="J3" s="428"/>
      <c r="K3" s="120"/>
      <c r="L3" s="121"/>
      <c r="M3" s="121"/>
      <c r="N3" s="121"/>
    </row>
    <row r="4" spans="1:14">
      <c r="A4" s="122" t="str">
        <f>'Screener Input'!A1</f>
        <v>COMPANY NAME</v>
      </c>
      <c r="B4" s="174"/>
      <c r="C4" s="174">
        <f>EOMONTH('Screener Input'!B$16,-1)+1</f>
        <v>39873</v>
      </c>
      <c r="D4" s="174">
        <f>EOMONTH('Screener Input'!C$16,-1)+1</f>
        <v>40238</v>
      </c>
      <c r="E4" s="174">
        <f>EOMONTH('Screener Input'!D$16,-1)+1</f>
        <v>40603</v>
      </c>
      <c r="F4" s="174">
        <f>EOMONTH('Screener Input'!E$16,-1)+1</f>
        <v>40969</v>
      </c>
      <c r="G4" s="174">
        <f>EOMONTH('Screener Input'!F$16,-1)+1</f>
        <v>41334</v>
      </c>
      <c r="H4" s="174">
        <f>EOMONTH('Screener Input'!G$16,-1)+1</f>
        <v>41699</v>
      </c>
      <c r="I4" s="174">
        <f>EOMONTH('Screener Input'!H$16,-1)+1</f>
        <v>42064</v>
      </c>
      <c r="J4" s="174">
        <f>EOMONTH('Screener Input'!I$16,-1)+1</f>
        <v>42430</v>
      </c>
      <c r="K4" s="174">
        <f>EOMONTH('Screener Input'!J$16,-1)+1</f>
        <v>42795</v>
      </c>
      <c r="L4" s="174">
        <f>EOMONTH('Screener Input'!K$16,-1)+1</f>
        <v>43160</v>
      </c>
      <c r="M4" s="174"/>
      <c r="N4" s="174"/>
    </row>
    <row r="5" spans="1:14">
      <c r="A5" s="123" t="s">
        <v>194</v>
      </c>
      <c r="B5" s="124"/>
      <c r="C5" s="124"/>
      <c r="D5" s="124"/>
      <c r="E5" s="124"/>
      <c r="F5" s="124"/>
      <c r="G5" s="124"/>
      <c r="H5" s="124"/>
      <c r="I5" s="124"/>
      <c r="J5" s="124"/>
      <c r="K5" s="124"/>
      <c r="L5" s="121"/>
      <c r="M5" s="121"/>
      <c r="N5" s="121"/>
    </row>
    <row r="6" spans="1:14" s="219" customFormat="1">
      <c r="A6" s="320" t="s">
        <v>195</v>
      </c>
      <c r="B6" s="321"/>
      <c r="C6" s="322">
        <f>'Screener Output'!C54</f>
        <v>288.69</v>
      </c>
      <c r="D6" s="322">
        <f>'Screener Output'!D54</f>
        <v>304.20999999999998</v>
      </c>
      <c r="E6" s="322">
        <f>'Screener Output'!E54</f>
        <v>346.95</v>
      </c>
      <c r="F6" s="322">
        <f>'Screener Output'!F54</f>
        <v>431.76</v>
      </c>
      <c r="G6" s="322">
        <f>'Screener Output'!G54</f>
        <v>374.67</v>
      </c>
      <c r="H6" s="322">
        <f>'Screener Output'!H54</f>
        <v>420.27</v>
      </c>
      <c r="I6" s="322">
        <f>'Screener Output'!I54</f>
        <v>404.04</v>
      </c>
      <c r="J6" s="322">
        <f>'Screener Output'!J54</f>
        <v>440.65</v>
      </c>
      <c r="K6" s="322">
        <f>'Screener Output'!K54</f>
        <v>661.45</v>
      </c>
      <c r="L6" s="322">
        <f>'Screener Output'!L54</f>
        <v>652.79</v>
      </c>
      <c r="M6" s="321"/>
      <c r="N6" s="321"/>
    </row>
    <row r="7" spans="1:14" s="235" customFormat="1">
      <c r="A7" s="125" t="s">
        <v>196</v>
      </c>
      <c r="B7" s="126"/>
      <c r="C7" s="264">
        <f t="shared" ref="C7:L7" si="0">C53</f>
        <v>74</v>
      </c>
      <c r="D7" s="264">
        <f t="shared" si="0"/>
        <v>73.27</v>
      </c>
      <c r="E7" s="264">
        <f t="shared" si="0"/>
        <v>80.959999999999994</v>
      </c>
      <c r="F7" s="264">
        <f t="shared" si="0"/>
        <v>113.01</v>
      </c>
      <c r="G7" s="264">
        <f t="shared" si="0"/>
        <v>122.81</v>
      </c>
      <c r="H7" s="264">
        <f t="shared" si="0"/>
        <v>108.7</v>
      </c>
      <c r="I7" s="264">
        <f t="shared" si="0"/>
        <v>135.81</v>
      </c>
      <c r="J7" s="264">
        <f t="shared" si="0"/>
        <v>170.61</v>
      </c>
      <c r="K7" s="264">
        <f t="shared" si="0"/>
        <v>179.16</v>
      </c>
      <c r="L7" s="264">
        <f t="shared" si="0"/>
        <v>304.60000000000002</v>
      </c>
      <c r="M7" s="126"/>
      <c r="N7" s="126"/>
    </row>
    <row r="8" spans="1:14">
      <c r="A8" s="125" t="s">
        <v>219</v>
      </c>
      <c r="B8" s="126"/>
      <c r="C8" s="264">
        <f t="shared" ref="C8:L8" si="1">C55</f>
        <v>68.84</v>
      </c>
      <c r="D8" s="264">
        <f t="shared" si="1"/>
        <v>42.75</v>
      </c>
      <c r="E8" s="264">
        <f t="shared" si="1"/>
        <v>76.88</v>
      </c>
      <c r="F8" s="264">
        <f t="shared" si="1"/>
        <v>61.33</v>
      </c>
      <c r="G8" s="264">
        <f t="shared" si="1"/>
        <v>102.93</v>
      </c>
      <c r="H8" s="264">
        <f t="shared" si="1"/>
        <v>109.07</v>
      </c>
      <c r="I8" s="264">
        <f t="shared" si="1"/>
        <v>226.33</v>
      </c>
      <c r="J8" s="264">
        <f t="shared" si="1"/>
        <v>87.65</v>
      </c>
      <c r="K8" s="264">
        <f t="shared" si="1"/>
        <v>120.76</v>
      </c>
      <c r="L8" s="264">
        <f t="shared" si="1"/>
        <v>186.42</v>
      </c>
      <c r="M8" s="126"/>
      <c r="N8" s="126"/>
    </row>
    <row r="9" spans="1:14">
      <c r="A9" s="125" t="s">
        <v>27</v>
      </c>
      <c r="B9" s="126"/>
      <c r="C9" s="264">
        <f t="shared" ref="C9:L10" si="2">C47</f>
        <v>653.16</v>
      </c>
      <c r="D9" s="264">
        <f t="shared" si="2"/>
        <v>663.18</v>
      </c>
      <c r="E9" s="264">
        <f t="shared" si="2"/>
        <v>737.46</v>
      </c>
      <c r="F9" s="264">
        <f t="shared" si="2"/>
        <v>883.21</v>
      </c>
      <c r="G9" s="264">
        <f t="shared" si="2"/>
        <v>918.24</v>
      </c>
      <c r="H9" s="264">
        <f t="shared" si="2"/>
        <v>989.5</v>
      </c>
      <c r="I9" s="264">
        <f t="shared" si="2"/>
        <v>1405.93</v>
      </c>
      <c r="J9" s="264">
        <f t="shared" si="2"/>
        <v>1701.77</v>
      </c>
      <c r="K9" s="264">
        <f t="shared" si="2"/>
        <v>2480.0700000000002</v>
      </c>
      <c r="L9" s="264">
        <f t="shared" si="2"/>
        <v>2614.9699999999998</v>
      </c>
      <c r="M9" s="126"/>
      <c r="N9" s="126"/>
    </row>
    <row r="10" spans="1:14">
      <c r="A10" s="125" t="s">
        <v>16</v>
      </c>
      <c r="B10" s="126"/>
      <c r="C10" s="264">
        <f t="shared" si="2"/>
        <v>511.12</v>
      </c>
      <c r="D10" s="264">
        <f t="shared" si="2"/>
        <v>599.36</v>
      </c>
      <c r="E10" s="264">
        <f t="shared" si="2"/>
        <v>699.72</v>
      </c>
      <c r="F10" s="264">
        <f t="shared" si="2"/>
        <v>853.99</v>
      </c>
      <c r="G10" s="264">
        <f t="shared" si="2"/>
        <v>974.96</v>
      </c>
      <c r="H10" s="264">
        <f t="shared" si="2"/>
        <v>1194.18</v>
      </c>
      <c r="I10" s="264">
        <f t="shared" si="2"/>
        <v>1426.13</v>
      </c>
      <c r="J10" s="264">
        <f t="shared" si="2"/>
        <v>1307.73</v>
      </c>
      <c r="K10" s="264">
        <f t="shared" si="2"/>
        <v>1336</v>
      </c>
      <c r="L10" s="264">
        <f t="shared" si="2"/>
        <v>1635.74</v>
      </c>
      <c r="M10" s="126"/>
      <c r="N10" s="126"/>
    </row>
    <row r="11" spans="1:14">
      <c r="A11" s="125" t="s">
        <v>197</v>
      </c>
      <c r="B11" s="126"/>
      <c r="C11" s="264">
        <f t="shared" ref="C11:L11" si="3">C9-C10</f>
        <v>142.03999999999996</v>
      </c>
      <c r="D11" s="264">
        <f t="shared" si="3"/>
        <v>63.819999999999936</v>
      </c>
      <c r="E11" s="264">
        <f t="shared" si="3"/>
        <v>37.740000000000009</v>
      </c>
      <c r="F11" s="264">
        <f t="shared" si="3"/>
        <v>29.220000000000027</v>
      </c>
      <c r="G11" s="264">
        <f t="shared" si="3"/>
        <v>-56.720000000000027</v>
      </c>
      <c r="H11" s="264">
        <f t="shared" si="3"/>
        <v>-204.68000000000006</v>
      </c>
      <c r="I11" s="264">
        <f t="shared" si="3"/>
        <v>-20.200000000000045</v>
      </c>
      <c r="J11" s="264">
        <f t="shared" si="3"/>
        <v>394.03999999999996</v>
      </c>
      <c r="K11" s="264">
        <f t="shared" si="3"/>
        <v>1144.0700000000002</v>
      </c>
      <c r="L11" s="264">
        <f t="shared" si="3"/>
        <v>979.22999999999979</v>
      </c>
      <c r="M11" s="126"/>
      <c r="N11" s="126"/>
    </row>
    <row r="12" spans="1:14">
      <c r="A12" s="429"/>
      <c r="B12" s="429"/>
      <c r="C12" s="429"/>
      <c r="D12" s="429"/>
      <c r="E12" s="429"/>
      <c r="F12" s="429"/>
      <c r="G12" s="429"/>
      <c r="H12" s="429"/>
      <c r="I12" s="429"/>
      <c r="J12" s="429"/>
      <c r="K12" s="429"/>
      <c r="L12" s="121"/>
      <c r="M12" s="121"/>
      <c r="N12" s="121"/>
    </row>
    <row r="13" spans="1:14">
      <c r="A13" s="428" t="s">
        <v>198</v>
      </c>
      <c r="B13" s="428"/>
      <c r="C13" s="428"/>
      <c r="D13" s="428"/>
      <c r="E13" s="428"/>
      <c r="F13" s="428"/>
      <c r="G13" s="428"/>
      <c r="H13" s="428"/>
      <c r="I13" s="428"/>
      <c r="J13" s="428"/>
      <c r="K13" s="127"/>
      <c r="L13" s="121"/>
      <c r="M13" s="121"/>
      <c r="N13" s="121"/>
    </row>
    <row r="14" spans="1:14">
      <c r="A14" s="128" t="s">
        <v>199</v>
      </c>
      <c r="B14" s="174"/>
      <c r="C14" s="174">
        <f t="shared" ref="C14:L14" si="4">C4</f>
        <v>39873</v>
      </c>
      <c r="D14" s="174">
        <f t="shared" si="4"/>
        <v>40238</v>
      </c>
      <c r="E14" s="174">
        <f t="shared" si="4"/>
        <v>40603</v>
      </c>
      <c r="F14" s="174">
        <f t="shared" si="4"/>
        <v>40969</v>
      </c>
      <c r="G14" s="174">
        <f t="shared" si="4"/>
        <v>41334</v>
      </c>
      <c r="H14" s="174">
        <f t="shared" si="4"/>
        <v>41699</v>
      </c>
      <c r="I14" s="174">
        <f t="shared" si="4"/>
        <v>42064</v>
      </c>
      <c r="J14" s="174">
        <f t="shared" si="4"/>
        <v>42430</v>
      </c>
      <c r="K14" s="174">
        <f t="shared" si="4"/>
        <v>42795</v>
      </c>
      <c r="L14" s="174">
        <f t="shared" si="4"/>
        <v>43160</v>
      </c>
      <c r="M14" s="174"/>
      <c r="N14" s="174"/>
    </row>
    <row r="15" spans="1:14">
      <c r="A15" s="129" t="s">
        <v>21</v>
      </c>
      <c r="B15" s="130"/>
      <c r="C15" s="130">
        <f>'Screener Input'!B18</f>
        <v>2138.69</v>
      </c>
      <c r="D15" s="130">
        <f>'Screener Input'!C18</f>
        <v>2438.7399999999998</v>
      </c>
      <c r="E15" s="130">
        <f>'Screener Input'!D18</f>
        <v>3043.29</v>
      </c>
      <c r="F15" s="130">
        <f>'Screener Input'!E18</f>
        <v>3546.8</v>
      </c>
      <c r="G15" s="130">
        <f>'Screener Input'!F18</f>
        <v>3869.02</v>
      </c>
      <c r="H15" s="130">
        <f>'Screener Input'!G18</f>
        <v>4182.53</v>
      </c>
      <c r="I15" s="130">
        <f>'Screener Input'!H18</f>
        <v>4722.21</v>
      </c>
      <c r="J15" s="130">
        <f>'Screener Input'!I18</f>
        <v>5016.99</v>
      </c>
      <c r="K15" s="130">
        <f>'Screener Input'!J18</f>
        <v>5642.88</v>
      </c>
      <c r="L15" s="130">
        <f>'Screener Input'!K18</f>
        <v>6100.8</v>
      </c>
      <c r="M15" s="130"/>
      <c r="N15" s="130"/>
    </row>
    <row r="16" spans="1:14">
      <c r="A16" s="129" t="s">
        <v>200</v>
      </c>
      <c r="B16" s="130"/>
      <c r="C16" s="130">
        <f>'Screener Input'!B22</f>
        <v>158.71</v>
      </c>
      <c r="D16" s="130">
        <f>'Screener Input'!C22</f>
        <v>164.51</v>
      </c>
      <c r="E16" s="130">
        <f>'Screener Input'!D22</f>
        <v>177.49</v>
      </c>
      <c r="F16" s="130">
        <f>'Screener Input'!E22</f>
        <v>211.15</v>
      </c>
      <c r="G16" s="130">
        <f>'Screener Input'!F22</f>
        <v>226.75</v>
      </c>
      <c r="H16" s="130">
        <f>'Screener Input'!G22</f>
        <v>262.66000000000003</v>
      </c>
      <c r="I16" s="130">
        <f>'Screener Input'!H22</f>
        <v>294.44</v>
      </c>
      <c r="J16" s="130">
        <f>'Screener Input'!I22</f>
        <v>341.36</v>
      </c>
      <c r="K16" s="130">
        <f>'Screener Input'!J22</f>
        <v>352.61</v>
      </c>
      <c r="L16" s="130">
        <f>'Screener Input'!K22</f>
        <v>401.6</v>
      </c>
      <c r="M16" s="130"/>
      <c r="N16" s="130"/>
    </row>
    <row r="17" spans="1:15">
      <c r="A17" s="129" t="s">
        <v>201</v>
      </c>
      <c r="B17" s="130"/>
      <c r="C17" s="130">
        <f>'Screener Input'!B23</f>
        <v>499.79</v>
      </c>
      <c r="D17" s="130">
        <f>'Screener Input'!C23</f>
        <v>602.91</v>
      </c>
      <c r="E17" s="130">
        <f>'Screener Input'!D23</f>
        <v>663.96</v>
      </c>
      <c r="F17" s="130">
        <f>'Screener Input'!E23</f>
        <v>786.52</v>
      </c>
      <c r="G17" s="130">
        <f>'Screener Input'!F23</f>
        <v>920.63</v>
      </c>
      <c r="H17" s="130">
        <f>'Screener Input'!G23</f>
        <v>1030.8900000000001</v>
      </c>
      <c r="I17" s="130">
        <f>'Screener Input'!H23</f>
        <v>1129.07</v>
      </c>
      <c r="J17" s="130">
        <f>'Screener Input'!I23</f>
        <v>956.77</v>
      </c>
      <c r="K17" s="130">
        <f>'Screener Input'!J23</f>
        <v>915.01</v>
      </c>
      <c r="L17" s="130">
        <f>'Screener Input'!K23</f>
        <v>953.48</v>
      </c>
      <c r="M17" s="130"/>
      <c r="N17" s="130"/>
    </row>
    <row r="18" spans="1:15">
      <c r="A18" s="129" t="s">
        <v>202</v>
      </c>
      <c r="B18" s="130"/>
      <c r="C18" s="130"/>
      <c r="D18" s="130"/>
      <c r="E18" s="130"/>
      <c r="F18" s="130"/>
      <c r="G18" s="130"/>
      <c r="H18" s="130"/>
      <c r="I18" s="130"/>
      <c r="J18" s="130"/>
      <c r="K18" s="130"/>
      <c r="L18" s="130"/>
      <c r="M18" s="130"/>
      <c r="N18" s="130"/>
    </row>
    <row r="19" spans="1:15">
      <c r="A19" s="129" t="s">
        <v>203</v>
      </c>
      <c r="B19" s="130"/>
      <c r="C19" s="130"/>
      <c r="D19" s="130"/>
      <c r="E19" s="130"/>
      <c r="F19" s="130"/>
      <c r="G19" s="130"/>
      <c r="H19" s="130"/>
      <c r="I19" s="130"/>
      <c r="J19" s="130"/>
      <c r="K19" s="130"/>
      <c r="L19" s="130"/>
      <c r="M19" s="130"/>
      <c r="N19" s="130"/>
    </row>
    <row r="20" spans="1:15">
      <c r="A20" s="129" t="s">
        <v>204</v>
      </c>
      <c r="B20" s="130"/>
      <c r="C20" s="130">
        <f>'Screener Input'!B20</f>
        <v>51.48</v>
      </c>
      <c r="D20" s="130">
        <f>'Screener Input'!C20</f>
        <v>45.47</v>
      </c>
      <c r="E20" s="130">
        <f>'Screener Input'!D20</f>
        <v>56.54</v>
      </c>
      <c r="F20" s="130">
        <f>'Screener Input'!E20</f>
        <v>72.87</v>
      </c>
      <c r="G20" s="130">
        <f>'Screener Input'!F20</f>
        <v>91.01</v>
      </c>
      <c r="H20" s="130">
        <f>'Screener Input'!G20</f>
        <v>110.72</v>
      </c>
      <c r="I20" s="130">
        <f>'Screener Input'!H20</f>
        <v>110.96</v>
      </c>
      <c r="J20" s="130">
        <f>'Screener Input'!I20</f>
        <v>95.16</v>
      </c>
      <c r="K20" s="130">
        <f>'Screener Input'!J20</f>
        <v>104.28</v>
      </c>
      <c r="L20" s="130">
        <f>'Screener Input'!K20</f>
        <v>128.83000000000001</v>
      </c>
      <c r="M20" s="130"/>
      <c r="N20" s="130"/>
    </row>
    <row r="21" spans="1:15">
      <c r="A21" s="129" t="s">
        <v>205</v>
      </c>
      <c r="B21" s="130"/>
      <c r="C21" s="130">
        <f>'Screener Input'!B24</f>
        <v>122.77</v>
      </c>
      <c r="D21" s="130">
        <f>'Screener Input'!C24</f>
        <v>134.4</v>
      </c>
      <c r="E21" s="130">
        <f>'Screener Input'!D24</f>
        <v>127.21</v>
      </c>
      <c r="F21" s="130">
        <f>'Screener Input'!E24</f>
        <v>177.97</v>
      </c>
      <c r="G21" s="130">
        <f>'Screener Input'!F24</f>
        <v>197.36</v>
      </c>
      <c r="H21" s="130">
        <f>'Screener Input'!G24</f>
        <v>200.27</v>
      </c>
      <c r="I21" s="130">
        <f>'Screener Input'!H24</f>
        <v>226.41</v>
      </c>
      <c r="J21" s="130">
        <f>'Screener Input'!I24</f>
        <v>266.68</v>
      </c>
      <c r="K21" s="130">
        <f>'Screener Input'!J24</f>
        <v>305.39999999999998</v>
      </c>
      <c r="L21" s="130">
        <f>'Screener Input'!K24</f>
        <v>333.74</v>
      </c>
      <c r="M21" s="130"/>
      <c r="N21" s="130"/>
    </row>
    <row r="22" spans="1:15">
      <c r="A22" s="129" t="s">
        <v>206</v>
      </c>
      <c r="B22" s="130"/>
      <c r="C22" s="130">
        <f>'Screener Output'!L8</f>
        <v>186.42</v>
      </c>
      <c r="D22" s="130"/>
      <c r="E22" s="130"/>
      <c r="F22" s="130"/>
      <c r="G22" s="131"/>
      <c r="H22" s="131"/>
      <c r="I22" s="131"/>
      <c r="J22" s="131"/>
      <c r="K22" s="129"/>
      <c r="L22" s="132"/>
      <c r="M22" s="132"/>
      <c r="N22" s="132"/>
    </row>
    <row r="23" spans="1:15">
      <c r="A23" s="133" t="s">
        <v>120</v>
      </c>
      <c r="B23" s="130"/>
      <c r="C23" s="130"/>
      <c r="D23" s="130">
        <f t="shared" ref="D23:L23" si="5">(D50-C50)+(D51-C51)+D30</f>
        <v>90.919999999999987</v>
      </c>
      <c r="E23" s="130">
        <f t="shared" si="5"/>
        <v>73.12</v>
      </c>
      <c r="F23" s="130">
        <f t="shared" si="5"/>
        <v>279.77</v>
      </c>
      <c r="G23" s="130">
        <f t="shared" si="5"/>
        <v>221.6</v>
      </c>
      <c r="H23" s="130">
        <f t="shared" si="5"/>
        <v>153.76000000000008</v>
      </c>
      <c r="I23" s="130">
        <f t="shared" si="5"/>
        <v>82.240000000000009</v>
      </c>
      <c r="J23" s="130">
        <f t="shared" si="5"/>
        <v>261.27999999999997</v>
      </c>
      <c r="K23" s="130">
        <f t="shared" si="5"/>
        <v>269.02</v>
      </c>
      <c r="L23" s="130">
        <f t="shared" si="5"/>
        <v>500.42999999999989</v>
      </c>
      <c r="M23" s="130"/>
      <c r="N23" s="130"/>
    </row>
    <row r="24" spans="1:15" ht="18">
      <c r="A24" s="134" t="str">
        <f>'Screener Input'!A1</f>
        <v>COMPANY NAME</v>
      </c>
      <c r="B24" s="174"/>
      <c r="C24" s="174">
        <f t="shared" ref="C24:L24" si="6">C14</f>
        <v>39873</v>
      </c>
      <c r="D24" s="174">
        <f t="shared" si="6"/>
        <v>40238</v>
      </c>
      <c r="E24" s="174">
        <f t="shared" si="6"/>
        <v>40603</v>
      </c>
      <c r="F24" s="174">
        <f t="shared" si="6"/>
        <v>40969</v>
      </c>
      <c r="G24" s="174">
        <f t="shared" si="6"/>
        <v>41334</v>
      </c>
      <c r="H24" s="174">
        <f t="shared" si="6"/>
        <v>41699</v>
      </c>
      <c r="I24" s="174">
        <f t="shared" si="6"/>
        <v>42064</v>
      </c>
      <c r="J24" s="174">
        <f t="shared" si="6"/>
        <v>42430</v>
      </c>
      <c r="K24" s="174">
        <f t="shared" si="6"/>
        <v>42795</v>
      </c>
      <c r="L24" s="174">
        <f t="shared" si="6"/>
        <v>43160</v>
      </c>
      <c r="M24" s="174" t="s">
        <v>392</v>
      </c>
      <c r="N24" s="174" t="s">
        <v>393</v>
      </c>
    </row>
    <row r="25" spans="1:15">
      <c r="A25" s="135" t="s">
        <v>20</v>
      </c>
      <c r="B25" s="135"/>
      <c r="C25" s="214">
        <f>'Screener Input'!B17+'Screener Input'!B25</f>
        <v>3503.95</v>
      </c>
      <c r="D25" s="214">
        <f>'Screener Input'!C17+'Screener Input'!C25</f>
        <v>3831.1499999999996</v>
      </c>
      <c r="E25" s="214">
        <f>'Screener Input'!D17+'Screener Input'!D25</f>
        <v>4668.3900000000003</v>
      </c>
      <c r="F25" s="214">
        <f>'Screener Input'!E17+'Screener Input'!E25</f>
        <v>5544.51</v>
      </c>
      <c r="G25" s="214">
        <f>'Screener Input'!F17+'Screener Input'!F25</f>
        <v>6237.65</v>
      </c>
      <c r="H25" s="214">
        <f>'Screener Input'!G17+'Screener Input'!G25</f>
        <v>6946.3</v>
      </c>
      <c r="I25" s="214">
        <f>'Screener Input'!H17+'Screener Input'!H25</f>
        <v>8106.3</v>
      </c>
      <c r="J25" s="214">
        <f>'Screener Input'!I17+'Screener Input'!I25</f>
        <v>8521.58</v>
      </c>
      <c r="K25" s="214">
        <f>'Screener Input'!J17+'Screener Input'!J25</f>
        <v>9204.630000000001</v>
      </c>
      <c r="L25" s="214">
        <f>'Screener Input'!K17+'Screener Input'!K25</f>
        <v>10080.36</v>
      </c>
      <c r="M25" s="214">
        <f>SUM('Screener Input'!H42:K42)+SUM('Screener Input'!H44:K44)</f>
        <v>10367.6</v>
      </c>
      <c r="N25" s="214">
        <f>SUM('Screener Input'!D42:G42)+SUM('Screener Input'!D44:G44)</f>
        <v>9324.49</v>
      </c>
    </row>
    <row r="26" spans="1:15" s="219" customFormat="1" ht="14.25" customHeight="1">
      <c r="A26" s="140" t="s">
        <v>186</v>
      </c>
      <c r="B26" s="140"/>
      <c r="C26" s="318">
        <f>'Screener Input'!B17</f>
        <v>3421.23</v>
      </c>
      <c r="D26" s="318">
        <f>'Screener Input'!C17</f>
        <v>3772.91</v>
      </c>
      <c r="E26" s="318">
        <f>'Screener Input'!D17</f>
        <v>4609.38</v>
      </c>
      <c r="F26" s="318">
        <f>'Screener Input'!E17</f>
        <v>5485.37</v>
      </c>
      <c r="G26" s="318">
        <f>'Screener Input'!F17</f>
        <v>6185.41</v>
      </c>
      <c r="H26" s="318">
        <f>'Screener Input'!G17</f>
        <v>6912.71</v>
      </c>
      <c r="I26" s="318">
        <f>'Screener Input'!H17</f>
        <v>7858.42</v>
      </c>
      <c r="J26" s="318">
        <f>'Screener Input'!I17</f>
        <v>8397.23</v>
      </c>
      <c r="K26" s="318">
        <f>'Screener Input'!J17</f>
        <v>9054.09</v>
      </c>
      <c r="L26" s="318">
        <f>'Screener Input'!K17</f>
        <v>9913.99</v>
      </c>
      <c r="M26" s="318">
        <f>SUM('Screener Input'!H42:K42)</f>
        <v>10194.120000000001</v>
      </c>
      <c r="N26" s="318">
        <f>SUM('Screener Input'!D42:G42)</f>
        <v>9177.02</v>
      </c>
    </row>
    <row r="27" spans="1:15">
      <c r="A27" s="135" t="str">
        <f t="shared" ref="A27:L27" si="7">A15</f>
        <v>Raw Materials</v>
      </c>
      <c r="B27" s="135"/>
      <c r="C27" s="214">
        <f t="shared" si="7"/>
        <v>2138.69</v>
      </c>
      <c r="D27" s="214">
        <f t="shared" si="7"/>
        <v>2438.7399999999998</v>
      </c>
      <c r="E27" s="214">
        <f t="shared" si="7"/>
        <v>3043.29</v>
      </c>
      <c r="F27" s="214">
        <f t="shared" si="7"/>
        <v>3546.8</v>
      </c>
      <c r="G27" s="214">
        <f t="shared" si="7"/>
        <v>3869.02</v>
      </c>
      <c r="H27" s="214">
        <f t="shared" si="7"/>
        <v>4182.53</v>
      </c>
      <c r="I27" s="214">
        <f t="shared" si="7"/>
        <v>4722.21</v>
      </c>
      <c r="J27" s="214">
        <f t="shared" si="7"/>
        <v>5016.99</v>
      </c>
      <c r="K27" s="214">
        <f t="shared" si="7"/>
        <v>5642.88</v>
      </c>
      <c r="L27" s="214">
        <f t="shared" si="7"/>
        <v>6100.8</v>
      </c>
      <c r="M27" s="214"/>
      <c r="N27" s="214"/>
    </row>
    <row r="28" spans="1:15">
      <c r="A28" s="135" t="s">
        <v>207</v>
      </c>
      <c r="B28" s="135"/>
      <c r="C28" s="214">
        <f t="shared" ref="C28:L28" si="8">C26-C27</f>
        <v>1282.54</v>
      </c>
      <c r="D28" s="214">
        <f t="shared" si="8"/>
        <v>1334.17</v>
      </c>
      <c r="E28" s="214">
        <f t="shared" si="8"/>
        <v>1566.0900000000001</v>
      </c>
      <c r="F28" s="214">
        <f t="shared" si="8"/>
        <v>1938.5699999999997</v>
      </c>
      <c r="G28" s="214">
        <f t="shared" si="8"/>
        <v>2316.39</v>
      </c>
      <c r="H28" s="214">
        <f t="shared" si="8"/>
        <v>2730.1800000000003</v>
      </c>
      <c r="I28" s="214">
        <f t="shared" si="8"/>
        <v>3136.21</v>
      </c>
      <c r="J28" s="214">
        <f t="shared" si="8"/>
        <v>3380.24</v>
      </c>
      <c r="K28" s="214">
        <f t="shared" si="8"/>
        <v>3411.21</v>
      </c>
      <c r="L28" s="214">
        <f t="shared" si="8"/>
        <v>3813.1899999999996</v>
      </c>
      <c r="M28" s="214"/>
      <c r="N28" s="214"/>
    </row>
    <row r="29" spans="1:15" s="235" customFormat="1">
      <c r="A29" s="137" t="s">
        <v>64</v>
      </c>
      <c r="B29" s="137"/>
      <c r="C29" s="216">
        <f>'Screener Input'!B17-'Screener Input'!B18-'Screener Input'!B20-'Screener Input'!B21-'Screener Input'!B22-'Screener Input'!B23-'Screener Input'!B24+'Screener Input'!B25+'Screener Input'!B19</f>
        <v>294.62999999999988</v>
      </c>
      <c r="D29" s="216">
        <f>'Screener Input'!C17-'Screener Input'!C18-'Screener Input'!C20-'Screener Input'!C21-'Screener Input'!C22-'Screener Input'!C23-'Screener Input'!C24+'Screener Input'!C25+'Screener Input'!C19</f>
        <v>190.24000000000009</v>
      </c>
      <c r="E29" s="216">
        <f>'Screener Input'!D17-'Screener Input'!D18-'Screener Input'!D20-'Screener Input'!D21-'Screener Input'!D22-'Screener Input'!D23-'Screener Input'!D24+'Screener Input'!D25+'Screener Input'!D19</f>
        <v>295.69000000000028</v>
      </c>
      <c r="F29" s="216">
        <f>'Screener Input'!E17-'Screener Input'!E18-'Screener Input'!E20-'Screener Input'!E21-'Screener Input'!E22-'Screener Input'!E23-'Screener Input'!E24+'Screener Input'!E25+'Screener Input'!E19</f>
        <v>370.00999999999965</v>
      </c>
      <c r="G29" s="216">
        <f>'Screener Input'!F17-'Screener Input'!F18-'Screener Input'!F20-'Screener Input'!F21-'Screener Input'!F22-'Screener Input'!F23-'Screener Input'!F24+'Screener Input'!F25+'Screener Input'!F19</f>
        <v>472.8799999999996</v>
      </c>
      <c r="H29" s="216">
        <f>'Screener Input'!G17-'Screener Input'!G18-'Screener Input'!G20-'Screener Input'!G21-'Screener Input'!G22-'Screener Input'!G23-'Screener Input'!G24+'Screener Input'!G25+'Screener Input'!G19</f>
        <v>660.79000000000053</v>
      </c>
      <c r="I29" s="216">
        <f>'Screener Input'!H17-'Screener Input'!H18-'Screener Input'!H20-'Screener Input'!H21-'Screener Input'!H22-'Screener Input'!H23-'Screener Input'!H24+'Screener Input'!H25+'Screener Input'!H19</f>
        <v>1097.9300000000003</v>
      </c>
      <c r="J29" s="216">
        <f>'Screener Input'!I17-'Screener Input'!I18-'Screener Input'!I20-'Screener Input'!I21-'Screener Input'!I22-'Screener Input'!I23-'Screener Input'!I24+'Screener Input'!I25+'Screener Input'!I19</f>
        <v>1338.7399999999996</v>
      </c>
      <c r="K29" s="216">
        <f>'Screener Input'!J17-'Screener Input'!J18-'Screener Input'!J20-'Screener Input'!J21-'Screener Input'!J22-'Screener Input'!J23-'Screener Input'!J24+'Screener Input'!J25+'Screener Input'!J19</f>
        <v>1428.72</v>
      </c>
      <c r="L29" s="216">
        <f>'Screener Input'!K17-'Screener Input'!K18-'Screener Input'!K20-'Screener Input'!K21-'Screener Input'!K22-'Screener Input'!K23-'Screener Input'!K24+'Screener Input'!K25+'Screener Input'!K19</f>
        <v>1668.0199999999998</v>
      </c>
      <c r="M29" s="216">
        <f>SUM('Screener Input'!H50:K50)+SUM('Screener Input'!H44:K44)</f>
        <v>1735.32</v>
      </c>
      <c r="N29" s="216">
        <f>SUM('Screener Input'!D50:G50)</f>
        <v>1289.6999999999998</v>
      </c>
      <c r="O29" s="319"/>
    </row>
    <row r="30" spans="1:15">
      <c r="A30" s="135" t="s">
        <v>208</v>
      </c>
      <c r="B30" s="135"/>
      <c r="C30" s="214">
        <f>'Screener Input'!B26</f>
        <v>65.91</v>
      </c>
      <c r="D30" s="214">
        <f>'Screener Input'!C26</f>
        <v>58.23</v>
      </c>
      <c r="E30" s="214">
        <f>'Screener Input'!D26</f>
        <v>64.91</v>
      </c>
      <c r="F30" s="214">
        <f>'Screener Input'!E26</f>
        <v>61.83</v>
      </c>
      <c r="G30" s="214">
        <f>'Screener Input'!F26</f>
        <v>73.150000000000006</v>
      </c>
      <c r="H30" s="214">
        <f>'Screener Input'!G26</f>
        <v>83.18</v>
      </c>
      <c r="I30" s="214">
        <f>'Screener Input'!H26</f>
        <v>144.47999999999999</v>
      </c>
      <c r="J30" s="214">
        <f>'Screener Input'!I26</f>
        <v>113.41</v>
      </c>
      <c r="K30" s="214">
        <f>'Screener Input'!J26</f>
        <v>119.27</v>
      </c>
      <c r="L30" s="214">
        <f>'Screener Input'!K26</f>
        <v>142.07</v>
      </c>
      <c r="M30" s="214">
        <f>SUM('Screener Input'!H45:K45)</f>
        <v>144.51999999999998</v>
      </c>
      <c r="N30" s="214"/>
    </row>
    <row r="31" spans="1:15">
      <c r="A31" s="135" t="s">
        <v>209</v>
      </c>
      <c r="B31" s="135"/>
      <c r="C31" s="361">
        <f t="shared" ref="C31:M31" si="9">C29-C30</f>
        <v>228.71999999999989</v>
      </c>
      <c r="D31" s="361">
        <f t="shared" si="9"/>
        <v>132.0100000000001</v>
      </c>
      <c r="E31" s="361">
        <f t="shared" si="9"/>
        <v>230.78000000000029</v>
      </c>
      <c r="F31" s="361">
        <f t="shared" si="9"/>
        <v>308.17999999999967</v>
      </c>
      <c r="G31" s="361">
        <f t="shared" si="9"/>
        <v>399.72999999999956</v>
      </c>
      <c r="H31" s="361">
        <f t="shared" si="9"/>
        <v>577.61000000000058</v>
      </c>
      <c r="I31" s="361">
        <f t="shared" si="9"/>
        <v>953.45000000000027</v>
      </c>
      <c r="J31" s="361">
        <f t="shared" si="9"/>
        <v>1225.3299999999995</v>
      </c>
      <c r="K31" s="361">
        <f t="shared" si="9"/>
        <v>1309.45</v>
      </c>
      <c r="L31" s="361">
        <f t="shared" si="9"/>
        <v>1525.9499999999998</v>
      </c>
      <c r="M31" s="361">
        <f t="shared" si="9"/>
        <v>1590.8</v>
      </c>
      <c r="N31" s="214"/>
    </row>
    <row r="32" spans="1:15">
      <c r="A32" s="135" t="s">
        <v>24</v>
      </c>
      <c r="B32" s="135"/>
      <c r="C32" s="214">
        <f>'Screener Input'!B27</f>
        <v>32.6</v>
      </c>
      <c r="D32" s="214">
        <f>'Screener Input'!C27</f>
        <v>23.45</v>
      </c>
      <c r="E32" s="214">
        <f>'Screener Input'!D27</f>
        <v>43.63</v>
      </c>
      <c r="F32" s="214">
        <f>'Screener Input'!E27</f>
        <v>41.6</v>
      </c>
      <c r="G32" s="214">
        <f>'Screener Input'!F27</f>
        <v>41.3</v>
      </c>
      <c r="H32" s="214">
        <f>'Screener Input'!G27</f>
        <v>8.2899999999999991</v>
      </c>
      <c r="I32" s="214">
        <f>'Screener Input'!H27</f>
        <v>3.86</v>
      </c>
      <c r="J32" s="214">
        <f>'Screener Input'!I27</f>
        <v>4.87</v>
      </c>
      <c r="K32" s="214">
        <f>'Screener Input'!J27</f>
        <v>5.45</v>
      </c>
      <c r="L32" s="214">
        <f>'Screener Input'!K27</f>
        <v>7.59</v>
      </c>
      <c r="M32" s="214">
        <f>SUM('Screener Input'!H46:K46)</f>
        <v>8.76</v>
      </c>
      <c r="N32" s="214"/>
    </row>
    <row r="33" spans="1:14">
      <c r="A33" s="135" t="s">
        <v>210</v>
      </c>
      <c r="B33" s="135"/>
      <c r="C33" s="214">
        <f t="shared" ref="C33:L33" si="10">C31-C32</f>
        <v>196.11999999999989</v>
      </c>
      <c r="D33" s="214">
        <f t="shared" si="10"/>
        <v>108.5600000000001</v>
      </c>
      <c r="E33" s="214">
        <f t="shared" si="10"/>
        <v>187.15000000000029</v>
      </c>
      <c r="F33" s="214">
        <f t="shared" si="10"/>
        <v>266.57999999999964</v>
      </c>
      <c r="G33" s="214">
        <f t="shared" si="10"/>
        <v>358.42999999999955</v>
      </c>
      <c r="H33" s="214">
        <f t="shared" si="10"/>
        <v>569.32000000000062</v>
      </c>
      <c r="I33" s="214">
        <f t="shared" si="10"/>
        <v>949.59000000000026</v>
      </c>
      <c r="J33" s="214">
        <f t="shared" si="10"/>
        <v>1220.4599999999996</v>
      </c>
      <c r="K33" s="214">
        <f t="shared" si="10"/>
        <v>1304</v>
      </c>
      <c r="L33" s="214">
        <f t="shared" si="10"/>
        <v>1518.36</v>
      </c>
      <c r="M33" s="214"/>
      <c r="N33" s="214"/>
    </row>
    <row r="34" spans="1:14">
      <c r="A34" s="135" t="s">
        <v>26</v>
      </c>
      <c r="B34" s="135"/>
      <c r="C34" s="214">
        <f>'Screener Input'!B29</f>
        <v>52.88</v>
      </c>
      <c r="D34" s="214">
        <f>'Screener Input'!C29</f>
        <v>5.46</v>
      </c>
      <c r="E34" s="214">
        <f>'Screener Input'!D29</f>
        <v>52.94</v>
      </c>
      <c r="F34" s="214">
        <f>'Screener Input'!E29</f>
        <v>66.849999999999994</v>
      </c>
      <c r="G34" s="214">
        <f>'Screener Input'!F29</f>
        <v>98.55</v>
      </c>
      <c r="H34" s="214">
        <f>'Screener Input'!G29</f>
        <v>173.58</v>
      </c>
      <c r="I34" s="214">
        <f>'Screener Input'!H29</f>
        <v>261.11</v>
      </c>
      <c r="J34" s="214">
        <f>'Screener Input'!I29</f>
        <v>396.1</v>
      </c>
      <c r="K34" s="214">
        <f>'Screener Input'!J29</f>
        <v>419.67</v>
      </c>
      <c r="L34" s="214">
        <f>'Screener Input'!K29</f>
        <v>514.22</v>
      </c>
      <c r="M34" s="214">
        <f>SUM('Screener Input'!H48:K48)</f>
        <v>536.12</v>
      </c>
      <c r="N34" s="214"/>
    </row>
    <row r="35" spans="1:14">
      <c r="A35" s="135" t="s">
        <v>189</v>
      </c>
      <c r="B35" s="135"/>
      <c r="C35" s="214">
        <f t="shared" ref="C35:L35" si="11">C33-C34</f>
        <v>143.2399999999999</v>
      </c>
      <c r="D35" s="214">
        <f t="shared" si="11"/>
        <v>103.10000000000011</v>
      </c>
      <c r="E35" s="214">
        <f t="shared" si="11"/>
        <v>134.21000000000029</v>
      </c>
      <c r="F35" s="214">
        <f t="shared" si="11"/>
        <v>199.72999999999965</v>
      </c>
      <c r="G35" s="214">
        <f t="shared" si="11"/>
        <v>259.87999999999954</v>
      </c>
      <c r="H35" s="214">
        <f t="shared" si="11"/>
        <v>395.74000000000058</v>
      </c>
      <c r="I35" s="214">
        <f t="shared" si="11"/>
        <v>688.48000000000025</v>
      </c>
      <c r="J35" s="214">
        <f t="shared" si="11"/>
        <v>824.35999999999956</v>
      </c>
      <c r="K35" s="214">
        <f t="shared" si="11"/>
        <v>884.32999999999993</v>
      </c>
      <c r="L35" s="214">
        <f t="shared" si="11"/>
        <v>1004.1399999999999</v>
      </c>
      <c r="M35" s="214">
        <f>SUM('Screener Input'!H49:K49)</f>
        <v>1045.9199999999998</v>
      </c>
      <c r="N35" s="214">
        <f>SUM('Screener Input'!D49:G49)</f>
        <v>881.52</v>
      </c>
    </row>
    <row r="36" spans="1:14">
      <c r="A36" s="135" t="s">
        <v>211</v>
      </c>
      <c r="B36" s="135"/>
      <c r="C36" s="214">
        <f>'Screener Input'!B31</f>
        <v>95.56</v>
      </c>
      <c r="D36" s="214">
        <f>'Screener Input'!C31</f>
        <v>59.73</v>
      </c>
      <c r="E36" s="214">
        <f>'Screener Input'!D31</f>
        <v>77.64</v>
      </c>
      <c r="F36" s="214">
        <f>'Screener Input'!E31</f>
        <v>101.53</v>
      </c>
      <c r="G36" s="214">
        <f>'Screener Input'!F31</f>
        <v>101.62</v>
      </c>
      <c r="H36" s="214">
        <f>'Screener Input'!G31</f>
        <v>143.94</v>
      </c>
      <c r="I36" s="214">
        <f>'Screener Input'!H31</f>
        <v>191.92</v>
      </c>
      <c r="J36" s="214">
        <f>'Screener Input'!I31</f>
        <v>240</v>
      </c>
      <c r="K36" s="214">
        <f>'Screener Input'!J31</f>
        <v>264</v>
      </c>
      <c r="L36" s="214">
        <f>'Screener Input'!K31</f>
        <v>300.13</v>
      </c>
      <c r="M36" s="214"/>
      <c r="N36" s="214"/>
    </row>
    <row r="37" spans="1:14">
      <c r="A37" s="135" t="s">
        <v>4</v>
      </c>
      <c r="C37" s="214">
        <f>'Screener Input'!B90*'Screener Input'!B93</f>
        <v>3598.4027179328145</v>
      </c>
      <c r="D37" s="214">
        <f>'Screener Input'!C90*'Screener Input'!C93</f>
        <v>3922.628244263537</v>
      </c>
      <c r="E37" s="214">
        <f>'Screener Input'!D90*'Screener Input'!D93</f>
        <v>4493.9597006463118</v>
      </c>
      <c r="F37" s="214">
        <f>'Screener Input'!E90*'Screener Input'!E93</f>
        <v>6880.6357083337507</v>
      </c>
      <c r="G37" s="214">
        <f>'Screener Input'!F90*'Screener Input'!F93</f>
        <v>6438.0787362525007</v>
      </c>
      <c r="H37" s="214">
        <f>'Screener Input'!G90*'Screener Input'!G93</f>
        <v>10432.69249121326</v>
      </c>
      <c r="I37" s="214">
        <f>'Screener Input'!H90*'Screener Input'!H93</f>
        <v>26402.444387700001</v>
      </c>
      <c r="J37" s="214">
        <f>'Screener Input'!I90*'Screener Input'!I93</f>
        <v>33059.493687427384</v>
      </c>
      <c r="K37" s="214">
        <f>'Screener Input'!J90*'Screener Input'!J93</f>
        <v>41085.942196128941</v>
      </c>
      <c r="L37" s="214">
        <f>'Screener Input'!K90*'Screener Input'!K93</f>
        <v>63063.554428209405</v>
      </c>
      <c r="M37" s="214"/>
      <c r="N37" s="214"/>
    </row>
    <row r="38" spans="1:14">
      <c r="A38" s="136" t="s">
        <v>212</v>
      </c>
      <c r="B38" s="184">
        <f>'Screener Input'!B9</f>
        <v>70215.600000000006</v>
      </c>
      <c r="C38" s="430"/>
      <c r="D38" s="431"/>
      <c r="E38" s="431"/>
      <c r="F38" s="431"/>
      <c r="G38" s="431"/>
      <c r="H38" s="431"/>
      <c r="I38" s="431"/>
      <c r="J38" s="431"/>
      <c r="K38" s="432"/>
      <c r="L38" s="217">
        <f>L35+L34+L32+L30</f>
        <v>1668.0199999999998</v>
      </c>
      <c r="M38" s="121"/>
      <c r="N38" s="121"/>
    </row>
    <row r="39" spans="1:14">
      <c r="A39" s="136" t="s">
        <v>311</v>
      </c>
      <c r="C39" s="180"/>
      <c r="D39" s="180"/>
      <c r="E39" s="180"/>
      <c r="F39" s="180"/>
      <c r="G39" s="180"/>
      <c r="H39" s="180"/>
      <c r="I39" s="180"/>
      <c r="J39" s="180"/>
      <c r="K39" s="180"/>
      <c r="L39" s="121"/>
      <c r="N39" s="121"/>
    </row>
    <row r="40" spans="1:14">
      <c r="A40" s="137" t="s">
        <v>213</v>
      </c>
      <c r="B40" s="138"/>
      <c r="C40" s="214">
        <f>'Screener Input'!B57</f>
        <v>23.89</v>
      </c>
      <c r="D40" s="214">
        <f>'Screener Input'!C57</f>
        <v>23.89</v>
      </c>
      <c r="E40" s="214">
        <f>'Screener Input'!D57</f>
        <v>23.89</v>
      </c>
      <c r="F40" s="214">
        <f>'Screener Input'!E57</f>
        <v>23.89</v>
      </c>
      <c r="G40" s="214">
        <f>'Screener Input'!F57</f>
        <v>23.91</v>
      </c>
      <c r="H40" s="214">
        <f>'Screener Input'!G57</f>
        <v>23.99</v>
      </c>
      <c r="I40" s="214">
        <f>'Screener Input'!H57</f>
        <v>23.99</v>
      </c>
      <c r="J40" s="214">
        <f>'Screener Input'!I57</f>
        <v>24</v>
      </c>
      <c r="K40" s="214">
        <f>'Screener Input'!J57</f>
        <v>24</v>
      </c>
      <c r="L40" s="214">
        <f>'Screener Input'!K57</f>
        <v>24.01</v>
      </c>
      <c r="M40" s="214"/>
      <c r="N40" s="214"/>
    </row>
    <row r="41" spans="1:14">
      <c r="A41" s="137" t="s">
        <v>214</v>
      </c>
      <c r="B41" s="137"/>
      <c r="C41" s="216">
        <f>'Screener Input'!B58</f>
        <v>697.48</v>
      </c>
      <c r="D41" s="216">
        <f>'Screener Input'!C58</f>
        <v>258.91000000000003</v>
      </c>
      <c r="E41" s="216">
        <f>'Screener Input'!D58</f>
        <v>302.14</v>
      </c>
      <c r="F41" s="216">
        <f>'Screener Input'!E58</f>
        <v>385.28</v>
      </c>
      <c r="G41" s="216">
        <f>'Screener Input'!F58</f>
        <v>531.66999999999996</v>
      </c>
      <c r="H41" s="216">
        <f>'Screener Input'!G58</f>
        <v>774.12</v>
      </c>
      <c r="I41" s="216">
        <f>'Screener Input'!H58</f>
        <v>1221.1199999999999</v>
      </c>
      <c r="J41" s="216">
        <f>'Screener Input'!I58</f>
        <v>2067.6799999999998</v>
      </c>
      <c r="K41" s="216">
        <f>'Screener Input'!J58</f>
        <v>2672.42</v>
      </c>
      <c r="L41" s="216">
        <f>'Screener Input'!K58</f>
        <v>3382.22</v>
      </c>
      <c r="M41" s="216"/>
      <c r="N41" s="216"/>
    </row>
    <row r="42" spans="1:14">
      <c r="A42" s="137" t="s">
        <v>9</v>
      </c>
      <c r="B42" s="135"/>
      <c r="C42" s="214">
        <f t="shared" ref="C42:L42" si="12">C41+C40</f>
        <v>721.37</v>
      </c>
      <c r="D42" s="214">
        <f t="shared" si="12"/>
        <v>282.8</v>
      </c>
      <c r="E42" s="214">
        <f t="shared" si="12"/>
        <v>326.02999999999997</v>
      </c>
      <c r="F42" s="214">
        <f t="shared" si="12"/>
        <v>409.16999999999996</v>
      </c>
      <c r="G42" s="214">
        <f t="shared" si="12"/>
        <v>555.57999999999993</v>
      </c>
      <c r="H42" s="214">
        <f t="shared" si="12"/>
        <v>798.11</v>
      </c>
      <c r="I42" s="214">
        <f t="shared" si="12"/>
        <v>1245.1099999999999</v>
      </c>
      <c r="J42" s="214">
        <f t="shared" si="12"/>
        <v>2091.6799999999998</v>
      </c>
      <c r="K42" s="214">
        <f t="shared" si="12"/>
        <v>2696.42</v>
      </c>
      <c r="L42" s="214">
        <f t="shared" si="12"/>
        <v>3406.23</v>
      </c>
      <c r="M42" s="214"/>
      <c r="N42" s="214"/>
    </row>
    <row r="43" spans="1:14">
      <c r="A43" s="139" t="s">
        <v>10</v>
      </c>
      <c r="B43" s="140"/>
      <c r="C43" s="214"/>
      <c r="D43" s="214"/>
      <c r="E43" s="214"/>
      <c r="F43" s="214"/>
      <c r="G43" s="214"/>
      <c r="H43" s="214"/>
      <c r="I43" s="214"/>
      <c r="J43" s="214"/>
      <c r="K43" s="214"/>
      <c r="L43" s="217"/>
      <c r="M43" s="217"/>
      <c r="N43" s="217"/>
    </row>
    <row r="44" spans="1:14">
      <c r="A44" s="139" t="s">
        <v>11</v>
      </c>
      <c r="B44" s="140"/>
      <c r="C44" s="214"/>
      <c r="D44" s="214"/>
      <c r="E44" s="214"/>
      <c r="F44" s="214"/>
      <c r="G44" s="214"/>
      <c r="H44" s="214"/>
      <c r="I44" s="214"/>
      <c r="J44" s="214"/>
      <c r="K44" s="214"/>
      <c r="L44" s="217"/>
      <c r="M44" s="217"/>
      <c r="N44" s="217"/>
    </row>
    <row r="45" spans="1:14">
      <c r="A45" s="139" t="s">
        <v>215</v>
      </c>
      <c r="B45" s="137"/>
      <c r="C45" s="216">
        <f>'Screener Input'!B59</f>
        <v>274.82</v>
      </c>
      <c r="D45" s="216">
        <f>'Screener Input'!C59</f>
        <v>656.96</v>
      </c>
      <c r="E45" s="216">
        <f>'Screener Input'!D59</f>
        <v>617.92999999999995</v>
      </c>
      <c r="F45" s="216">
        <f>'Screener Input'!E59</f>
        <v>604.21</v>
      </c>
      <c r="G45" s="216">
        <f>'Screener Input'!F59</f>
        <v>380</v>
      </c>
      <c r="H45" s="216">
        <f>'Screener Input'!G59</f>
        <v>149.76</v>
      </c>
      <c r="I45" s="216">
        <f>'Screener Input'!H59</f>
        <v>145.07</v>
      </c>
      <c r="J45" s="216">
        <f>'Screener Input'!I59</f>
        <v>131.05000000000001</v>
      </c>
      <c r="K45" s="216">
        <f>'Screener Input'!J59</f>
        <v>124.56</v>
      </c>
      <c r="L45" s="216">
        <f>'Screener Input'!K59</f>
        <v>200.7</v>
      </c>
      <c r="M45" s="216"/>
      <c r="N45" s="216"/>
    </row>
    <row r="46" spans="1:14">
      <c r="A46" s="139" t="s">
        <v>216</v>
      </c>
      <c r="B46" s="137"/>
      <c r="C46" s="216">
        <f>'Screener Input'!B60</f>
        <v>511.12</v>
      </c>
      <c r="D46" s="216">
        <f>'Screener Input'!C60</f>
        <v>599.36</v>
      </c>
      <c r="E46" s="216">
        <f>'Screener Input'!D60</f>
        <v>699.72</v>
      </c>
      <c r="F46" s="216">
        <f>'Screener Input'!E60</f>
        <v>853.99</v>
      </c>
      <c r="G46" s="216">
        <f>'Screener Input'!F60</f>
        <v>974.96</v>
      </c>
      <c r="H46" s="216">
        <f>'Screener Input'!G60</f>
        <v>1194.18</v>
      </c>
      <c r="I46" s="216">
        <f>'Screener Input'!H60</f>
        <v>1426.13</v>
      </c>
      <c r="J46" s="216">
        <f>'Screener Input'!I60</f>
        <v>1307.73</v>
      </c>
      <c r="K46" s="216">
        <f>'Screener Input'!J60</f>
        <v>1336</v>
      </c>
      <c r="L46" s="216">
        <f>'Screener Input'!K60</f>
        <v>1635.74</v>
      </c>
      <c r="M46" s="216"/>
      <c r="N46" s="216"/>
    </row>
    <row r="47" spans="1:14">
      <c r="A47" s="139" t="s">
        <v>217</v>
      </c>
      <c r="B47" s="137"/>
      <c r="C47" s="216">
        <f>'Screener Input'!B65</f>
        <v>653.16</v>
      </c>
      <c r="D47" s="216">
        <f>'Screener Input'!C65</f>
        <v>663.18</v>
      </c>
      <c r="E47" s="216">
        <f>'Screener Input'!D65</f>
        <v>737.46</v>
      </c>
      <c r="F47" s="216">
        <f>'Screener Input'!E65</f>
        <v>883.21</v>
      </c>
      <c r="G47" s="216">
        <f>'Screener Input'!F65</f>
        <v>918.24</v>
      </c>
      <c r="H47" s="216">
        <f>'Screener Input'!G65</f>
        <v>989.5</v>
      </c>
      <c r="I47" s="216">
        <f>'Screener Input'!H65</f>
        <v>1405.93</v>
      </c>
      <c r="J47" s="216">
        <f>'Screener Input'!I65</f>
        <v>1701.77</v>
      </c>
      <c r="K47" s="216">
        <f>'Screener Input'!J65</f>
        <v>2480.0700000000002</v>
      </c>
      <c r="L47" s="216">
        <f>'Screener Input'!K65</f>
        <v>2614.9699999999998</v>
      </c>
      <c r="M47" s="216"/>
      <c r="N47" s="216"/>
    </row>
    <row r="48" spans="1:14">
      <c r="A48" s="139" t="s">
        <v>16</v>
      </c>
      <c r="B48" s="137"/>
      <c r="C48" s="359">
        <f>'Screener Input'!B60</f>
        <v>511.12</v>
      </c>
      <c r="D48" s="359">
        <f>'Screener Input'!C60</f>
        <v>599.36</v>
      </c>
      <c r="E48" s="359">
        <f>'Screener Input'!D60</f>
        <v>699.72</v>
      </c>
      <c r="F48" s="359">
        <f>'Screener Input'!E60</f>
        <v>853.99</v>
      </c>
      <c r="G48" s="359">
        <f>'Screener Input'!F60</f>
        <v>974.96</v>
      </c>
      <c r="H48" s="359">
        <f>'Screener Input'!G60</f>
        <v>1194.18</v>
      </c>
      <c r="I48" s="359">
        <f>'Screener Input'!H60</f>
        <v>1426.13</v>
      </c>
      <c r="J48" s="359">
        <f>'Screener Input'!I60</f>
        <v>1307.73</v>
      </c>
      <c r="K48" s="359">
        <f>'Screener Input'!J60</f>
        <v>1336</v>
      </c>
      <c r="L48" s="359">
        <f>'Screener Input'!K60</f>
        <v>1635.74</v>
      </c>
      <c r="M48" s="216"/>
      <c r="N48" s="216"/>
    </row>
    <row r="49" spans="1:14">
      <c r="A49" s="139" t="s">
        <v>17</v>
      </c>
      <c r="B49" s="137"/>
      <c r="C49" s="216">
        <f>'Screener Input'!B66</f>
        <v>1507.31</v>
      </c>
      <c r="D49" s="216">
        <f>'Screener Input'!C66</f>
        <v>1539.12</v>
      </c>
      <c r="E49" s="216">
        <f>'Screener Input'!D66</f>
        <v>1643.68</v>
      </c>
      <c r="F49" s="216">
        <f>'Screener Input'!E66</f>
        <v>1867.37</v>
      </c>
      <c r="G49" s="216">
        <f>'Screener Input'!F66</f>
        <v>1910.54</v>
      </c>
      <c r="H49" s="216">
        <f>'Screener Input'!G66</f>
        <v>2142.0500000000002</v>
      </c>
      <c r="I49" s="216">
        <f>'Screener Input'!H66</f>
        <v>2816.31</v>
      </c>
      <c r="J49" s="216">
        <f>'Screener Input'!I66</f>
        <v>3530.46</v>
      </c>
      <c r="K49" s="216">
        <f>'Screener Input'!J66</f>
        <v>4156.9799999999996</v>
      </c>
      <c r="L49" s="216">
        <f>'Screener Input'!K66</f>
        <v>5242.67</v>
      </c>
      <c r="M49" s="216"/>
      <c r="N49" s="216"/>
    </row>
    <row r="50" spans="1:14">
      <c r="A50" s="247" t="s">
        <v>218</v>
      </c>
      <c r="B50" s="247"/>
      <c r="C50" s="248">
        <f>'Screener Input'!B62</f>
        <v>470.51</v>
      </c>
      <c r="D50" s="248">
        <f>'Screener Input'!C62</f>
        <v>499.34</v>
      </c>
      <c r="E50" s="248">
        <f>'Screener Input'!D62</f>
        <v>504.89</v>
      </c>
      <c r="F50" s="248">
        <f>'Screener Input'!E62</f>
        <v>624.39</v>
      </c>
      <c r="G50" s="248">
        <f>'Screener Input'!F62</f>
        <v>736.8</v>
      </c>
      <c r="H50" s="248">
        <f>'Screener Input'!G62</f>
        <v>847.59</v>
      </c>
      <c r="I50" s="248">
        <f>'Screener Input'!H62</f>
        <v>844.07</v>
      </c>
      <c r="J50" s="248">
        <f>'Screener Input'!I62</f>
        <v>950.24</v>
      </c>
      <c r="K50" s="248">
        <f>'Screener Input'!J62</f>
        <v>1159.99</v>
      </c>
      <c r="L50" s="248">
        <f>'Screener Input'!K62</f>
        <v>1345.6</v>
      </c>
      <c r="M50" s="214"/>
      <c r="N50" s="214"/>
    </row>
    <row r="51" spans="1:14">
      <c r="A51" s="135" t="s">
        <v>14</v>
      </c>
      <c r="B51" s="135"/>
      <c r="C51" s="214">
        <f>'Screener Input'!B63</f>
        <v>6.3</v>
      </c>
      <c r="D51" s="214">
        <f>'Screener Input'!C63</f>
        <v>10.16</v>
      </c>
      <c r="E51" s="214">
        <f>'Screener Input'!D63</f>
        <v>12.82</v>
      </c>
      <c r="F51" s="214">
        <f>'Screener Input'!E63</f>
        <v>111.26</v>
      </c>
      <c r="G51" s="214">
        <f>'Screener Input'!F63</f>
        <v>147.30000000000001</v>
      </c>
      <c r="H51" s="214">
        <f>'Screener Input'!G63</f>
        <v>107.09</v>
      </c>
      <c r="I51" s="214">
        <f>'Screener Input'!H63</f>
        <v>48.37</v>
      </c>
      <c r="J51" s="214">
        <f>'Screener Input'!I63</f>
        <v>90.07</v>
      </c>
      <c r="K51" s="214">
        <f>'Screener Input'!J63</f>
        <v>30.07</v>
      </c>
      <c r="L51" s="214">
        <f>'Screener Input'!K63</f>
        <v>202.82</v>
      </c>
      <c r="M51" s="214"/>
      <c r="N51" s="214"/>
    </row>
    <row r="52" spans="1:14">
      <c r="A52" s="139" t="s">
        <v>63</v>
      </c>
      <c r="B52" s="137"/>
      <c r="C52" s="216">
        <f>'Screener Input'!B65-'Screener Input'!B60</f>
        <v>142.03999999999996</v>
      </c>
      <c r="D52" s="216">
        <f>'Screener Input'!C65-'Screener Input'!C60</f>
        <v>63.819999999999936</v>
      </c>
      <c r="E52" s="216">
        <f>'Screener Input'!D65-'Screener Input'!D60</f>
        <v>37.740000000000009</v>
      </c>
      <c r="F52" s="216">
        <f>'Screener Input'!E65-'Screener Input'!E60</f>
        <v>29.220000000000027</v>
      </c>
      <c r="G52" s="216">
        <f>'Screener Input'!F65-'Screener Input'!F60</f>
        <v>-56.720000000000027</v>
      </c>
      <c r="H52" s="216">
        <f>'Screener Input'!G65-'Screener Input'!G60</f>
        <v>-204.68000000000006</v>
      </c>
      <c r="I52" s="216">
        <f>'Screener Input'!H65-'Screener Input'!H60</f>
        <v>-20.200000000000045</v>
      </c>
      <c r="J52" s="216">
        <f>'Screener Input'!I65-'Screener Input'!I60</f>
        <v>394.03999999999996</v>
      </c>
      <c r="K52" s="216">
        <f>'Screener Input'!J65-'Screener Input'!J60</f>
        <v>1144.0700000000002</v>
      </c>
      <c r="L52" s="216">
        <f>'Screener Input'!K65-'Screener Input'!K60</f>
        <v>979.22999999999979</v>
      </c>
      <c r="M52" s="216"/>
      <c r="N52" s="216"/>
    </row>
    <row r="53" spans="1:14">
      <c r="A53" s="137" t="s">
        <v>196</v>
      </c>
      <c r="B53" s="137"/>
      <c r="C53" s="216">
        <f>'Screener Input'!B67</f>
        <v>74</v>
      </c>
      <c r="D53" s="216">
        <f>'Screener Input'!C67</f>
        <v>73.27</v>
      </c>
      <c r="E53" s="216">
        <f>'Screener Input'!D67</f>
        <v>80.959999999999994</v>
      </c>
      <c r="F53" s="216">
        <f>'Screener Input'!E67</f>
        <v>113.01</v>
      </c>
      <c r="G53" s="216">
        <f>'Screener Input'!F67</f>
        <v>122.81</v>
      </c>
      <c r="H53" s="216">
        <f>'Screener Input'!G67</f>
        <v>108.7</v>
      </c>
      <c r="I53" s="216">
        <f>'Screener Input'!H67</f>
        <v>135.81</v>
      </c>
      <c r="J53" s="216">
        <f>'Screener Input'!I67</f>
        <v>170.61</v>
      </c>
      <c r="K53" s="216">
        <f>'Screener Input'!J67</f>
        <v>179.16</v>
      </c>
      <c r="L53" s="216">
        <f>'Screener Input'!K67</f>
        <v>304.60000000000002</v>
      </c>
      <c r="M53" s="216"/>
      <c r="N53" s="216"/>
    </row>
    <row r="54" spans="1:14">
      <c r="A54" s="137" t="s">
        <v>195</v>
      </c>
      <c r="B54" s="137"/>
      <c r="C54" s="216">
        <f>'Screener Input'!B68</f>
        <v>288.69</v>
      </c>
      <c r="D54" s="216">
        <f>'Screener Input'!C68</f>
        <v>304.20999999999998</v>
      </c>
      <c r="E54" s="216">
        <f>'Screener Input'!D68</f>
        <v>346.95</v>
      </c>
      <c r="F54" s="216">
        <f>'Screener Input'!E68</f>
        <v>431.76</v>
      </c>
      <c r="G54" s="216">
        <f>'Screener Input'!F68</f>
        <v>374.67</v>
      </c>
      <c r="H54" s="216">
        <f>'Screener Input'!G68</f>
        <v>420.27</v>
      </c>
      <c r="I54" s="216">
        <f>'Screener Input'!H68</f>
        <v>404.04</v>
      </c>
      <c r="J54" s="216">
        <f>'Screener Input'!I68</f>
        <v>440.65</v>
      </c>
      <c r="K54" s="216">
        <f>'Screener Input'!J68</f>
        <v>661.45</v>
      </c>
      <c r="L54" s="216">
        <f>'Screener Input'!K68</f>
        <v>652.79</v>
      </c>
      <c r="M54" s="216"/>
      <c r="N54" s="216"/>
    </row>
    <row r="55" spans="1:14">
      <c r="A55" s="137" t="s">
        <v>219</v>
      </c>
      <c r="B55" s="137"/>
      <c r="C55" s="216">
        <f>'Screener Input'!B69</f>
        <v>68.84</v>
      </c>
      <c r="D55" s="216">
        <f>'Screener Input'!C69</f>
        <v>42.75</v>
      </c>
      <c r="E55" s="216">
        <f>'Screener Input'!D69</f>
        <v>76.88</v>
      </c>
      <c r="F55" s="216">
        <f>'Screener Input'!E69</f>
        <v>61.33</v>
      </c>
      <c r="G55" s="216">
        <f>'Screener Input'!F69</f>
        <v>102.93</v>
      </c>
      <c r="H55" s="216">
        <f>'Screener Input'!G69</f>
        <v>109.07</v>
      </c>
      <c r="I55" s="216">
        <f>'Screener Input'!H69</f>
        <v>226.33</v>
      </c>
      <c r="J55" s="216">
        <f>'Screener Input'!I69</f>
        <v>87.65</v>
      </c>
      <c r="K55" s="216">
        <f>'Screener Input'!J69</f>
        <v>120.76</v>
      </c>
      <c r="L55" s="216">
        <f>'Screener Input'!K69</f>
        <v>186.42</v>
      </c>
      <c r="M55" s="216"/>
      <c r="N55" s="216"/>
    </row>
    <row r="56" spans="1:14">
      <c r="A56" s="135" t="s">
        <v>220</v>
      </c>
      <c r="B56" s="140"/>
      <c r="C56" s="214"/>
      <c r="D56" s="214"/>
      <c r="E56" s="214"/>
      <c r="F56" s="214"/>
      <c r="G56" s="214"/>
      <c r="H56" s="214"/>
      <c r="I56" s="214"/>
      <c r="J56" s="214"/>
      <c r="K56" s="214"/>
      <c r="L56" s="217"/>
      <c r="M56" s="217"/>
      <c r="N56" s="217"/>
    </row>
    <row r="57" spans="1:14">
      <c r="A57" s="139" t="s">
        <v>221</v>
      </c>
      <c r="B57" s="135"/>
      <c r="C57" s="214">
        <f t="shared" ref="C57:L57" si="13">C42+C45</f>
        <v>996.19</v>
      </c>
      <c r="D57" s="214">
        <f t="shared" si="13"/>
        <v>939.76</v>
      </c>
      <c r="E57" s="214">
        <f t="shared" si="13"/>
        <v>943.95999999999992</v>
      </c>
      <c r="F57" s="214">
        <f t="shared" si="13"/>
        <v>1013.38</v>
      </c>
      <c r="G57" s="214">
        <f t="shared" si="13"/>
        <v>935.57999999999993</v>
      </c>
      <c r="H57" s="214">
        <f t="shared" si="13"/>
        <v>947.87</v>
      </c>
      <c r="I57" s="214">
        <f t="shared" si="13"/>
        <v>1390.1799999999998</v>
      </c>
      <c r="J57" s="214">
        <f t="shared" si="13"/>
        <v>2222.73</v>
      </c>
      <c r="K57" s="214">
        <f t="shared" si="13"/>
        <v>2820.98</v>
      </c>
      <c r="L57" s="214">
        <f t="shared" si="13"/>
        <v>3606.93</v>
      </c>
      <c r="M57" s="214"/>
      <c r="N57" s="214"/>
    </row>
    <row r="58" spans="1:14">
      <c r="A58" s="139" t="s">
        <v>222</v>
      </c>
      <c r="B58" s="135"/>
      <c r="C58" s="214">
        <f t="shared" ref="C58:L58" si="14">C49-C48</f>
        <v>996.18999999999994</v>
      </c>
      <c r="D58" s="214">
        <f t="shared" si="14"/>
        <v>939.75999999999988</v>
      </c>
      <c r="E58" s="214">
        <f t="shared" si="14"/>
        <v>943.96</v>
      </c>
      <c r="F58" s="214">
        <f t="shared" si="14"/>
        <v>1013.3799999999999</v>
      </c>
      <c r="G58" s="214">
        <f t="shared" si="14"/>
        <v>935.57999999999993</v>
      </c>
      <c r="H58" s="214">
        <f t="shared" si="14"/>
        <v>947.87000000000012</v>
      </c>
      <c r="I58" s="214">
        <f t="shared" si="14"/>
        <v>1390.1799999999998</v>
      </c>
      <c r="J58" s="214">
        <f t="shared" si="14"/>
        <v>2222.73</v>
      </c>
      <c r="K58" s="214">
        <f t="shared" si="14"/>
        <v>2820.9799999999996</v>
      </c>
      <c r="L58" s="214">
        <f t="shared" si="14"/>
        <v>3606.9300000000003</v>
      </c>
      <c r="M58" s="214"/>
      <c r="N58" s="214"/>
    </row>
    <row r="59" spans="1:14">
      <c r="A59" s="139" t="s">
        <v>223</v>
      </c>
      <c r="B59" s="135"/>
      <c r="C59" s="214">
        <f>'Screener Input'!B59+'Screener Input'!B60</f>
        <v>785.94</v>
      </c>
      <c r="D59" s="214">
        <f>'Screener Input'!C59+'Screener Input'!C60</f>
        <v>1256.3200000000002</v>
      </c>
      <c r="E59" s="214">
        <f>'Screener Input'!D59+'Screener Input'!D60</f>
        <v>1317.65</v>
      </c>
      <c r="F59" s="214">
        <f>'Screener Input'!E59+'Screener Input'!E60</f>
        <v>1458.2</v>
      </c>
      <c r="G59" s="214">
        <f>'Screener Input'!F59+'Screener Input'!F60</f>
        <v>1354.96</v>
      </c>
      <c r="H59" s="214">
        <f>'Screener Input'!G59+'Screener Input'!G60</f>
        <v>1343.94</v>
      </c>
      <c r="I59" s="214">
        <f>'Screener Input'!H59+'Screener Input'!H60</f>
        <v>1571.2</v>
      </c>
      <c r="J59" s="214">
        <f>'Screener Input'!I59+'Screener Input'!I60</f>
        <v>1438.78</v>
      </c>
      <c r="K59" s="214">
        <f>'Screener Input'!J59+'Screener Input'!J60</f>
        <v>1460.56</v>
      </c>
      <c r="L59" s="214">
        <f>'Screener Input'!K59+'Screener Input'!K60</f>
        <v>1836.44</v>
      </c>
      <c r="M59" s="214"/>
      <c r="N59" s="214"/>
    </row>
    <row r="60" spans="1:14">
      <c r="A60" s="140" t="s">
        <v>17</v>
      </c>
      <c r="B60" s="141"/>
      <c r="C60" s="360">
        <f>'Screener Input'!B66</f>
        <v>1507.31</v>
      </c>
      <c r="D60" s="360">
        <f>'Screener Input'!C66</f>
        <v>1539.12</v>
      </c>
      <c r="E60" s="360">
        <f>'Screener Input'!D66</f>
        <v>1643.68</v>
      </c>
      <c r="F60" s="360">
        <f>'Screener Input'!E66</f>
        <v>1867.37</v>
      </c>
      <c r="G60" s="360">
        <f>'Screener Input'!F66</f>
        <v>1910.54</v>
      </c>
      <c r="H60" s="360">
        <f>'Screener Input'!G66</f>
        <v>2142.0500000000002</v>
      </c>
      <c r="I60" s="360">
        <f>'Screener Input'!H66</f>
        <v>2816.31</v>
      </c>
      <c r="J60" s="360">
        <f>'Screener Input'!I66</f>
        <v>3530.46</v>
      </c>
      <c r="K60" s="360">
        <f>'Screener Input'!J66</f>
        <v>4156.9799999999996</v>
      </c>
      <c r="L60" s="360">
        <f>'Screener Input'!K66</f>
        <v>5242.67</v>
      </c>
      <c r="M60" s="218"/>
      <c r="N60" s="218"/>
    </row>
    <row r="61" spans="1:14">
      <c r="A61" s="327"/>
      <c r="B61" s="327"/>
      <c r="C61" s="327"/>
      <c r="D61" s="327"/>
      <c r="E61" s="327"/>
      <c r="F61" s="327"/>
      <c r="G61" s="327"/>
      <c r="H61" s="327"/>
      <c r="I61" s="327"/>
      <c r="J61" s="327"/>
      <c r="K61" s="327"/>
      <c r="L61" s="121"/>
      <c r="M61" s="121"/>
      <c r="N61" s="121"/>
    </row>
    <row r="62" spans="1:14">
      <c r="A62" s="137" t="s">
        <v>61</v>
      </c>
      <c r="B62" s="135"/>
      <c r="C62" s="214">
        <f>'Screener Input'!B82</f>
        <v>250.32</v>
      </c>
      <c r="D62" s="214">
        <f>'Screener Input'!C82</f>
        <v>237.74</v>
      </c>
      <c r="E62" s="214">
        <f>'Screener Input'!D82</f>
        <v>296.45999999999998</v>
      </c>
      <c r="F62" s="214">
        <f>'Screener Input'!E82</f>
        <v>246.12</v>
      </c>
      <c r="G62" s="214">
        <f>'Screener Input'!F82</f>
        <v>319.8</v>
      </c>
      <c r="H62" s="214">
        <f>'Screener Input'!G82</f>
        <v>671.48</v>
      </c>
      <c r="I62" s="214">
        <f>'Screener Input'!H82</f>
        <v>584.46</v>
      </c>
      <c r="J62" s="214">
        <f>'Screener Input'!I82</f>
        <v>959.23</v>
      </c>
      <c r="K62" s="214">
        <f>'Screener Input'!J82</f>
        <v>441.28</v>
      </c>
      <c r="L62" s="214">
        <f>'Screener Input'!K82</f>
        <v>1248.77</v>
      </c>
      <c r="M62" s="135"/>
      <c r="N62" s="135"/>
    </row>
    <row r="63" spans="1:14">
      <c r="A63" s="137" t="s">
        <v>29</v>
      </c>
      <c r="B63" s="138"/>
      <c r="C63" s="214"/>
      <c r="D63" s="214">
        <f t="shared" ref="D63:L63" si="15">D62-D23</f>
        <v>146.82000000000002</v>
      </c>
      <c r="E63" s="214">
        <f t="shared" si="15"/>
        <v>223.33999999999997</v>
      </c>
      <c r="F63" s="214">
        <f t="shared" si="15"/>
        <v>-33.649999999999977</v>
      </c>
      <c r="G63" s="214">
        <f t="shared" si="15"/>
        <v>98.200000000000017</v>
      </c>
      <c r="H63" s="214">
        <f t="shared" si="15"/>
        <v>517.71999999999991</v>
      </c>
      <c r="I63" s="214">
        <f t="shared" si="15"/>
        <v>502.22</v>
      </c>
      <c r="J63" s="214">
        <f t="shared" si="15"/>
        <v>697.95</v>
      </c>
      <c r="K63" s="214">
        <f t="shared" si="15"/>
        <v>172.26</v>
      </c>
      <c r="L63" s="214">
        <f t="shared" si="15"/>
        <v>748.34000000000015</v>
      </c>
      <c r="M63" s="138"/>
      <c r="N63" s="138"/>
    </row>
    <row r="64" spans="1:14">
      <c r="A64" s="137" t="s">
        <v>224</v>
      </c>
      <c r="B64" s="142"/>
      <c r="C64" s="214">
        <f>'Screener Input'!B83</f>
        <v>-6.02</v>
      </c>
      <c r="D64" s="214">
        <f>'Screener Input'!C83</f>
        <v>-36.68</v>
      </c>
      <c r="E64" s="214">
        <f>'Screener Input'!D83</f>
        <v>-117.85</v>
      </c>
      <c r="F64" s="214">
        <f>'Screener Input'!E83</f>
        <v>-64.78</v>
      </c>
      <c r="G64" s="214">
        <f>'Screener Input'!F83</f>
        <v>28.18</v>
      </c>
      <c r="H64" s="214">
        <f>'Screener Input'!G83</f>
        <v>-245.64</v>
      </c>
      <c r="I64" s="214">
        <f>'Screener Input'!H83</f>
        <v>-450.3</v>
      </c>
      <c r="J64" s="214">
        <f>'Screener Input'!I83</f>
        <v>-705.2</v>
      </c>
      <c r="K64" s="214">
        <f>'Screener Input'!J83</f>
        <v>-149.85</v>
      </c>
      <c r="L64" s="214">
        <f>'Screener Input'!K83</f>
        <v>-956.26</v>
      </c>
      <c r="M64" s="142"/>
      <c r="N64" s="142"/>
    </row>
    <row r="65" spans="1:14">
      <c r="A65" s="137" t="s">
        <v>225</v>
      </c>
      <c r="B65" s="142"/>
      <c r="C65" s="214">
        <f>'Screener Input'!B84</f>
        <v>-112.69</v>
      </c>
      <c r="D65" s="214">
        <f>'Screener Input'!C84</f>
        <v>-222.89</v>
      </c>
      <c r="E65" s="214">
        <f>'Screener Input'!D84</f>
        <v>-165.8</v>
      </c>
      <c r="F65" s="214">
        <f>'Screener Input'!E84</f>
        <v>-168.41</v>
      </c>
      <c r="G65" s="214">
        <f>'Screener Input'!F84</f>
        <v>-378.15</v>
      </c>
      <c r="H65" s="214">
        <f>'Screener Input'!G84</f>
        <v>-357.34</v>
      </c>
      <c r="I65" s="214">
        <f>'Screener Input'!H84</f>
        <v>-181.37</v>
      </c>
      <c r="J65" s="214">
        <f>'Screener Input'!I84</f>
        <v>-246.18</v>
      </c>
      <c r="K65" s="214">
        <f>'Screener Input'!J84</f>
        <v>-295.08</v>
      </c>
      <c r="L65" s="214">
        <f>'Screener Input'!K84</f>
        <v>-231.75</v>
      </c>
      <c r="M65" s="142"/>
      <c r="N65" s="142"/>
    </row>
    <row r="66" spans="1:14">
      <c r="A66" s="137" t="s">
        <v>226</v>
      </c>
      <c r="B66" s="143"/>
      <c r="C66" s="312">
        <f t="shared" ref="C66:L66" si="16">C34/C33</f>
        <v>0.26963083826228856</v>
      </c>
      <c r="D66" s="312">
        <f t="shared" si="16"/>
        <v>5.0294767870302091E-2</v>
      </c>
      <c r="E66" s="312">
        <f t="shared" si="16"/>
        <v>0.28287469943895227</v>
      </c>
      <c r="F66" s="312">
        <f t="shared" si="16"/>
        <v>0.25076899992497592</v>
      </c>
      <c r="G66" s="312">
        <f t="shared" si="16"/>
        <v>0.2749490835030553</v>
      </c>
      <c r="H66" s="312">
        <f t="shared" si="16"/>
        <v>0.30489004426333138</v>
      </c>
      <c r="I66" s="312">
        <f t="shared" si="16"/>
        <v>0.27497130340462722</v>
      </c>
      <c r="J66" s="312">
        <f t="shared" si="16"/>
        <v>0.32454975992658519</v>
      </c>
      <c r="K66" s="312">
        <f t="shared" si="16"/>
        <v>0.32183282208588959</v>
      </c>
      <c r="L66" s="312">
        <f t="shared" si="16"/>
        <v>0.33866803656576838</v>
      </c>
      <c r="M66" s="143"/>
      <c r="N66" s="143"/>
    </row>
    <row r="67" spans="1:14">
      <c r="A67" s="137" t="s">
        <v>227</v>
      </c>
      <c r="B67" s="138"/>
      <c r="C67" s="214">
        <f t="shared" ref="C67:L67" si="17">C31*(1-C66)</f>
        <v>167.05003467264928</v>
      </c>
      <c r="D67" s="214">
        <f t="shared" si="17"/>
        <v>125.37058769344152</v>
      </c>
      <c r="E67" s="214">
        <f t="shared" si="17"/>
        <v>165.49817686347879</v>
      </c>
      <c r="F67" s="214">
        <f t="shared" si="17"/>
        <v>230.89800960312067</v>
      </c>
      <c r="G67" s="214">
        <f t="shared" si="17"/>
        <v>289.82460285132339</v>
      </c>
      <c r="H67" s="214">
        <f t="shared" si="17"/>
        <v>401.50246153305761</v>
      </c>
      <c r="I67" s="214">
        <f t="shared" si="17"/>
        <v>691.27861076885836</v>
      </c>
      <c r="J67" s="214">
        <f t="shared" si="17"/>
        <v>827.649442669157</v>
      </c>
      <c r="K67" s="214">
        <f t="shared" si="17"/>
        <v>888.0260111196319</v>
      </c>
      <c r="L67" s="214">
        <f t="shared" si="17"/>
        <v>1009.1595096024656</v>
      </c>
      <c r="M67" s="138"/>
      <c r="N67" s="138"/>
    </row>
    <row r="68" spans="1:14">
      <c r="A68" s="427"/>
      <c r="B68" s="427"/>
      <c r="C68" s="427"/>
      <c r="D68" s="427"/>
      <c r="E68" s="427"/>
      <c r="F68" s="427"/>
      <c r="G68" s="427"/>
      <c r="H68" s="427"/>
      <c r="I68" s="427"/>
      <c r="J68" s="427"/>
      <c r="K68" s="427"/>
      <c r="L68" s="121"/>
      <c r="M68" s="121"/>
      <c r="N68" s="121"/>
    </row>
    <row r="69" spans="1:14">
      <c r="A69" s="144" t="s">
        <v>228</v>
      </c>
      <c r="C69" s="145"/>
      <c r="D69" s="313">
        <f t="shared" ref="D69:L69" si="18">D37+C36</f>
        <v>4018.1882442635369</v>
      </c>
      <c r="E69" s="313">
        <f t="shared" si="18"/>
        <v>4553.6897006463114</v>
      </c>
      <c r="F69" s="313">
        <f t="shared" si="18"/>
        <v>6958.275708333751</v>
      </c>
      <c r="G69" s="313">
        <f t="shared" si="18"/>
        <v>6539.6087362525004</v>
      </c>
      <c r="H69" s="313">
        <f t="shared" si="18"/>
        <v>10534.312491213261</v>
      </c>
      <c r="I69" s="313">
        <f t="shared" si="18"/>
        <v>26546.3843877</v>
      </c>
      <c r="J69" s="313">
        <f t="shared" si="18"/>
        <v>33251.413687427383</v>
      </c>
      <c r="K69" s="313">
        <f t="shared" si="18"/>
        <v>41325.942196128941</v>
      </c>
      <c r="L69" s="313">
        <f t="shared" si="18"/>
        <v>63327.554428209405</v>
      </c>
      <c r="M69" s="145"/>
      <c r="N69" s="145"/>
    </row>
    <row r="70" spans="1:14">
      <c r="A70" s="129" t="s">
        <v>229</v>
      </c>
      <c r="B70" s="145"/>
      <c r="C70" s="314">
        <f t="shared" ref="C70:L70" si="19">C35-C36</f>
        <v>47.679999999999893</v>
      </c>
      <c r="D70" s="314">
        <f t="shared" si="19"/>
        <v>43.370000000000111</v>
      </c>
      <c r="E70" s="314">
        <f t="shared" si="19"/>
        <v>56.570000000000292</v>
      </c>
      <c r="F70" s="314">
        <f t="shared" si="19"/>
        <v>98.199999999999648</v>
      </c>
      <c r="G70" s="314">
        <f t="shared" si="19"/>
        <v>158.25999999999954</v>
      </c>
      <c r="H70" s="314">
        <f t="shared" si="19"/>
        <v>251.80000000000058</v>
      </c>
      <c r="I70" s="314">
        <f t="shared" si="19"/>
        <v>496.56000000000029</v>
      </c>
      <c r="J70" s="314">
        <f t="shared" si="19"/>
        <v>584.35999999999956</v>
      </c>
      <c r="K70" s="314">
        <f t="shared" si="19"/>
        <v>620.32999999999993</v>
      </c>
      <c r="L70" s="314">
        <f t="shared" si="19"/>
        <v>704.00999999999988</v>
      </c>
      <c r="M70" s="145"/>
      <c r="N70" s="145"/>
    </row>
    <row r="71" spans="1:14">
      <c r="A71" s="205"/>
      <c r="B71" s="205"/>
      <c r="C71" s="205"/>
      <c r="D71" s="205"/>
      <c r="E71" s="205"/>
      <c r="F71" s="205"/>
      <c r="G71" s="205"/>
      <c r="H71" s="205"/>
      <c r="I71" s="205"/>
      <c r="J71" s="205"/>
      <c r="K71" s="205"/>
      <c r="L71" s="121"/>
      <c r="M71" s="121"/>
      <c r="N71" s="121"/>
    </row>
    <row r="72" spans="1:14">
      <c r="A72" s="146" t="s">
        <v>286</v>
      </c>
      <c r="B72" s="162"/>
      <c r="C72" s="162">
        <f>'Screener Input'!B90</f>
        <v>301.24555600000002</v>
      </c>
      <c r="D72" s="162">
        <f>'Screener Input'!C90</f>
        <v>328.38857100000001</v>
      </c>
      <c r="E72" s="162">
        <f>'Screener Input'!D90</f>
        <v>376.21842099999998</v>
      </c>
      <c r="F72" s="162">
        <f>'Screener Input'!E90</f>
        <v>576.02250000000004</v>
      </c>
      <c r="G72" s="162">
        <f>'Screener Input'!F90</f>
        <v>538.63499999999999</v>
      </c>
      <c r="H72" s="162">
        <f>'Screener Input'!G90</f>
        <v>869.92894699999999</v>
      </c>
      <c r="I72" s="162">
        <f>'Screener Input'!H90</f>
        <v>2201.5650000000001</v>
      </c>
      <c r="J72" s="162">
        <f>'Screener Input'!I90</f>
        <v>2755.5131580000002</v>
      </c>
      <c r="K72" s="162">
        <f>'Screener Input'!J90</f>
        <v>3423.8052630000002</v>
      </c>
      <c r="L72" s="162">
        <f>'Screener Input'!K90</f>
        <v>5252.7071429999996</v>
      </c>
      <c r="M72" s="162"/>
      <c r="N72" s="162"/>
    </row>
    <row r="73" spans="1:14">
      <c r="A73" s="146" t="s">
        <v>37</v>
      </c>
      <c r="B73" s="162"/>
      <c r="C73" s="162">
        <f>SUM('Screener Input'!B57:B58)/'Screener Input'!B93</f>
        <v>60.390546519084026</v>
      </c>
      <c r="D73" s="162">
        <f>SUM('Screener Input'!C57:C58)/'Screener Input'!C93</f>
        <v>23.675016365522495</v>
      </c>
      <c r="E73" s="162">
        <f>SUM('Screener Input'!D57:D58)/'Screener Input'!D93</f>
        <v>27.294079157182807</v>
      </c>
      <c r="F73" s="162">
        <f>SUM('Screener Input'!E57:E58)/'Screener Input'!E93</f>
        <v>34.254266075957702</v>
      </c>
      <c r="G73" s="162">
        <f>SUM('Screener Input'!F57:F58)/'Screener Input'!F93</f>
        <v>46.482008928364124</v>
      </c>
      <c r="H73" s="162">
        <f>SUM('Screener Input'!G57:G58)/'Screener Input'!G93</f>
        <v>66.550316945978267</v>
      </c>
      <c r="I73" s="162">
        <f>SUM('Screener Input'!H57:H58)/'Screener Input'!H93</f>
        <v>103.82336411347683</v>
      </c>
      <c r="J73" s="162">
        <f>SUM('Screener Input'!I57:I58)/'Screener Input'!I93</f>
        <v>174.34180380437505</v>
      </c>
      <c r="K73" s="162">
        <f>SUM('Screener Input'!J57:J58)/'Screener Input'!J93</f>
        <v>224.70014057821191</v>
      </c>
      <c r="L73" s="162">
        <f>SUM('Screener Input'!K57:K58)/'Screener Input'!K93</f>
        <v>283.71265803085663</v>
      </c>
      <c r="M73" s="162"/>
      <c r="N73" s="162"/>
    </row>
    <row r="74" spans="1:14">
      <c r="A74" s="146" t="s">
        <v>35</v>
      </c>
      <c r="B74" s="147"/>
      <c r="C74" s="147">
        <f>('Screener Input'!B30/'Screener Input'!B93)</f>
        <v>12.681370152225414</v>
      </c>
      <c r="D74" s="147">
        <f>('Screener Input'!C30/'Screener Input'!C93)</f>
        <v>8.6378648818762773</v>
      </c>
      <c r="E74" s="147">
        <f>('Screener Input'!D30/'Screener Input'!D93)</f>
        <v>11.247307102927676</v>
      </c>
      <c r="F74" s="147">
        <f>('Screener Input'!E30/'Screener Input'!E93)</f>
        <v>16.705620635572892</v>
      </c>
      <c r="G74" s="147">
        <f>('Screener Input'!F30/'Screener Input'!F93)</f>
        <v>21.710791095630679</v>
      </c>
      <c r="H74" s="147">
        <f>('Screener Input'!G30/'Screener Input'!G93)</f>
        <v>32.966217444453157</v>
      </c>
      <c r="I74" s="147">
        <f>('Screener Input'!H30/'Screener Input'!H93)</f>
        <v>57.422172710125757</v>
      </c>
      <c r="J74" s="147">
        <f>('Screener Input'!I30/'Screener Input'!I93)</f>
        <v>68.728851727325207</v>
      </c>
      <c r="K74" s="147">
        <f>('Screener Input'!J30/'Screener Input'!J93)</f>
        <v>73.70533275128173</v>
      </c>
      <c r="L74" s="147">
        <f>('Screener Input'!K30/'Screener Input'!K93)</f>
        <v>83.64460490757439</v>
      </c>
      <c r="M74" s="183">
        <f>SUM('Screener Input'!H49:K49)/'Screener Input'!K93</f>
        <v>87.117060001125438</v>
      </c>
      <c r="N74" s="147">
        <f>SUM('Screener Input'!D49:G49)/'Screener Input'!K93</f>
        <v>73.423809404344595</v>
      </c>
    </row>
    <row r="75" spans="1:14">
      <c r="A75" s="146" t="s">
        <v>33</v>
      </c>
      <c r="B75" s="147"/>
      <c r="C75" s="147">
        <f>'Screener Input'!B31/'Screener Input'!B93</f>
        <v>7.9999454168646738</v>
      </c>
      <c r="D75" s="147">
        <f>'Screener Input'!C31/'Screener Input'!C93</f>
        <v>5.0003844678665432</v>
      </c>
      <c r="E75" s="147">
        <f>'Screener Input'!D31/'Screener Input'!D93</f>
        <v>6.4997463600394854</v>
      </c>
      <c r="F75" s="147">
        <f>'Screener Input'!E31/'Screener Input'!E93</f>
        <v>8.4997327142556536</v>
      </c>
      <c r="G75" s="147">
        <f>'Screener Input'!F31/'Screener Input'!F93</f>
        <v>8.5019290602620021</v>
      </c>
      <c r="H75" s="147">
        <f>'Screener Input'!G31/'Screener Input'!G93</f>
        <v>12.002421497292492</v>
      </c>
      <c r="I75" s="147">
        <f>'Screener Input'!H31/'Screener Input'!H93</f>
        <v>16.003228663056657</v>
      </c>
      <c r="J75" s="147">
        <f>'Screener Input'!I31/'Screener Input'!I93</f>
        <v>20.004031645877962</v>
      </c>
      <c r="K75" s="147">
        <f>'Screener Input'!J31/'Screener Input'!J93</f>
        <v>21.999850584348113</v>
      </c>
      <c r="L75" s="147">
        <f>'Screener Input'!K31/'Screener Input'!K93</f>
        <v>24.998511566981968</v>
      </c>
      <c r="M75" s="147"/>
      <c r="N75" s="147"/>
    </row>
    <row r="76" spans="1:14">
      <c r="A76" s="146" t="s">
        <v>38</v>
      </c>
      <c r="B76" s="147"/>
      <c r="C76" s="147">
        <f>'Screener Input'!B90/('Screener Input'!B30/'Screener Input'!B93)</f>
        <v>23.754969091185732</v>
      </c>
      <c r="D76" s="147">
        <f>'Screener Input'!C90/('Screener Input'!C30/'Screener Input'!C93)</f>
        <v>38.017331307070521</v>
      </c>
      <c r="E76" s="147">
        <f>'Screener Input'!D90/('Screener Input'!D30/'Screener Input'!D93)</f>
        <v>33.449644217687471</v>
      </c>
      <c r="F76" s="147">
        <f>'Screener Input'!E90/('Screener Input'!E30/'Screener Input'!E93)</f>
        <v>34.480760252236287</v>
      </c>
      <c r="G76" s="147">
        <f>'Screener Input'!F90/('Screener Input'!F30/'Screener Input'!F93)</f>
        <v>24.809551970144511</v>
      </c>
      <c r="H76" s="147">
        <f>'Screener Input'!G90/('Screener Input'!G30/'Screener Input'!G93)</f>
        <v>26.388497511605561</v>
      </c>
      <c r="I76" s="147">
        <f>'Screener Input'!H90/('Screener Input'!H30/'Screener Input'!H93)</f>
        <v>38.339980813923098</v>
      </c>
      <c r="J76" s="147">
        <f>'Screener Input'!I90/('Screener Input'!I30/'Screener Input'!I93)</f>
        <v>40.092524300161756</v>
      </c>
      <c r="K76" s="147">
        <f>'Screener Input'!J90/('Screener Input'!J30/'Screener Input'!J93)</f>
        <v>46.452612520638276</v>
      </c>
      <c r="L76" s="147">
        <f>'Screener Input'!K90/('Screener Input'!K30/'Screener Input'!K93)</f>
        <v>62.797919229867077</v>
      </c>
      <c r="M76" s="147"/>
      <c r="N76" s="147"/>
    </row>
    <row r="77" spans="1:14">
      <c r="A77" s="146" t="s">
        <v>230</v>
      </c>
      <c r="B77" s="146"/>
      <c r="C77" s="147"/>
      <c r="D77" s="147">
        <f>D76/(((('Screener Input'!C30/'Screener Input'!C93) - ('Screener Input'!B30/'Screener Input'!B93))/('Screener Input'!B30/'Screener Input'!B93))*100)</f>
        <v>-1.1923116659202992</v>
      </c>
      <c r="E77" s="147">
        <f>E76/(((('Screener Input'!D30/'Screener Input'!D93) - ('Screener Input'!C30/'Screener Input'!C93))/('Screener Input'!C30/'Screener Input'!C93))*100)</f>
        <v>1.1072615625219751</v>
      </c>
      <c r="F77" s="147">
        <f>F76/(((('Screener Input'!E30/'Screener Input'!E93) - ('Screener Input'!D30/'Screener Input'!D93))/('Screener Input'!D30/'Screener Input'!D93))*100)</f>
        <v>0.71050462268219994</v>
      </c>
      <c r="G77" s="147">
        <f>G76/(((('Screener Input'!F30/'Screener Input'!F93) - ('Screener Input'!E30/'Screener Input'!E93))/('Screener Input'!E30/'Screener Input'!E93))*100)</f>
        <v>0.82806163478192329</v>
      </c>
      <c r="H77" s="147">
        <f>H76/(((('Screener Input'!G30/'Screener Input'!G93) - ('Screener Input'!F30/'Screener Input'!F93))/('Screener Input'!F30/'Screener Input'!F93))*100)</f>
        <v>0.5090123990389539</v>
      </c>
      <c r="I77" s="147">
        <f>I76/(((('Screener Input'!H30/'Screener Input'!H93) - ('Screener Input'!G30/'Screener Input'!G93))/('Screener Input'!G30/'Screener Input'!G93))*100)</f>
        <v>0.51681650976114102</v>
      </c>
      <c r="J77" s="147">
        <f>J76/(((('Screener Input'!I30/'Screener Input'!I93) - ('Screener Input'!H30/'Screener Input'!H93))/('Screener Input'!H30/'Screener Input'!H93))*100)</f>
        <v>2.0361415153350961</v>
      </c>
      <c r="K77" s="147">
        <f>K76/(((('Screener Input'!J30/'Screener Input'!J93) - ('Screener Input'!I30/'Screener Input'!I93))/('Screener Input'!I30/'Screener Input'!I93))*100)</f>
        <v>6.4154463825113748</v>
      </c>
      <c r="L77" s="147">
        <f>L76/(((('Screener Input'!K30/'Screener Input'!K93) - ('Screener Input'!J30/'Screener Input'!J93))/('Screener Input'!J30/'Screener Input'!J93))*100)</f>
        <v>4.6568214051720958</v>
      </c>
      <c r="M77" s="147"/>
      <c r="N77" s="147"/>
    </row>
    <row r="78" spans="1:14">
      <c r="A78" s="137" t="s">
        <v>231</v>
      </c>
      <c r="C78" s="148">
        <f t="shared" ref="C78:L78" si="20">C37/C42</f>
        <v>4.9882899454271934</v>
      </c>
      <c r="D78" s="148">
        <f t="shared" si="20"/>
        <v>13.870679788767811</v>
      </c>
      <c r="E78" s="148">
        <f t="shared" si="20"/>
        <v>13.783884000387426</v>
      </c>
      <c r="F78" s="148">
        <f t="shared" si="20"/>
        <v>16.81608062256214</v>
      </c>
      <c r="G78" s="148">
        <f t="shared" si="20"/>
        <v>11.588031851853021</v>
      </c>
      <c r="H78" s="148">
        <f t="shared" si="20"/>
        <v>13.071747617763542</v>
      </c>
      <c r="I78" s="148">
        <f t="shared" si="20"/>
        <v>21.204909114616381</v>
      </c>
      <c r="J78" s="148">
        <f t="shared" si="20"/>
        <v>15.805234876954117</v>
      </c>
      <c r="K78" s="148">
        <f t="shared" si="20"/>
        <v>15.237219051975931</v>
      </c>
      <c r="L78" s="148">
        <f t="shared" si="20"/>
        <v>18.514179731905774</v>
      </c>
      <c r="M78" s="148"/>
      <c r="N78" s="148"/>
    </row>
    <row r="79" spans="1:14">
      <c r="A79" s="140" t="s">
        <v>232</v>
      </c>
      <c r="B79" s="138"/>
      <c r="C79" s="138">
        <f t="shared" ref="C79:L79" si="21">C37/C62</f>
        <v>14.375210602160493</v>
      </c>
      <c r="D79" s="138">
        <f t="shared" si="21"/>
        <v>16.499656112827193</v>
      </c>
      <c r="E79" s="138">
        <f t="shared" si="21"/>
        <v>15.158738786501761</v>
      </c>
      <c r="F79" s="138">
        <f t="shared" si="21"/>
        <v>27.956426573759753</v>
      </c>
      <c r="G79" s="138">
        <f t="shared" si="21"/>
        <v>20.131578287218577</v>
      </c>
      <c r="H79" s="138">
        <f t="shared" si="21"/>
        <v>15.53686258892783</v>
      </c>
      <c r="I79" s="138">
        <f t="shared" si="21"/>
        <v>45.174082721999795</v>
      </c>
      <c r="J79" s="138">
        <f t="shared" si="21"/>
        <v>34.464616085221877</v>
      </c>
      <c r="K79" s="138">
        <f t="shared" si="21"/>
        <v>93.106286702612721</v>
      </c>
      <c r="L79" s="138">
        <f t="shared" si="21"/>
        <v>50.500536070060463</v>
      </c>
      <c r="M79" s="138"/>
      <c r="N79" s="138"/>
    </row>
    <row r="80" spans="1:14">
      <c r="A80" s="140" t="s">
        <v>233</v>
      </c>
      <c r="B80" s="138"/>
      <c r="C80" s="138"/>
      <c r="D80" s="138">
        <f t="shared" ref="D80:L80" si="22">D37/D63</f>
        <v>26.717260892681765</v>
      </c>
      <c r="E80" s="138">
        <f t="shared" si="22"/>
        <v>20.12160696985006</v>
      </c>
      <c r="F80" s="138">
        <f t="shared" si="22"/>
        <v>-204.47654408124086</v>
      </c>
      <c r="G80" s="138">
        <f t="shared" si="22"/>
        <v>65.560883261227076</v>
      </c>
      <c r="H80" s="138">
        <f t="shared" si="22"/>
        <v>20.151225548970991</v>
      </c>
      <c r="I80" s="138">
        <f t="shared" si="22"/>
        <v>52.571471442196646</v>
      </c>
      <c r="J80" s="138">
        <f t="shared" si="22"/>
        <v>47.366564492338107</v>
      </c>
      <c r="K80" s="138">
        <f t="shared" si="22"/>
        <v>238.51121674288251</v>
      </c>
      <c r="L80" s="138">
        <f t="shared" si="22"/>
        <v>84.271259625583809</v>
      </c>
      <c r="M80" s="138"/>
      <c r="N80" s="138"/>
    </row>
    <row r="81" spans="1:14">
      <c r="A81" s="140" t="s">
        <v>234</v>
      </c>
      <c r="B81" s="138"/>
      <c r="C81" s="138">
        <f t="shared" ref="C81:L81" si="23">C37/C26</f>
        <v>1.0517862634002433</v>
      </c>
      <c r="D81" s="138">
        <f t="shared" si="23"/>
        <v>1.0396824319327884</v>
      </c>
      <c r="E81" s="138">
        <f t="shared" si="23"/>
        <v>0.97495969103139934</v>
      </c>
      <c r="F81" s="138">
        <f t="shared" si="23"/>
        <v>1.2543612752346243</v>
      </c>
      <c r="G81" s="138">
        <f t="shared" si="23"/>
        <v>1.0408491492483927</v>
      </c>
      <c r="H81" s="138">
        <f t="shared" si="23"/>
        <v>1.5092044207283772</v>
      </c>
      <c r="I81" s="138">
        <f t="shared" si="23"/>
        <v>3.3597649893617292</v>
      </c>
      <c r="J81" s="138">
        <f t="shared" si="23"/>
        <v>3.9369522672866393</v>
      </c>
      <c r="K81" s="138">
        <f t="shared" si="23"/>
        <v>4.5378323162381795</v>
      </c>
      <c r="L81" s="138">
        <f t="shared" si="23"/>
        <v>6.3610669799151909</v>
      </c>
      <c r="M81" s="138"/>
      <c r="N81" s="138"/>
    </row>
    <row r="82" spans="1:14">
      <c r="A82" s="140" t="s">
        <v>235</v>
      </c>
      <c r="B82" s="138"/>
      <c r="C82" s="138">
        <f t="shared" ref="C82:L82" si="24">(C37-C45+C8)/C29</f>
        <v>11.514179540212524</v>
      </c>
      <c r="D82" s="138">
        <f t="shared" si="24"/>
        <v>17.390760325186793</v>
      </c>
      <c r="E82" s="138">
        <f t="shared" si="24"/>
        <v>13.368425380115351</v>
      </c>
      <c r="F82" s="138">
        <f t="shared" si="24"/>
        <v>17.128606546671055</v>
      </c>
      <c r="G82" s="138">
        <f t="shared" si="24"/>
        <v>13.028693825605876</v>
      </c>
      <c r="H82" s="138">
        <f t="shared" si="24"/>
        <v>15.72663401566799</v>
      </c>
      <c r="I82" s="138">
        <f t="shared" si="24"/>
        <v>24.121487151002338</v>
      </c>
      <c r="J82" s="138">
        <f t="shared" si="24"/>
        <v>24.662065589604698</v>
      </c>
      <c r="K82" s="138">
        <f t="shared" si="24"/>
        <v>28.754509068347154</v>
      </c>
      <c r="L82" s="138">
        <f t="shared" si="24"/>
        <v>37.798871972883667</v>
      </c>
      <c r="M82" s="138"/>
      <c r="N82" s="138"/>
    </row>
    <row r="83" spans="1:14">
      <c r="A83" s="135" t="s">
        <v>236</v>
      </c>
      <c r="B83" s="149"/>
      <c r="C83" s="149">
        <f t="shared" ref="C83:L83" si="25">C36/C37</f>
        <v>2.6556227162616377E-2</v>
      </c>
      <c r="D83" s="149">
        <f t="shared" si="25"/>
        <v>1.5227035620148131E-2</v>
      </c>
      <c r="E83" s="149">
        <f t="shared" si="25"/>
        <v>1.7276523416272286E-2</v>
      </c>
      <c r="F83" s="149">
        <f t="shared" si="25"/>
        <v>1.4755904004193679E-2</v>
      </c>
      <c r="G83" s="149">
        <f t="shared" si="25"/>
        <v>1.5784212055031704E-2</v>
      </c>
      <c r="H83" s="149">
        <f t="shared" si="25"/>
        <v>1.3797013582182239E-2</v>
      </c>
      <c r="I83" s="149">
        <f t="shared" si="25"/>
        <v>7.269023927550018E-3</v>
      </c>
      <c r="J83" s="149">
        <f t="shared" si="25"/>
        <v>7.2596393117560854E-3</v>
      </c>
      <c r="K83" s="149">
        <f t="shared" si="25"/>
        <v>6.4255554549476467E-3</v>
      </c>
      <c r="L83" s="149">
        <f t="shared" si="25"/>
        <v>4.7591672039618924E-3</v>
      </c>
      <c r="M83" s="149"/>
      <c r="N83" s="149"/>
    </row>
    <row r="84" spans="1:14">
      <c r="A84" s="150" t="s">
        <v>237</v>
      </c>
      <c r="B84" s="151"/>
      <c r="C84" s="152">
        <f t="shared" ref="C84:L84" si="26">C37+C8-C45</f>
        <v>3392.4227179328145</v>
      </c>
      <c r="D84" s="152">
        <f t="shared" si="26"/>
        <v>3308.418244263537</v>
      </c>
      <c r="E84" s="152">
        <f t="shared" si="26"/>
        <v>3952.9097006463121</v>
      </c>
      <c r="F84" s="152">
        <f t="shared" si="26"/>
        <v>6337.7557083337506</v>
      </c>
      <c r="G84" s="152">
        <f t="shared" si="26"/>
        <v>6161.008736252501</v>
      </c>
      <c r="H84" s="152">
        <f t="shared" si="26"/>
        <v>10392.002491213259</v>
      </c>
      <c r="I84" s="152">
        <f t="shared" si="26"/>
        <v>26483.704387700003</v>
      </c>
      <c r="J84" s="152">
        <f t="shared" si="26"/>
        <v>33016.093687427383</v>
      </c>
      <c r="K84" s="152">
        <f t="shared" si="26"/>
        <v>41082.142196128945</v>
      </c>
      <c r="L84" s="152">
        <f t="shared" si="26"/>
        <v>63049.274428209406</v>
      </c>
      <c r="M84" s="152"/>
      <c r="N84" s="152"/>
    </row>
    <row r="85" spans="1:14">
      <c r="A85" s="427"/>
      <c r="B85" s="427"/>
      <c r="C85" s="427"/>
      <c r="D85" s="427"/>
      <c r="E85" s="427"/>
      <c r="F85" s="427"/>
      <c r="G85" s="427"/>
      <c r="H85" s="427"/>
      <c r="I85" s="427"/>
      <c r="J85" s="427"/>
      <c r="K85" s="427"/>
      <c r="L85" s="121" t="s">
        <v>238</v>
      </c>
      <c r="M85" s="121"/>
      <c r="N85" s="121"/>
    </row>
    <row r="86" spans="1:14">
      <c r="A86" s="135" t="s">
        <v>239</v>
      </c>
      <c r="B86" s="138"/>
      <c r="C86" s="138">
        <f t="shared" ref="C86:K86" si="27">C52/C60</f>
        <v>9.4234099156775955E-2</v>
      </c>
      <c r="D86" s="138">
        <f t="shared" si="27"/>
        <v>4.1465252871770844E-2</v>
      </c>
      <c r="E86" s="138">
        <f t="shared" si="27"/>
        <v>2.2960673610435127E-2</v>
      </c>
      <c r="F86" s="138">
        <f t="shared" si="27"/>
        <v>1.5647675607940593E-2</v>
      </c>
      <c r="G86" s="138">
        <f t="shared" si="27"/>
        <v>-2.9687941629068237E-2</v>
      </c>
      <c r="H86" s="138">
        <f t="shared" si="27"/>
        <v>-9.5553325085782334E-2</v>
      </c>
      <c r="I86" s="138">
        <f t="shared" si="27"/>
        <v>-7.1725058676069204E-3</v>
      </c>
      <c r="J86" s="138">
        <f t="shared" si="27"/>
        <v>0.11161151804580705</v>
      </c>
      <c r="K86" s="138">
        <f t="shared" si="27"/>
        <v>0.27521662360656057</v>
      </c>
      <c r="L86" s="135">
        <v>1.2</v>
      </c>
      <c r="M86" s="135"/>
      <c r="N86" s="135"/>
    </row>
    <row r="87" spans="1:14">
      <c r="A87" s="135" t="s">
        <v>240</v>
      </c>
      <c r="B87" s="138"/>
      <c r="C87" s="138">
        <f t="shared" ref="C87:K87" si="28">C70/C60</f>
        <v>3.1632510896895727E-2</v>
      </c>
      <c r="D87" s="138">
        <f t="shared" si="28"/>
        <v>2.817843962783936E-2</v>
      </c>
      <c r="E87" s="138">
        <f t="shared" si="28"/>
        <v>3.4416674778545882E-2</v>
      </c>
      <c r="F87" s="138">
        <f t="shared" si="28"/>
        <v>5.2587328702934956E-2</v>
      </c>
      <c r="G87" s="138">
        <f t="shared" si="28"/>
        <v>8.2835219362064935E-2</v>
      </c>
      <c r="H87" s="138">
        <f t="shared" si="28"/>
        <v>0.11755094418897812</v>
      </c>
      <c r="I87" s="138">
        <f t="shared" si="28"/>
        <v>0.17631581750588546</v>
      </c>
      <c r="J87" s="138">
        <f t="shared" si="28"/>
        <v>0.16551950737297677</v>
      </c>
      <c r="K87" s="138">
        <f t="shared" si="28"/>
        <v>0.14922612088583539</v>
      </c>
      <c r="L87" s="135">
        <v>1.4</v>
      </c>
      <c r="M87" s="135"/>
      <c r="N87" s="135"/>
    </row>
    <row r="88" spans="1:14">
      <c r="A88" s="135" t="s">
        <v>241</v>
      </c>
      <c r="B88" s="138"/>
      <c r="C88" s="138">
        <f t="shared" ref="C88:K88" si="29">C31/C60</f>
        <v>0.15174051787621651</v>
      </c>
      <c r="D88" s="138">
        <f t="shared" si="29"/>
        <v>8.5769790529653389E-2</v>
      </c>
      <c r="E88" s="138">
        <f t="shared" si="29"/>
        <v>0.14040445828871817</v>
      </c>
      <c r="F88" s="138">
        <f t="shared" si="29"/>
        <v>0.1650342460251582</v>
      </c>
      <c r="G88" s="138">
        <f t="shared" si="29"/>
        <v>0.20922357029949626</v>
      </c>
      <c r="H88" s="138">
        <f t="shared" si="29"/>
        <v>0.26965290259331037</v>
      </c>
      <c r="I88" s="138">
        <f t="shared" si="29"/>
        <v>0.33854582769652497</v>
      </c>
      <c r="J88" s="138">
        <f t="shared" si="29"/>
        <v>0.34707375242886179</v>
      </c>
      <c r="K88" s="138">
        <f t="shared" si="29"/>
        <v>0.31500031272702783</v>
      </c>
      <c r="L88" s="135">
        <v>3.3</v>
      </c>
      <c r="M88" s="135"/>
      <c r="N88" s="135"/>
    </row>
    <row r="89" spans="1:14">
      <c r="A89" s="135" t="s">
        <v>242</v>
      </c>
      <c r="B89" s="138"/>
      <c r="C89" s="138">
        <f t="shared" ref="C89:L89" si="30">C37/C59</f>
        <v>4.5784700078031584</v>
      </c>
      <c r="D89" s="138">
        <f t="shared" si="30"/>
        <v>3.1223161648811897</v>
      </c>
      <c r="E89" s="138">
        <f t="shared" si="30"/>
        <v>3.4105868027521051</v>
      </c>
      <c r="F89" s="138">
        <f t="shared" si="30"/>
        <v>4.7185816131763483</v>
      </c>
      <c r="G89" s="138">
        <f t="shared" si="30"/>
        <v>4.7514898862346495</v>
      </c>
      <c r="H89" s="138">
        <f t="shared" si="30"/>
        <v>7.762766560421789</v>
      </c>
      <c r="I89" s="138">
        <f t="shared" si="30"/>
        <v>16.803999737589105</v>
      </c>
      <c r="J89" s="138">
        <f t="shared" si="30"/>
        <v>22.977448732556322</v>
      </c>
      <c r="K89" s="138">
        <f t="shared" si="30"/>
        <v>28.130266607416978</v>
      </c>
      <c r="L89" s="138">
        <f t="shared" si="30"/>
        <v>34.34011153547592</v>
      </c>
      <c r="M89" s="138"/>
      <c r="N89" s="138"/>
    </row>
    <row r="90" spans="1:14">
      <c r="A90" s="135" t="s">
        <v>243</v>
      </c>
      <c r="B90" s="138"/>
      <c r="C90" s="138">
        <f t="shared" ref="C90:K90" si="31">C26/C60</f>
        <v>2.2697587092237166</v>
      </c>
      <c r="D90" s="138">
        <f t="shared" si="31"/>
        <v>2.4513423254846924</v>
      </c>
      <c r="E90" s="138">
        <f t="shared" si="31"/>
        <v>2.8043049742042245</v>
      </c>
      <c r="F90" s="138">
        <f t="shared" si="31"/>
        <v>2.937484269319953</v>
      </c>
      <c r="G90" s="138">
        <f t="shared" si="31"/>
        <v>3.2375192353994158</v>
      </c>
      <c r="H90" s="138">
        <f t="shared" si="31"/>
        <v>3.2271468919959849</v>
      </c>
      <c r="I90" s="138">
        <f t="shared" si="31"/>
        <v>2.7903249287187846</v>
      </c>
      <c r="J90" s="138">
        <f t="shared" si="31"/>
        <v>2.3785087495680446</v>
      </c>
      <c r="K90" s="138">
        <f t="shared" si="31"/>
        <v>2.1780451192933334</v>
      </c>
      <c r="L90" s="135">
        <v>1</v>
      </c>
      <c r="M90" s="135"/>
      <c r="N90" s="135"/>
    </row>
    <row r="91" spans="1:14">
      <c r="A91" s="137"/>
      <c r="B91" s="138"/>
      <c r="C91" s="138"/>
      <c r="D91" s="138"/>
      <c r="E91" s="138"/>
      <c r="F91" s="138"/>
      <c r="G91" s="138"/>
      <c r="H91" s="138"/>
      <c r="I91" s="138"/>
      <c r="J91" s="138"/>
      <c r="K91" s="138"/>
      <c r="L91" s="138"/>
      <c r="M91" s="138"/>
      <c r="N91" s="138"/>
    </row>
    <row r="92" spans="1:14">
      <c r="A92" s="121" t="s">
        <v>344</v>
      </c>
      <c r="B92" s="121"/>
      <c r="C92" s="215">
        <f>SUM('Screener Output'!C35:C35)/SUM('Screener Output'!C40:C41)</f>
        <v>0.198566616299541</v>
      </c>
      <c r="D92" s="215">
        <f>SUM('Screener Output'!D35:D35)/SUM('Screener Output'!D40:D41)</f>
        <v>0.36456859971711492</v>
      </c>
      <c r="E92" s="215">
        <f>SUM('Screener Output'!E35:E35)/SUM('Screener Output'!E40:E41)</f>
        <v>0.41164923473300097</v>
      </c>
      <c r="F92" s="215">
        <f>SUM('Screener Output'!F35:F35)/SUM('Screener Output'!F40:F41)</f>
        <v>0.48813451621575304</v>
      </c>
      <c r="G92" s="215">
        <f>SUM('Screener Output'!G35:G35)/SUM('Screener Output'!G40:G41)</f>
        <v>0.46776341840958924</v>
      </c>
      <c r="H92" s="215">
        <f>SUM('Screener Output'!H35:H35)/SUM('Screener Output'!H40:H41)</f>
        <v>0.49584643720790439</v>
      </c>
      <c r="I92" s="215">
        <f>SUM('Screener Output'!I35:I35)/SUM('Screener Output'!I40:I41)</f>
        <v>0.55294712916931055</v>
      </c>
      <c r="J92" s="215">
        <f>SUM('Screener Output'!J35:J35)/SUM('Screener Output'!J40:J41)</f>
        <v>0.39411382238200854</v>
      </c>
      <c r="K92" s="215">
        <f>SUM('Screener Output'!K35:K35)/SUM('Screener Output'!K40:K41)</f>
        <v>0.32796448624472446</v>
      </c>
      <c r="L92" s="215">
        <f>SUM('Screener Output'!L35:L35)/SUM('Screener Output'!L40:L41)</f>
        <v>0.29479512540257113</v>
      </c>
      <c r="M92" s="215"/>
      <c r="N92" s="215"/>
    </row>
    <row r="93" spans="1:14">
      <c r="A93" s="121" t="s">
        <v>532</v>
      </c>
      <c r="B93" s="121"/>
      <c r="C93" s="215">
        <f>C31/(C60-C48)</f>
        <v>0.22959475602043777</v>
      </c>
      <c r="D93" s="215">
        <f t="shared" ref="D93:L93" si="32">D31/(D60-D48)</f>
        <v>0.14047203541329714</v>
      </c>
      <c r="E93" s="215">
        <f t="shared" si="32"/>
        <v>0.24448069833467548</v>
      </c>
      <c r="F93" s="215">
        <f t="shared" si="32"/>
        <v>0.30411099488839299</v>
      </c>
      <c r="G93" s="215">
        <f t="shared" si="32"/>
        <v>0.42725368220782789</v>
      </c>
      <c r="H93" s="215">
        <f t="shared" si="32"/>
        <v>0.60937681327608273</v>
      </c>
      <c r="I93" s="215">
        <f t="shared" si="32"/>
        <v>0.68584643715202376</v>
      </c>
      <c r="J93" s="215">
        <f t="shared" si="32"/>
        <v>0.55127253422592915</v>
      </c>
      <c r="K93" s="215">
        <f t="shared" si="32"/>
        <v>0.46418265992669222</v>
      </c>
      <c r="L93" s="215">
        <f t="shared" si="32"/>
        <v>0.42306060832896664</v>
      </c>
      <c r="M93" s="215">
        <f>M31/(L60-L48)</f>
        <v>0.44103988710620939</v>
      </c>
      <c r="N93" s="215"/>
    </row>
    <row r="94" spans="1:14">
      <c r="A94" s="219" t="s">
        <v>464</v>
      </c>
      <c r="B94" s="121"/>
      <c r="C94" s="237">
        <f>C4</f>
        <v>39873</v>
      </c>
      <c r="D94" s="237">
        <f t="shared" ref="D94:L94" si="33">D4</f>
        <v>40238</v>
      </c>
      <c r="E94" s="237">
        <f t="shared" si="33"/>
        <v>40603</v>
      </c>
      <c r="F94" s="237">
        <f t="shared" si="33"/>
        <v>40969</v>
      </c>
      <c r="G94" s="237">
        <f t="shared" si="33"/>
        <v>41334</v>
      </c>
      <c r="H94" s="237">
        <f t="shared" si="33"/>
        <v>41699</v>
      </c>
      <c r="I94" s="237">
        <f t="shared" si="33"/>
        <v>42064</v>
      </c>
      <c r="J94" s="237">
        <f t="shared" si="33"/>
        <v>42430</v>
      </c>
      <c r="K94" s="237">
        <f t="shared" si="33"/>
        <v>42795</v>
      </c>
      <c r="L94" s="237">
        <f t="shared" si="33"/>
        <v>43160</v>
      </c>
      <c r="M94" s="215"/>
      <c r="N94" s="215"/>
    </row>
    <row r="95" spans="1:14">
      <c r="A95" s="121" t="s">
        <v>462</v>
      </c>
      <c r="B95" s="121"/>
      <c r="C95" s="215">
        <f>(C26-C7)/C26</f>
        <v>0.97837035218327917</v>
      </c>
      <c r="D95" s="215">
        <f t="shared" ref="D95:L95" si="34">(D26-D7)/D26</f>
        <v>0.98057997672883801</v>
      </c>
      <c r="E95" s="215">
        <f t="shared" si="34"/>
        <v>0.98243581566284399</v>
      </c>
      <c r="F95" s="215">
        <f t="shared" si="34"/>
        <v>0.97939792575523621</v>
      </c>
      <c r="G95" s="215">
        <f t="shared" si="34"/>
        <v>0.98014521268598198</v>
      </c>
      <c r="H95" s="215">
        <f t="shared" si="34"/>
        <v>0.98427534208725664</v>
      </c>
      <c r="I95" s="215">
        <f t="shared" si="34"/>
        <v>0.98271790003588499</v>
      </c>
      <c r="J95" s="215">
        <f t="shared" si="34"/>
        <v>0.97968258580508094</v>
      </c>
      <c r="K95" s="215">
        <f t="shared" si="34"/>
        <v>0.98021225766476805</v>
      </c>
      <c r="L95" s="215">
        <f t="shared" si="34"/>
        <v>0.9692757406452901</v>
      </c>
      <c r="M95" s="215"/>
      <c r="N95" s="215"/>
    </row>
    <row r="96" spans="1:14">
      <c r="A96" s="121" t="s">
        <v>463</v>
      </c>
      <c r="B96" s="121"/>
      <c r="C96" s="215">
        <f>1-C95</f>
        <v>2.1629647816720832E-2</v>
      </c>
      <c r="D96" s="215">
        <f t="shared" ref="D96:L96" si="35">1-D95</f>
        <v>1.942002327116199E-2</v>
      </c>
      <c r="E96" s="215">
        <f t="shared" si="35"/>
        <v>1.7564184337156008E-2</v>
      </c>
      <c r="F96" s="215">
        <f t="shared" si="35"/>
        <v>2.0602074244763791E-2</v>
      </c>
      <c r="G96" s="215">
        <f t="shared" si="35"/>
        <v>1.9854787314018019E-2</v>
      </c>
      <c r="H96" s="215">
        <f t="shared" si="35"/>
        <v>1.5724657912743356E-2</v>
      </c>
      <c r="I96" s="215">
        <f t="shared" si="35"/>
        <v>1.7282099964115005E-2</v>
      </c>
      <c r="J96" s="215">
        <f t="shared" si="35"/>
        <v>2.0317414194919059E-2</v>
      </c>
      <c r="K96" s="215">
        <f t="shared" si="35"/>
        <v>1.978774233523195E-2</v>
      </c>
      <c r="L96" s="215">
        <f t="shared" si="35"/>
        <v>3.0724259354709904E-2</v>
      </c>
      <c r="M96" s="215"/>
      <c r="N96" s="215"/>
    </row>
    <row r="97" spans="1:14">
      <c r="A97" s="121"/>
      <c r="B97" s="121"/>
      <c r="C97" s="215"/>
      <c r="D97" s="215"/>
      <c r="E97" s="215"/>
      <c r="F97" s="215"/>
      <c r="G97" s="215"/>
      <c r="H97" s="215"/>
      <c r="I97" s="215"/>
      <c r="J97" s="215"/>
      <c r="K97" s="215"/>
      <c r="L97" s="215"/>
      <c r="M97" s="215"/>
      <c r="N97" s="215"/>
    </row>
    <row r="98" spans="1:14">
      <c r="A98" s="121"/>
      <c r="B98" s="121"/>
      <c r="C98" s="215"/>
      <c r="D98" s="215"/>
      <c r="E98" s="215"/>
      <c r="F98" s="215"/>
      <c r="G98" s="215"/>
      <c r="H98" s="215"/>
      <c r="I98" s="215"/>
      <c r="J98" s="215"/>
      <c r="K98" s="215"/>
      <c r="L98" s="215"/>
      <c r="M98" s="215"/>
      <c r="N98" s="215"/>
    </row>
    <row r="99" spans="1:14">
      <c r="A99" s="219" t="s">
        <v>457</v>
      </c>
      <c r="B99" s="121"/>
      <c r="C99" s="237">
        <f t="shared" ref="C99:L99" si="36">C4</f>
        <v>39873</v>
      </c>
      <c r="D99" s="237">
        <f t="shared" si="36"/>
        <v>40238</v>
      </c>
      <c r="E99" s="237">
        <f t="shared" si="36"/>
        <v>40603</v>
      </c>
      <c r="F99" s="237">
        <f t="shared" si="36"/>
        <v>40969</v>
      </c>
      <c r="G99" s="237">
        <f t="shared" si="36"/>
        <v>41334</v>
      </c>
      <c r="H99" s="237">
        <f t="shared" si="36"/>
        <v>41699</v>
      </c>
      <c r="I99" s="237">
        <f t="shared" si="36"/>
        <v>42064</v>
      </c>
      <c r="J99" s="237">
        <f t="shared" si="36"/>
        <v>42430</v>
      </c>
      <c r="K99" s="237">
        <f t="shared" si="36"/>
        <v>42795</v>
      </c>
      <c r="L99" s="237">
        <f t="shared" si="36"/>
        <v>43160</v>
      </c>
      <c r="M99" s="215"/>
      <c r="N99" s="215"/>
    </row>
    <row r="100" spans="1:14">
      <c r="A100" s="121" t="s">
        <v>213</v>
      </c>
      <c r="B100" s="121"/>
      <c r="C100" s="215">
        <f t="shared" ref="C100:L100" si="37">C42/(C10+C42+C45)</f>
        <v>0.47858104835767029</v>
      </c>
      <c r="D100" s="215">
        <f t="shared" si="37"/>
        <v>0.18374135869847705</v>
      </c>
      <c r="E100" s="215">
        <f t="shared" si="37"/>
        <v>0.19835369414971285</v>
      </c>
      <c r="F100" s="215">
        <f t="shared" si="37"/>
        <v>0.21911565463727059</v>
      </c>
      <c r="G100" s="215">
        <f t="shared" si="37"/>
        <v>0.29079736618966362</v>
      </c>
      <c r="H100" s="215">
        <f t="shared" si="37"/>
        <v>0.37259167619803457</v>
      </c>
      <c r="I100" s="215">
        <f t="shared" si="37"/>
        <v>0.44210687033742729</v>
      </c>
      <c r="J100" s="215">
        <f t="shared" si="37"/>
        <v>0.59246670405556212</v>
      </c>
      <c r="K100" s="215">
        <f t="shared" si="37"/>
        <v>0.64864877868067683</v>
      </c>
      <c r="L100" s="215">
        <f t="shared" si="37"/>
        <v>0.64971283716121742</v>
      </c>
      <c r="M100" s="215"/>
      <c r="N100" s="215"/>
    </row>
    <row r="101" spans="1:14">
      <c r="A101" s="121" t="s">
        <v>453</v>
      </c>
      <c r="B101" s="121"/>
      <c r="C101" s="215">
        <f t="shared" ref="C101:L101" si="38">C10/(C10+C42+C45)</f>
        <v>0.3390941478527974</v>
      </c>
      <c r="D101" s="215">
        <f t="shared" si="38"/>
        <v>0.38941732938302404</v>
      </c>
      <c r="E101" s="215">
        <f t="shared" si="38"/>
        <v>0.42570329991239175</v>
      </c>
      <c r="F101" s="215">
        <f t="shared" si="38"/>
        <v>0.45732233033624836</v>
      </c>
      <c r="G101" s="215">
        <f t="shared" si="38"/>
        <v>0.51030598678907535</v>
      </c>
      <c r="H101" s="215">
        <f t="shared" si="38"/>
        <v>0.55749398940267503</v>
      </c>
      <c r="I101" s="215">
        <f t="shared" si="38"/>
        <v>0.50638246499852646</v>
      </c>
      <c r="J101" s="215">
        <f t="shared" si="38"/>
        <v>0.37041348719430328</v>
      </c>
      <c r="K101" s="215">
        <f t="shared" si="38"/>
        <v>0.32138716087159425</v>
      </c>
      <c r="L101" s="215">
        <f t="shared" si="38"/>
        <v>0.31200514241789012</v>
      </c>
      <c r="M101" s="215"/>
      <c r="N101" s="215"/>
    </row>
    <row r="102" spans="1:14">
      <c r="A102" s="121" t="s">
        <v>454</v>
      </c>
      <c r="B102" s="121"/>
      <c r="C102" s="215">
        <f t="shared" ref="C102:L102" si="39">C45/(C10+C42+C45)</f>
        <v>0.18232480378953234</v>
      </c>
      <c r="D102" s="215">
        <f t="shared" si="39"/>
        <v>0.42684131191849889</v>
      </c>
      <c r="E102" s="215">
        <f t="shared" si="39"/>
        <v>0.37594300593789548</v>
      </c>
      <c r="F102" s="215">
        <f t="shared" si="39"/>
        <v>0.32356201502648113</v>
      </c>
      <c r="G102" s="215">
        <f t="shared" si="39"/>
        <v>0.198896647021261</v>
      </c>
      <c r="H102" s="215">
        <f t="shared" si="39"/>
        <v>6.9914334399290387E-2</v>
      </c>
      <c r="I102" s="215">
        <f t="shared" si="39"/>
        <v>5.1510664664046218E-2</v>
      </c>
      <c r="J102" s="215">
        <f t="shared" si="39"/>
        <v>3.7119808750134549E-2</v>
      </c>
      <c r="K102" s="215">
        <f t="shared" si="39"/>
        <v>2.9964060447728879E-2</v>
      </c>
      <c r="L102" s="215">
        <f t="shared" si="39"/>
        <v>3.8282020420892404E-2</v>
      </c>
      <c r="M102" s="215"/>
      <c r="N102" s="215"/>
    </row>
    <row r="103" spans="1:14">
      <c r="A103" s="121"/>
      <c r="B103" s="121"/>
      <c r="C103" s="215"/>
      <c r="D103" s="215"/>
      <c r="E103" s="215"/>
      <c r="F103" s="215"/>
      <c r="G103" s="215"/>
      <c r="H103" s="215"/>
      <c r="I103" s="215"/>
      <c r="J103" s="215"/>
      <c r="K103" s="215"/>
      <c r="L103" s="215"/>
      <c r="M103" s="215"/>
      <c r="N103" s="215"/>
    </row>
    <row r="104" spans="1:14">
      <c r="A104" s="121"/>
      <c r="B104" s="121"/>
      <c r="C104" s="215"/>
      <c r="D104" s="215"/>
      <c r="E104" s="215"/>
      <c r="F104" s="215"/>
      <c r="G104" s="215"/>
      <c r="H104" s="215"/>
      <c r="I104" s="215"/>
      <c r="J104" s="215"/>
      <c r="K104" s="215"/>
      <c r="L104" s="215"/>
      <c r="M104" s="215"/>
      <c r="N104" s="215"/>
    </row>
    <row r="105" spans="1:14">
      <c r="A105" s="121"/>
      <c r="B105" s="121"/>
      <c r="C105" s="237"/>
      <c r="D105" s="237">
        <f t="shared" ref="D105:L105" si="40">D4</f>
        <v>40238</v>
      </c>
      <c r="E105" s="237">
        <f t="shared" si="40"/>
        <v>40603</v>
      </c>
      <c r="F105" s="237">
        <f t="shared" si="40"/>
        <v>40969</v>
      </c>
      <c r="G105" s="237">
        <f t="shared" si="40"/>
        <v>41334</v>
      </c>
      <c r="H105" s="237">
        <f t="shared" si="40"/>
        <v>41699</v>
      </c>
      <c r="I105" s="237">
        <f t="shared" si="40"/>
        <v>42064</v>
      </c>
      <c r="J105" s="237">
        <f t="shared" si="40"/>
        <v>42430</v>
      </c>
      <c r="K105" s="237">
        <f t="shared" si="40"/>
        <v>42795</v>
      </c>
      <c r="L105" s="237">
        <f t="shared" si="40"/>
        <v>43160</v>
      </c>
      <c r="M105" s="215"/>
      <c r="N105" s="215"/>
    </row>
    <row r="106" spans="1:14">
      <c r="A106" s="265" t="s">
        <v>426</v>
      </c>
      <c r="B106" s="121"/>
      <c r="C106" s="215"/>
      <c r="D106" s="240">
        <f t="shared" ref="D106:L106" si="41">D11-C11</f>
        <v>-78.220000000000027</v>
      </c>
      <c r="E106" s="240">
        <f t="shared" si="41"/>
        <v>-26.079999999999927</v>
      </c>
      <c r="F106" s="240">
        <f t="shared" si="41"/>
        <v>-8.5199999999999818</v>
      </c>
      <c r="G106" s="240">
        <f t="shared" si="41"/>
        <v>-85.940000000000055</v>
      </c>
      <c r="H106" s="240">
        <f t="shared" si="41"/>
        <v>-147.96000000000004</v>
      </c>
      <c r="I106" s="240">
        <f t="shared" si="41"/>
        <v>184.48000000000002</v>
      </c>
      <c r="J106" s="240">
        <f t="shared" si="41"/>
        <v>414.24</v>
      </c>
      <c r="K106" s="240">
        <f t="shared" si="41"/>
        <v>750.0300000000002</v>
      </c>
      <c r="L106" s="240">
        <f t="shared" si="41"/>
        <v>-164.84000000000037</v>
      </c>
      <c r="M106" s="215"/>
      <c r="N106" s="215"/>
    </row>
    <row r="107" spans="1:14">
      <c r="A107" s="265" t="s">
        <v>345</v>
      </c>
      <c r="B107" s="121"/>
      <c r="C107" s="215"/>
      <c r="D107" s="240">
        <f t="shared" ref="D107:L107" si="42">C35</f>
        <v>143.2399999999999</v>
      </c>
      <c r="E107" s="240">
        <f t="shared" si="42"/>
        <v>103.10000000000011</v>
      </c>
      <c r="F107" s="240">
        <f t="shared" si="42"/>
        <v>134.21000000000029</v>
      </c>
      <c r="G107" s="240">
        <f t="shared" si="42"/>
        <v>199.72999999999965</v>
      </c>
      <c r="H107" s="240">
        <f t="shared" si="42"/>
        <v>259.87999999999954</v>
      </c>
      <c r="I107" s="240">
        <f t="shared" si="42"/>
        <v>395.74000000000058</v>
      </c>
      <c r="J107" s="240">
        <f t="shared" si="42"/>
        <v>688.48000000000025</v>
      </c>
      <c r="K107" s="240">
        <f t="shared" si="42"/>
        <v>824.35999999999956</v>
      </c>
      <c r="L107" s="240">
        <f t="shared" si="42"/>
        <v>884.32999999999993</v>
      </c>
      <c r="M107" s="215"/>
      <c r="N107" s="215"/>
    </row>
    <row r="108" spans="1:14">
      <c r="B108" s="121"/>
      <c r="C108" s="215"/>
      <c r="E108" s="240"/>
      <c r="F108" s="240"/>
      <c r="G108" s="240"/>
      <c r="H108" s="240"/>
      <c r="I108" s="240"/>
      <c r="J108" s="240"/>
      <c r="K108" s="240"/>
      <c r="L108" s="240"/>
      <c r="M108" s="215"/>
      <c r="N108" s="215"/>
    </row>
    <row r="109" spans="1:14">
      <c r="A109" s="265"/>
      <c r="B109" s="121"/>
      <c r="C109" s="215"/>
      <c r="D109" s="240"/>
      <c r="E109" s="240"/>
      <c r="F109" s="240"/>
      <c r="G109" s="240"/>
      <c r="H109" s="240"/>
      <c r="I109" s="240"/>
      <c r="J109" s="240"/>
      <c r="K109" s="240"/>
      <c r="L109" s="240"/>
      <c r="M109" s="215"/>
      <c r="N109" s="215"/>
    </row>
    <row r="110" spans="1:14">
      <c r="A110" s="121"/>
      <c r="B110" s="121"/>
      <c r="C110" s="215"/>
      <c r="D110" s="215"/>
      <c r="E110" s="215"/>
      <c r="F110" s="215"/>
      <c r="G110" s="215"/>
      <c r="H110" s="215"/>
      <c r="I110" s="215"/>
      <c r="J110" s="215"/>
      <c r="K110" s="215"/>
      <c r="L110" s="215"/>
      <c r="M110" s="215"/>
      <c r="N110" s="215"/>
    </row>
    <row r="111" spans="1:14">
      <c r="A111" s="121"/>
      <c r="B111" s="121"/>
      <c r="C111" s="237">
        <f t="shared" ref="C111:L111" si="43">C4</f>
        <v>39873</v>
      </c>
      <c r="D111" s="237">
        <f t="shared" si="43"/>
        <v>40238</v>
      </c>
      <c r="E111" s="237">
        <f t="shared" si="43"/>
        <v>40603</v>
      </c>
      <c r="F111" s="237">
        <f t="shared" si="43"/>
        <v>40969</v>
      </c>
      <c r="G111" s="237">
        <f t="shared" si="43"/>
        <v>41334</v>
      </c>
      <c r="H111" s="237">
        <f t="shared" si="43"/>
        <v>41699</v>
      </c>
      <c r="I111" s="237">
        <f t="shared" si="43"/>
        <v>42064</v>
      </c>
      <c r="J111" s="237">
        <f t="shared" si="43"/>
        <v>42430</v>
      </c>
      <c r="K111" s="237">
        <f t="shared" si="43"/>
        <v>42795</v>
      </c>
      <c r="L111" s="237">
        <f t="shared" si="43"/>
        <v>43160</v>
      </c>
      <c r="M111" s="215"/>
      <c r="N111" s="215"/>
    </row>
    <row r="112" spans="1:14">
      <c r="A112" s="121" t="s">
        <v>421</v>
      </c>
      <c r="B112" s="121"/>
      <c r="C112" s="240">
        <f t="shared" ref="C112:L112" si="44">(C7/C26)*365</f>
        <v>7.8948214531031242</v>
      </c>
      <c r="D112" s="240">
        <f t="shared" si="44"/>
        <v>7.0883084939741465</v>
      </c>
      <c r="E112" s="240">
        <f t="shared" si="44"/>
        <v>6.4109272830619286</v>
      </c>
      <c r="F112" s="240">
        <f t="shared" si="44"/>
        <v>7.5197570993387872</v>
      </c>
      <c r="G112" s="240">
        <f t="shared" si="44"/>
        <v>7.2469973696165653</v>
      </c>
      <c r="H112" s="240">
        <f t="shared" si="44"/>
        <v>5.7395001381513184</v>
      </c>
      <c r="I112" s="240">
        <f t="shared" si="44"/>
        <v>6.3079664869019476</v>
      </c>
      <c r="J112" s="240">
        <f t="shared" si="44"/>
        <v>7.4158561811454504</v>
      </c>
      <c r="K112" s="240">
        <f t="shared" si="44"/>
        <v>7.2225259523596517</v>
      </c>
      <c r="L112" s="240">
        <f t="shared" si="44"/>
        <v>11.2143546644691</v>
      </c>
      <c r="M112" s="215"/>
      <c r="N112" s="215"/>
    </row>
    <row r="113" spans="1:14">
      <c r="A113" s="121" t="s">
        <v>422</v>
      </c>
      <c r="B113" s="121"/>
      <c r="C113" s="255">
        <f>C27/C54</f>
        <v>7.4082579930028754</v>
      </c>
      <c r="D113" s="255">
        <f t="shared" ref="D113:L113" si="45">D27/AVERAGE(C54:D54)</f>
        <v>8.226480013493001</v>
      </c>
      <c r="E113" s="255">
        <f t="shared" si="45"/>
        <v>9.3472879169482166</v>
      </c>
      <c r="F113" s="255">
        <f t="shared" si="45"/>
        <v>9.1094245611331566</v>
      </c>
      <c r="G113" s="255">
        <f t="shared" si="45"/>
        <v>9.5954267574370977</v>
      </c>
      <c r="H113" s="255">
        <f t="shared" si="45"/>
        <v>10.522882230105415</v>
      </c>
      <c r="I113" s="255">
        <f t="shared" si="45"/>
        <v>11.457364341085272</v>
      </c>
      <c r="J113" s="255">
        <f t="shared" si="45"/>
        <v>11.878890480531318</v>
      </c>
      <c r="K113" s="255">
        <f t="shared" si="45"/>
        <v>10.240232283821795</v>
      </c>
      <c r="L113" s="255">
        <f t="shared" si="45"/>
        <v>9.2841490138787446</v>
      </c>
      <c r="M113" s="215"/>
      <c r="N113" s="215"/>
    </row>
    <row r="114" spans="1:14">
      <c r="A114" s="265" t="s">
        <v>180</v>
      </c>
      <c r="B114" s="121"/>
      <c r="C114" s="215">
        <f>C6/C26</f>
        <v>8.4381932813637206E-2</v>
      </c>
      <c r="D114" s="215">
        <f t="shared" ref="D114:L114" si="46">D6/D26</f>
        <v>8.0630070688142569E-2</v>
      </c>
      <c r="E114" s="215">
        <f t="shared" si="46"/>
        <v>7.5270426825299705E-2</v>
      </c>
      <c r="F114" s="215">
        <f t="shared" si="46"/>
        <v>7.8711189947077403E-2</v>
      </c>
      <c r="G114" s="215">
        <f t="shared" si="46"/>
        <v>6.0573187549410636E-2</v>
      </c>
      <c r="H114" s="215">
        <f t="shared" si="46"/>
        <v>6.0796706356841236E-2</v>
      </c>
      <c r="I114" s="215">
        <f t="shared" si="46"/>
        <v>5.1414915466467814E-2</v>
      </c>
      <c r="J114" s="215">
        <f t="shared" si="46"/>
        <v>5.2475637799607726E-2</v>
      </c>
      <c r="K114" s="215">
        <f t="shared" si="46"/>
        <v>7.3055381601022304E-2</v>
      </c>
      <c r="L114" s="215">
        <f t="shared" si="46"/>
        <v>6.5845335732636401E-2</v>
      </c>
      <c r="M114" s="215"/>
      <c r="N114" s="215"/>
    </row>
    <row r="115" spans="1:14">
      <c r="A115" s="121"/>
      <c r="B115" s="121"/>
      <c r="C115" s="215"/>
      <c r="D115" s="215"/>
      <c r="E115" s="215"/>
      <c r="F115" s="215"/>
      <c r="G115" s="215"/>
      <c r="H115" s="215"/>
      <c r="I115" s="215"/>
      <c r="J115" s="215"/>
      <c r="K115" s="215"/>
      <c r="L115" s="215"/>
      <c r="M115" s="215"/>
      <c r="N115" s="215"/>
    </row>
    <row r="116" spans="1:14">
      <c r="A116" s="121"/>
      <c r="B116" s="121"/>
      <c r="C116" s="237">
        <f t="shared" ref="C116:L116" si="47">C4</f>
        <v>39873</v>
      </c>
      <c r="D116" s="237">
        <f t="shared" si="47"/>
        <v>40238</v>
      </c>
      <c r="E116" s="237">
        <f t="shared" si="47"/>
        <v>40603</v>
      </c>
      <c r="F116" s="237">
        <f t="shared" si="47"/>
        <v>40969</v>
      </c>
      <c r="G116" s="237">
        <f t="shared" si="47"/>
        <v>41334</v>
      </c>
      <c r="H116" s="237">
        <f t="shared" si="47"/>
        <v>41699</v>
      </c>
      <c r="I116" s="237">
        <f t="shared" si="47"/>
        <v>42064</v>
      </c>
      <c r="J116" s="237">
        <f t="shared" si="47"/>
        <v>42430</v>
      </c>
      <c r="K116" s="237">
        <f t="shared" si="47"/>
        <v>42795</v>
      </c>
      <c r="L116" s="237">
        <f t="shared" si="47"/>
        <v>43160</v>
      </c>
      <c r="M116" s="215" t="s">
        <v>461</v>
      </c>
      <c r="N116" s="215"/>
    </row>
    <row r="117" spans="1:14">
      <c r="A117" s="121" t="s">
        <v>313</v>
      </c>
      <c r="B117" s="121"/>
      <c r="C117" s="255">
        <f t="shared" ref="C117:L117" si="48">C45/C35</f>
        <v>1.9185981569394037</v>
      </c>
      <c r="D117" s="255">
        <f t="shared" si="48"/>
        <v>6.3720659553831167</v>
      </c>
      <c r="E117" s="255">
        <f t="shared" si="48"/>
        <v>4.6042023694210465</v>
      </c>
      <c r="F117" s="255">
        <f t="shared" si="48"/>
        <v>3.0251339308065943</v>
      </c>
      <c r="G117" s="255">
        <f t="shared" si="48"/>
        <v>1.4622133292288775</v>
      </c>
      <c r="H117" s="255">
        <f t="shared" si="48"/>
        <v>0.3784302825087173</v>
      </c>
      <c r="I117" s="255">
        <f t="shared" si="48"/>
        <v>0.21071055077852652</v>
      </c>
      <c r="J117" s="255">
        <f t="shared" si="48"/>
        <v>0.15897180843320888</v>
      </c>
      <c r="K117" s="255">
        <f t="shared" si="48"/>
        <v>0.1408523967297276</v>
      </c>
      <c r="L117" s="255">
        <f t="shared" si="48"/>
        <v>0.19987252773517639</v>
      </c>
      <c r="M117" s="255">
        <f>L45/M35</f>
        <v>0.19188848095456634</v>
      </c>
      <c r="N117" s="215"/>
    </row>
    <row r="118" spans="1:14">
      <c r="A118" s="121" t="s">
        <v>169</v>
      </c>
      <c r="B118" s="121"/>
      <c r="C118" s="255">
        <f t="shared" ref="C118:L118" si="49">C62/C35</f>
        <v>1.7475565484501547</v>
      </c>
      <c r="D118" s="255">
        <f t="shared" si="49"/>
        <v>2.3059165858389887</v>
      </c>
      <c r="E118" s="255">
        <f t="shared" si="49"/>
        <v>2.2089263095149345</v>
      </c>
      <c r="F118" s="255">
        <f t="shared" si="49"/>
        <v>1.2322635558003325</v>
      </c>
      <c r="G118" s="255">
        <f t="shared" si="49"/>
        <v>1.2305679544405133</v>
      </c>
      <c r="H118" s="255">
        <f t="shared" si="49"/>
        <v>1.6967706069641659</v>
      </c>
      <c r="I118" s="255">
        <f t="shared" si="49"/>
        <v>0.84891354868696234</v>
      </c>
      <c r="J118" s="255">
        <f t="shared" si="49"/>
        <v>1.1636057062448451</v>
      </c>
      <c r="K118" s="255">
        <f t="shared" si="49"/>
        <v>0.49899924236427579</v>
      </c>
      <c r="L118" s="255">
        <f t="shared" si="49"/>
        <v>1.2436214073734739</v>
      </c>
      <c r="M118" s="255">
        <f>L62/M35</f>
        <v>1.1939440875019123</v>
      </c>
      <c r="N118" s="215"/>
    </row>
    <row r="119" spans="1:14">
      <c r="A119" s="121" t="s">
        <v>411</v>
      </c>
      <c r="B119" s="121"/>
      <c r="C119" s="215">
        <f t="shared" ref="C119:L119" si="50">C35/C11</f>
        <v>1.008448324415657</v>
      </c>
      <c r="D119" s="215">
        <f t="shared" si="50"/>
        <v>1.6154810404262019</v>
      </c>
      <c r="E119" s="215">
        <f t="shared" si="50"/>
        <v>3.5561738208797102</v>
      </c>
      <c r="F119" s="215">
        <f t="shared" si="50"/>
        <v>6.8353867214236637</v>
      </c>
      <c r="G119" s="215">
        <f t="shared" si="50"/>
        <v>-4.5818053596614847</v>
      </c>
      <c r="H119" s="215">
        <f t="shared" si="50"/>
        <v>-1.9334571037717434</v>
      </c>
      <c r="I119" s="215">
        <f t="shared" si="50"/>
        <v>-34.083168316831618</v>
      </c>
      <c r="J119" s="215">
        <f t="shared" si="50"/>
        <v>2.0920718708760524</v>
      </c>
      <c r="K119" s="215">
        <f t="shared" si="50"/>
        <v>0.77296843724597253</v>
      </c>
      <c r="L119" s="215">
        <f t="shared" si="50"/>
        <v>1.0254383546255732</v>
      </c>
      <c r="M119" s="215">
        <f>M35/L11</f>
        <v>1.0681045311111792</v>
      </c>
      <c r="N119" s="215"/>
    </row>
    <row r="120" spans="1:14">
      <c r="A120" s="121" t="s">
        <v>412</v>
      </c>
      <c r="B120" s="121"/>
      <c r="C120" s="250">
        <f>C26/C50</f>
        <v>7.2713226073834774</v>
      </c>
      <c r="D120" s="250">
        <f t="shared" ref="D120:L120" si="51">D26/AVERAGE(C50:D50)</f>
        <v>7.7803990307779554</v>
      </c>
      <c r="E120" s="250">
        <f t="shared" si="51"/>
        <v>9.1799289007498288</v>
      </c>
      <c r="F120" s="250">
        <f t="shared" si="51"/>
        <v>9.7148094361008788</v>
      </c>
      <c r="G120" s="250">
        <f t="shared" si="51"/>
        <v>9.0882389673741351</v>
      </c>
      <c r="H120" s="250">
        <f t="shared" si="51"/>
        <v>8.7260207398430953</v>
      </c>
      <c r="I120" s="250">
        <f t="shared" si="51"/>
        <v>9.2907794710521028</v>
      </c>
      <c r="J120" s="250">
        <f t="shared" si="51"/>
        <v>9.3598430594490356</v>
      </c>
      <c r="K120" s="250">
        <f t="shared" si="51"/>
        <v>8.5811404444065342</v>
      </c>
      <c r="L120" s="250">
        <f t="shared" si="51"/>
        <v>7.9134974197693948</v>
      </c>
      <c r="M120" s="255">
        <f>M26/AVERAGE(K50:L50)</f>
        <v>8.1371014411775278</v>
      </c>
      <c r="N120" s="215"/>
    </row>
    <row r="121" spans="1:14">
      <c r="A121" s="121" t="s">
        <v>427</v>
      </c>
      <c r="B121" s="121"/>
      <c r="C121" s="250">
        <f t="shared" ref="C121:L121" si="52">C10/C9</f>
        <v>0.78253414171106628</v>
      </c>
      <c r="D121" s="250">
        <f t="shared" si="52"/>
        <v>0.90376669984016411</v>
      </c>
      <c r="E121" s="250">
        <f t="shared" si="52"/>
        <v>0.94882434301521434</v>
      </c>
      <c r="F121" s="250">
        <f t="shared" si="52"/>
        <v>0.96691613546042277</v>
      </c>
      <c r="G121" s="250">
        <f t="shared" si="52"/>
        <v>1.0617703432653773</v>
      </c>
      <c r="H121" s="250">
        <f t="shared" si="52"/>
        <v>1.2068519454269835</v>
      </c>
      <c r="I121" s="250">
        <f t="shared" si="52"/>
        <v>1.0143677138975624</v>
      </c>
      <c r="J121" s="250">
        <f t="shared" si="52"/>
        <v>0.76845284615429821</v>
      </c>
      <c r="K121" s="250">
        <f t="shared" si="52"/>
        <v>0.53869447233344214</v>
      </c>
      <c r="L121" s="250">
        <f t="shared" si="52"/>
        <v>0.62552916477053278</v>
      </c>
      <c r="M121" s="215"/>
      <c r="N121" s="215"/>
    </row>
    <row r="122" spans="1:14">
      <c r="A122" s="121"/>
      <c r="B122" s="121"/>
      <c r="C122" s="215"/>
      <c r="D122" s="215"/>
      <c r="E122" s="215"/>
      <c r="F122" s="215"/>
      <c r="G122" s="215"/>
      <c r="H122" s="215"/>
      <c r="I122" s="215"/>
      <c r="J122" s="215"/>
      <c r="K122" s="215"/>
      <c r="L122" s="215"/>
      <c r="M122" s="215"/>
      <c r="N122" s="215"/>
    </row>
    <row r="123" spans="1:14">
      <c r="A123" s="121"/>
      <c r="B123" s="121"/>
      <c r="C123" s="215"/>
      <c r="D123" s="215"/>
      <c r="E123" s="215"/>
      <c r="F123" s="215"/>
      <c r="G123" s="215"/>
      <c r="H123" s="215"/>
      <c r="I123" s="215"/>
      <c r="J123" s="215"/>
      <c r="K123" s="215"/>
      <c r="L123" s="215"/>
      <c r="M123" s="215"/>
      <c r="N123" s="215"/>
    </row>
    <row r="124" spans="1:14">
      <c r="A124" s="121"/>
      <c r="B124" s="121"/>
      <c r="C124" s="215"/>
      <c r="D124" s="215"/>
      <c r="E124" s="215"/>
      <c r="F124" s="215"/>
      <c r="G124" s="215"/>
      <c r="H124" s="215"/>
      <c r="I124" s="215"/>
      <c r="J124" s="215"/>
      <c r="K124" s="215"/>
      <c r="L124" s="215"/>
      <c r="M124" s="215"/>
      <c r="N124" s="215"/>
    </row>
    <row r="125" spans="1:14">
      <c r="A125" s="219" t="s">
        <v>408</v>
      </c>
      <c r="B125" s="121"/>
      <c r="C125" s="231">
        <f t="shared" ref="C125:L125" si="53">C4</f>
        <v>39873</v>
      </c>
      <c r="D125" s="231">
        <f t="shared" si="53"/>
        <v>40238</v>
      </c>
      <c r="E125" s="231">
        <f t="shared" si="53"/>
        <v>40603</v>
      </c>
      <c r="F125" s="231">
        <f t="shared" si="53"/>
        <v>40969</v>
      </c>
      <c r="G125" s="231">
        <f t="shared" si="53"/>
        <v>41334</v>
      </c>
      <c r="H125" s="231">
        <f t="shared" si="53"/>
        <v>41699</v>
      </c>
      <c r="I125" s="231">
        <f t="shared" si="53"/>
        <v>42064</v>
      </c>
      <c r="J125" s="231">
        <f t="shared" si="53"/>
        <v>42430</v>
      </c>
      <c r="K125" s="231">
        <f t="shared" si="53"/>
        <v>42795</v>
      </c>
      <c r="L125" s="231">
        <f t="shared" si="53"/>
        <v>43160</v>
      </c>
      <c r="M125" s="341" t="s">
        <v>461</v>
      </c>
      <c r="N125" s="121"/>
    </row>
    <row r="126" spans="1:14">
      <c r="A126" s="121" t="s">
        <v>450</v>
      </c>
      <c r="B126" s="121"/>
      <c r="C126" s="215">
        <f t="shared" ref="C126:M126" si="54">C29/C26</f>
        <v>8.6118150489736117E-2</v>
      </c>
      <c r="D126" s="215">
        <f t="shared" si="54"/>
        <v>5.0422618085244571E-2</v>
      </c>
      <c r="E126" s="215">
        <f t="shared" si="54"/>
        <v>6.4149625329220042E-2</v>
      </c>
      <c r="F126" s="215">
        <f t="shared" si="54"/>
        <v>6.745397302278601E-2</v>
      </c>
      <c r="G126" s="215">
        <f t="shared" si="54"/>
        <v>7.6450873911349387E-2</v>
      </c>
      <c r="H126" s="215">
        <f t="shared" si="54"/>
        <v>9.559058603644599E-2</v>
      </c>
      <c r="I126" s="215">
        <f t="shared" si="54"/>
        <v>0.13971383560563069</v>
      </c>
      <c r="J126" s="215">
        <f t="shared" si="54"/>
        <v>0.15942638227129657</v>
      </c>
      <c r="K126" s="215">
        <f t="shared" si="54"/>
        <v>0.15779829889033575</v>
      </c>
      <c r="L126" s="215">
        <f t="shared" si="54"/>
        <v>0.16824911060027292</v>
      </c>
      <c r="M126" s="215">
        <f t="shared" si="54"/>
        <v>0.17022754293651632</v>
      </c>
      <c r="N126" s="121"/>
    </row>
    <row r="127" spans="1:14">
      <c r="A127" s="121" t="s">
        <v>405</v>
      </c>
      <c r="B127" s="121"/>
      <c r="C127" s="244">
        <f t="shared" ref="C127:M127" si="55">C35/C25</f>
        <v>4.087957876111243E-2</v>
      </c>
      <c r="D127" s="244">
        <f t="shared" si="55"/>
        <v>2.6910979731934306E-2</v>
      </c>
      <c r="E127" s="244">
        <f t="shared" si="55"/>
        <v>2.8748669241430189E-2</v>
      </c>
      <c r="F127" s="244">
        <f t="shared" si="55"/>
        <v>3.6023020970293071E-2</v>
      </c>
      <c r="G127" s="252">
        <f t="shared" si="55"/>
        <v>4.166312633764311E-2</v>
      </c>
      <c r="H127" s="252">
        <f t="shared" si="55"/>
        <v>5.6971337258684564E-2</v>
      </c>
      <c r="I127" s="252">
        <f t="shared" si="55"/>
        <v>8.4931473051823914E-2</v>
      </c>
      <c r="J127" s="252">
        <f t="shared" si="55"/>
        <v>9.6737928881733146E-2</v>
      </c>
      <c r="K127" s="252">
        <f t="shared" si="55"/>
        <v>9.6074475562841724E-2</v>
      </c>
      <c r="L127" s="252">
        <f t="shared" si="55"/>
        <v>9.9613505866853941E-2</v>
      </c>
      <c r="M127" s="252">
        <f t="shared" si="55"/>
        <v>0.10088352174080788</v>
      </c>
      <c r="N127" s="121"/>
    </row>
    <row r="128" spans="1:14">
      <c r="A128" s="121"/>
      <c r="B128" s="121"/>
      <c r="C128" s="244"/>
      <c r="D128" s="244"/>
      <c r="E128" s="244"/>
      <c r="F128" s="244"/>
      <c r="G128" s="244"/>
      <c r="H128" s="244"/>
      <c r="I128" s="244"/>
      <c r="J128" s="244"/>
      <c r="K128" s="244"/>
      <c r="L128" s="244"/>
      <c r="M128" s="121"/>
      <c r="N128" s="121"/>
    </row>
    <row r="129" spans="1:14">
      <c r="A129" s="219" t="s">
        <v>207</v>
      </c>
      <c r="B129" s="121"/>
      <c r="C129" s="237">
        <f>C125</f>
        <v>39873</v>
      </c>
      <c r="D129" s="237">
        <f t="shared" ref="D129:L129" si="56">D125</f>
        <v>40238</v>
      </c>
      <c r="E129" s="237">
        <f t="shared" si="56"/>
        <v>40603</v>
      </c>
      <c r="F129" s="237">
        <f t="shared" si="56"/>
        <v>40969</v>
      </c>
      <c r="G129" s="237">
        <f t="shared" si="56"/>
        <v>41334</v>
      </c>
      <c r="H129" s="237">
        <f t="shared" si="56"/>
        <v>41699</v>
      </c>
      <c r="I129" s="237">
        <f t="shared" si="56"/>
        <v>42064</v>
      </c>
      <c r="J129" s="237">
        <f t="shared" si="56"/>
        <v>42430</v>
      </c>
      <c r="K129" s="237">
        <f t="shared" si="56"/>
        <v>42795</v>
      </c>
      <c r="L129" s="237">
        <f t="shared" si="56"/>
        <v>43160</v>
      </c>
      <c r="M129" s="121" t="s">
        <v>461</v>
      </c>
      <c r="N129" s="121"/>
    </row>
    <row r="130" spans="1:14">
      <c r="A130" s="121" t="s">
        <v>25</v>
      </c>
      <c r="B130" s="121"/>
      <c r="C130" s="215">
        <f>C30/C29</f>
        <v>0.22370430709703704</v>
      </c>
      <c r="D130" s="215">
        <f t="shared" ref="D130:L130" si="57">D30/D29</f>
        <v>0.30608704793944475</v>
      </c>
      <c r="E130" s="215">
        <f t="shared" si="57"/>
        <v>0.21952044370793714</v>
      </c>
      <c r="F130" s="215">
        <f t="shared" si="57"/>
        <v>0.16710359179481651</v>
      </c>
      <c r="G130" s="215">
        <f t="shared" si="57"/>
        <v>0.15469040771443088</v>
      </c>
      <c r="H130" s="215">
        <f t="shared" si="57"/>
        <v>0.12587962892900911</v>
      </c>
      <c r="I130" s="215">
        <f t="shared" si="57"/>
        <v>0.13159308881258364</v>
      </c>
      <c r="J130" s="215">
        <f t="shared" si="57"/>
        <v>8.4713984791669805E-2</v>
      </c>
      <c r="K130" s="215">
        <f t="shared" si="57"/>
        <v>8.3480318046923116E-2</v>
      </c>
      <c r="L130" s="215">
        <f t="shared" si="57"/>
        <v>8.5172839654200791E-2</v>
      </c>
      <c r="M130" s="215">
        <f>M30/M29</f>
        <v>8.3281469700112937E-2</v>
      </c>
      <c r="N130" s="121"/>
    </row>
    <row r="131" spans="1:14">
      <c r="A131" s="121" t="s">
        <v>24</v>
      </c>
      <c r="B131" s="121"/>
      <c r="C131" s="215">
        <f>C32/C29</f>
        <v>0.11064725248616915</v>
      </c>
      <c r="D131" s="215">
        <f t="shared" ref="D131:L131" si="58">D32/D29</f>
        <v>0.12326534903280061</v>
      </c>
      <c r="E131" s="215">
        <f t="shared" si="58"/>
        <v>0.14755318069599907</v>
      </c>
      <c r="F131" s="215">
        <f t="shared" si="58"/>
        <v>0.11242939380016767</v>
      </c>
      <c r="G131" s="215">
        <f t="shared" si="58"/>
        <v>8.7337167991879613E-2</v>
      </c>
      <c r="H131" s="215">
        <f t="shared" si="58"/>
        <v>1.2545589370299176E-2</v>
      </c>
      <c r="I131" s="215">
        <f t="shared" si="58"/>
        <v>3.515706830125781E-3</v>
      </c>
      <c r="J131" s="215">
        <f t="shared" si="58"/>
        <v>3.6377489280965698E-3</v>
      </c>
      <c r="K131" s="215">
        <f t="shared" si="58"/>
        <v>3.8146032812587491E-3</v>
      </c>
      <c r="L131" s="215">
        <f t="shared" si="58"/>
        <v>4.5503051522164011E-3</v>
      </c>
      <c r="M131" s="215">
        <f>M32/M29</f>
        <v>5.0480603001175576E-3</v>
      </c>
      <c r="N131" s="121"/>
    </row>
    <row r="132" spans="1:14">
      <c r="A132" s="121" t="s">
        <v>406</v>
      </c>
      <c r="B132" s="121"/>
      <c r="C132" s="215">
        <f>C34/C29</f>
        <v>0.17947934697756515</v>
      </c>
      <c r="D132" s="215">
        <f t="shared" ref="D132:L132" si="59">D34/D29</f>
        <v>2.8700588730025216E-2</v>
      </c>
      <c r="E132" s="215">
        <f t="shared" si="59"/>
        <v>0.17903885826372196</v>
      </c>
      <c r="F132" s="215">
        <f t="shared" si="59"/>
        <v>0.18067079268127903</v>
      </c>
      <c r="G132" s="215">
        <f t="shared" si="59"/>
        <v>0.20840382338013891</v>
      </c>
      <c r="H132" s="215">
        <f t="shared" si="59"/>
        <v>0.26268557332889403</v>
      </c>
      <c r="I132" s="215">
        <f t="shared" si="59"/>
        <v>0.23782026176532198</v>
      </c>
      <c r="J132" s="215">
        <f t="shared" si="59"/>
        <v>0.29587522595873744</v>
      </c>
      <c r="K132" s="215">
        <f t="shared" si="59"/>
        <v>0.29373845120107511</v>
      </c>
      <c r="L132" s="215">
        <f t="shared" si="59"/>
        <v>0.30828167527967298</v>
      </c>
      <c r="M132" s="215">
        <f>M34/M29</f>
        <v>0.30894590046792525</v>
      </c>
      <c r="N132" s="121"/>
    </row>
    <row r="133" spans="1:14">
      <c r="A133" s="121" t="s">
        <v>407</v>
      </c>
      <c r="B133" s="121"/>
      <c r="C133" s="215">
        <f>C35/C29</f>
        <v>0.48616909343922871</v>
      </c>
      <c r="D133" s="215">
        <f t="shared" ref="D133:L133" si="60">D35/D29</f>
        <v>0.54194701429772951</v>
      </c>
      <c r="E133" s="215">
        <f t="shared" si="60"/>
        <v>0.45388751733234184</v>
      </c>
      <c r="F133" s="215">
        <f t="shared" si="60"/>
        <v>0.53979622172373676</v>
      </c>
      <c r="G133" s="215">
        <f t="shared" si="60"/>
        <v>0.54956860091355053</v>
      </c>
      <c r="H133" s="215">
        <f t="shared" si="60"/>
        <v>0.59888920837179782</v>
      </c>
      <c r="I133" s="215">
        <f t="shared" si="60"/>
        <v>0.62707094259196861</v>
      </c>
      <c r="J133" s="215">
        <f t="shared" si="60"/>
        <v>0.61577304032149616</v>
      </c>
      <c r="K133" s="215">
        <f t="shared" si="60"/>
        <v>0.61896662747074294</v>
      </c>
      <c r="L133" s="215">
        <f t="shared" si="60"/>
        <v>0.60199517991390994</v>
      </c>
      <c r="M133" s="215">
        <f>M35/M29</f>
        <v>0.60272456953184417</v>
      </c>
      <c r="N133" s="121"/>
    </row>
    <row r="134" spans="1:14">
      <c r="A134" s="121" t="s">
        <v>64</v>
      </c>
      <c r="B134" s="121"/>
      <c r="C134" s="215">
        <f>SUM(C130:C133)</f>
        <v>1</v>
      </c>
      <c r="D134" s="215">
        <f t="shared" ref="D134:M134" si="61">SUM(D130:D133)</f>
        <v>1</v>
      </c>
      <c r="E134" s="215">
        <f t="shared" si="61"/>
        <v>1</v>
      </c>
      <c r="F134" s="215">
        <f t="shared" si="61"/>
        <v>1</v>
      </c>
      <c r="G134" s="215">
        <f t="shared" si="61"/>
        <v>1</v>
      </c>
      <c r="H134" s="215">
        <f t="shared" si="61"/>
        <v>1</v>
      </c>
      <c r="I134" s="215">
        <f t="shared" si="61"/>
        <v>1</v>
      </c>
      <c r="J134" s="215">
        <f t="shared" si="61"/>
        <v>1</v>
      </c>
      <c r="K134" s="215">
        <f t="shared" si="61"/>
        <v>0.99999999999999989</v>
      </c>
      <c r="L134" s="215">
        <f t="shared" si="61"/>
        <v>1</v>
      </c>
      <c r="M134" s="215">
        <f t="shared" si="61"/>
        <v>0.99999999999999989</v>
      </c>
      <c r="N134" s="121"/>
    </row>
    <row r="135" spans="1:14">
      <c r="A135" s="121"/>
      <c r="B135" s="121"/>
      <c r="C135" s="121"/>
      <c r="D135" s="121"/>
      <c r="E135" s="121"/>
      <c r="F135" s="121"/>
      <c r="G135" s="121"/>
      <c r="H135" s="121"/>
      <c r="I135" s="121"/>
      <c r="J135" s="121"/>
      <c r="K135" s="121"/>
      <c r="L135" s="121"/>
      <c r="M135" s="121"/>
      <c r="N135" s="121"/>
    </row>
    <row r="136" spans="1:14">
      <c r="A136" s="121"/>
      <c r="B136" s="121"/>
      <c r="C136" s="121"/>
      <c r="D136" s="121"/>
      <c r="E136" s="121"/>
      <c r="F136" s="121"/>
      <c r="G136" s="121"/>
      <c r="H136" s="121"/>
      <c r="I136" s="121"/>
      <c r="J136" s="121"/>
      <c r="K136" s="121"/>
      <c r="L136" s="121"/>
      <c r="M136" s="121"/>
      <c r="N136" s="121"/>
    </row>
    <row r="137" spans="1:14">
      <c r="A137" s="219" t="s">
        <v>399</v>
      </c>
      <c r="B137" s="121"/>
      <c r="C137" s="231">
        <f t="shared" ref="C137:L137" si="62">C4</f>
        <v>39873</v>
      </c>
      <c r="D137" s="231">
        <f t="shared" si="62"/>
        <v>40238</v>
      </c>
      <c r="E137" s="231">
        <f t="shared" si="62"/>
        <v>40603</v>
      </c>
      <c r="F137" s="231">
        <f t="shared" si="62"/>
        <v>40969</v>
      </c>
      <c r="G137" s="231">
        <f t="shared" si="62"/>
        <v>41334</v>
      </c>
      <c r="H137" s="231">
        <f t="shared" si="62"/>
        <v>41699</v>
      </c>
      <c r="I137" s="231">
        <f t="shared" si="62"/>
        <v>42064</v>
      </c>
      <c r="J137" s="231">
        <f t="shared" si="62"/>
        <v>42430</v>
      </c>
      <c r="K137" s="231">
        <f t="shared" si="62"/>
        <v>42795</v>
      </c>
      <c r="L137" s="231">
        <f t="shared" si="62"/>
        <v>43160</v>
      </c>
      <c r="M137" s="121" t="s">
        <v>461</v>
      </c>
      <c r="N137" s="121"/>
    </row>
    <row r="138" spans="1:14" ht="39">
      <c r="A138" s="249" t="s">
        <v>400</v>
      </c>
      <c r="B138" s="121"/>
      <c r="C138" s="250">
        <f>C26/C50</f>
        <v>7.2713226073834774</v>
      </c>
      <c r="D138" s="250">
        <f t="shared" ref="D138:L138" si="63">D26/AVERAGE(C50:D50)</f>
        <v>7.7803990307779554</v>
      </c>
      <c r="E138" s="250">
        <f t="shared" si="63"/>
        <v>9.1799289007498288</v>
      </c>
      <c r="F138" s="250">
        <f t="shared" si="63"/>
        <v>9.7148094361008788</v>
      </c>
      <c r="G138" s="250">
        <f t="shared" si="63"/>
        <v>9.0882389673741351</v>
      </c>
      <c r="H138" s="250">
        <f t="shared" si="63"/>
        <v>8.7260207398430953</v>
      </c>
      <c r="I138" s="250">
        <f t="shared" si="63"/>
        <v>9.2907794710521028</v>
      </c>
      <c r="J138" s="250">
        <f t="shared" si="63"/>
        <v>9.3598430594490356</v>
      </c>
      <c r="K138" s="250">
        <f t="shared" si="63"/>
        <v>8.5811404444065342</v>
      </c>
      <c r="L138" s="250">
        <f t="shared" si="63"/>
        <v>7.9134974197693948</v>
      </c>
      <c r="M138" s="326">
        <f>M26/AVERAGE(K50:L50)</f>
        <v>8.1371014411775278</v>
      </c>
      <c r="N138" s="121"/>
    </row>
    <row r="139" spans="1:14">
      <c r="A139" s="251" t="s">
        <v>401</v>
      </c>
      <c r="B139" s="121"/>
      <c r="C139" s="215">
        <f t="shared" ref="C139:L139" si="64">C35/C26</f>
        <v>4.1867983152258079E-2</v>
      </c>
      <c r="D139" s="215">
        <f t="shared" si="64"/>
        <v>2.7326387324372994E-2</v>
      </c>
      <c r="E139" s="215">
        <f t="shared" si="64"/>
        <v>2.9116714178479598E-2</v>
      </c>
      <c r="F139" s="215">
        <f t="shared" si="64"/>
        <v>3.6411399777954753E-2</v>
      </c>
      <c r="G139" s="215">
        <f t="shared" si="64"/>
        <v>4.2014999814078538E-2</v>
      </c>
      <c r="H139" s="215">
        <f t="shared" si="64"/>
        <v>5.7248170399163363E-2</v>
      </c>
      <c r="I139" s="215">
        <f t="shared" si="64"/>
        <v>8.7610486586362168E-2</v>
      </c>
      <c r="J139" s="215">
        <f t="shared" si="64"/>
        <v>9.8170468118653362E-2</v>
      </c>
      <c r="K139" s="215">
        <f t="shared" si="64"/>
        <v>9.7671880884771398E-2</v>
      </c>
      <c r="L139" s="215">
        <f t="shared" si="64"/>
        <v>0.10128515360616663</v>
      </c>
      <c r="M139" s="215"/>
      <c r="N139" s="121"/>
    </row>
    <row r="140" spans="1:14" ht="26.25">
      <c r="A140" s="249" t="s">
        <v>402</v>
      </c>
      <c r="B140" s="121"/>
      <c r="C140" s="215">
        <f t="shared" ref="C140:L140" si="65">C36/C35</f>
        <v>0.66713208600949503</v>
      </c>
      <c r="D140" s="215">
        <f t="shared" si="65"/>
        <v>0.57934044616876756</v>
      </c>
      <c r="E140" s="215">
        <f t="shared" si="65"/>
        <v>0.57849638626033706</v>
      </c>
      <c r="F140" s="215">
        <f t="shared" si="65"/>
        <v>0.50833625394282367</v>
      </c>
      <c r="G140" s="215">
        <f t="shared" si="65"/>
        <v>0.39102662767431196</v>
      </c>
      <c r="H140" s="215">
        <f t="shared" si="65"/>
        <v>0.36372365694647946</v>
      </c>
      <c r="I140" s="215">
        <f t="shared" si="65"/>
        <v>0.27875900534510795</v>
      </c>
      <c r="J140" s="215">
        <f t="shared" si="65"/>
        <v>0.29113494104517457</v>
      </c>
      <c r="K140" s="215">
        <f t="shared" si="65"/>
        <v>0.29853109133468275</v>
      </c>
      <c r="L140" s="215">
        <f t="shared" si="65"/>
        <v>0.29889258469934477</v>
      </c>
      <c r="M140" s="121"/>
      <c r="N140" s="121"/>
    </row>
    <row r="141" spans="1:14" ht="26.25">
      <c r="A141" s="249" t="s">
        <v>403</v>
      </c>
      <c r="B141" s="121"/>
      <c r="C141" s="215">
        <f t="shared" ref="C141:L141" si="66">C30/C50</f>
        <v>0.14008203863892371</v>
      </c>
      <c r="D141" s="215">
        <f t="shared" si="66"/>
        <v>0.11661393038811231</v>
      </c>
      <c r="E141" s="215">
        <f t="shared" si="66"/>
        <v>0.12856265721246213</v>
      </c>
      <c r="F141" s="215">
        <f t="shared" si="66"/>
        <v>9.9024648056503142E-2</v>
      </c>
      <c r="G141" s="215">
        <f t="shared" si="66"/>
        <v>9.9280673181324663E-2</v>
      </c>
      <c r="H141" s="215">
        <f t="shared" si="66"/>
        <v>9.8137070989511438E-2</v>
      </c>
      <c r="I141" s="215">
        <f t="shared" si="66"/>
        <v>0.17117063750636793</v>
      </c>
      <c r="J141" s="215">
        <f t="shared" si="66"/>
        <v>0.11934879609361845</v>
      </c>
      <c r="K141" s="215">
        <f t="shared" si="66"/>
        <v>0.10281985189527496</v>
      </c>
      <c r="L141" s="215">
        <f t="shared" si="66"/>
        <v>0.10558115338882283</v>
      </c>
      <c r="M141" s="121"/>
      <c r="N141" s="121"/>
    </row>
    <row r="142" spans="1:14">
      <c r="A142" s="249" t="s">
        <v>399</v>
      </c>
      <c r="B142" s="121"/>
      <c r="C142" s="215"/>
      <c r="D142" s="215"/>
      <c r="E142" s="252">
        <f t="shared" ref="E142" si="67">AVERAGE(C138:E138)*AVERAGE(C139:E139)*(1-AVERAGE(C140:E140))-AVERAGE(C141:E141)</f>
        <v>-2.474525080189767E-2</v>
      </c>
      <c r="F142" s="252">
        <f t="shared" ref="F142" si="68">AVERAGE(D138:F138)*AVERAGE(D139:F139)*(1-AVERAGE(D140:F140))-AVERAGE(D141:F141)</f>
        <v>7.6279086613136454E-3</v>
      </c>
      <c r="G142" s="252">
        <f t="shared" ref="G142:K142" si="69">AVERAGE(E138:G138)*AVERAGE(E139:G139)*(1-AVERAGE(E140:G140))-AVERAGE(E141:G141)</f>
        <v>6.0699361516716219E-2</v>
      </c>
      <c r="H142" s="252">
        <f t="shared" si="69"/>
        <v>0.14145855188269518</v>
      </c>
      <c r="I142" s="252">
        <f t="shared" si="69"/>
        <v>0.24605215893165205</v>
      </c>
      <c r="J142" s="252">
        <f t="shared" si="69"/>
        <v>0.3796443785544481</v>
      </c>
      <c r="K142" s="252">
        <f t="shared" si="69"/>
        <v>0.47827422081693771</v>
      </c>
      <c r="L142" s="252">
        <f>AVERAGE(J138:L138)*AVERAGE(J139:L139)*(1-AVERAGE(J140:L140))-AVERAGE(J141:L141)</f>
        <v>0.49150028915503041</v>
      </c>
      <c r="M142" s="121"/>
      <c r="N142" s="121"/>
    </row>
    <row r="143" spans="1:14">
      <c r="A143" s="249"/>
      <c r="B143" s="121"/>
      <c r="C143" s="215"/>
      <c r="D143" s="215"/>
      <c r="E143" s="215"/>
      <c r="F143" s="215"/>
      <c r="G143" s="215"/>
      <c r="H143" s="215"/>
      <c r="I143" s="215"/>
      <c r="J143" s="215"/>
      <c r="K143" s="215"/>
      <c r="L143" s="215"/>
      <c r="M143" s="121"/>
      <c r="N143" s="121"/>
    </row>
    <row r="144" spans="1:14">
      <c r="A144" s="249"/>
      <c r="B144" s="121"/>
      <c r="C144" s="215"/>
      <c r="D144" s="215"/>
      <c r="E144" s="215"/>
      <c r="F144" s="215"/>
      <c r="G144" s="215"/>
      <c r="H144" s="215"/>
      <c r="I144" s="215"/>
      <c r="J144" s="215"/>
      <c r="K144" s="215"/>
      <c r="L144" s="215"/>
      <c r="M144" s="121"/>
      <c r="N144" s="121"/>
    </row>
    <row r="145" spans="1:14">
      <c r="A145" s="249"/>
      <c r="B145" s="121"/>
      <c r="C145" s="215"/>
      <c r="D145" s="215"/>
      <c r="E145" s="215"/>
      <c r="F145" s="215"/>
      <c r="G145" s="215"/>
      <c r="H145" s="215"/>
      <c r="I145" s="215"/>
      <c r="J145" s="215"/>
      <c r="K145" s="215"/>
      <c r="L145" s="215"/>
      <c r="M145" s="121"/>
      <c r="N145" s="121"/>
    </row>
    <row r="146" spans="1:14">
      <c r="A146" s="249"/>
      <c r="B146" s="121"/>
      <c r="C146" s="215"/>
      <c r="D146" s="215"/>
      <c r="E146" s="215"/>
      <c r="F146" s="215"/>
      <c r="G146" s="215"/>
      <c r="H146" s="215"/>
      <c r="I146" s="215"/>
      <c r="J146" s="215"/>
      <c r="K146" s="215"/>
      <c r="L146" s="215"/>
      <c r="M146" s="121"/>
      <c r="N146" s="121"/>
    </row>
    <row r="147" spans="1:14">
      <c r="A147" s="249"/>
      <c r="B147" s="121"/>
      <c r="C147" s="215"/>
      <c r="D147" s="215"/>
      <c r="E147" s="215"/>
      <c r="F147" s="215"/>
      <c r="G147" s="215"/>
      <c r="H147" s="215"/>
      <c r="I147" s="215"/>
      <c r="J147" s="215"/>
      <c r="K147" s="215"/>
      <c r="L147" s="215"/>
      <c r="M147" s="121"/>
      <c r="N147" s="121"/>
    </row>
    <row r="148" spans="1:14">
      <c r="A148" s="249"/>
      <c r="B148" s="121"/>
      <c r="C148" s="215"/>
      <c r="D148" s="215"/>
      <c r="E148" s="215"/>
      <c r="F148" s="215"/>
      <c r="G148" s="215"/>
      <c r="H148" s="215"/>
      <c r="I148" s="215"/>
      <c r="J148" s="215"/>
      <c r="K148" s="215"/>
      <c r="L148" s="215"/>
      <c r="M148" s="121"/>
      <c r="N148" s="121"/>
    </row>
    <row r="149" spans="1:14">
      <c r="A149" s="249"/>
      <c r="B149" s="121"/>
      <c r="C149" s="215"/>
      <c r="D149" s="215"/>
      <c r="E149" s="215"/>
      <c r="F149" s="215"/>
      <c r="G149" s="215"/>
      <c r="H149" s="215"/>
      <c r="I149" s="215"/>
      <c r="J149" s="215"/>
      <c r="K149" s="215"/>
      <c r="L149" s="215"/>
      <c r="M149" s="121"/>
      <c r="N149" s="121"/>
    </row>
    <row r="150" spans="1:14">
      <c r="A150" s="249"/>
      <c r="B150" s="121"/>
      <c r="C150" s="215"/>
      <c r="D150" s="215"/>
      <c r="E150" s="215"/>
      <c r="F150" s="215"/>
      <c r="G150" s="215"/>
      <c r="H150" s="215"/>
      <c r="I150" s="215"/>
      <c r="J150" s="215"/>
      <c r="K150" s="215"/>
      <c r="L150" s="215"/>
      <c r="M150" s="121"/>
      <c r="N150" s="121"/>
    </row>
    <row r="151" spans="1:14">
      <c r="A151" s="249"/>
      <c r="B151" s="121"/>
      <c r="C151" s="215"/>
      <c r="D151" s="215"/>
      <c r="E151" s="215"/>
      <c r="F151" s="215"/>
      <c r="G151" s="215"/>
      <c r="H151" s="215"/>
      <c r="I151" s="215"/>
      <c r="J151" s="215"/>
      <c r="K151" s="215"/>
      <c r="L151" s="215"/>
      <c r="M151" s="121"/>
      <c r="N151" s="121"/>
    </row>
    <row r="152" spans="1:14">
      <c r="A152" s="249"/>
      <c r="B152" s="121"/>
      <c r="C152" s="215"/>
      <c r="D152" s="215"/>
      <c r="E152" s="215"/>
      <c r="F152" s="215"/>
      <c r="G152" s="215"/>
      <c r="H152" s="215"/>
      <c r="I152" s="215"/>
      <c r="J152" s="215"/>
      <c r="K152" s="215"/>
      <c r="L152" s="215"/>
      <c r="M152" s="121"/>
      <c r="N152" s="121"/>
    </row>
    <row r="153" spans="1:14">
      <c r="A153" s="121"/>
      <c r="B153" s="121"/>
      <c r="C153" s="121"/>
      <c r="D153" s="121"/>
      <c r="E153" s="121"/>
      <c r="F153" s="121"/>
      <c r="G153" s="121"/>
      <c r="H153" s="121"/>
      <c r="I153" s="121"/>
      <c r="J153" s="121"/>
      <c r="K153" s="121"/>
      <c r="L153" s="121"/>
      <c r="M153" s="121"/>
      <c r="N153" s="121"/>
    </row>
    <row r="155" spans="1:14">
      <c r="A155" s="219" t="s">
        <v>315</v>
      </c>
      <c r="C155" s="230">
        <f t="shared" ref="C155:L155" si="70">C4</f>
        <v>39873</v>
      </c>
      <c r="D155" s="230">
        <f t="shared" si="70"/>
        <v>40238</v>
      </c>
      <c r="E155" s="230">
        <f t="shared" si="70"/>
        <v>40603</v>
      </c>
      <c r="F155" s="230">
        <f t="shared" si="70"/>
        <v>40969</v>
      </c>
      <c r="G155" s="230">
        <f t="shared" si="70"/>
        <v>41334</v>
      </c>
      <c r="H155" s="230">
        <f t="shared" si="70"/>
        <v>41699</v>
      </c>
      <c r="I155" s="230">
        <f t="shared" si="70"/>
        <v>42064</v>
      </c>
      <c r="J155" s="230">
        <f t="shared" si="70"/>
        <v>42430</v>
      </c>
      <c r="K155" s="230">
        <f t="shared" si="70"/>
        <v>42795</v>
      </c>
      <c r="L155" s="230">
        <f t="shared" si="70"/>
        <v>43160</v>
      </c>
      <c r="M155" s="230"/>
      <c r="N155" s="230"/>
    </row>
    <row r="156" spans="1:14">
      <c r="A156" s="121" t="s">
        <v>346</v>
      </c>
      <c r="C156" s="220">
        <f>'Screener Input'!B62</f>
        <v>470.51</v>
      </c>
      <c r="D156" s="220">
        <f>'Screener Input'!C62</f>
        <v>499.34</v>
      </c>
      <c r="E156" s="220">
        <f>'Screener Input'!D62</f>
        <v>504.89</v>
      </c>
      <c r="F156" s="220">
        <f>'Screener Input'!E62</f>
        <v>624.39</v>
      </c>
      <c r="G156" s="220">
        <f>'Screener Input'!F62</f>
        <v>736.8</v>
      </c>
      <c r="H156" s="220">
        <f>'Screener Input'!G62</f>
        <v>847.59</v>
      </c>
      <c r="I156" s="220">
        <f>'Screener Input'!H62</f>
        <v>844.07</v>
      </c>
      <c r="J156" s="220">
        <f>'Screener Input'!I62</f>
        <v>950.24</v>
      </c>
      <c r="K156" s="220">
        <f>'Screener Input'!J62</f>
        <v>1159.99</v>
      </c>
      <c r="L156" s="220">
        <f>'Screener Input'!K62</f>
        <v>1345.6</v>
      </c>
      <c r="M156" s="220"/>
      <c r="N156" s="220"/>
    </row>
    <row r="157" spans="1:14">
      <c r="A157" s="121" t="s">
        <v>346</v>
      </c>
      <c r="B157" s="121"/>
      <c r="C157" s="215">
        <f>'Screener Input'!B62/'Screener Input'!B66</f>
        <v>0.31215211204065524</v>
      </c>
      <c r="D157" s="215">
        <f>'Screener Input'!C62/'Screener Input'!C66</f>
        <v>0.32443214304277768</v>
      </c>
      <c r="E157" s="215">
        <f>'Screener Input'!D62/'Screener Input'!D66</f>
        <v>0.3071704954735715</v>
      </c>
      <c r="F157" s="215">
        <f>'Screener Input'!E62/'Screener Input'!E66</f>
        <v>0.33436865752368305</v>
      </c>
      <c r="G157" s="215">
        <f>'Screener Input'!F62/'Screener Input'!F66</f>
        <v>0.38565013032964501</v>
      </c>
      <c r="H157" s="215">
        <f>'Screener Input'!G62/'Screener Input'!G66</f>
        <v>0.39569104362643259</v>
      </c>
      <c r="I157" s="215">
        <f>'Screener Input'!H62/'Screener Input'!H66</f>
        <v>0.29970777364707724</v>
      </c>
      <c r="J157" s="215">
        <f>'Screener Input'!I62/'Screener Input'!I66</f>
        <v>0.26915472771253607</v>
      </c>
      <c r="K157" s="215">
        <f>'Screener Input'!J62/'Screener Input'!J66</f>
        <v>0.27904632690077896</v>
      </c>
      <c r="L157" s="215">
        <f>'Screener Input'!K62/'Screener Input'!K66</f>
        <v>0.25666311249802104</v>
      </c>
      <c r="M157" s="215"/>
      <c r="N157" s="215"/>
    </row>
    <row r="158" spans="1:14">
      <c r="A158" s="121" t="s">
        <v>347</v>
      </c>
      <c r="B158" s="121"/>
      <c r="C158" s="215">
        <f>'Screener Input'!B64/'Screener Input'!B66</f>
        <v>0.25034000968612957</v>
      </c>
      <c r="D158" s="215">
        <f>'Screener Input'!C64/'Screener Input'!C66</f>
        <v>0.23808410000519778</v>
      </c>
      <c r="E158" s="215">
        <f>'Screener Input'!D64/'Screener Input'!D66</f>
        <v>0.23636595931081475</v>
      </c>
      <c r="F158" s="215">
        <f>'Screener Input'!E64/'Screener Input'!E66</f>
        <v>0.13308021441920992</v>
      </c>
      <c r="G158" s="215">
        <f>'Screener Input'!F64/'Screener Input'!F66</f>
        <v>5.6633203178159057E-2</v>
      </c>
      <c r="H158" s="215">
        <f>'Screener Input'!G64/'Screener Input'!G66</f>
        <v>9.2374127588058158E-2</v>
      </c>
      <c r="I158" s="215">
        <f>'Screener Input'!H64/'Screener Input'!H66</f>
        <v>0.18390731134001587</v>
      </c>
      <c r="J158" s="215">
        <f>'Screener Input'!I64/'Screener Input'!I66</f>
        <v>0.22330801085410965</v>
      </c>
      <c r="K158" s="215">
        <f>'Screener Input'!J64/'Screener Input'!J66</f>
        <v>0.11711627190893391</v>
      </c>
      <c r="L158" s="215">
        <f>'Screener Input'!K64/'Screener Input'!K66</f>
        <v>0.20586456900777655</v>
      </c>
      <c r="M158" s="215"/>
      <c r="N158" s="215"/>
    </row>
    <row r="159" spans="1:14">
      <c r="A159" s="121" t="s">
        <v>350</v>
      </c>
      <c r="B159" s="121"/>
      <c r="C159" s="215">
        <f>'Screener Input'!B68/'Screener Input'!B66</f>
        <v>0.19152662690488353</v>
      </c>
      <c r="D159" s="215">
        <f>'Screener Input'!C68/'Screener Input'!C66</f>
        <v>0.19765190498466656</v>
      </c>
      <c r="E159" s="215">
        <f>'Screener Input'!D68/'Screener Input'!D66</f>
        <v>0.2110812323566631</v>
      </c>
      <c r="F159" s="215">
        <f>'Screener Input'!E68/'Screener Input'!E66</f>
        <v>0.2312128822889947</v>
      </c>
      <c r="G159" s="215">
        <f>'Screener Input'!F68/'Screener Input'!F66</f>
        <v>0.19610685984067333</v>
      </c>
      <c r="H159" s="215">
        <f>'Screener Input'!G68/'Screener Input'!G66</f>
        <v>0.19619990196307274</v>
      </c>
      <c r="I159" s="215">
        <f>'Screener Input'!H68/'Screener Input'!H66</f>
        <v>0.14346432033405415</v>
      </c>
      <c r="J159" s="215">
        <f>'Screener Input'!I68/'Screener Input'!I66</f>
        <v>0.12481376364553061</v>
      </c>
      <c r="K159" s="215">
        <f>'Screener Input'!J68/'Screener Input'!J66</f>
        <v>0.15911791733421862</v>
      </c>
      <c r="L159" s="215">
        <f>'Screener Input'!K68/'Screener Input'!K66</f>
        <v>0.12451479875712183</v>
      </c>
      <c r="M159" s="215"/>
      <c r="N159" s="215"/>
    </row>
    <row r="160" spans="1:14">
      <c r="A160" s="121" t="s">
        <v>351</v>
      </c>
      <c r="B160" s="121"/>
      <c r="C160" s="215">
        <f>'Screener Input'!B67/'Screener Input'!B66</f>
        <v>4.9094081509443978E-2</v>
      </c>
      <c r="D160" s="215">
        <f>'Screener Input'!C67/'Screener Input'!C66</f>
        <v>4.7605125006497218E-2</v>
      </c>
      <c r="E160" s="215">
        <f>'Screener Input'!D67/'Screener Input'!D66</f>
        <v>4.9255329504526421E-2</v>
      </c>
      <c r="F160" s="215">
        <f>'Screener Input'!E67/'Screener Input'!E66</f>
        <v>6.0518269009355412E-2</v>
      </c>
      <c r="G160" s="215">
        <f>'Screener Input'!F67/'Screener Input'!F66</f>
        <v>6.4280255843897544E-2</v>
      </c>
      <c r="H160" s="215">
        <f>'Screener Input'!G67/'Screener Input'!G66</f>
        <v>5.0745780910809737E-2</v>
      </c>
      <c r="I160" s="215">
        <f>'Screener Input'!H67/'Screener Input'!H66</f>
        <v>4.8222674350479888E-2</v>
      </c>
      <c r="J160" s="215">
        <f>'Screener Input'!I67/'Screener Input'!I66</f>
        <v>4.8325147431212932E-2</v>
      </c>
      <c r="K160" s="215">
        <f>'Screener Input'!J67/'Screener Input'!J66</f>
        <v>4.3098595615085958E-2</v>
      </c>
      <c r="L160" s="215">
        <f>'Screener Input'!K67/'Screener Input'!K66</f>
        <v>5.8100166518205425E-2</v>
      </c>
      <c r="M160" s="215"/>
      <c r="N160" s="215"/>
    </row>
    <row r="161" spans="1:14">
      <c r="A161" s="121" t="s">
        <v>352</v>
      </c>
      <c r="B161" s="121"/>
      <c r="C161" s="215">
        <f>'Screener Input'!B69/'Screener Input'!B66</f>
        <v>4.5670764474461133E-2</v>
      </c>
      <c r="D161" s="215">
        <f>'Screener Input'!C69/'Screener Input'!C66</f>
        <v>2.7775612038047716E-2</v>
      </c>
      <c r="E161" s="215">
        <f>'Screener Input'!D69/'Screener Input'!D66</f>
        <v>4.6773094519614519E-2</v>
      </c>
      <c r="F161" s="215">
        <f>'Screener Input'!E69/'Screener Input'!E66</f>
        <v>3.284298237628322E-2</v>
      </c>
      <c r="G161" s="215">
        <f>'Screener Input'!F69/'Screener Input'!F66</f>
        <v>5.3874820731311571E-2</v>
      </c>
      <c r="H161" s="215">
        <f>'Screener Input'!G69/'Screener Input'!G66</f>
        <v>5.0918512639760972E-2</v>
      </c>
      <c r="I161" s="215">
        <f>'Screener Input'!H69/'Screener Input'!H66</f>
        <v>8.0364022426508447E-2</v>
      </c>
      <c r="J161" s="215">
        <f>'Screener Input'!I69/'Screener Input'!I66</f>
        <v>2.482679310911326E-2</v>
      </c>
      <c r="K161" s="215">
        <f>'Screener Input'!J69/'Screener Input'!J66</f>
        <v>2.9049935289561176E-2</v>
      </c>
      <c r="L161" s="215">
        <f>'Screener Input'!K69/'Screener Input'!K66</f>
        <v>3.5558217473157759E-2</v>
      </c>
      <c r="M161" s="215"/>
      <c r="N161" s="215"/>
    </row>
    <row r="162" spans="1:14">
      <c r="A162" s="121" t="s">
        <v>348</v>
      </c>
      <c r="B162" s="121"/>
      <c r="C162" s="215">
        <f>('Screener Input'!B66-'Screener Input'!B62-'Screener Input'!B64-'Screener Input'!B68-'Screener Input'!B67-'Screener Input'!B69)/'Screener Input'!B66</f>
        <v>0.1512164053844266</v>
      </c>
      <c r="D162" s="215">
        <f>('Screener Input'!C66-'Screener Input'!C62-'Screener Input'!C64-'Screener Input'!C68-'Screener Input'!C67-'Screener Input'!C69)/'Screener Input'!C66</f>
        <v>0.16445111492281303</v>
      </c>
      <c r="E162" s="215">
        <f>('Screener Input'!D66-'Screener Input'!D62-'Screener Input'!D64-'Screener Input'!D68-'Screener Input'!D67-'Screener Input'!D69)/'Screener Input'!D66</f>
        <v>0.14935388883480968</v>
      </c>
      <c r="F162" s="215">
        <f>('Screener Input'!E66-'Screener Input'!E62-'Screener Input'!E64-'Screener Input'!E68-'Screener Input'!E67-'Screener Input'!E69)/'Screener Input'!E66</f>
        <v>0.2079769943824738</v>
      </c>
      <c r="G162" s="215">
        <f>('Screener Input'!F66-'Screener Input'!F62-'Screener Input'!F64-'Screener Input'!F68-'Screener Input'!F67-'Screener Input'!F69)/'Screener Input'!F66</f>
        <v>0.24345473007631346</v>
      </c>
      <c r="H162" s="215">
        <f>('Screener Input'!G66-'Screener Input'!G62-'Screener Input'!G64-'Screener Input'!G68-'Screener Input'!G67-'Screener Input'!G69)/'Screener Input'!G66</f>
        <v>0.21407063327186579</v>
      </c>
      <c r="I162" s="215">
        <f>('Screener Input'!H66-'Screener Input'!H62-'Screener Input'!H64-'Screener Input'!H68-'Screener Input'!H67-'Screener Input'!H69)/'Screener Input'!H66</f>
        <v>0.24433389790186441</v>
      </c>
      <c r="J162" s="215">
        <f>('Screener Input'!I66-'Screener Input'!I62-'Screener Input'!I64-'Screener Input'!I68-'Screener Input'!I67-'Screener Input'!I69)/'Screener Input'!I66</f>
        <v>0.30957155724749746</v>
      </c>
      <c r="K162" s="215">
        <f>('Screener Input'!J66-'Screener Input'!J62-'Screener Input'!J64-'Screener Input'!J68-'Screener Input'!J67-'Screener Input'!J69)/'Screener Input'!J66</f>
        <v>0.37257095295142145</v>
      </c>
      <c r="L162" s="215">
        <f>('Screener Input'!K66-'Screener Input'!K62-'Screener Input'!K64-'Screener Input'!K68-'Screener Input'!K67-'Screener Input'!K69)/'Screener Input'!K66</f>
        <v>0.31929913574571733</v>
      </c>
      <c r="M162" s="215"/>
      <c r="N162" s="215"/>
    </row>
    <row r="164" spans="1:14">
      <c r="A164" s="221" t="s">
        <v>353</v>
      </c>
      <c r="C164" s="230">
        <f t="shared" ref="C164:L164" si="71">C4</f>
        <v>39873</v>
      </c>
      <c r="D164" s="230">
        <f t="shared" si="71"/>
        <v>40238</v>
      </c>
      <c r="E164" s="230">
        <f t="shared" si="71"/>
        <v>40603</v>
      </c>
      <c r="F164" s="230">
        <f t="shared" si="71"/>
        <v>40969</v>
      </c>
      <c r="G164" s="230">
        <f t="shared" si="71"/>
        <v>41334</v>
      </c>
      <c r="H164" s="230">
        <f t="shared" si="71"/>
        <v>41699</v>
      </c>
      <c r="I164" s="230">
        <f t="shared" si="71"/>
        <v>42064</v>
      </c>
      <c r="J164" s="230">
        <f t="shared" si="71"/>
        <v>42430</v>
      </c>
      <c r="K164" s="230">
        <f t="shared" si="71"/>
        <v>42795</v>
      </c>
      <c r="L164" s="230">
        <f t="shared" si="71"/>
        <v>43160</v>
      </c>
      <c r="M164" s="230"/>
      <c r="N164" s="230"/>
    </row>
    <row r="165" spans="1:14">
      <c r="A165" s="121" t="s">
        <v>354</v>
      </c>
      <c r="C165" s="222">
        <f>SUM('Screener Input'!B57:B58)/'Screener Input'!B61</f>
        <v>0.47858104835767029</v>
      </c>
      <c r="D165" s="222">
        <f>SUM('Screener Input'!C57:C58)/'Screener Input'!C61</f>
        <v>0.18374135869847708</v>
      </c>
      <c r="E165" s="222">
        <f>SUM('Screener Input'!D57:D58)/'Screener Input'!D61</f>
        <v>0.19835369414971282</v>
      </c>
      <c r="F165" s="222">
        <f>SUM('Screener Input'!E57:E58)/'Screener Input'!E61</f>
        <v>0.21911565463727059</v>
      </c>
      <c r="G165" s="222">
        <f>SUM('Screener Input'!F57:F58)/'Screener Input'!F61</f>
        <v>0.29079736618966362</v>
      </c>
      <c r="H165" s="222">
        <f>SUM('Screener Input'!G57:G58)/'Screener Input'!G61</f>
        <v>0.37259167619803457</v>
      </c>
      <c r="I165" s="222">
        <f>SUM('Screener Input'!H57:H58)/'Screener Input'!H61</f>
        <v>0.44210687033742729</v>
      </c>
      <c r="J165" s="222">
        <f>SUM('Screener Input'!I57:I58)/'Screener Input'!I61</f>
        <v>0.59246670405556212</v>
      </c>
      <c r="K165" s="222">
        <f>SUM('Screener Input'!J57:J58)/'Screener Input'!J61</f>
        <v>0.64864877868067694</v>
      </c>
      <c r="L165" s="222">
        <f>SUM('Screener Input'!K57:K58)/'Screener Input'!K61</f>
        <v>0.64971283716121742</v>
      </c>
      <c r="M165" s="222"/>
      <c r="N165" s="222"/>
    </row>
    <row r="166" spans="1:14">
      <c r="A166" s="121" t="s">
        <v>348</v>
      </c>
      <c r="C166" s="223">
        <f>1-C165</f>
        <v>0.52141895164232976</v>
      </c>
      <c r="D166" s="223">
        <f t="shared" ref="D166:L166" si="72">1-D165</f>
        <v>0.81625864130152292</v>
      </c>
      <c r="E166" s="223">
        <f t="shared" si="72"/>
        <v>0.80164630585028718</v>
      </c>
      <c r="F166" s="223">
        <f t="shared" si="72"/>
        <v>0.78088434536272944</v>
      </c>
      <c r="G166" s="223">
        <f t="shared" si="72"/>
        <v>0.70920263381033632</v>
      </c>
      <c r="H166" s="223">
        <f t="shared" si="72"/>
        <v>0.62740832380196543</v>
      </c>
      <c r="I166" s="223">
        <f t="shared" si="72"/>
        <v>0.55789312966257265</v>
      </c>
      <c r="J166" s="223">
        <f t="shared" si="72"/>
        <v>0.40753329594443788</v>
      </c>
      <c r="K166" s="223">
        <f t="shared" si="72"/>
        <v>0.35135122131932306</v>
      </c>
      <c r="L166" s="223">
        <f t="shared" si="72"/>
        <v>0.35028716283878258</v>
      </c>
      <c r="M166" s="223"/>
      <c r="N166" s="223"/>
    </row>
    <row r="170" spans="1:14">
      <c r="A170" s="221" t="s">
        <v>357</v>
      </c>
      <c r="C170" s="230">
        <f t="shared" ref="C170:L170" si="73">C4</f>
        <v>39873</v>
      </c>
      <c r="D170" s="230">
        <f t="shared" si="73"/>
        <v>40238</v>
      </c>
      <c r="E170" s="230">
        <f t="shared" si="73"/>
        <v>40603</v>
      </c>
      <c r="F170" s="230">
        <f t="shared" si="73"/>
        <v>40969</v>
      </c>
      <c r="G170" s="230">
        <f t="shared" si="73"/>
        <v>41334</v>
      </c>
      <c r="H170" s="230">
        <f t="shared" si="73"/>
        <v>41699</v>
      </c>
      <c r="I170" s="230">
        <f t="shared" si="73"/>
        <v>42064</v>
      </c>
      <c r="J170" s="230">
        <f t="shared" si="73"/>
        <v>42430</v>
      </c>
      <c r="K170" s="230">
        <f t="shared" si="73"/>
        <v>42795</v>
      </c>
      <c r="L170" s="230">
        <f t="shared" si="73"/>
        <v>43160</v>
      </c>
      <c r="M170" s="230"/>
      <c r="N170" s="230"/>
    </row>
    <row r="171" spans="1:14">
      <c r="A171" s="121" t="s">
        <v>349</v>
      </c>
      <c r="B171" s="121"/>
      <c r="C171" s="215">
        <f>IF(('Screener Input'!B18-'Screener Input'!B19)/('Screener Input'!B$17+'Screener Input'!B$25)&lt;0, 0, ('Screener Input'!B18-'Screener Input'!B19)/('Screener Input'!B$17+'Screener Input'!B$25))</f>
        <v>0.60476604974386061</v>
      </c>
      <c r="D171" s="215">
        <f>IF(('Screener Input'!C18-'Screener Input'!C19)/('Screener Input'!C$17+'Screener Input'!C$25)&lt;0, 0, ('Screener Input'!C18-'Screener Input'!C19)/('Screener Input'!C$17+'Screener Input'!C$25))</f>
        <v>0.62944285658353238</v>
      </c>
      <c r="E171" s="215">
        <f>IF(('Screener Input'!D18-'Screener Input'!D19)/('Screener Input'!D$17+'Screener Input'!D$25)&lt;0, 0, ('Screener Input'!D18-'Screener Input'!D19)/('Screener Input'!D$17+'Screener Input'!D$25))</f>
        <v>0.64853407705868615</v>
      </c>
      <c r="F171" s="215">
        <f>IF(('Screener Input'!E18-'Screener Input'!E19)/('Screener Input'!E$17+'Screener Input'!E$25)&lt;0, 0, ('Screener Input'!E18-'Screener Input'!E19)/('Screener Input'!E$17+'Screener Input'!E$25))</f>
        <v>0.63716541227268053</v>
      </c>
      <c r="G171" s="215">
        <f>IF(('Screener Input'!F18-'Screener Input'!F19)/('Screener Input'!F$17+'Screener Input'!F$25)&lt;0, 0, ('Screener Input'!F18-'Screener Input'!F19)/('Screener Input'!F$17+'Screener Input'!F$25))</f>
        <v>0.61903922150168733</v>
      </c>
      <c r="H171" s="215">
        <f>IF(('Screener Input'!G18-'Screener Input'!G19)/('Screener Input'!G$17+'Screener Input'!G$25)&lt;0, 0, ('Screener Input'!G18-'Screener Input'!G19)/('Screener Input'!G$17+'Screener Input'!G$25))</f>
        <v>0.60046643536846944</v>
      </c>
      <c r="I171" s="215">
        <f>IF(('Screener Input'!H18-'Screener Input'!H19)/('Screener Input'!H$17+'Screener Input'!H$25)&lt;0, 0, ('Screener Input'!H18-'Screener Input'!H19)/('Screener Input'!H$17+'Screener Input'!H$25))</f>
        <v>0.57878563586346421</v>
      </c>
      <c r="J171" s="215">
        <f>IF(('Screener Input'!I18-'Screener Input'!I19)/('Screener Input'!I$17+'Screener Input'!I$25)&lt;0, 0, ('Screener Input'!I18-'Screener Input'!I19)/('Screener Input'!I$17+'Screener Input'!I$25))</f>
        <v>0.5882383313892493</v>
      </c>
      <c r="K171" s="215">
        <f>IF(('Screener Input'!J18-'Screener Input'!J19)/('Screener Input'!J$17+'Screener Input'!J$25)&lt;0, 0, ('Screener Input'!J18-'Screener Input'!J19)/('Screener Input'!J$17+'Screener Input'!J$25))</f>
        <v>0.60715965769400826</v>
      </c>
      <c r="L171" s="215">
        <f>IF(('Screener Input'!K18-'Screener Input'!K19)/('Screener Input'!K$17+'Screener Input'!K$25)&lt;0, 0, ('Screener Input'!K18-'Screener Input'!K19)/('Screener Input'!K$17+'Screener Input'!K$25))</f>
        <v>0.60584145804316514</v>
      </c>
      <c r="M171" s="215"/>
      <c r="N171" s="215"/>
    </row>
    <row r="172" spans="1:14">
      <c r="A172" s="154" t="s">
        <v>257</v>
      </c>
      <c r="B172" s="121"/>
      <c r="C172" s="215">
        <f>IF(('Screener Input'!B20)/('Screener Input'!B$17+'Screener Input'!B$25)&lt;0, 0, ('Screener Input'!B20)/('Screener Input'!B$17+'Screener Input'!B$25))</f>
        <v>1.4691990467900512E-2</v>
      </c>
      <c r="D172" s="215">
        <f>IF(('Screener Input'!C20)/('Screener Input'!C$17+'Screener Input'!C$25)&lt;0, 0, ('Screener Input'!C20)/('Screener Input'!C$17+'Screener Input'!C$25))</f>
        <v>1.1868499014656175E-2</v>
      </c>
      <c r="E172" s="215">
        <f>IF(('Screener Input'!D20)/('Screener Input'!D$17+'Screener Input'!D$25)&lt;0, 0, ('Screener Input'!D20)/('Screener Input'!D$17+'Screener Input'!D$25))</f>
        <v>1.2111241777143724E-2</v>
      </c>
      <c r="F172" s="215">
        <f>IF(('Screener Input'!E20)/('Screener Input'!E$17+'Screener Input'!E$25)&lt;0, 0, ('Screener Input'!E20)/('Screener Input'!E$17+'Screener Input'!E$25))</f>
        <v>1.3142730376534626E-2</v>
      </c>
      <c r="G172" s="215">
        <f>IF(('Screener Input'!F20)/('Screener Input'!F$17+'Screener Input'!F$25)&lt;0, 0, ('Screener Input'!F20)/('Screener Input'!F$17+'Screener Input'!F$25))</f>
        <v>1.4590430691045507E-2</v>
      </c>
      <c r="H172" s="215">
        <f>IF(('Screener Input'!G20)/('Screener Input'!G$17+'Screener Input'!G$25)&lt;0, 0, ('Screener Input'!G20)/('Screener Input'!G$17+'Screener Input'!G$25))</f>
        <v>1.593942098671235E-2</v>
      </c>
      <c r="I172" s="215">
        <f>IF(('Screener Input'!H20)/('Screener Input'!H$17+'Screener Input'!H$25)&lt;0, 0, ('Screener Input'!H20)/('Screener Input'!H$17+'Screener Input'!H$25))</f>
        <v>1.3688119117229808E-2</v>
      </c>
      <c r="J172" s="215">
        <f>IF(('Screener Input'!I20)/('Screener Input'!I$17+'Screener Input'!I$25)&lt;0, 0, ('Screener Input'!I20)/('Screener Input'!I$17+'Screener Input'!I$25))</f>
        <v>1.1166943219449913E-2</v>
      </c>
      <c r="K172" s="215">
        <f>IF(('Screener Input'!J20)/('Screener Input'!J$17+'Screener Input'!J$25)&lt;0, 0, ('Screener Input'!J20)/('Screener Input'!J$17+'Screener Input'!J$25))</f>
        <v>1.1329081125477069E-2</v>
      </c>
      <c r="L172" s="215">
        <f>IF(('Screener Input'!K20)/('Screener Input'!K$17+'Screener Input'!K$25)&lt;0, 0, ('Screener Input'!K20)/('Screener Input'!K$17+'Screener Input'!K$25))</f>
        <v>1.2780297529056503E-2</v>
      </c>
      <c r="M172" s="215"/>
      <c r="N172" s="215"/>
    </row>
    <row r="173" spans="1:14">
      <c r="A173" s="154" t="s">
        <v>258</v>
      </c>
      <c r="B173" s="121"/>
      <c r="C173" s="215">
        <f>IF(('Screener Input'!B21)/('Screener Input'!B$17+'Screener Input'!B$25)&lt;0, 0, ('Screener Input'!B21)/('Screener Input'!B$17+'Screener Input'!B$25))</f>
        <v>7.3488491559525679E-2</v>
      </c>
      <c r="D173" s="215">
        <f>IF(('Screener Input'!C21)/('Screener Input'!C$17+'Screener Input'!C$25)&lt;0, 0, ('Screener Input'!C21)/('Screener Input'!C$17+'Screener Input'!C$25))</f>
        <v>7.3641073829006962E-2</v>
      </c>
      <c r="E173" s="215">
        <f>IF(('Screener Input'!D21)/('Screener Input'!D$17+'Screener Input'!D$25)&lt;0, 0, ('Screener Input'!D21)/('Screener Input'!D$17+'Screener Input'!D$25))</f>
        <v>6.8522552743022741E-2</v>
      </c>
      <c r="F173" s="215">
        <f>IF(('Screener Input'!E21)/('Screener Input'!E$17+'Screener Input'!E$25)&lt;0, 0, ('Screener Input'!E21)/('Screener Input'!E$17+'Screener Input'!E$25))</f>
        <v>7.0920604345559843E-2</v>
      </c>
      <c r="G173" s="215">
        <f>IF(('Screener Input'!F21)/('Screener Input'!F$17+'Screener Input'!F$25)&lt;0, 0, ('Screener Input'!F21)/('Screener Input'!F$17+'Screener Input'!F$25))</f>
        <v>7.4975351294157264E-2</v>
      </c>
      <c r="H173" s="215">
        <f>IF(('Screener Input'!G21)/('Screener Input'!G$17+'Screener Input'!G$25)&lt;0, 0, ('Screener Input'!G21)/('Screener Input'!G$17+'Screener Input'!G$25))</f>
        <v>7.341318399723594E-2</v>
      </c>
      <c r="I173" s="215">
        <f>IF(('Screener Input'!H21)/('Screener Input'!H$17+'Screener Input'!H$25)&lt;0, 0, ('Screener Input'!H21)/('Screener Input'!H$17+'Screener Input'!H$25))</f>
        <v>6.8549153127814164E-2</v>
      </c>
      <c r="J173" s="215">
        <f>IF(('Screener Input'!I21)/('Screener Input'!I$17+'Screener Input'!I$25)&lt;0, 0, ('Screener Input'!I21)/('Screener Input'!I$17+'Screener Input'!I$25))</f>
        <v>5.986565871587194E-2</v>
      </c>
      <c r="K173" s="215">
        <f>IF(('Screener Input'!J21)/('Screener Input'!J$17+'Screener Input'!J$25)&lt;0, 0, ('Screener Input'!J21)/('Screener Input'!J$17+'Screener Input'!J$25))</f>
        <v>5.5399293616364802E-2</v>
      </c>
      <c r="L173" s="215">
        <f>IF(('Screener Input'!K21)/('Screener Input'!K$17+'Screener Input'!K$25)&lt;0, 0, ('Screener Input'!K21)/('Screener Input'!K$17+'Screener Input'!K$25))</f>
        <v>4.8370296298941698E-2</v>
      </c>
      <c r="M173" s="215"/>
      <c r="N173" s="215"/>
    </row>
    <row r="174" spans="1:14">
      <c r="A174" s="154" t="s">
        <v>22</v>
      </c>
      <c r="B174" s="121"/>
      <c r="C174" s="215">
        <f>IF(('Screener Input'!B22)/('Screener Input'!B$17+'Screener Input'!B$25)&lt;0, 0, ('Screener Input'!B22)/('Screener Input'!B$17+'Screener Input'!B$25))</f>
        <v>4.5294596098688626E-2</v>
      </c>
      <c r="D174" s="215">
        <f>IF(('Screener Input'!C22)/('Screener Input'!C$17+'Screener Input'!C$25)&lt;0, 0, ('Screener Input'!C22)/('Screener Input'!C$17+'Screener Input'!C$25))</f>
        <v>4.2940109366639265E-2</v>
      </c>
      <c r="E174" s="215">
        <f>IF(('Screener Input'!D22)/('Screener Input'!D$17+'Screener Input'!D$25)&lt;0, 0, ('Screener Input'!D22)/('Screener Input'!D$17+'Screener Input'!D$25))</f>
        <v>3.8019531358776795E-2</v>
      </c>
      <c r="F174" s="215">
        <f>IF(('Screener Input'!E22)/('Screener Input'!E$17+'Screener Input'!E$25)&lt;0, 0, ('Screener Input'!E22)/('Screener Input'!E$17+'Screener Input'!E$25))</f>
        <v>3.8082716056062664E-2</v>
      </c>
      <c r="G174" s="215">
        <f>IF(('Screener Input'!F22)/('Screener Input'!F$17+'Screener Input'!F$25)&lt;0, 0, ('Screener Input'!F22)/('Screener Input'!F$17+'Screener Input'!F$25))</f>
        <v>3.6351831218487736E-2</v>
      </c>
      <c r="H174" s="215">
        <f>IF(('Screener Input'!G22)/('Screener Input'!G$17+'Screener Input'!G$25)&lt;0, 0, ('Screener Input'!G22)/('Screener Input'!G$17+'Screener Input'!G$25))</f>
        <v>3.781293638339836E-2</v>
      </c>
      <c r="I174" s="215">
        <f>IF(('Screener Input'!H22)/('Screener Input'!H$17+'Screener Input'!H$25)&lt;0, 0, ('Screener Input'!H22)/('Screener Input'!H$17+'Screener Input'!H$25))</f>
        <v>3.6322366554408299E-2</v>
      </c>
      <c r="J174" s="215">
        <f>IF(('Screener Input'!I22)/('Screener Input'!I$17+'Screener Input'!I$25)&lt;0, 0, ('Screener Input'!I22)/('Screener Input'!I$17+'Screener Input'!I$25))</f>
        <v>4.0058299047829163E-2</v>
      </c>
      <c r="K174" s="215">
        <f>IF(('Screener Input'!J22)/('Screener Input'!J$17+'Screener Input'!J$25)&lt;0, 0, ('Screener Input'!J22)/('Screener Input'!J$17+'Screener Input'!J$25))</f>
        <v>3.8307895048470167E-2</v>
      </c>
      <c r="L174" s="215">
        <f>IF(('Screener Input'!K22)/('Screener Input'!K$17+'Screener Input'!K$25)&lt;0, 0, ('Screener Input'!K22)/('Screener Input'!K$17+'Screener Input'!K$25))</f>
        <v>3.9839846989591643E-2</v>
      </c>
      <c r="M174" s="215"/>
      <c r="N174" s="215"/>
    </row>
    <row r="175" spans="1:14">
      <c r="A175" s="154" t="s">
        <v>259</v>
      </c>
      <c r="B175" s="121"/>
      <c r="C175" s="215">
        <f>IF(('Screener Input'!B23)/('Screener Input'!B$17+'Screener Input'!B$25)&lt;0, 0, ('Screener Input'!B23)/('Screener Input'!B$17+'Screener Input'!B$25))</f>
        <v>0.1426361677535353</v>
      </c>
      <c r="D175" s="215">
        <f>IF(('Screener Input'!C23)/('Screener Input'!C$17+'Screener Input'!C$25)&lt;0, 0, ('Screener Input'!C23)/('Screener Input'!C$17+'Screener Input'!C$25))</f>
        <v>0.15737050232958774</v>
      </c>
      <c r="E175" s="215">
        <f>IF(('Screener Input'!D23)/('Screener Input'!D$17+'Screener Input'!D$25)&lt;0, 0, ('Screener Input'!D23)/('Screener Input'!D$17+'Screener Input'!D$25))</f>
        <v>0.14222462133626368</v>
      </c>
      <c r="F175" s="215">
        <f>IF(('Screener Input'!E23)/('Screener Input'!E$17+'Screener Input'!E$25)&lt;0, 0, ('Screener Input'!E23)/('Screener Input'!E$17+'Screener Input'!E$25))</f>
        <v>0.14185563737823539</v>
      </c>
      <c r="G175" s="215">
        <f>IF(('Screener Input'!F23)/('Screener Input'!F$17+'Screener Input'!F$25)&lt;0, 0, ('Screener Input'!F23)/('Screener Input'!F$17+'Screener Input'!F$25))</f>
        <v>0.14759244266670943</v>
      </c>
      <c r="H175" s="215">
        <f>IF(('Screener Input'!G23)/('Screener Input'!G$17+'Screener Input'!G$25)&lt;0, 0, ('Screener Input'!G23)/('Screener Input'!G$17+'Screener Input'!G$25))</f>
        <v>0.1484085052473979</v>
      </c>
      <c r="I175" s="215">
        <f>IF(('Screener Input'!H23)/('Screener Input'!H$17+'Screener Input'!H$25)&lt;0, 0, ('Screener Input'!H23)/('Screener Input'!H$17+'Screener Input'!H$25))</f>
        <v>0.13928302678163895</v>
      </c>
      <c r="J175" s="215">
        <f>IF(('Screener Input'!I23)/('Screener Input'!I$17+'Screener Input'!I$25)&lt;0, 0, ('Screener Input'!I23)/('Screener Input'!I$17+'Screener Input'!I$25))</f>
        <v>0.11227612719706909</v>
      </c>
      <c r="K175" s="215">
        <f>IF(('Screener Input'!J23)/('Screener Input'!J$17+'Screener Input'!J$25)&lt;0, 0, ('Screener Input'!J23)/('Screener Input'!J$17+'Screener Input'!J$25))</f>
        <v>9.9407580750122487E-2</v>
      </c>
      <c r="L175" s="215">
        <f>IF(('Screener Input'!K23)/('Screener Input'!K$17+'Screener Input'!K$25)&lt;0, 0, ('Screener Input'!K23)/('Screener Input'!K$17+'Screener Input'!K$25))</f>
        <v>9.4587891702280477E-2</v>
      </c>
      <c r="M175" s="215"/>
      <c r="N175" s="215"/>
    </row>
    <row r="176" spans="1:14">
      <c r="A176" s="154" t="s">
        <v>260</v>
      </c>
      <c r="B176" s="121"/>
      <c r="C176" s="215">
        <f>IF(('Screener Input'!B24)/('Screener Input'!B$17+'Screener Input'!B$25)&lt;0, 0, ('Screener Input'!B24)/('Screener Input'!B$17+'Screener Input'!B$25))</f>
        <v>3.5037600422380459E-2</v>
      </c>
      <c r="D176" s="215">
        <f>IF(('Screener Input'!C24)/('Screener Input'!C$17+'Screener Input'!C$25)&lt;0, 0, ('Screener Input'!C24)/('Screener Input'!C$17+'Screener Input'!C$25))</f>
        <v>3.5080850397400262E-2</v>
      </c>
      <c r="E176" s="215">
        <f>IF(('Screener Input'!D24)/('Screener Input'!D$17+'Screener Input'!D$25)&lt;0, 0, ('Screener Input'!D24)/('Screener Input'!D$17+'Screener Input'!D$25))</f>
        <v>2.7249222965519158E-2</v>
      </c>
      <c r="F176" s="215">
        <f>IF(('Screener Input'!E24)/('Screener Input'!E$17+'Screener Input'!E$25)&lt;0, 0, ('Screener Input'!E24)/('Screener Input'!E$17+'Screener Input'!E$25))</f>
        <v>3.2098418074816351E-2</v>
      </c>
      <c r="G176" s="215">
        <f>IF(('Screener Input'!F24)/('Screener Input'!F$17+'Screener Input'!F$25)&lt;0, 0, ('Screener Input'!F24)/('Screener Input'!F$17+'Screener Input'!F$25))</f>
        <v>3.1640120878856627E-2</v>
      </c>
      <c r="H176" s="215">
        <f>IF(('Screener Input'!G24)/('Screener Input'!G$17+'Screener Input'!G$25)&lt;0, 0, ('Screener Input'!G24)/('Screener Input'!G$17+'Screener Input'!G$25))</f>
        <v>2.8831176309690051E-2</v>
      </c>
      <c r="I176" s="215">
        <f>IF(('Screener Input'!H24)/('Screener Input'!H$17+'Screener Input'!H$25)&lt;0, 0, ('Screener Input'!H24)/('Screener Input'!H$17+'Screener Input'!H$25))</f>
        <v>2.7930128418637356E-2</v>
      </c>
      <c r="J176" s="215">
        <f>IF(('Screener Input'!I24)/('Screener Input'!I$17+'Screener Input'!I$25)&lt;0, 0, ('Screener Input'!I24)/('Screener Input'!I$17+'Screener Input'!I$25))</f>
        <v>3.1294666012640852E-2</v>
      </c>
      <c r="K176" s="215">
        <f>IF(('Screener Input'!J24)/('Screener Input'!J$17+'Screener Input'!J$25)&lt;0, 0, ('Screener Input'!J24)/('Screener Input'!J$17+'Screener Input'!J$25))</f>
        <v>3.3178954504417879E-2</v>
      </c>
      <c r="L176" s="215">
        <f>IF(('Screener Input'!K24)/('Screener Input'!K$17+'Screener Input'!K$25)&lt;0, 0, ('Screener Input'!K24)/('Screener Input'!K$17+'Screener Input'!K$25))</f>
        <v>3.3107944557535643E-2</v>
      </c>
      <c r="M176" s="215"/>
      <c r="N176" s="215"/>
    </row>
    <row r="177" spans="1:14">
      <c r="A177" s="158" t="s">
        <v>25</v>
      </c>
      <c r="B177" s="121"/>
      <c r="C177" s="215">
        <f>IF(('Screener Input'!B26)/('Screener Input'!B$17+'Screener Input'!B$25)&lt;0, 0, ('Screener Input'!B26)/('Screener Input'!B$17+'Screener Input'!B$25))</f>
        <v>1.8810199917236262E-2</v>
      </c>
      <c r="D177" s="215">
        <f>IF(('Screener Input'!C26)/('Screener Input'!C$17+'Screener Input'!C$25)&lt;0, 0, ('Screener Input'!C26)/('Screener Input'!C$17+'Screener Input'!C$25))</f>
        <v>1.5199091656552212E-2</v>
      </c>
      <c r="E177" s="215">
        <f>IF(('Screener Input'!D26)/('Screener Input'!D$17+'Screener Input'!D$25)&lt;0, 0, ('Screener Input'!D26)/('Screener Input'!D$17+'Screener Input'!D$25))</f>
        <v>1.3904151109911552E-2</v>
      </c>
      <c r="F177" s="215">
        <f>IF(('Screener Input'!E26)/('Screener Input'!E$17+'Screener Input'!E$25)&lt;0, 0, ('Screener Input'!E26)/('Screener Input'!E$17+'Screener Input'!E$25))</f>
        <v>1.1151571554564785E-2</v>
      </c>
      <c r="G177" s="215">
        <f>IF(('Screener Input'!F26)/('Screener Input'!F$17+'Screener Input'!F$25)&lt;0, 0, ('Screener Input'!F26)/('Screener Input'!F$17+'Screener Input'!F$25))</f>
        <v>1.172717289363783E-2</v>
      </c>
      <c r="H177" s="215">
        <f>IF(('Screener Input'!G26)/('Screener Input'!G$17+'Screener Input'!G$25)&lt;0, 0, ('Screener Input'!G26)/('Screener Input'!G$17+'Screener Input'!G$25))</f>
        <v>1.1974720354721219E-2</v>
      </c>
      <c r="I177" s="215">
        <f>IF(('Screener Input'!H26)/('Screener Input'!H$17+'Screener Input'!H$25)&lt;0, 0, ('Screener Input'!H26)/('Screener Input'!H$17+'Screener Input'!H$25))</f>
        <v>1.7823174567928646E-2</v>
      </c>
      <c r="J177" s="215">
        <f>IF(('Screener Input'!I26)/('Screener Input'!I$17+'Screener Input'!I$25)&lt;0, 0, ('Screener Input'!I26)/('Screener Input'!I$17+'Screener Input'!I$25))</f>
        <v>1.3308564843608815E-2</v>
      </c>
      <c r="K177" s="215">
        <f>IF(('Screener Input'!J26)/('Screener Input'!J$17+'Screener Input'!J$25)&lt;0, 0, ('Screener Input'!J26)/('Screener Input'!J$17+'Screener Input'!J$25))</f>
        <v>1.2957609377020042E-2</v>
      </c>
      <c r="L177" s="215">
        <f>IF(('Screener Input'!K26)/('Screener Input'!K$17+'Screener Input'!K$25)&lt;0, 0, ('Screener Input'!K26)/('Screener Input'!K$17+'Screener Input'!K$25))</f>
        <v>1.4093742683793037E-2</v>
      </c>
      <c r="M177" s="215"/>
      <c r="N177" s="215"/>
    </row>
    <row r="178" spans="1:14">
      <c r="A178" s="158" t="s">
        <v>24</v>
      </c>
      <c r="B178" s="121"/>
      <c r="C178" s="215">
        <f>IF(('Screener Input'!B27)/('Screener Input'!B$17+'Screener Input'!B$25)&lt;0, 0, ('Screener Input'!B27)/('Screener Input'!B$17+'Screener Input'!B$25))</f>
        <v>9.303785727536068E-3</v>
      </c>
      <c r="D178" s="215">
        <f>IF(('Screener Input'!C27)/('Screener Input'!C$17+'Screener Input'!C$25)&lt;0, 0, ('Screener Input'!C27)/('Screener Input'!C$17+'Screener Input'!C$25))</f>
        <v>6.1208775432963995E-3</v>
      </c>
      <c r="E178" s="215">
        <f>IF(('Screener Input'!D27)/('Screener Input'!D$17+'Screener Input'!D$25)&lt;0, 0, ('Screener Input'!D27)/('Screener Input'!D$17+'Screener Input'!D$25))</f>
        <v>9.345834431142213E-3</v>
      </c>
      <c r="F178" s="215">
        <f>IF(('Screener Input'!E27)/('Screener Input'!E$17+'Screener Input'!E$25)&lt;0, 0, ('Screener Input'!E27)/('Screener Input'!E$17+'Screener Input'!E$25))</f>
        <v>7.5029173001762107E-3</v>
      </c>
      <c r="G178" s="215">
        <f>IF(('Screener Input'!F27)/('Screener Input'!F$17+'Screener Input'!F$25)&lt;0, 0, ('Screener Input'!F27)/('Screener Input'!F$17+'Screener Input'!F$25))</f>
        <v>6.6210832605227933E-3</v>
      </c>
      <c r="H178" s="215">
        <f>IF(('Screener Input'!G27)/('Screener Input'!G$17+'Screener Input'!G$25)&lt;0, 0, ('Screener Input'!G27)/('Screener Input'!G$17+'Screener Input'!G$25))</f>
        <v>1.1934411125347306E-3</v>
      </c>
      <c r="I178" s="215">
        <f>IF(('Screener Input'!H27)/('Screener Input'!H$17+'Screener Input'!H$25)&lt;0, 0, ('Screener Input'!H27)/('Screener Input'!H$17+'Screener Input'!H$25))</f>
        <v>4.7617285321293311E-4</v>
      </c>
      <c r="J178" s="215">
        <f>IF(('Screener Input'!I27)/('Screener Input'!I$17+'Screener Input'!I$25)&lt;0, 0, ('Screener Input'!I27)/('Screener Input'!I$17+'Screener Input'!I$25))</f>
        <v>5.7149026354267642E-4</v>
      </c>
      <c r="K178" s="215">
        <f>IF(('Screener Input'!J27)/('Screener Input'!J$17+'Screener Input'!J$25)&lt;0, 0, ('Screener Input'!J27)/('Screener Input'!J$17+'Screener Input'!J$25))</f>
        <v>5.920933269452438E-4</v>
      </c>
      <c r="L178" s="215">
        <f>IF(('Screener Input'!K27)/('Screener Input'!K$17+'Screener Input'!K$25)&lt;0, 0, ('Screener Input'!K27)/('Screener Input'!K$17+'Screener Input'!K$25))</f>
        <v>7.5294929942978223E-4</v>
      </c>
      <c r="M178" s="215"/>
      <c r="N178" s="215"/>
    </row>
    <row r="179" spans="1:14">
      <c r="A179" s="158" t="s">
        <v>26</v>
      </c>
      <c r="B179" s="121"/>
      <c r="C179" s="215">
        <f>IF(('Screener Input'!B29)/('Screener Input'!B$17+'Screener Input'!B$25)&lt;0, 0, ('Screener Input'!B29)/('Screener Input'!B$17+'Screener Input'!B$25))</f>
        <v>1.5091539548224149E-2</v>
      </c>
      <c r="D179" s="215">
        <f>IF(('Screener Input'!C29)/('Screener Input'!C$17+'Screener Input'!C$25)&lt;0, 0, ('Screener Input'!C29)/('Screener Input'!C$17+'Screener Input'!C$25))</f>
        <v>1.4251595473943855E-3</v>
      </c>
      <c r="E179" s="215">
        <f>IF(('Screener Input'!D29)/('Screener Input'!D$17+'Screener Input'!D$25)&lt;0, 0, ('Screener Input'!D29)/('Screener Input'!D$17+'Screener Input'!D$25))</f>
        <v>1.13400979781038E-2</v>
      </c>
      <c r="F179" s="215">
        <f>IF(('Screener Input'!E29)/('Screener Input'!E$17+'Screener Input'!E$25)&lt;0, 0, ('Screener Input'!E29)/('Screener Input'!E$17+'Screener Input'!E$25))</f>
        <v>1.2056971671076432E-2</v>
      </c>
      <c r="G179" s="215">
        <f>IF(('Screener Input'!F29)/('Screener Input'!F$17+'Screener Input'!F$25)&lt;0, 0, ('Screener Input'!F29)/('Screener Input'!F$17+'Screener Input'!F$25))</f>
        <v>1.579921925725233E-2</v>
      </c>
      <c r="H179" s="215">
        <f>IF(('Screener Input'!G29)/('Screener Input'!G$17+'Screener Input'!G$25)&lt;0, 0, ('Screener Input'!G29)/('Screener Input'!G$17+'Screener Input'!G$25))</f>
        <v>2.4988842981155435E-2</v>
      </c>
      <c r="I179" s="215">
        <f>IF(('Screener Input'!H29)/('Screener Input'!H$17+'Screener Input'!H$25)&lt;0, 0, ('Screener Input'!H29)/('Screener Input'!H$17+'Screener Input'!H$25))</f>
        <v>3.2210749663841708E-2</v>
      </c>
      <c r="J179" s="215">
        <f>IF(('Screener Input'!I29)/('Screener Input'!I$17+'Screener Input'!I$25)&lt;0, 0, ('Screener Input'!I29)/('Screener Input'!I$17+'Screener Input'!I$25))</f>
        <v>4.648199042900495E-2</v>
      </c>
      <c r="K179" s="215">
        <f>IF(('Screener Input'!J29)/('Screener Input'!J$17+'Screener Input'!J$25)&lt;0, 0, ('Screener Input'!J29)/('Screener Input'!J$17+'Screener Input'!J$25))</f>
        <v>4.5593358994332193E-2</v>
      </c>
      <c r="L179" s="215">
        <f>IF(('Screener Input'!K29)/('Screener Input'!K$17+'Screener Input'!K$25)&lt;0, 0, ('Screener Input'!K29)/('Screener Input'!K$17+'Screener Input'!K$25))</f>
        <v>5.1012067029352126E-2</v>
      </c>
      <c r="M179" s="215"/>
      <c r="N179" s="215"/>
    </row>
    <row r="180" spans="1:14">
      <c r="A180" s="158" t="s">
        <v>262</v>
      </c>
      <c r="B180" s="121"/>
      <c r="C180" s="244">
        <f>1-SUM(C171:C179)</f>
        <v>4.0879578761112367E-2</v>
      </c>
      <c r="D180" s="244">
        <f t="shared" ref="D180:L180" si="74">1-SUM(D171:D179)</f>
        <v>2.6910979731934237E-2</v>
      </c>
      <c r="E180" s="244">
        <f t="shared" si="74"/>
        <v>2.8748669241430269E-2</v>
      </c>
      <c r="F180" s="244">
        <f t="shared" si="74"/>
        <v>3.6023020970293307E-2</v>
      </c>
      <c r="G180" s="244">
        <f t="shared" si="74"/>
        <v>4.1663126337643241E-2</v>
      </c>
      <c r="H180" s="244">
        <f t="shared" si="74"/>
        <v>5.697133725868464E-2</v>
      </c>
      <c r="I180" s="244">
        <f t="shared" si="74"/>
        <v>8.4931473051823914E-2</v>
      </c>
      <c r="J180" s="244">
        <f t="shared" si="74"/>
        <v>9.6737928881733382E-2</v>
      </c>
      <c r="K180" s="244">
        <f t="shared" si="74"/>
        <v>9.6074475562841988E-2</v>
      </c>
      <c r="L180" s="244">
        <f t="shared" si="74"/>
        <v>9.9613505866853913E-2</v>
      </c>
      <c r="M180" s="244"/>
      <c r="N180" s="244"/>
    </row>
    <row r="181" spans="1:14">
      <c r="A181" s="154"/>
      <c r="B181" s="121"/>
      <c r="C181" s="215">
        <f>SUM(C171:C180)</f>
        <v>1</v>
      </c>
      <c r="D181" s="215">
        <f t="shared" ref="D181:L181" si="75">SUM(D171:D180)</f>
        <v>1</v>
      </c>
      <c r="E181" s="215">
        <f t="shared" si="75"/>
        <v>1</v>
      </c>
      <c r="F181" s="215">
        <f t="shared" si="75"/>
        <v>1</v>
      </c>
      <c r="G181" s="215">
        <f t="shared" si="75"/>
        <v>1</v>
      </c>
      <c r="H181" s="215">
        <f t="shared" si="75"/>
        <v>1</v>
      </c>
      <c r="I181" s="215">
        <f t="shared" si="75"/>
        <v>1</v>
      </c>
      <c r="J181" s="215">
        <f t="shared" si="75"/>
        <v>1</v>
      </c>
      <c r="K181" s="215">
        <f t="shared" si="75"/>
        <v>1</v>
      </c>
      <c r="L181" s="215">
        <f t="shared" si="75"/>
        <v>1</v>
      </c>
      <c r="M181" s="215"/>
      <c r="N181" s="215"/>
    </row>
    <row r="182" spans="1:14">
      <c r="A182" s="154"/>
      <c r="B182" s="121"/>
      <c r="C182" s="215"/>
      <c r="D182" s="215"/>
      <c r="E182" s="215"/>
      <c r="F182" s="215"/>
      <c r="G182" s="215"/>
      <c r="H182" s="215"/>
      <c r="I182" s="215"/>
      <c r="J182" s="215"/>
      <c r="K182" s="215"/>
      <c r="L182" s="215"/>
      <c r="M182" s="215"/>
      <c r="N182" s="215"/>
    </row>
    <row r="183" spans="1:14">
      <c r="A183" s="221" t="s">
        <v>363</v>
      </c>
      <c r="B183" s="121"/>
      <c r="C183" s="237">
        <f t="shared" ref="C183:L183" si="76">C4</f>
        <v>39873</v>
      </c>
      <c r="D183" s="237">
        <f t="shared" si="76"/>
        <v>40238</v>
      </c>
      <c r="E183" s="237">
        <f t="shared" si="76"/>
        <v>40603</v>
      </c>
      <c r="F183" s="237">
        <f t="shared" si="76"/>
        <v>40969</v>
      </c>
      <c r="G183" s="237">
        <f t="shared" si="76"/>
        <v>41334</v>
      </c>
      <c r="H183" s="237">
        <f t="shared" si="76"/>
        <v>41699</v>
      </c>
      <c r="I183" s="237">
        <f t="shared" si="76"/>
        <v>42064</v>
      </c>
      <c r="J183" s="237">
        <f t="shared" si="76"/>
        <v>42430</v>
      </c>
      <c r="K183" s="237">
        <f t="shared" si="76"/>
        <v>42795</v>
      </c>
      <c r="L183" s="237">
        <f t="shared" si="76"/>
        <v>43160</v>
      </c>
      <c r="M183" s="237"/>
      <c r="N183" s="237"/>
    </row>
    <row r="184" spans="1:14">
      <c r="A184" s="233" t="s">
        <v>186</v>
      </c>
      <c r="B184" s="121"/>
      <c r="C184" s="237"/>
      <c r="D184" s="242">
        <f>('Screener Input'!C17+'Screener Input'!C25)</f>
        <v>3831.1499999999996</v>
      </c>
      <c r="E184" s="242">
        <f>('Screener Input'!D17+'Screener Input'!D25)</f>
        <v>4668.3900000000003</v>
      </c>
      <c r="F184" s="242">
        <f>('Screener Input'!E17+'Screener Input'!E25)</f>
        <v>5544.51</v>
      </c>
      <c r="G184" s="242">
        <f>('Screener Input'!F17+'Screener Input'!F25)</f>
        <v>6237.65</v>
      </c>
      <c r="H184" s="242">
        <f>('Screener Input'!G17+'Screener Input'!G25)</f>
        <v>6946.3</v>
      </c>
      <c r="I184" s="242">
        <f>('Screener Input'!H17+'Screener Input'!H25)</f>
        <v>8106.3</v>
      </c>
      <c r="J184" s="242">
        <f>('Screener Input'!I17+'Screener Input'!I25)</f>
        <v>8521.58</v>
      </c>
      <c r="K184" s="242">
        <f>('Screener Input'!J17+'Screener Input'!J25)</f>
        <v>9204.630000000001</v>
      </c>
      <c r="L184" s="242">
        <f>('Screener Input'!K17+'Screener Input'!K25)</f>
        <v>10080.36</v>
      </c>
      <c r="M184" s="242"/>
      <c r="N184" s="242"/>
    </row>
    <row r="185" spans="1:14" s="235" customFormat="1">
      <c r="A185" s="233" t="s">
        <v>384</v>
      </c>
      <c r="B185" s="233"/>
      <c r="C185" s="234"/>
      <c r="D185" s="234">
        <f>('Screener Input'!C17+'Screener Input'!C25)/('Screener Input'!B17+'Screener Input'!B25)-1</f>
        <v>9.3380327915637995E-2</v>
      </c>
      <c r="E185" s="234">
        <f>('Screener Input'!D17+'Screener Input'!D25)/('Screener Input'!C17+'Screener Input'!C25)-1</f>
        <v>0.21853490466309089</v>
      </c>
      <c r="F185" s="234">
        <f>('Screener Input'!E17+'Screener Input'!E25)/('Screener Input'!D17+'Screener Input'!D25)-1</f>
        <v>0.18767069589301655</v>
      </c>
      <c r="G185" s="234">
        <f>('Screener Input'!F17+'Screener Input'!F25)/('Screener Input'!E17+'Screener Input'!E25)-1</f>
        <v>0.12501375234240708</v>
      </c>
      <c r="H185" s="234">
        <f>('Screener Input'!G17+'Screener Input'!G25)/('Screener Input'!F17+'Screener Input'!F25)-1</f>
        <v>0.11360849037698495</v>
      </c>
      <c r="I185" s="234">
        <f>('Screener Input'!H17+'Screener Input'!H25)/('Screener Input'!G17+'Screener Input'!G25)-1</f>
        <v>0.16699537883477533</v>
      </c>
      <c r="J185" s="234">
        <f>('Screener Input'!I17+'Screener Input'!I25)/('Screener Input'!H17+'Screener Input'!H25)-1</f>
        <v>5.1229290798514793E-2</v>
      </c>
      <c r="K185" s="234">
        <f>('Screener Input'!J17+'Screener Input'!J25)/('Screener Input'!I17+'Screener Input'!I25)-1</f>
        <v>8.0155323308588544E-2</v>
      </c>
      <c r="L185" s="234">
        <f>('Screener Input'!K17+'Screener Input'!K25)/('Screener Input'!J17+'Screener Input'!J25)-1</f>
        <v>9.5140163157019897E-2</v>
      </c>
      <c r="M185" s="234"/>
      <c r="N185" s="234"/>
    </row>
    <row r="186" spans="1:14" s="235" customFormat="1">
      <c r="A186" s="233" t="s">
        <v>35</v>
      </c>
      <c r="B186" s="233"/>
      <c r="C186" s="234"/>
      <c r="D186" s="241">
        <f>'Screener Input'!C30/'Screener Input'!C93</f>
        <v>8.6378648818762773</v>
      </c>
      <c r="E186" s="241">
        <f>'Screener Input'!D30/'Screener Input'!D93</f>
        <v>11.247307102927676</v>
      </c>
      <c r="F186" s="241">
        <f>'Screener Input'!E30/'Screener Input'!E93</f>
        <v>16.705620635572892</v>
      </c>
      <c r="G186" s="241">
        <f>'Screener Input'!F30/'Screener Input'!F93</f>
        <v>21.710791095630679</v>
      </c>
      <c r="H186" s="241">
        <f>'Screener Input'!G30/'Screener Input'!G93</f>
        <v>32.966217444453157</v>
      </c>
      <c r="I186" s="241">
        <f>'Screener Input'!H30/'Screener Input'!H93</f>
        <v>57.422172710125757</v>
      </c>
      <c r="J186" s="241">
        <f>'Screener Input'!I30/'Screener Input'!I93</f>
        <v>68.728851727325207</v>
      </c>
      <c r="K186" s="241">
        <f>'Screener Input'!J30/'Screener Input'!J93</f>
        <v>73.70533275128173</v>
      </c>
      <c r="L186" s="241">
        <f>'Screener Input'!K30/'Screener Input'!K93</f>
        <v>83.64460490757439</v>
      </c>
      <c r="M186" s="241"/>
      <c r="N186" s="241"/>
    </row>
    <row r="187" spans="1:14" s="235" customFormat="1">
      <c r="A187" s="233" t="s">
        <v>385</v>
      </c>
      <c r="B187" s="233"/>
      <c r="C187" s="234"/>
      <c r="D187" s="234">
        <f>(('Screener Input'!C30/'Screener Input'!C93)/('Screener Input'!B30/'Screener Input'!B93))-1</f>
        <v>-0.31885397412199612</v>
      </c>
      <c r="E187" s="234">
        <f>(('Screener Input'!D30/'Screener Input'!D93)/('Screener Input'!C30/'Screener Input'!C93))-1</f>
        <v>0.30209342895910041</v>
      </c>
      <c r="F187" s="234">
        <f>(('Screener Input'!E30/'Screener Input'!E93)/('Screener Input'!D30/'Screener Input'!D93))-1</f>
        <v>0.48529959062151118</v>
      </c>
      <c r="G187" s="234">
        <f>(('Screener Input'!F30/'Screener Input'!F93)/('Screener Input'!E30/'Screener Input'!E93))-1</f>
        <v>0.29960996776137683</v>
      </c>
      <c r="H187" s="234">
        <f>(('Screener Input'!G30/'Screener Input'!G93)/('Screener Input'!F30/'Screener Input'!F93))-1</f>
        <v>0.51842543642215078</v>
      </c>
      <c r="I187" s="234">
        <f>(('Screener Input'!H30/'Screener Input'!H93)/('Screener Input'!G30/'Screener Input'!G93))-1</f>
        <v>0.74184899456178033</v>
      </c>
      <c r="J187" s="234">
        <f>(('Screener Input'!I30/'Screener Input'!I93)/('Screener Input'!H30/'Screener Input'!H93))-1</f>
        <v>0.19690440963070088</v>
      </c>
      <c r="K187" s="234">
        <f>(('Screener Input'!J30/'Screener Input'!J93)/('Screener Input'!I30/'Screener Input'!I93))-1</f>
        <v>7.2407451876254303E-2</v>
      </c>
      <c r="L187" s="234">
        <f>(('Screener Input'!K30/'Screener Input'!K93)/('Screener Input'!J30/'Screener Input'!J93))-1</f>
        <v>0.13485146576615681</v>
      </c>
      <c r="M187" s="234"/>
      <c r="N187" s="234"/>
    </row>
    <row r="188" spans="1:14" s="235" customFormat="1">
      <c r="A188" s="236"/>
      <c r="B188" s="233"/>
      <c r="C188" s="234"/>
      <c r="D188" s="234"/>
      <c r="E188" s="234"/>
      <c r="F188" s="234"/>
      <c r="G188" s="234"/>
      <c r="H188" s="234"/>
      <c r="I188" s="234"/>
      <c r="J188" s="234"/>
      <c r="K188" s="234"/>
      <c r="L188" s="234"/>
      <c r="M188" s="234"/>
      <c r="N188" s="234"/>
    </row>
    <row r="189" spans="1:14" s="235" customFormat="1">
      <c r="A189" s="221" t="s">
        <v>380</v>
      </c>
      <c r="B189" s="121"/>
      <c r="C189" s="237">
        <f>'Screener Input'!B41</f>
        <v>42460</v>
      </c>
      <c r="D189" s="237">
        <f>'Screener Input'!C41</f>
        <v>42551</v>
      </c>
      <c r="E189" s="237">
        <f>'Screener Input'!D41</f>
        <v>42643</v>
      </c>
      <c r="F189" s="237">
        <f>'Screener Input'!E41</f>
        <v>42735</v>
      </c>
      <c r="G189" s="237">
        <f>'Screener Input'!F41</f>
        <v>42825</v>
      </c>
      <c r="H189" s="237">
        <f>'Screener Input'!G41</f>
        <v>42916</v>
      </c>
      <c r="I189" s="237">
        <f>'Screener Input'!H41</f>
        <v>43008</v>
      </c>
      <c r="J189" s="237">
        <f>'Screener Input'!I41</f>
        <v>43100</v>
      </c>
      <c r="K189" s="237">
        <f>'Screener Input'!J41</f>
        <v>43190</v>
      </c>
      <c r="L189" s="237">
        <f>'Screener Input'!K41</f>
        <v>43281</v>
      </c>
      <c r="M189" s="237"/>
      <c r="N189" s="237"/>
    </row>
    <row r="190" spans="1:14" s="235" customFormat="1">
      <c r="A190" s="233" t="s">
        <v>381</v>
      </c>
      <c r="B190" s="121"/>
      <c r="C190" s="240">
        <f>('Screener Input'!B42+'Screener Input'!B44)</f>
        <v>2169.91</v>
      </c>
      <c r="D190" s="240">
        <f>('Screener Input'!C42+'Screener Input'!C44)</f>
        <v>2180.2599999999998</v>
      </c>
      <c r="E190" s="240">
        <f>('Screener Input'!D42+'Screener Input'!D44)</f>
        <v>2428.16</v>
      </c>
      <c r="F190" s="240">
        <f>('Screener Input'!E42+'Screener Input'!E44)</f>
        <v>2319.2399999999998</v>
      </c>
      <c r="G190" s="240">
        <f>('Screener Input'!F42+'Screener Input'!F44)</f>
        <v>2278.04</v>
      </c>
      <c r="H190" s="240">
        <f>('Screener Input'!G42+'Screener Input'!G44)</f>
        <v>2299.0499999999997</v>
      </c>
      <c r="I190" s="240">
        <f>('Screener Input'!H42+'Screener Input'!H44)</f>
        <v>2596.2599999999998</v>
      </c>
      <c r="J190" s="240">
        <f>('Screener Input'!I42+'Screener Input'!I44)</f>
        <v>2603.5700000000002</v>
      </c>
      <c r="K190" s="240">
        <f>('Screener Input'!J42+'Screener Input'!J44)</f>
        <v>2581.9299999999998</v>
      </c>
      <c r="L190" s="240">
        <f>('Screener Input'!K42+'Screener Input'!K44)</f>
        <v>2585.84</v>
      </c>
      <c r="M190" s="240"/>
      <c r="N190" s="240"/>
    </row>
    <row r="191" spans="1:14" s="235" customFormat="1">
      <c r="A191" s="233" t="s">
        <v>382</v>
      </c>
      <c r="B191" s="233"/>
      <c r="C191" s="234"/>
      <c r="D191" s="234"/>
      <c r="E191" s="234"/>
      <c r="F191" s="234"/>
      <c r="G191" s="234">
        <f t="shared" ref="G191:K191" si="77">G190/C190-1</f>
        <v>4.9831559834278893E-2</v>
      </c>
      <c r="H191" s="234">
        <f t="shared" si="77"/>
        <v>5.4484327557263734E-2</v>
      </c>
      <c r="I191" s="234">
        <f t="shared" si="77"/>
        <v>6.9229375329467491E-2</v>
      </c>
      <c r="J191" s="234">
        <f t="shared" si="77"/>
        <v>0.12259619530535892</v>
      </c>
      <c r="K191" s="234">
        <f t="shared" si="77"/>
        <v>0.1333997647100138</v>
      </c>
      <c r="L191" s="234">
        <f>L190/H190-1</f>
        <v>0.1247428285596226</v>
      </c>
      <c r="M191" s="234"/>
      <c r="N191" s="234"/>
    </row>
    <row r="192" spans="1:14" s="235" customFormat="1">
      <c r="A192" s="233" t="s">
        <v>345</v>
      </c>
      <c r="B192" s="233"/>
      <c r="C192" s="240">
        <f>'Screener Input'!B49</f>
        <v>198.98</v>
      </c>
      <c r="D192" s="240">
        <f>'Screener Input'!C49</f>
        <v>219.21</v>
      </c>
      <c r="E192" s="240">
        <f>'Screener Input'!D49</f>
        <v>234.05</v>
      </c>
      <c r="F192" s="240">
        <f>'Screener Input'!E49</f>
        <v>220.44</v>
      </c>
      <c r="G192" s="240">
        <f>'Screener Input'!F49</f>
        <v>210.91</v>
      </c>
      <c r="H192" s="240">
        <f>'Screener Input'!G49</f>
        <v>216.12</v>
      </c>
      <c r="I192" s="240">
        <f>'Screener Input'!H49</f>
        <v>261.02999999999997</v>
      </c>
      <c r="J192" s="240">
        <f>'Screener Input'!I49</f>
        <v>263.64999999999998</v>
      </c>
      <c r="K192" s="240">
        <f>'Screener Input'!J49</f>
        <v>263.16000000000003</v>
      </c>
      <c r="L192" s="240">
        <f>'Screener Input'!K49</f>
        <v>258.08</v>
      </c>
      <c r="M192" s="240"/>
      <c r="N192" s="240"/>
    </row>
    <row r="193" spans="1:14" s="235" customFormat="1">
      <c r="A193" s="233" t="s">
        <v>383</v>
      </c>
      <c r="B193" s="233"/>
      <c r="C193" s="234"/>
      <c r="D193" s="234"/>
      <c r="E193" s="234"/>
      <c r="F193" s="234"/>
      <c r="G193" s="234">
        <f t="shared" ref="G193:K193" si="78">G192/C192-1</f>
        <v>5.9955774449693466E-2</v>
      </c>
      <c r="H193" s="234">
        <f t="shared" si="78"/>
        <v>-1.4096072259477177E-2</v>
      </c>
      <c r="I193" s="234">
        <f t="shared" si="78"/>
        <v>0.11527451399273647</v>
      </c>
      <c r="J193" s="234">
        <f t="shared" si="78"/>
        <v>0.19601705679549974</v>
      </c>
      <c r="K193" s="234">
        <f t="shared" si="78"/>
        <v>0.24773600113792638</v>
      </c>
      <c r="L193" s="234">
        <f>L192/H192-1</f>
        <v>0.19415139737183029</v>
      </c>
      <c r="M193" s="234"/>
      <c r="N193" s="234"/>
    </row>
    <row r="194" spans="1:14" s="235" customFormat="1">
      <c r="A194" s="233"/>
      <c r="B194" s="233"/>
      <c r="C194" s="233"/>
      <c r="D194" s="233"/>
      <c r="E194" s="233"/>
      <c r="F194" s="233"/>
      <c r="G194" s="233"/>
      <c r="H194" s="233"/>
      <c r="I194" s="233"/>
      <c r="J194" s="233"/>
      <c r="K194" s="233"/>
      <c r="L194" s="233"/>
      <c r="M194" s="233"/>
      <c r="N194" s="233"/>
    </row>
    <row r="195" spans="1:14">
      <c r="A195" s="221" t="s">
        <v>358</v>
      </c>
      <c r="B195" s="121"/>
      <c r="C195" s="231">
        <f>'Screener Input'!B41</f>
        <v>42460</v>
      </c>
      <c r="D195" s="231">
        <f>'Screener Input'!C41</f>
        <v>42551</v>
      </c>
      <c r="E195" s="231">
        <f>'Screener Input'!D41</f>
        <v>42643</v>
      </c>
      <c r="F195" s="231">
        <f>'Screener Input'!E41</f>
        <v>42735</v>
      </c>
      <c r="G195" s="231">
        <f>'Screener Input'!F41</f>
        <v>42825</v>
      </c>
      <c r="H195" s="231">
        <f>'Screener Input'!G41</f>
        <v>42916</v>
      </c>
      <c r="I195" s="231">
        <f>'Screener Input'!H41</f>
        <v>43008</v>
      </c>
      <c r="J195" s="231">
        <f>'Screener Input'!I41</f>
        <v>43100</v>
      </c>
      <c r="K195" s="231">
        <f>'Screener Input'!J41</f>
        <v>43190</v>
      </c>
      <c r="L195" s="231">
        <f>'Screener Input'!K41</f>
        <v>43281</v>
      </c>
      <c r="M195" s="231"/>
      <c r="N195" s="231"/>
    </row>
    <row r="196" spans="1:14">
      <c r="A196" s="158" t="s">
        <v>265</v>
      </c>
      <c r="B196" s="121"/>
      <c r="C196" s="215">
        <f>IF('Screener Input'!B43/('Screener Input'!B42+'Screener Input'!B44)&lt;0, 0, 'Screener Input'!B43/('Screener Input'!B42+'Screener Input'!B44))</f>
        <v>0.84953753842325264</v>
      </c>
      <c r="D196" s="215">
        <f>IF('Screener Input'!C43/('Screener Input'!C42+'Screener Input'!C44)&lt;0, 0, 'Screener Input'!C43/('Screener Input'!C42+'Screener Input'!C44))</f>
        <v>0.83685890673589391</v>
      </c>
      <c r="E196" s="215">
        <f>IF('Screener Input'!D43/('Screener Input'!D42+'Screener Input'!D44)&lt;0, 0, 'Screener Input'!D43/('Screener Input'!D42+'Screener Input'!D44))</f>
        <v>0.84346995255666846</v>
      </c>
      <c r="F196" s="215">
        <f>IF('Screener Input'!E43/('Screener Input'!E42+'Screener Input'!E44)&lt;0, 0, 'Screener Input'!E43/('Screener Input'!E42+'Screener Input'!E44))</f>
        <v>0.84845035442645012</v>
      </c>
      <c r="G196" s="215">
        <f>IF('Screener Input'!F43/('Screener Input'!F42+'Screener Input'!F44)&lt;0, 0, 'Screener Input'!F43/('Screener Input'!F42+'Screener Input'!F44))</f>
        <v>0.84998068515039249</v>
      </c>
      <c r="H196" s="215">
        <f>IF('Screener Input'!G43/('Screener Input'!G42+'Screener Input'!G44)&lt;0, 0, 'Screener Input'!G43/('Screener Input'!G42+'Screener Input'!G44))</f>
        <v>0.84173462952088918</v>
      </c>
      <c r="I196" s="215">
        <f>IF('Screener Input'!H43/('Screener Input'!H42+'Screener Input'!H44)&lt;0, 0, 'Screener Input'!H43/('Screener Input'!H42+'Screener Input'!H44))</f>
        <v>0.83490867632671617</v>
      </c>
      <c r="J196" s="215">
        <f>IF('Screener Input'!I43/('Screener Input'!I42+'Screener Input'!I44)&lt;0, 0, 'Screener Input'!I43/('Screener Input'!I42+'Screener Input'!I44))</f>
        <v>0.83312528566545163</v>
      </c>
      <c r="K196" s="215">
        <f>IF('Screener Input'!J43/('Screener Input'!J42+'Screener Input'!J44)&lt;0, 0, 'Screener Input'!J43/('Screener Input'!J42+'Screener Input'!J44))</f>
        <v>0.82924014206426977</v>
      </c>
      <c r="L196" s="244">
        <f>IF('Screener Input'!K43/('Screener Input'!K42+'Screener Input'!K44)&lt;0, 0, 'Screener Input'!K43/('Screener Input'!K42+'Screener Input'!K44))</f>
        <v>0.83319153543916091</v>
      </c>
      <c r="M196" s="215"/>
      <c r="N196" s="215"/>
    </row>
    <row r="197" spans="1:14">
      <c r="A197" s="158" t="s">
        <v>25</v>
      </c>
      <c r="B197" s="121"/>
      <c r="C197" s="215">
        <f>IF('Screener Input'!B45/('Screener Input'!B42+'Screener Input'!B44)&lt;0,0, 'Screener Input'!B45/('Screener Input'!B42+'Screener Input'!B44))</f>
        <v>1.4203354056159013E-2</v>
      </c>
      <c r="D197" s="215">
        <f>IF('Screener Input'!C45/('Screener Input'!C42+'Screener Input'!C44)&lt;0,0, 'Screener Input'!C45/('Screener Input'!C42+'Screener Input'!C44))</f>
        <v>1.2778292497225103E-2</v>
      </c>
      <c r="E197" s="215">
        <f>IF('Screener Input'!D45/('Screener Input'!D42+'Screener Input'!D44)&lt;0,0, 'Screener Input'!D45/('Screener Input'!D42+'Screener Input'!D44))</f>
        <v>1.1914371375856617E-2</v>
      </c>
      <c r="F197" s="215">
        <f>IF('Screener Input'!E45/('Screener Input'!E42+'Screener Input'!E44)&lt;0,0, 'Screener Input'!E45/('Screener Input'!E42+'Screener Input'!E44))</f>
        <v>1.3051689346510065E-2</v>
      </c>
      <c r="G197" s="215">
        <f>IF('Screener Input'!F45/('Screener Input'!F42+'Screener Input'!F44)&lt;0,0, 'Screener Input'!F45/('Screener Input'!F42+'Screener Input'!F44))</f>
        <v>1.4139347860441433E-2</v>
      </c>
      <c r="H197" s="215">
        <f>IF('Screener Input'!G45/('Screener Input'!G42+'Screener Input'!G44)&lt;0,0, 'Screener Input'!G45/('Screener Input'!G42+'Screener Input'!G44))</f>
        <v>1.4436397642504513E-2</v>
      </c>
      <c r="I197" s="215">
        <f>IF('Screener Input'!H45/('Screener Input'!H42+'Screener Input'!H44)&lt;0,0, 'Screener Input'!H45/('Screener Input'!H42+'Screener Input'!H44))</f>
        <v>1.2957099828214432E-2</v>
      </c>
      <c r="J197" s="215">
        <f>IF('Screener Input'!I45/('Screener Input'!I42+'Screener Input'!I44)&lt;0,0, 'Screener Input'!I45/('Screener Input'!I42+'Screener Input'!I44))</f>
        <v>1.26326543937747E-2</v>
      </c>
      <c r="K197" s="215">
        <f>IF('Screener Input'!J45/('Screener Input'!J42+'Screener Input'!J44)&lt;0,0, 'Screener Input'!J45/('Screener Input'!J42+'Screener Input'!J44))</f>
        <v>1.6402458625911626E-2</v>
      </c>
      <c r="L197" s="244">
        <f>IF('Screener Input'!K45/('Screener Input'!K42+'Screener Input'!K44)&lt;0,0, 'Screener Input'!K45/('Screener Input'!K42+'Screener Input'!K44))</f>
        <v>1.3782755313553816E-2</v>
      </c>
      <c r="M197" s="215"/>
      <c r="N197" s="215"/>
    </row>
    <row r="198" spans="1:14">
      <c r="A198" s="158" t="s">
        <v>24</v>
      </c>
      <c r="B198" s="121"/>
      <c r="C198" s="215">
        <f>IF('Screener Input'!B46/('Screener Input'!B42+'Screener Input'!B44)&lt;0, 0, 'Screener Input'!B46/('Screener Input'!B42+'Screener Input'!B44))</f>
        <v>6.8205593780387209E-4</v>
      </c>
      <c r="D198" s="215">
        <f>IF('Screener Input'!C46/('Screener Input'!C42+'Screener Input'!C44)&lt;0, 0, 'Screener Input'!C46/('Screener Input'!C42+'Screener Input'!C44))</f>
        <v>6.8799134048232787E-4</v>
      </c>
      <c r="E198" s="215">
        <f>IF('Screener Input'!D46/('Screener Input'!D42+'Screener Input'!D44)&lt;0, 0, 'Screener Input'!D46/('Screener Input'!D42+'Screener Input'!D44))</f>
        <v>6.3010674749604647E-4</v>
      </c>
      <c r="F198" s="215">
        <f>IF('Screener Input'!E46/('Screener Input'!E42+'Screener Input'!E44)&lt;0, 0, 'Screener Input'!E46/('Screener Input'!E42+'Screener Input'!E44))</f>
        <v>4.7429330297856203E-4</v>
      </c>
      <c r="G198" s="215">
        <f>IF('Screener Input'!F46/('Screener Input'!F42+'Screener Input'!F44)&lt;0, 0, 'Screener Input'!F46/('Screener Input'!F42+'Screener Input'!F44))</f>
        <v>5.7944548822672125E-4</v>
      </c>
      <c r="H198" s="215">
        <f>IF('Screener Input'!G46/('Screener Input'!G42+'Screener Input'!G44)&lt;0, 0, 'Screener Input'!G46/('Screener Input'!G42+'Screener Input'!G44))</f>
        <v>5.5240207911963642E-4</v>
      </c>
      <c r="I198" s="215">
        <f>IF('Screener Input'!H46/('Screener Input'!H42+'Screener Input'!H44)&lt;0, 0, 'Screener Input'!H46/('Screener Input'!H42+'Screener Input'!H44))</f>
        <v>5.3923721044887645E-4</v>
      </c>
      <c r="J198" s="215">
        <f>IF('Screener Input'!I46/('Screener Input'!I42+'Screener Input'!I44)&lt;0, 0, 'Screener Input'!I46/('Screener Input'!I42+'Screener Input'!I44))</f>
        <v>9.7942440571983837E-4</v>
      </c>
      <c r="K198" s="215">
        <f>IF('Screener Input'!J46/('Screener Input'!J42+'Screener Input'!J44)&lt;0, 0, 'Screener Input'!J46/('Screener Input'!J42+'Screener Input'!J44))</f>
        <v>9.1791799157994226E-4</v>
      </c>
      <c r="L198" s="244">
        <f>IF('Screener Input'!K46/('Screener Input'!K42+'Screener Input'!K44)&lt;0, 0, 'Screener Input'!K46/('Screener Input'!K42+'Screener Input'!K44))</f>
        <v>9.4360053212882457E-4</v>
      </c>
      <c r="M198" s="215"/>
      <c r="N198" s="215"/>
    </row>
    <row r="199" spans="1:14">
      <c r="A199" s="158" t="s">
        <v>26</v>
      </c>
      <c r="B199" s="121"/>
      <c r="C199" s="215">
        <f>IF('Screener Input'!B48/('Screener Input'!B42+'Screener Input'!B44)&lt;0, 0, 'Screener Input'!B48/('Screener Input'!B42+'Screener Input'!B44))</f>
        <v>4.3877395836693686E-2</v>
      </c>
      <c r="D199" s="215">
        <f>IF('Screener Input'!C48/('Screener Input'!C42+'Screener Input'!C44)&lt;0, 0, 'Screener Input'!C48/('Screener Input'!C42+'Screener Input'!C44))</f>
        <v>4.9131754928311309E-2</v>
      </c>
      <c r="E199" s="215">
        <f>IF('Screener Input'!D48/('Screener Input'!D42+'Screener Input'!D44)&lt;0, 0, 'Screener Input'!D48/('Screener Input'!D42+'Screener Input'!D44))</f>
        <v>4.7595710332103323E-2</v>
      </c>
      <c r="F199" s="215">
        <f>IF('Screener Input'!E48/('Screener Input'!E42+'Screener Input'!E44)&lt;0, 0, 'Screener Input'!E48/('Screener Input'!E42+'Screener Input'!E44))</f>
        <v>4.297528500715752E-2</v>
      </c>
      <c r="G199" s="215">
        <f>IF('Screener Input'!F48/('Screener Input'!F42+'Screener Input'!F44)&lt;0, 0, 'Screener Input'!F48/('Screener Input'!F42+'Screener Input'!F44))</f>
        <v>4.2716545802532001E-2</v>
      </c>
      <c r="H199" s="215">
        <f>IF('Screener Input'!G48/('Screener Input'!G42+'Screener Input'!G44)&lt;0, 0, 'Screener Input'!G48/('Screener Input'!G42+'Screener Input'!G44))</f>
        <v>4.9272525608403478E-2</v>
      </c>
      <c r="I199" s="215">
        <f>IF('Screener Input'!H48/('Screener Input'!H42+'Screener Input'!H44)&lt;0, 0, 'Screener Input'!H48/('Screener Input'!H42+'Screener Input'!H44))</f>
        <v>5.1054208746427562E-2</v>
      </c>
      <c r="J199" s="215">
        <f>IF('Screener Input'!I48/('Screener Input'!I42+'Screener Input'!I44)&lt;0, 0, 'Screener Input'!I48/('Screener Input'!I42+'Screener Input'!I44))</f>
        <v>5.1997833743667343E-2</v>
      </c>
      <c r="K199" s="215">
        <f>IF('Screener Input'!J48/('Screener Input'!J42+'Screener Input'!J44)&lt;0, 0, 'Screener Input'!J48/('Screener Input'!J42+'Screener Input'!J44))</f>
        <v>5.1515726607615234E-2</v>
      </c>
      <c r="L199" s="244">
        <f>IF('Screener Input'!K48/('Screener Input'!K42+'Screener Input'!K44)&lt;0, 0, 'Screener Input'!K48/('Screener Input'!K42+'Screener Input'!K44))</f>
        <v>5.2277016366055133E-2</v>
      </c>
      <c r="M199" s="215"/>
      <c r="N199" s="215"/>
    </row>
    <row r="200" spans="1:14">
      <c r="A200" s="158" t="s">
        <v>262</v>
      </c>
      <c r="B200" s="121"/>
      <c r="C200" s="215">
        <f>1-SUM(C196:C199)</f>
        <v>9.1699655746090736E-2</v>
      </c>
      <c r="D200" s="215">
        <f t="shared" ref="D200:L200" si="79">1-SUM(D196:D199)</f>
        <v>0.10054305449808731</v>
      </c>
      <c r="E200" s="215">
        <f t="shared" si="79"/>
        <v>9.6389858987875554E-2</v>
      </c>
      <c r="F200" s="215">
        <f t="shared" si="79"/>
        <v>9.5048377916903792E-2</v>
      </c>
      <c r="G200" s="215">
        <f t="shared" si="79"/>
        <v>9.2583975698407261E-2</v>
      </c>
      <c r="H200" s="215">
        <f t="shared" si="79"/>
        <v>9.4004045149083226E-2</v>
      </c>
      <c r="I200" s="215">
        <f t="shared" si="79"/>
        <v>0.10054077788819293</v>
      </c>
      <c r="J200" s="215">
        <f t="shared" si="79"/>
        <v>0.10126480179138642</v>
      </c>
      <c r="K200" s="215">
        <f t="shared" si="79"/>
        <v>0.10192375471062343</v>
      </c>
      <c r="L200" s="244">
        <f t="shared" si="79"/>
        <v>9.9805092349101399E-2</v>
      </c>
      <c r="M200" s="215"/>
      <c r="N200" s="215"/>
    </row>
    <row r="201" spans="1:14">
      <c r="A201" s="154"/>
      <c r="B201" s="121"/>
      <c r="C201" s="121"/>
      <c r="D201" s="121"/>
      <c r="E201" s="121"/>
      <c r="F201" s="121"/>
      <c r="G201" s="121"/>
      <c r="H201" s="121"/>
      <c r="I201" s="121"/>
      <c r="J201" s="121"/>
      <c r="K201" s="121"/>
      <c r="L201" s="121"/>
      <c r="M201" s="121"/>
      <c r="N201" s="121"/>
    </row>
    <row r="202" spans="1:14">
      <c r="A202" s="158"/>
      <c r="B202" s="121"/>
      <c r="C202" s="121"/>
      <c r="D202" s="121"/>
      <c r="E202" s="121"/>
      <c r="F202" s="121"/>
      <c r="G202" s="121"/>
      <c r="H202" s="121"/>
      <c r="I202" s="121"/>
      <c r="J202" s="121"/>
      <c r="K202" s="121"/>
      <c r="L202" s="121"/>
      <c r="M202" s="121"/>
      <c r="N202" s="121"/>
    </row>
    <row r="203" spans="1:14">
      <c r="A203" s="158"/>
    </row>
    <row r="204" spans="1:14">
      <c r="A204" s="158"/>
    </row>
    <row r="205" spans="1:14">
      <c r="A205" s="158"/>
    </row>
  </sheetData>
  <mergeCells count="6">
    <mergeCell ref="A68:K68"/>
    <mergeCell ref="A85:K85"/>
    <mergeCell ref="A3:J3"/>
    <mergeCell ref="A12:K12"/>
    <mergeCell ref="A13:J13"/>
    <mergeCell ref="C38:K38"/>
  </mergeCells>
  <pageMargins left="0.7" right="0.7" top="0.75" bottom="0.75" header="0.3" footer="0.3"/>
  <pageSetup orientation="portrait" r:id="rId1"/>
  <ignoredErrors>
    <ignoredError sqref="C32:L34 C47:L47 F192:L192" formula="1"/>
    <ignoredError sqref="C73:L73 M74:N74 M26:N26 M25:N25 N29 M35:N35 M30 M32: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M23" sqref="M23"/>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93"/>
  <sheetViews>
    <sheetView zoomScaleNormal="100" workbookViewId="0"/>
  </sheetViews>
  <sheetFormatPr defaultRowHeight="15"/>
  <cols>
    <col min="1" max="1" width="27.7109375" style="154" bestFit="1" customWidth="1"/>
    <col min="2" max="11" width="13.5703125" style="154" bestFit="1" customWidth="1"/>
    <col min="12" max="16384" width="9.140625" style="154"/>
  </cols>
  <sheetData>
    <row r="1" spans="1:11" s="153" customFormat="1">
      <c r="A1" s="153" t="s">
        <v>244</v>
      </c>
      <c r="B1" s="153" t="s">
        <v>563</v>
      </c>
      <c r="E1" s="425" t="str">
        <f>IF(B2&lt;&gt;B3, "A NEW VERSION OF THE WORKSHEET IS AVAILABLE", "")</f>
        <v/>
      </c>
      <c r="F1" s="425"/>
      <c r="G1" s="425"/>
      <c r="H1" s="425"/>
      <c r="I1" s="425"/>
      <c r="J1" s="425"/>
      <c r="K1" s="425"/>
    </row>
    <row r="2" spans="1:11">
      <c r="A2" s="153" t="s">
        <v>245</v>
      </c>
      <c r="B2" s="154">
        <v>2.1</v>
      </c>
      <c r="E2" s="426" t="s">
        <v>246</v>
      </c>
      <c r="F2" s="426"/>
      <c r="G2" s="426"/>
      <c r="H2" s="426"/>
      <c r="I2" s="426"/>
      <c r="J2" s="426"/>
      <c r="K2" s="426"/>
    </row>
    <row r="3" spans="1:11">
      <c r="A3" s="153" t="s">
        <v>247</v>
      </c>
      <c r="B3" s="154">
        <v>2.1</v>
      </c>
    </row>
    <row r="4" spans="1:11">
      <c r="A4" s="153"/>
    </row>
    <row r="5" spans="1:11">
      <c r="A5" s="153" t="s">
        <v>248</v>
      </c>
    </row>
    <row r="6" spans="1:11">
      <c r="A6" s="154" t="s">
        <v>249</v>
      </c>
      <c r="B6" s="154">
        <f>IF(B9&gt;0, B9/B8, 0)</f>
        <v>12.01591498318659</v>
      </c>
    </row>
    <row r="7" spans="1:11">
      <c r="A7" s="154" t="s">
        <v>250</v>
      </c>
      <c r="B7">
        <v>2</v>
      </c>
    </row>
    <row r="8" spans="1:11">
      <c r="A8" s="154" t="s">
        <v>251</v>
      </c>
      <c r="B8">
        <v>5843.55</v>
      </c>
    </row>
    <row r="9" spans="1:11">
      <c r="A9" s="154" t="s">
        <v>252</v>
      </c>
      <c r="B9">
        <v>70215.600000000006</v>
      </c>
    </row>
    <row r="15" spans="1:11">
      <c r="A15" s="153" t="s">
        <v>253</v>
      </c>
    </row>
    <row r="16" spans="1:11" s="157" customFormat="1">
      <c r="A16" s="155" t="s">
        <v>254</v>
      </c>
      <c r="B16" s="156">
        <v>39903</v>
      </c>
      <c r="C16" s="156">
        <v>40268</v>
      </c>
      <c r="D16" s="156">
        <v>40633</v>
      </c>
      <c r="E16" s="156">
        <v>40999</v>
      </c>
      <c r="F16" s="156">
        <v>41364</v>
      </c>
      <c r="G16" s="156">
        <v>41729</v>
      </c>
      <c r="H16" s="156">
        <v>42094</v>
      </c>
      <c r="I16" s="156">
        <v>42460</v>
      </c>
      <c r="J16" s="156">
        <v>42825</v>
      </c>
      <c r="K16" s="156">
        <v>43190</v>
      </c>
    </row>
    <row r="17" spans="1:11" s="158" customFormat="1">
      <c r="A17" s="158" t="s">
        <v>186</v>
      </c>
      <c r="B17">
        <v>3421.23</v>
      </c>
      <c r="C17">
        <v>3772.91</v>
      </c>
      <c r="D17">
        <v>4609.38</v>
      </c>
      <c r="E17">
        <v>5485.37</v>
      </c>
      <c r="F17">
        <v>6185.41</v>
      </c>
      <c r="G17">
        <v>6912.71</v>
      </c>
      <c r="H17">
        <v>7858.42</v>
      </c>
      <c r="I17">
        <v>8397.23</v>
      </c>
      <c r="J17">
        <v>9054.09</v>
      </c>
      <c r="K17">
        <v>9913.99</v>
      </c>
    </row>
    <row r="18" spans="1:11" s="158" customFormat="1">
      <c r="A18" s="154" t="s">
        <v>255</v>
      </c>
      <c r="B18">
        <v>2138.69</v>
      </c>
      <c r="C18">
        <v>2438.7399999999998</v>
      </c>
      <c r="D18">
        <v>3043.29</v>
      </c>
      <c r="E18">
        <v>3546.8</v>
      </c>
      <c r="F18">
        <v>3869.02</v>
      </c>
      <c r="G18">
        <v>4182.53</v>
      </c>
      <c r="H18">
        <v>4722.21</v>
      </c>
      <c r="I18">
        <v>5016.99</v>
      </c>
      <c r="J18">
        <v>5642.88</v>
      </c>
      <c r="K18">
        <v>6100.8</v>
      </c>
    </row>
    <row r="19" spans="1:11" s="158" customFormat="1">
      <c r="A19" s="154" t="s">
        <v>256</v>
      </c>
      <c r="B19">
        <v>19.62</v>
      </c>
      <c r="C19">
        <v>27.25</v>
      </c>
      <c r="D19">
        <v>15.68</v>
      </c>
      <c r="E19">
        <v>14.03</v>
      </c>
      <c r="F19">
        <v>7.67</v>
      </c>
      <c r="G19">
        <v>11.51</v>
      </c>
      <c r="H19">
        <v>30.4</v>
      </c>
      <c r="I19">
        <v>4.2699999999999996</v>
      </c>
      <c r="J19">
        <v>54.2</v>
      </c>
      <c r="K19">
        <v>-6.3</v>
      </c>
    </row>
    <row r="20" spans="1:11" s="158" customFormat="1">
      <c r="A20" s="154" t="s">
        <v>257</v>
      </c>
      <c r="B20">
        <v>51.48</v>
      </c>
      <c r="C20">
        <v>45.47</v>
      </c>
      <c r="D20">
        <v>56.54</v>
      </c>
      <c r="E20">
        <v>72.87</v>
      </c>
      <c r="F20">
        <v>91.01</v>
      </c>
      <c r="G20">
        <v>110.72</v>
      </c>
      <c r="H20">
        <v>110.96</v>
      </c>
      <c r="I20">
        <v>95.16</v>
      </c>
      <c r="J20">
        <v>104.28</v>
      </c>
      <c r="K20">
        <v>128.83000000000001</v>
      </c>
    </row>
    <row r="21" spans="1:11" s="158" customFormat="1">
      <c r="A21" s="154" t="s">
        <v>258</v>
      </c>
      <c r="B21">
        <v>257.5</v>
      </c>
      <c r="C21">
        <v>282.13</v>
      </c>
      <c r="D21">
        <v>319.89</v>
      </c>
      <c r="E21">
        <v>393.22</v>
      </c>
      <c r="F21">
        <v>467.67</v>
      </c>
      <c r="G21">
        <v>509.95</v>
      </c>
      <c r="H21">
        <v>555.67999999999995</v>
      </c>
      <c r="I21">
        <v>510.15</v>
      </c>
      <c r="J21">
        <v>509.93</v>
      </c>
      <c r="K21">
        <v>487.59</v>
      </c>
    </row>
    <row r="22" spans="1:11" s="158" customFormat="1">
      <c r="A22" s="154" t="s">
        <v>22</v>
      </c>
      <c r="B22">
        <v>158.71</v>
      </c>
      <c r="C22">
        <v>164.51</v>
      </c>
      <c r="D22">
        <v>177.49</v>
      </c>
      <c r="E22">
        <v>211.15</v>
      </c>
      <c r="F22">
        <v>226.75</v>
      </c>
      <c r="G22">
        <v>262.66000000000003</v>
      </c>
      <c r="H22">
        <v>294.44</v>
      </c>
      <c r="I22">
        <v>341.36</v>
      </c>
      <c r="J22">
        <v>352.61</v>
      </c>
      <c r="K22">
        <v>401.6</v>
      </c>
    </row>
    <row r="23" spans="1:11" s="158" customFormat="1">
      <c r="A23" s="154" t="s">
        <v>259</v>
      </c>
      <c r="B23">
        <v>499.79</v>
      </c>
      <c r="C23">
        <v>602.91</v>
      </c>
      <c r="D23">
        <v>663.96</v>
      </c>
      <c r="E23">
        <v>786.52</v>
      </c>
      <c r="F23">
        <v>920.63</v>
      </c>
      <c r="G23">
        <v>1030.8900000000001</v>
      </c>
      <c r="H23">
        <v>1129.07</v>
      </c>
      <c r="I23">
        <v>956.77</v>
      </c>
      <c r="J23">
        <v>915.01</v>
      </c>
      <c r="K23">
        <v>953.48</v>
      </c>
    </row>
    <row r="24" spans="1:11" s="158" customFormat="1">
      <c r="A24" s="154" t="s">
        <v>260</v>
      </c>
      <c r="B24">
        <v>122.77</v>
      </c>
      <c r="C24">
        <v>134.4</v>
      </c>
      <c r="D24">
        <v>127.21</v>
      </c>
      <c r="E24">
        <v>177.97</v>
      </c>
      <c r="F24">
        <v>197.36</v>
      </c>
      <c r="G24">
        <v>200.27</v>
      </c>
      <c r="H24">
        <v>226.41</v>
      </c>
      <c r="I24">
        <v>266.68</v>
      </c>
      <c r="J24">
        <v>305.39999999999998</v>
      </c>
      <c r="K24">
        <v>333.74</v>
      </c>
    </row>
    <row r="25" spans="1:11" s="158" customFormat="1">
      <c r="A25" s="158" t="s">
        <v>19</v>
      </c>
      <c r="B25">
        <v>82.72</v>
      </c>
      <c r="C25">
        <v>58.24</v>
      </c>
      <c r="D25">
        <v>59.01</v>
      </c>
      <c r="E25">
        <v>59.14</v>
      </c>
      <c r="F25">
        <v>52.24</v>
      </c>
      <c r="G25">
        <v>33.590000000000003</v>
      </c>
      <c r="H25">
        <v>247.88</v>
      </c>
      <c r="I25">
        <v>124.35</v>
      </c>
      <c r="J25">
        <v>150.54</v>
      </c>
      <c r="K25">
        <v>166.37</v>
      </c>
    </row>
    <row r="26" spans="1:11" s="158" customFormat="1">
      <c r="A26" s="158" t="s">
        <v>25</v>
      </c>
      <c r="B26">
        <v>65.91</v>
      </c>
      <c r="C26">
        <v>58.23</v>
      </c>
      <c r="D26">
        <v>64.91</v>
      </c>
      <c r="E26">
        <v>61.83</v>
      </c>
      <c r="F26">
        <v>73.150000000000006</v>
      </c>
      <c r="G26">
        <v>83.18</v>
      </c>
      <c r="H26">
        <v>144.47999999999999</v>
      </c>
      <c r="I26">
        <v>113.41</v>
      </c>
      <c r="J26">
        <v>119.27</v>
      </c>
      <c r="K26">
        <v>142.07</v>
      </c>
    </row>
    <row r="27" spans="1:11" s="158" customFormat="1">
      <c r="A27" s="158" t="s">
        <v>24</v>
      </c>
      <c r="B27">
        <v>32.6</v>
      </c>
      <c r="C27">
        <v>23.45</v>
      </c>
      <c r="D27">
        <v>43.63</v>
      </c>
      <c r="E27">
        <v>41.6</v>
      </c>
      <c r="F27">
        <v>41.3</v>
      </c>
      <c r="G27">
        <v>8.2899999999999991</v>
      </c>
      <c r="H27">
        <v>3.86</v>
      </c>
      <c r="I27">
        <v>4.87</v>
      </c>
      <c r="J27">
        <v>5.45</v>
      </c>
      <c r="K27">
        <v>7.59</v>
      </c>
    </row>
    <row r="28" spans="1:11" s="158" customFormat="1">
      <c r="A28" s="158" t="s">
        <v>261</v>
      </c>
      <c r="B28">
        <v>196.12</v>
      </c>
      <c r="C28">
        <v>108.56</v>
      </c>
      <c r="D28">
        <v>187.15</v>
      </c>
      <c r="E28">
        <v>266.58</v>
      </c>
      <c r="F28">
        <v>358.43</v>
      </c>
      <c r="G28">
        <v>569.32000000000005</v>
      </c>
      <c r="H28">
        <v>949.59</v>
      </c>
      <c r="I28">
        <v>1220.46</v>
      </c>
      <c r="J28">
        <v>1304</v>
      </c>
      <c r="K28">
        <v>1518.36</v>
      </c>
    </row>
    <row r="29" spans="1:11" s="158" customFormat="1">
      <c r="A29" s="158" t="s">
        <v>26</v>
      </c>
      <c r="B29">
        <v>52.88</v>
      </c>
      <c r="C29">
        <v>5.46</v>
      </c>
      <c r="D29">
        <v>52.94</v>
      </c>
      <c r="E29">
        <v>66.849999999999994</v>
      </c>
      <c r="F29">
        <v>98.55</v>
      </c>
      <c r="G29">
        <v>173.58</v>
      </c>
      <c r="H29">
        <v>261.11</v>
      </c>
      <c r="I29">
        <v>396.1</v>
      </c>
      <c r="J29">
        <v>419.67</v>
      </c>
      <c r="K29">
        <v>514.22</v>
      </c>
    </row>
    <row r="30" spans="1:11" s="158" customFormat="1">
      <c r="A30" s="158" t="s">
        <v>262</v>
      </c>
      <c r="B30">
        <v>151.47999999999999</v>
      </c>
      <c r="C30">
        <v>103.18</v>
      </c>
      <c r="D30">
        <v>134.35</v>
      </c>
      <c r="E30">
        <v>199.55</v>
      </c>
      <c r="F30">
        <v>259.5</v>
      </c>
      <c r="G30">
        <v>395.35</v>
      </c>
      <c r="H30">
        <v>688.64</v>
      </c>
      <c r="I30">
        <v>824.58</v>
      </c>
      <c r="J30">
        <v>884.47</v>
      </c>
      <c r="K30">
        <v>1004.23</v>
      </c>
    </row>
    <row r="31" spans="1:11" s="158" customFormat="1">
      <c r="A31" s="158" t="s">
        <v>263</v>
      </c>
      <c r="B31">
        <v>95.56</v>
      </c>
      <c r="C31">
        <v>59.73</v>
      </c>
      <c r="D31">
        <v>77.64</v>
      </c>
      <c r="E31">
        <v>101.53</v>
      </c>
      <c r="F31">
        <v>101.62</v>
      </c>
      <c r="G31">
        <v>143.94</v>
      </c>
      <c r="H31">
        <v>191.92</v>
      </c>
      <c r="I31">
        <v>240</v>
      </c>
      <c r="J31">
        <v>264</v>
      </c>
      <c r="K31">
        <v>300.13</v>
      </c>
    </row>
    <row r="32" spans="1:11" s="158" customFormat="1"/>
    <row r="33" spans="1:11">
      <c r="A33" s="158"/>
    </row>
    <row r="34" spans="1:11">
      <c r="A34" s="158"/>
    </row>
    <row r="35" spans="1:11">
      <c r="A35" s="158"/>
    </row>
    <row r="36" spans="1:11">
      <c r="A36" s="158"/>
    </row>
    <row r="37" spans="1:11">
      <c r="A37" s="158"/>
    </row>
    <row r="38" spans="1:11">
      <c r="A38" s="158"/>
    </row>
    <row r="39" spans="1:11">
      <c r="A39" s="158"/>
    </row>
    <row r="40" spans="1:11">
      <c r="A40" s="153" t="s">
        <v>264</v>
      </c>
    </row>
    <row r="41" spans="1:11" s="157" customFormat="1">
      <c r="A41" s="155" t="s">
        <v>254</v>
      </c>
      <c r="B41" s="156">
        <v>42460</v>
      </c>
      <c r="C41" s="156">
        <v>42551</v>
      </c>
      <c r="D41" s="156">
        <v>42643</v>
      </c>
      <c r="E41" s="156">
        <v>42735</v>
      </c>
      <c r="F41" s="156">
        <v>42825</v>
      </c>
      <c r="G41" s="156">
        <v>42916</v>
      </c>
      <c r="H41" s="156">
        <v>43008</v>
      </c>
      <c r="I41" s="156">
        <v>43100</v>
      </c>
      <c r="J41" s="156">
        <v>43190</v>
      </c>
      <c r="K41" s="156">
        <v>43281</v>
      </c>
    </row>
    <row r="42" spans="1:11" s="158" customFormat="1">
      <c r="A42" s="158" t="s">
        <v>186</v>
      </c>
      <c r="B42">
        <v>2133.6799999999998</v>
      </c>
      <c r="C42">
        <v>2140.77</v>
      </c>
      <c r="D42">
        <v>2386.9699999999998</v>
      </c>
      <c r="E42">
        <v>2281.9699999999998</v>
      </c>
      <c r="F42">
        <v>2244.38</v>
      </c>
      <c r="G42">
        <v>2263.6999999999998</v>
      </c>
      <c r="H42">
        <v>2545.29</v>
      </c>
      <c r="I42">
        <v>2567.48</v>
      </c>
      <c r="J42">
        <v>2537.52</v>
      </c>
      <c r="K42">
        <v>2543.83</v>
      </c>
    </row>
    <row r="43" spans="1:11" s="158" customFormat="1">
      <c r="A43" s="158" t="s">
        <v>265</v>
      </c>
      <c r="B43">
        <v>1843.42</v>
      </c>
      <c r="C43">
        <v>1824.57</v>
      </c>
      <c r="D43">
        <v>2048.08</v>
      </c>
      <c r="E43">
        <v>1967.76</v>
      </c>
      <c r="F43">
        <v>1936.29</v>
      </c>
      <c r="G43">
        <v>1935.19</v>
      </c>
      <c r="H43">
        <v>2167.64</v>
      </c>
      <c r="I43">
        <v>2169.1</v>
      </c>
      <c r="J43">
        <v>2141.04</v>
      </c>
      <c r="K43">
        <v>2154.5</v>
      </c>
    </row>
    <row r="44" spans="1:11" s="158" customFormat="1">
      <c r="A44" s="158" t="s">
        <v>19</v>
      </c>
      <c r="B44">
        <v>36.229999999999997</v>
      </c>
      <c r="C44">
        <v>39.49</v>
      </c>
      <c r="D44">
        <v>41.19</v>
      </c>
      <c r="E44">
        <v>37.270000000000003</v>
      </c>
      <c r="F44">
        <v>33.659999999999997</v>
      </c>
      <c r="G44">
        <v>35.35</v>
      </c>
      <c r="H44">
        <v>50.97</v>
      </c>
      <c r="I44">
        <v>36.090000000000003</v>
      </c>
      <c r="J44">
        <v>44.41</v>
      </c>
      <c r="K44">
        <v>42.01</v>
      </c>
    </row>
    <row r="45" spans="1:11" s="158" customFormat="1">
      <c r="A45" s="158" t="s">
        <v>25</v>
      </c>
      <c r="B45">
        <v>30.82</v>
      </c>
      <c r="C45">
        <v>27.86</v>
      </c>
      <c r="D45">
        <v>28.93</v>
      </c>
      <c r="E45">
        <v>30.27</v>
      </c>
      <c r="F45">
        <v>32.21</v>
      </c>
      <c r="G45">
        <v>33.19</v>
      </c>
      <c r="H45">
        <v>33.64</v>
      </c>
      <c r="I45">
        <v>32.89</v>
      </c>
      <c r="J45">
        <v>42.35</v>
      </c>
      <c r="K45">
        <v>35.64</v>
      </c>
    </row>
    <row r="46" spans="1:11" s="158" customFormat="1">
      <c r="A46" s="158" t="s">
        <v>24</v>
      </c>
      <c r="B46">
        <v>1.48</v>
      </c>
      <c r="C46">
        <v>1.5</v>
      </c>
      <c r="D46">
        <v>1.53</v>
      </c>
      <c r="E46">
        <v>1.1000000000000001</v>
      </c>
      <c r="F46">
        <v>1.32</v>
      </c>
      <c r="G46">
        <v>1.27</v>
      </c>
      <c r="H46">
        <v>1.4</v>
      </c>
      <c r="I46">
        <v>2.5499999999999998</v>
      </c>
      <c r="J46">
        <v>2.37</v>
      </c>
      <c r="K46">
        <v>2.44</v>
      </c>
    </row>
    <row r="47" spans="1:11" s="158" customFormat="1">
      <c r="A47" s="158" t="s">
        <v>261</v>
      </c>
      <c r="B47">
        <v>294.19</v>
      </c>
      <c r="C47">
        <v>326.33</v>
      </c>
      <c r="D47">
        <v>349.62</v>
      </c>
      <c r="E47">
        <v>320.11</v>
      </c>
      <c r="F47">
        <v>308.22000000000003</v>
      </c>
      <c r="G47">
        <v>329.4</v>
      </c>
      <c r="H47">
        <v>393.58</v>
      </c>
      <c r="I47">
        <v>399.03</v>
      </c>
      <c r="J47">
        <v>396.17</v>
      </c>
      <c r="K47">
        <v>393.26</v>
      </c>
    </row>
    <row r="48" spans="1:11" s="158" customFormat="1">
      <c r="A48" s="158" t="s">
        <v>26</v>
      </c>
      <c r="B48">
        <v>95.21</v>
      </c>
      <c r="C48">
        <v>107.12</v>
      </c>
      <c r="D48">
        <v>115.57</v>
      </c>
      <c r="E48">
        <v>99.67</v>
      </c>
      <c r="F48">
        <v>97.31</v>
      </c>
      <c r="G48">
        <v>113.28</v>
      </c>
      <c r="H48">
        <v>132.55000000000001</v>
      </c>
      <c r="I48">
        <v>135.38</v>
      </c>
      <c r="J48">
        <v>133.01</v>
      </c>
      <c r="K48">
        <v>135.18</v>
      </c>
    </row>
    <row r="49" spans="1:11" s="158" customFormat="1">
      <c r="A49" s="158" t="s">
        <v>262</v>
      </c>
      <c r="B49">
        <v>198.98</v>
      </c>
      <c r="C49">
        <v>219.21</v>
      </c>
      <c r="D49">
        <v>234.05</v>
      </c>
      <c r="E49">
        <v>220.44</v>
      </c>
      <c r="F49">
        <v>210.91</v>
      </c>
      <c r="G49">
        <v>216.12</v>
      </c>
      <c r="H49">
        <v>261.02999999999997</v>
      </c>
      <c r="I49">
        <v>263.64999999999998</v>
      </c>
      <c r="J49">
        <v>263.16000000000003</v>
      </c>
      <c r="K49">
        <v>258.08</v>
      </c>
    </row>
    <row r="50" spans="1:11">
      <c r="A50" s="158" t="s">
        <v>23</v>
      </c>
      <c r="B50">
        <v>290.26</v>
      </c>
      <c r="C50">
        <v>316.2</v>
      </c>
      <c r="D50">
        <v>338.89</v>
      </c>
      <c r="E50">
        <v>314.20999999999998</v>
      </c>
      <c r="F50">
        <v>308.08999999999997</v>
      </c>
      <c r="G50">
        <v>328.51</v>
      </c>
      <c r="H50">
        <v>377.65</v>
      </c>
      <c r="I50">
        <v>398.38</v>
      </c>
      <c r="J50">
        <v>396.48</v>
      </c>
      <c r="K50">
        <v>389.33</v>
      </c>
    </row>
    <row r="51" spans="1:11">
      <c r="A51" s="158"/>
    </row>
    <row r="52" spans="1:11">
      <c r="A52" s="158"/>
    </row>
    <row r="53" spans="1:11">
      <c r="A53" s="158"/>
    </row>
    <row r="54" spans="1:11">
      <c r="A54" s="158"/>
    </row>
    <row r="55" spans="1:11">
      <c r="A55" s="153" t="s">
        <v>266</v>
      </c>
    </row>
    <row r="56" spans="1:11" s="157" customFormat="1">
      <c r="A56" s="155" t="s">
        <v>254</v>
      </c>
      <c r="B56" s="156">
        <v>39903</v>
      </c>
      <c r="C56" s="156">
        <v>40268</v>
      </c>
      <c r="D56" s="156">
        <v>40633</v>
      </c>
      <c r="E56" s="156">
        <v>40999</v>
      </c>
      <c r="F56" s="156">
        <v>41364</v>
      </c>
      <c r="G56" s="156">
        <v>41729</v>
      </c>
      <c r="H56" s="156">
        <v>42094</v>
      </c>
      <c r="I56" s="156">
        <v>42460</v>
      </c>
      <c r="J56" s="156">
        <v>42825</v>
      </c>
      <c r="K56" s="156">
        <v>43190</v>
      </c>
    </row>
    <row r="57" spans="1:11">
      <c r="A57" s="158" t="s">
        <v>7</v>
      </c>
      <c r="B57">
        <v>23.89</v>
      </c>
      <c r="C57">
        <v>23.89</v>
      </c>
      <c r="D57">
        <v>23.89</v>
      </c>
      <c r="E57">
        <v>23.89</v>
      </c>
      <c r="F57">
        <v>23.91</v>
      </c>
      <c r="G57">
        <v>23.99</v>
      </c>
      <c r="H57">
        <v>23.99</v>
      </c>
      <c r="I57">
        <v>24</v>
      </c>
      <c r="J57">
        <v>24</v>
      </c>
      <c r="K57">
        <v>24.01</v>
      </c>
    </row>
    <row r="58" spans="1:11">
      <c r="A58" s="158" t="s">
        <v>8</v>
      </c>
      <c r="B58">
        <v>697.48</v>
      </c>
      <c r="C58">
        <v>258.91000000000003</v>
      </c>
      <c r="D58">
        <v>302.14</v>
      </c>
      <c r="E58">
        <v>385.28</v>
      </c>
      <c r="F58">
        <v>531.66999999999996</v>
      </c>
      <c r="G58">
        <v>774.12</v>
      </c>
      <c r="H58">
        <v>1221.1199999999999</v>
      </c>
      <c r="I58">
        <v>2067.6799999999998</v>
      </c>
      <c r="J58">
        <v>2672.42</v>
      </c>
      <c r="K58">
        <v>3382.22</v>
      </c>
    </row>
    <row r="59" spans="1:11">
      <c r="A59" s="158" t="s">
        <v>215</v>
      </c>
      <c r="B59">
        <v>274.82</v>
      </c>
      <c r="C59">
        <v>656.96</v>
      </c>
      <c r="D59">
        <v>617.92999999999995</v>
      </c>
      <c r="E59">
        <v>604.21</v>
      </c>
      <c r="F59">
        <v>380</v>
      </c>
      <c r="G59">
        <v>149.76</v>
      </c>
      <c r="H59">
        <v>145.07</v>
      </c>
      <c r="I59">
        <v>131.05000000000001</v>
      </c>
      <c r="J59">
        <v>124.56</v>
      </c>
      <c r="K59">
        <v>200.7</v>
      </c>
    </row>
    <row r="60" spans="1:11">
      <c r="A60" s="158" t="s">
        <v>216</v>
      </c>
      <c r="B60">
        <v>511.12</v>
      </c>
      <c r="C60">
        <v>599.36</v>
      </c>
      <c r="D60">
        <v>699.72</v>
      </c>
      <c r="E60">
        <v>853.99</v>
      </c>
      <c r="F60">
        <v>974.96</v>
      </c>
      <c r="G60">
        <v>1194.18</v>
      </c>
      <c r="H60">
        <v>1426.13</v>
      </c>
      <c r="I60">
        <v>1307.73</v>
      </c>
      <c r="J60">
        <v>1336</v>
      </c>
      <c r="K60">
        <v>1635.74</v>
      </c>
    </row>
    <row r="61" spans="1:11" s="153" customFormat="1">
      <c r="A61" s="153" t="s">
        <v>267</v>
      </c>
      <c r="B61">
        <v>1507.31</v>
      </c>
      <c r="C61">
        <v>1539.12</v>
      </c>
      <c r="D61">
        <v>1643.68</v>
      </c>
      <c r="E61">
        <v>1867.37</v>
      </c>
      <c r="F61">
        <v>1910.54</v>
      </c>
      <c r="G61">
        <v>2142.0500000000002</v>
      </c>
      <c r="H61">
        <v>2816.31</v>
      </c>
      <c r="I61">
        <v>3530.46</v>
      </c>
      <c r="J61">
        <v>4156.9799999999996</v>
      </c>
      <c r="K61">
        <v>5242.67</v>
      </c>
    </row>
    <row r="62" spans="1:11">
      <c r="A62" s="158" t="s">
        <v>13</v>
      </c>
      <c r="B62">
        <v>470.51</v>
      </c>
      <c r="C62">
        <v>499.34</v>
      </c>
      <c r="D62">
        <v>504.89</v>
      </c>
      <c r="E62">
        <v>624.39</v>
      </c>
      <c r="F62">
        <v>736.8</v>
      </c>
      <c r="G62">
        <v>847.59</v>
      </c>
      <c r="H62">
        <v>844.07</v>
      </c>
      <c r="I62">
        <v>950.24</v>
      </c>
      <c r="J62">
        <v>1159.99</v>
      </c>
      <c r="K62">
        <v>1345.6</v>
      </c>
    </row>
    <row r="63" spans="1:11">
      <c r="A63" s="158" t="s">
        <v>14</v>
      </c>
      <c r="B63">
        <v>6.3</v>
      </c>
      <c r="C63">
        <v>10.16</v>
      </c>
      <c r="D63">
        <v>12.82</v>
      </c>
      <c r="E63">
        <v>111.26</v>
      </c>
      <c r="F63">
        <v>147.30000000000001</v>
      </c>
      <c r="G63">
        <v>107.09</v>
      </c>
      <c r="H63">
        <v>48.37</v>
      </c>
      <c r="I63">
        <v>90.07</v>
      </c>
      <c r="J63">
        <v>30.07</v>
      </c>
      <c r="K63">
        <v>202.82</v>
      </c>
    </row>
    <row r="64" spans="1:11">
      <c r="A64" s="158" t="s">
        <v>15</v>
      </c>
      <c r="B64">
        <v>377.34</v>
      </c>
      <c r="C64">
        <v>366.44</v>
      </c>
      <c r="D64">
        <v>388.51</v>
      </c>
      <c r="E64">
        <v>248.51</v>
      </c>
      <c r="F64">
        <v>108.2</v>
      </c>
      <c r="G64">
        <v>197.87</v>
      </c>
      <c r="H64">
        <v>517.94000000000005</v>
      </c>
      <c r="I64">
        <v>788.38</v>
      </c>
      <c r="J64">
        <v>486.85</v>
      </c>
      <c r="K64">
        <v>1079.28</v>
      </c>
    </row>
    <row r="65" spans="1:11">
      <c r="A65" s="158" t="s">
        <v>268</v>
      </c>
      <c r="B65">
        <v>653.16</v>
      </c>
      <c r="C65">
        <v>663.18</v>
      </c>
      <c r="D65">
        <v>737.46</v>
      </c>
      <c r="E65">
        <v>883.21</v>
      </c>
      <c r="F65">
        <v>918.24</v>
      </c>
      <c r="G65">
        <v>989.5</v>
      </c>
      <c r="H65">
        <v>1405.93</v>
      </c>
      <c r="I65">
        <v>1701.77</v>
      </c>
      <c r="J65">
        <v>2480.0700000000002</v>
      </c>
      <c r="K65">
        <v>2614.9699999999998</v>
      </c>
    </row>
    <row r="66" spans="1:11" s="153" customFormat="1">
      <c r="A66" s="153" t="s">
        <v>267</v>
      </c>
      <c r="B66">
        <v>1507.31</v>
      </c>
      <c r="C66">
        <v>1539.12</v>
      </c>
      <c r="D66">
        <v>1643.68</v>
      </c>
      <c r="E66">
        <v>1867.37</v>
      </c>
      <c r="F66">
        <v>1910.54</v>
      </c>
      <c r="G66">
        <v>2142.0500000000002</v>
      </c>
      <c r="H66">
        <v>2816.31</v>
      </c>
      <c r="I66">
        <v>3530.46</v>
      </c>
      <c r="J66">
        <v>4156.9799999999996</v>
      </c>
      <c r="K66">
        <v>5242.67</v>
      </c>
    </row>
    <row r="67" spans="1:11" s="158" customFormat="1">
      <c r="A67" s="158" t="s">
        <v>269</v>
      </c>
      <c r="B67">
        <v>74</v>
      </c>
      <c r="C67">
        <v>73.27</v>
      </c>
      <c r="D67">
        <v>80.959999999999994</v>
      </c>
      <c r="E67">
        <v>113.01</v>
      </c>
      <c r="F67">
        <v>122.81</v>
      </c>
      <c r="G67">
        <v>108.7</v>
      </c>
      <c r="H67">
        <v>135.81</v>
      </c>
      <c r="I67">
        <v>170.61</v>
      </c>
      <c r="J67">
        <v>179.16</v>
      </c>
      <c r="K67">
        <v>304.60000000000002</v>
      </c>
    </row>
    <row r="68" spans="1:11">
      <c r="A68" s="158" t="s">
        <v>195</v>
      </c>
      <c r="B68">
        <v>288.69</v>
      </c>
      <c r="C68">
        <v>304.20999999999998</v>
      </c>
      <c r="D68">
        <v>346.95</v>
      </c>
      <c r="E68">
        <v>431.76</v>
      </c>
      <c r="F68">
        <v>374.67</v>
      </c>
      <c r="G68">
        <v>420.27</v>
      </c>
      <c r="H68">
        <v>404.04</v>
      </c>
      <c r="I68">
        <v>440.65</v>
      </c>
      <c r="J68">
        <v>661.45</v>
      </c>
      <c r="K68">
        <v>652.79</v>
      </c>
    </row>
    <row r="69" spans="1:11">
      <c r="A69" s="154" t="s">
        <v>270</v>
      </c>
      <c r="B69">
        <v>68.84</v>
      </c>
      <c r="C69">
        <v>42.75</v>
      </c>
      <c r="D69">
        <v>76.88</v>
      </c>
      <c r="E69">
        <v>61.33</v>
      </c>
      <c r="F69">
        <v>102.93</v>
      </c>
      <c r="G69">
        <v>109.07</v>
      </c>
      <c r="H69">
        <v>226.33</v>
      </c>
      <c r="I69">
        <v>87.65</v>
      </c>
      <c r="J69">
        <v>120.76</v>
      </c>
      <c r="K69">
        <v>186.42</v>
      </c>
    </row>
    <row r="70" spans="1:11">
      <c r="A70" s="154" t="s">
        <v>271</v>
      </c>
      <c r="B70">
        <v>23890163</v>
      </c>
      <c r="C70">
        <v>23890163</v>
      </c>
      <c r="D70">
        <v>119450815</v>
      </c>
      <c r="E70">
        <v>119450815</v>
      </c>
      <c r="F70">
        <v>119525815</v>
      </c>
      <c r="G70">
        <v>119925800</v>
      </c>
      <c r="H70">
        <v>119925800</v>
      </c>
      <c r="I70">
        <v>119975815</v>
      </c>
      <c r="J70">
        <v>120000815</v>
      </c>
      <c r="K70">
        <v>120059148</v>
      </c>
    </row>
    <row r="71" spans="1:11">
      <c r="A71" s="154" t="s">
        <v>272</v>
      </c>
    </row>
    <row r="72" spans="1:11">
      <c r="A72" s="154" t="s">
        <v>2</v>
      </c>
      <c r="B72">
        <v>10</v>
      </c>
      <c r="C72">
        <v>10</v>
      </c>
      <c r="D72">
        <v>2</v>
      </c>
      <c r="E72">
        <v>2</v>
      </c>
      <c r="F72">
        <v>2</v>
      </c>
      <c r="G72">
        <v>2</v>
      </c>
      <c r="H72">
        <v>2</v>
      </c>
      <c r="I72">
        <v>2</v>
      </c>
      <c r="J72">
        <v>2</v>
      </c>
      <c r="K72">
        <v>2</v>
      </c>
    </row>
    <row r="74" spans="1:11">
      <c r="A74" s="158"/>
    </row>
    <row r="75" spans="1:11">
      <c r="A75" s="158"/>
    </row>
    <row r="76" spans="1:11">
      <c r="A76" s="158"/>
    </row>
    <row r="77" spans="1:11">
      <c r="A77" s="158"/>
    </row>
    <row r="78" spans="1:11">
      <c r="A78" s="158"/>
    </row>
    <row r="79" spans="1:11">
      <c r="A79" s="158"/>
    </row>
    <row r="80" spans="1:11">
      <c r="A80" s="153" t="s">
        <v>273</v>
      </c>
    </row>
    <row r="81" spans="1:11" s="157" customFormat="1">
      <c r="A81" s="155" t="s">
        <v>254</v>
      </c>
      <c r="B81" s="156">
        <v>39903</v>
      </c>
      <c r="C81" s="156">
        <v>40268</v>
      </c>
      <c r="D81" s="156">
        <v>40633</v>
      </c>
      <c r="E81" s="156">
        <v>40999</v>
      </c>
      <c r="F81" s="156">
        <v>41364</v>
      </c>
      <c r="G81" s="156">
        <v>41729</v>
      </c>
      <c r="H81" s="156">
        <v>42094</v>
      </c>
      <c r="I81" s="156">
        <v>42460</v>
      </c>
      <c r="J81" s="156">
        <v>42825</v>
      </c>
      <c r="K81" s="156">
        <v>43190</v>
      </c>
    </row>
    <row r="82" spans="1:11" s="153" customFormat="1">
      <c r="A82" s="158" t="s">
        <v>274</v>
      </c>
      <c r="B82">
        <v>250.32</v>
      </c>
      <c r="C82">
        <v>237.74</v>
      </c>
      <c r="D82">
        <v>296.45999999999998</v>
      </c>
      <c r="E82">
        <v>246.12</v>
      </c>
      <c r="F82">
        <v>319.8</v>
      </c>
      <c r="G82">
        <v>671.48</v>
      </c>
      <c r="H82">
        <v>584.46</v>
      </c>
      <c r="I82">
        <v>959.23</v>
      </c>
      <c r="J82">
        <v>441.28</v>
      </c>
      <c r="K82">
        <v>1248.77</v>
      </c>
    </row>
    <row r="83" spans="1:11" s="158" customFormat="1">
      <c r="A83" s="158" t="s">
        <v>224</v>
      </c>
      <c r="B83">
        <v>-6.02</v>
      </c>
      <c r="C83">
        <v>-36.68</v>
      </c>
      <c r="D83">
        <v>-117.85</v>
      </c>
      <c r="E83">
        <v>-64.78</v>
      </c>
      <c r="F83">
        <v>28.18</v>
      </c>
      <c r="G83">
        <v>-245.64</v>
      </c>
      <c r="H83">
        <v>-450.3</v>
      </c>
      <c r="I83">
        <v>-705.2</v>
      </c>
      <c r="J83">
        <v>-149.85</v>
      </c>
      <c r="K83">
        <v>-956.26</v>
      </c>
    </row>
    <row r="84" spans="1:11" s="158" customFormat="1">
      <c r="A84" s="158" t="s">
        <v>225</v>
      </c>
      <c r="B84">
        <v>-112.69</v>
      </c>
      <c r="C84">
        <v>-222.89</v>
      </c>
      <c r="D84">
        <v>-165.8</v>
      </c>
      <c r="E84">
        <v>-168.41</v>
      </c>
      <c r="F84">
        <v>-378.15</v>
      </c>
      <c r="G84">
        <v>-357.34</v>
      </c>
      <c r="H84">
        <v>-181.37</v>
      </c>
      <c r="I84">
        <v>-246.18</v>
      </c>
      <c r="J84">
        <v>-295.08</v>
      </c>
      <c r="K84">
        <v>-231.75</v>
      </c>
    </row>
    <row r="85" spans="1:11" s="153" customFormat="1">
      <c r="A85" s="158" t="s">
        <v>275</v>
      </c>
      <c r="B85">
        <v>131.61000000000001</v>
      </c>
      <c r="C85">
        <v>-21.83</v>
      </c>
      <c r="D85">
        <v>12.81</v>
      </c>
      <c r="E85">
        <v>12.93</v>
      </c>
      <c r="F85">
        <v>-30.17</v>
      </c>
      <c r="G85">
        <v>68.5</v>
      </c>
      <c r="H85">
        <v>-47.21</v>
      </c>
      <c r="I85">
        <v>7.85</v>
      </c>
      <c r="J85">
        <v>-3.65</v>
      </c>
      <c r="K85">
        <v>60.76</v>
      </c>
    </row>
    <row r="86" spans="1:11">
      <c r="A86" s="158"/>
    </row>
    <row r="87" spans="1:11">
      <c r="A87" s="158"/>
    </row>
    <row r="88" spans="1:11">
      <c r="A88" s="158"/>
    </row>
    <row r="89" spans="1:11">
      <c r="A89" s="158"/>
    </row>
    <row r="90" spans="1:11" s="153" customFormat="1">
      <c r="A90" s="153" t="s">
        <v>276</v>
      </c>
      <c r="B90">
        <v>301.24555600000002</v>
      </c>
      <c r="C90">
        <v>328.38857100000001</v>
      </c>
      <c r="D90">
        <v>376.21842099999998</v>
      </c>
      <c r="E90">
        <v>576.02250000000004</v>
      </c>
      <c r="F90">
        <v>538.63499999999999</v>
      </c>
      <c r="G90">
        <v>869.92894699999999</v>
      </c>
      <c r="H90">
        <v>2201.5650000000001</v>
      </c>
      <c r="I90">
        <v>2755.5131580000002</v>
      </c>
      <c r="J90">
        <v>3423.8052630000002</v>
      </c>
      <c r="K90">
        <v>5252.7071429999996</v>
      </c>
    </row>
    <row r="92" spans="1:11" s="153" customFormat="1">
      <c r="A92" s="153" t="s">
        <v>277</v>
      </c>
    </row>
    <row r="93" spans="1:11">
      <c r="A93" s="154" t="s">
        <v>278</v>
      </c>
      <c r="B93" s="159">
        <f>IF($B7&gt;0,(B70*B72/$B7)+SUM(C71:$K71),0)/10000000</f>
        <v>11.945081500000001</v>
      </c>
      <c r="C93" s="159">
        <f>IF($B7&gt;0,(C70*C72/$B7)+SUM(D71:$K71),0)/10000000</f>
        <v>11.945081500000001</v>
      </c>
      <c r="D93" s="159">
        <f>IF($B7&gt;0,(D70*D72/$B7)+SUM(E71:$K71),0)/10000000</f>
        <v>11.945081500000001</v>
      </c>
      <c r="E93" s="159">
        <f>IF($B7&gt;0,(E70*E72/$B7)+SUM(F71:$K71),0)/10000000</f>
        <v>11.945081500000001</v>
      </c>
      <c r="F93" s="159">
        <f>IF($B7&gt;0,(F70*F72/$B7)+SUM(G71:$K71),0)/10000000</f>
        <v>11.952581500000001</v>
      </c>
      <c r="G93" s="159">
        <f>IF($B7&gt;0,(G70*G72/$B7)+SUM(H71:$K71),0)/10000000</f>
        <v>11.99258</v>
      </c>
      <c r="H93" s="159">
        <f>IF($B7&gt;0,(H70*H72/$B7)+SUM(I71:$K71),0)/10000000</f>
        <v>11.99258</v>
      </c>
      <c r="I93" s="159">
        <f>IF($B7&gt;0,(I70*I72/$B7)+SUM(J71:$K71),0)/10000000</f>
        <v>11.997581500000001</v>
      </c>
      <c r="J93" s="159">
        <f>IF($B7&gt;0,(J70*J72/$B7)+SUM(K71:$K71),0)/10000000</f>
        <v>12.0000815</v>
      </c>
      <c r="K93" s="159">
        <f>IF($B7&gt;0,(K70*K72/$B7),0)/10000000</f>
        <v>12.005914799999999</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3:H26"/>
  <sheetViews>
    <sheetView showGridLines="0" tabSelected="1" workbookViewId="0"/>
  </sheetViews>
  <sheetFormatPr defaultColWidth="9" defaultRowHeight="15"/>
  <cols>
    <col min="1" max="1" width="4.140625" style="173" customWidth="1"/>
    <col min="2" max="2" width="46.42578125" style="172" bestFit="1" customWidth="1"/>
    <col min="3" max="3" width="9" style="172"/>
    <col min="4" max="4" width="15.140625" style="172" customWidth="1"/>
    <col min="5" max="5" width="13.5703125" style="173" customWidth="1"/>
    <col min="6" max="16384" width="9" style="173"/>
  </cols>
  <sheetData>
    <row r="3" spans="2:8">
      <c r="B3" s="232" t="s">
        <v>362</v>
      </c>
    </row>
    <row r="5" spans="2:8">
      <c r="B5" s="309" t="s">
        <v>441</v>
      </c>
      <c r="C5" s="323">
        <v>43252</v>
      </c>
      <c r="D5" s="308">
        <v>43160</v>
      </c>
      <c r="E5" s="308">
        <v>42795</v>
      </c>
      <c r="F5" s="308">
        <v>42430</v>
      </c>
      <c r="G5" s="308">
        <v>42064</v>
      </c>
      <c r="H5" s="308">
        <v>41699</v>
      </c>
    </row>
    <row r="6" spans="2:8">
      <c r="B6" s="304" t="s">
        <v>526</v>
      </c>
      <c r="C6" s="306">
        <v>0.50700000000000001</v>
      </c>
      <c r="D6" s="306">
        <v>0.50700000000000001</v>
      </c>
      <c r="E6" s="306">
        <v>0.50700000000000001</v>
      </c>
      <c r="F6" s="306">
        <v>0.50700000000000001</v>
      </c>
      <c r="G6" s="306">
        <v>0.50700000000000001</v>
      </c>
      <c r="H6" s="306">
        <v>0.50700000000000001</v>
      </c>
    </row>
    <row r="7" spans="2:8">
      <c r="B7" s="304" t="s">
        <v>442</v>
      </c>
      <c r="C7" s="306"/>
      <c r="D7" s="306">
        <v>0</v>
      </c>
      <c r="E7" s="306">
        <v>0</v>
      </c>
      <c r="F7" s="306">
        <v>0</v>
      </c>
      <c r="G7" s="306">
        <v>0</v>
      </c>
      <c r="H7" s="306">
        <v>0</v>
      </c>
    </row>
    <row r="8" spans="2:8">
      <c r="B8" s="304" t="s">
        <v>192</v>
      </c>
      <c r="C8" s="306">
        <v>0.1726</v>
      </c>
      <c r="D8" s="306">
        <v>0.17050000000000001</v>
      </c>
      <c r="E8" s="306">
        <v>0.1101</v>
      </c>
      <c r="F8" s="306">
        <v>6.5100000000000005E-2</v>
      </c>
      <c r="G8" s="306">
        <v>0.191</v>
      </c>
      <c r="H8" s="306">
        <v>0.2011</v>
      </c>
    </row>
    <row r="9" spans="2:8">
      <c r="B9" s="304" t="s">
        <v>443</v>
      </c>
      <c r="C9" s="306">
        <v>5.4800000000000001E-2</v>
      </c>
      <c r="D9" s="306">
        <v>5.9700000000000003E-2</v>
      </c>
      <c r="E9" s="306">
        <v>6.7000000000000004E-2</v>
      </c>
      <c r="F9" s="306">
        <v>6.1600000000000002E-2</v>
      </c>
      <c r="G9" s="306">
        <v>5.21E-2</v>
      </c>
      <c r="H9" s="306">
        <v>3.7499999999999999E-2</v>
      </c>
    </row>
    <row r="10" spans="2:8">
      <c r="B10" s="304" t="s">
        <v>444</v>
      </c>
      <c r="C10" s="306">
        <v>2.52E-2</v>
      </c>
      <c r="D10" s="306">
        <v>2.3599999999999999E-2</v>
      </c>
      <c r="E10" s="306">
        <v>2.9000000000000001E-2</v>
      </c>
      <c r="F10" s="306"/>
      <c r="G10" s="306">
        <v>3.6999999999999998E-2</v>
      </c>
      <c r="H10" s="306">
        <v>3.2500000000000001E-2</v>
      </c>
    </row>
    <row r="11" spans="2:8">
      <c r="B11" s="304" t="s">
        <v>445</v>
      </c>
      <c r="C11" s="306">
        <v>0.1353</v>
      </c>
      <c r="D11" s="306">
        <v>0.13489999999999999</v>
      </c>
      <c r="E11" s="306">
        <v>0.1449</v>
      </c>
      <c r="F11" s="306">
        <v>0.14749999999999999</v>
      </c>
      <c r="G11" s="306">
        <v>0.13589999999999999</v>
      </c>
      <c r="H11" s="306">
        <v>0.13619999999999999</v>
      </c>
    </row>
    <row r="12" spans="2:8">
      <c r="B12" s="304" t="s">
        <v>446</v>
      </c>
      <c r="C12" s="306">
        <v>1.5699999999999999E-2</v>
      </c>
      <c r="D12" s="306">
        <v>1.5699999999999999E-2</v>
      </c>
      <c r="E12" s="306">
        <v>1.9099999999999999E-2</v>
      </c>
      <c r="F12" s="306">
        <v>2.4500000000000001E-2</v>
      </c>
      <c r="G12" s="306">
        <v>3.6299999999999999E-2</v>
      </c>
      <c r="H12" s="306">
        <v>3.85E-2</v>
      </c>
    </row>
    <row r="13" spans="2:8">
      <c r="B13" s="304" t="s">
        <v>440</v>
      </c>
      <c r="C13" s="306">
        <f t="shared" ref="C13:H13" si="0">1-SUM(C6:C12)</f>
        <v>8.9400000000000035E-2</v>
      </c>
      <c r="D13" s="306">
        <f t="shared" si="0"/>
        <v>8.8600000000000012E-2</v>
      </c>
      <c r="E13" s="306">
        <f t="shared" si="0"/>
        <v>0.12290000000000001</v>
      </c>
      <c r="F13" s="306">
        <f t="shared" si="0"/>
        <v>0.19430000000000003</v>
      </c>
      <c r="G13" s="306">
        <f t="shared" si="0"/>
        <v>4.0699999999999958E-2</v>
      </c>
      <c r="H13" s="306">
        <f t="shared" si="0"/>
        <v>4.7200000000000131E-2</v>
      </c>
    </row>
    <row r="14" spans="2:8">
      <c r="B14" s="304"/>
      <c r="C14" s="303"/>
      <c r="D14" s="303"/>
      <c r="E14" s="305"/>
      <c r="F14" s="305"/>
      <c r="G14" s="305"/>
      <c r="H14" s="305"/>
    </row>
    <row r="15" spans="2:8">
      <c r="B15" s="304"/>
      <c r="C15" s="303"/>
      <c r="D15" s="303"/>
      <c r="E15" s="305"/>
      <c r="F15" s="305"/>
      <c r="G15" s="305"/>
      <c r="H15" s="305"/>
    </row>
    <row r="16" spans="2:8">
      <c r="B16" s="304"/>
      <c r="C16" s="303"/>
      <c r="D16" s="303"/>
      <c r="E16" s="305"/>
      <c r="F16" s="305"/>
      <c r="G16" s="305"/>
      <c r="H16" s="305"/>
    </row>
    <row r="17" spans="2:8">
      <c r="B17" s="307" t="s">
        <v>267</v>
      </c>
      <c r="C17" s="306">
        <f t="shared" ref="C17:H17" si="1">SUM(C6:C16)</f>
        <v>1</v>
      </c>
      <c r="D17" s="306">
        <f t="shared" si="1"/>
        <v>1</v>
      </c>
      <c r="E17" s="305">
        <f t="shared" si="1"/>
        <v>1</v>
      </c>
      <c r="F17" s="305">
        <f t="shared" si="1"/>
        <v>1</v>
      </c>
      <c r="G17" s="305">
        <f t="shared" si="1"/>
        <v>1</v>
      </c>
      <c r="H17" s="305">
        <f t="shared" si="1"/>
        <v>1</v>
      </c>
    </row>
    <row r="20" spans="2:8">
      <c r="B20" s="304" t="s">
        <v>439</v>
      </c>
      <c r="C20" s="303"/>
      <c r="D20" s="303"/>
      <c r="E20" s="303"/>
      <c r="F20" s="303"/>
      <c r="G20" s="303"/>
      <c r="H20" s="303"/>
    </row>
    <row r="21" spans="2:8">
      <c r="B21" s="304"/>
      <c r="C21" s="303"/>
      <c r="D21" s="303"/>
      <c r="E21" s="303"/>
      <c r="F21" s="303"/>
      <c r="G21" s="303"/>
      <c r="H21" s="303"/>
    </row>
    <row r="22" spans="2:8">
      <c r="B22" s="304"/>
      <c r="C22" s="303"/>
      <c r="D22" s="303"/>
      <c r="E22" s="303"/>
      <c r="F22" s="303"/>
      <c r="G22" s="303"/>
      <c r="H22" s="303"/>
    </row>
    <row r="23" spans="2:8">
      <c r="B23" s="304"/>
      <c r="C23" s="303"/>
      <c r="D23" s="303"/>
      <c r="E23" s="303"/>
      <c r="F23" s="303"/>
      <c r="G23" s="303"/>
      <c r="H23" s="303"/>
    </row>
    <row r="24" spans="2:8">
      <c r="B24" s="304"/>
      <c r="C24" s="303"/>
      <c r="D24" s="303"/>
      <c r="E24" s="303"/>
      <c r="F24" s="303"/>
      <c r="G24" s="303"/>
      <c r="H24" s="303"/>
    </row>
    <row r="25" spans="2:8">
      <c r="B25" s="304"/>
      <c r="C25" s="303"/>
      <c r="D25" s="303"/>
      <c r="E25" s="303"/>
      <c r="F25" s="303"/>
      <c r="G25" s="303"/>
      <c r="H25" s="303"/>
    </row>
    <row r="26" spans="2:8">
      <c r="B26" s="304" t="s">
        <v>348</v>
      </c>
      <c r="C26" s="303">
        <f>SUM(C6:C7)-SUM(C21:C25)</f>
        <v>0.50700000000000001</v>
      </c>
      <c r="D26" s="303">
        <f t="shared" ref="D26:H26" si="2">SUM(D6:D7)-SUM(D21:D25)</f>
        <v>0.50700000000000001</v>
      </c>
      <c r="E26" s="303">
        <f t="shared" si="2"/>
        <v>0.50700000000000001</v>
      </c>
      <c r="F26" s="303">
        <f t="shared" si="2"/>
        <v>0.50700000000000001</v>
      </c>
      <c r="G26" s="303">
        <f t="shared" si="2"/>
        <v>0.50700000000000001</v>
      </c>
      <c r="H26" s="303">
        <f t="shared" si="2"/>
        <v>0.50700000000000001</v>
      </c>
    </row>
  </sheetData>
  <hyperlinks>
    <hyperlink ref="B3" r:id="rId1"/>
  </hyperlinks>
  <pageMargins left="0.7" right="0.7" top="0.75" bottom="0.75" header="0.3" footer="0.3"/>
  <ignoredErrors>
    <ignoredError sqref="C26 C13 D13:H13"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BB67"/>
  <sheetViews>
    <sheetView showGridLines="0" topLeftCell="AS19" workbookViewId="0">
      <selection activeCell="BB4" sqref="BB4:BB38"/>
    </sheetView>
  </sheetViews>
  <sheetFormatPr defaultRowHeight="12.75"/>
  <cols>
    <col min="1" max="16384" width="9.140625" style="212"/>
  </cols>
  <sheetData>
    <row r="3" spans="2:54">
      <c r="AS3" s="328" t="s">
        <v>481</v>
      </c>
      <c r="BB3" s="328" t="s">
        <v>532</v>
      </c>
    </row>
    <row r="4" spans="2:54" ht="15">
      <c r="B4" s="213" t="s">
        <v>317</v>
      </c>
      <c r="X4" s="212" t="s">
        <v>364</v>
      </c>
      <c r="AS4" s="212" t="s">
        <v>482</v>
      </c>
      <c r="BB4" s="212" t="s">
        <v>533</v>
      </c>
    </row>
    <row r="5" spans="2:54">
      <c r="AS5" s="212" t="s">
        <v>483</v>
      </c>
      <c r="BB5" s="212" t="s">
        <v>534</v>
      </c>
    </row>
    <row r="6" spans="2:54">
      <c r="B6" s="212" t="s">
        <v>318</v>
      </c>
      <c r="X6" s="212" t="s">
        <v>365</v>
      </c>
      <c r="AS6" s="212" t="s">
        <v>484</v>
      </c>
      <c r="BB6" s="212" t="s">
        <v>535</v>
      </c>
    </row>
    <row r="7" spans="2:54">
      <c r="B7" s="212" t="s">
        <v>319</v>
      </c>
      <c r="AS7" s="212" t="s">
        <v>485</v>
      </c>
    </row>
    <row r="8" spans="2:54">
      <c r="B8" s="212" t="s">
        <v>320</v>
      </c>
      <c r="X8" s="212" t="s">
        <v>366</v>
      </c>
      <c r="AS8" s="212" t="s">
        <v>486</v>
      </c>
      <c r="BB8" s="212" t="s">
        <v>536</v>
      </c>
    </row>
    <row r="9" spans="2:54">
      <c r="B9" s="212" t="s">
        <v>321</v>
      </c>
      <c r="BB9" s="212" t="s">
        <v>537</v>
      </c>
    </row>
    <row r="10" spans="2:54">
      <c r="B10" s="212" t="s">
        <v>322</v>
      </c>
      <c r="X10" s="212" t="s">
        <v>367</v>
      </c>
      <c r="BB10" s="212" t="s">
        <v>538</v>
      </c>
    </row>
    <row r="11" spans="2:54">
      <c r="AS11" s="328" t="s">
        <v>488</v>
      </c>
      <c r="AT11" s="328"/>
      <c r="BB11" s="212" t="s">
        <v>539</v>
      </c>
    </row>
    <row r="12" spans="2:54">
      <c r="B12" s="212" t="s">
        <v>323</v>
      </c>
      <c r="X12" s="212" t="s">
        <v>368</v>
      </c>
      <c r="AS12" s="212" t="s">
        <v>489</v>
      </c>
      <c r="BB12" s="212" t="s">
        <v>556</v>
      </c>
    </row>
    <row r="13" spans="2:54">
      <c r="B13" s="212" t="s">
        <v>324</v>
      </c>
      <c r="AS13" s="212" t="s">
        <v>491</v>
      </c>
      <c r="BB13" s="212" t="s">
        <v>540</v>
      </c>
    </row>
    <row r="14" spans="2:54">
      <c r="B14" s="212" t="s">
        <v>359</v>
      </c>
      <c r="X14" s="212" t="s">
        <v>369</v>
      </c>
      <c r="AS14" s="212" t="s">
        <v>494</v>
      </c>
      <c r="BB14" s="212" t="s">
        <v>557</v>
      </c>
    </row>
    <row r="15" spans="2:54">
      <c r="B15" s="212" t="s">
        <v>325</v>
      </c>
      <c r="AS15" s="212" t="s">
        <v>492</v>
      </c>
    </row>
    <row r="16" spans="2:54">
      <c r="B16" s="212" t="s">
        <v>326</v>
      </c>
      <c r="X16" s="212" t="s">
        <v>370</v>
      </c>
      <c r="AS16" s="212" t="s">
        <v>493</v>
      </c>
      <c r="BB16" s="212" t="s">
        <v>541</v>
      </c>
    </row>
    <row r="17" spans="2:54">
      <c r="AS17" s="212" t="s">
        <v>495</v>
      </c>
      <c r="BB17" s="212" t="s">
        <v>542</v>
      </c>
    </row>
    <row r="18" spans="2:54">
      <c r="B18" s="212" t="s">
        <v>327</v>
      </c>
      <c r="X18" s="212" t="s">
        <v>371</v>
      </c>
      <c r="AS18" s="212" t="s">
        <v>496</v>
      </c>
      <c r="BB18" s="212" t="s">
        <v>558</v>
      </c>
    </row>
    <row r="19" spans="2:54">
      <c r="B19" s="212" t="s">
        <v>328</v>
      </c>
      <c r="AS19" s="212" t="s">
        <v>497</v>
      </c>
      <c r="BB19" s="212" t="s">
        <v>559</v>
      </c>
    </row>
    <row r="20" spans="2:54">
      <c r="B20" s="212" t="s">
        <v>329</v>
      </c>
      <c r="X20" s="212" t="s">
        <v>372</v>
      </c>
      <c r="BB20" s="212" t="s">
        <v>560</v>
      </c>
    </row>
    <row r="21" spans="2:54">
      <c r="B21" s="212" t="s">
        <v>360</v>
      </c>
      <c r="BB21" s="212" t="s">
        <v>561</v>
      </c>
    </row>
    <row r="22" spans="2:54">
      <c r="B22" s="212" t="s">
        <v>330</v>
      </c>
      <c r="X22" s="212" t="s">
        <v>373</v>
      </c>
    </row>
    <row r="23" spans="2:54">
      <c r="BB23" s="212" t="s">
        <v>543</v>
      </c>
    </row>
    <row r="24" spans="2:54">
      <c r="B24" s="212" t="s">
        <v>331</v>
      </c>
      <c r="X24" s="212" t="s">
        <v>374</v>
      </c>
      <c r="BB24" s="212" t="s">
        <v>544</v>
      </c>
    </row>
    <row r="25" spans="2:54">
      <c r="B25" s="212" t="s">
        <v>332</v>
      </c>
      <c r="BB25" s="212" t="s">
        <v>545</v>
      </c>
    </row>
    <row r="26" spans="2:54">
      <c r="B26" s="212" t="s">
        <v>333</v>
      </c>
      <c r="X26" s="212" t="s">
        <v>375</v>
      </c>
      <c r="BB26" s="212" t="s">
        <v>546</v>
      </c>
    </row>
    <row r="27" spans="2:54">
      <c r="B27" s="212" t="s">
        <v>334</v>
      </c>
      <c r="BB27" s="212" t="s">
        <v>547</v>
      </c>
    </row>
    <row r="28" spans="2:54">
      <c r="B28" s="212" t="s">
        <v>335</v>
      </c>
      <c r="X28" s="212" t="s">
        <v>376</v>
      </c>
      <c r="BB28" s="212" t="s">
        <v>548</v>
      </c>
    </row>
    <row r="30" spans="2:54">
      <c r="B30" s="212" t="s">
        <v>336</v>
      </c>
      <c r="X30" s="212" t="s">
        <v>377</v>
      </c>
      <c r="BB30" s="212" t="s">
        <v>549</v>
      </c>
    </row>
    <row r="31" spans="2:54">
      <c r="B31" s="212" t="s">
        <v>337</v>
      </c>
      <c r="BB31" s="212" t="s">
        <v>562</v>
      </c>
    </row>
    <row r="32" spans="2:54">
      <c r="B32" s="212" t="s">
        <v>361</v>
      </c>
      <c r="X32" s="212" t="s">
        <v>378</v>
      </c>
      <c r="BB32" s="212" t="s">
        <v>550</v>
      </c>
    </row>
    <row r="33" spans="2:54">
      <c r="B33" s="212" t="s">
        <v>338</v>
      </c>
      <c r="BB33" s="212" t="s">
        <v>551</v>
      </c>
    </row>
    <row r="34" spans="2:54">
      <c r="X34" s="212" t="s">
        <v>379</v>
      </c>
      <c r="BB34" s="212" t="s">
        <v>552</v>
      </c>
    </row>
    <row r="35" spans="2:54">
      <c r="B35" s="212" t="s">
        <v>339</v>
      </c>
    </row>
    <row r="36" spans="2:54">
      <c r="B36" s="212" t="s">
        <v>340</v>
      </c>
      <c r="BB36" s="212" t="s">
        <v>553</v>
      </c>
    </row>
    <row r="37" spans="2:54">
      <c r="B37" s="212" t="s">
        <v>341</v>
      </c>
      <c r="BB37" s="212" t="s">
        <v>554</v>
      </c>
    </row>
    <row r="38" spans="2:54">
      <c r="B38" s="212" t="s">
        <v>342</v>
      </c>
      <c r="BB38" s="212" t="s">
        <v>555</v>
      </c>
    </row>
    <row r="40" spans="2:54">
      <c r="B40" s="212" t="s">
        <v>343</v>
      </c>
    </row>
    <row r="43" spans="2:54">
      <c r="B43" s="433" t="s">
        <v>487</v>
      </c>
      <c r="C43" s="433"/>
      <c r="D43" s="433"/>
      <c r="E43" s="433"/>
      <c r="F43" s="433"/>
      <c r="G43" s="433"/>
      <c r="H43" s="433"/>
      <c r="I43" s="433"/>
      <c r="J43" s="433"/>
      <c r="K43" s="433"/>
      <c r="L43" s="433"/>
      <c r="M43" s="433"/>
      <c r="N43" s="433"/>
      <c r="O43" s="433"/>
      <c r="P43" s="433"/>
      <c r="Q43" s="433"/>
      <c r="R43" s="433"/>
      <c r="S43" s="433"/>
    </row>
    <row r="44" spans="2:54">
      <c r="B44" s="433"/>
      <c r="C44" s="433"/>
      <c r="D44" s="433"/>
      <c r="E44" s="433"/>
      <c r="F44" s="433"/>
      <c r="G44" s="433"/>
      <c r="H44" s="433"/>
      <c r="I44" s="433"/>
      <c r="J44" s="433"/>
      <c r="K44" s="433"/>
      <c r="L44" s="433"/>
      <c r="M44" s="433"/>
      <c r="N44" s="433"/>
      <c r="O44" s="433"/>
      <c r="P44" s="433"/>
      <c r="Q44" s="433"/>
      <c r="R44" s="433"/>
      <c r="S44" s="433"/>
    </row>
    <row r="47" spans="2:54">
      <c r="B47" s="212" t="s">
        <v>522</v>
      </c>
    </row>
    <row r="48" spans="2:54">
      <c r="B48" s="212" t="s">
        <v>523</v>
      </c>
    </row>
    <row r="50" spans="2:17" ht="15.75">
      <c r="B50" s="212" t="s">
        <v>524</v>
      </c>
    </row>
    <row r="51" spans="2:17">
      <c r="B51" s="212" t="s">
        <v>525</v>
      </c>
    </row>
    <row r="53" spans="2:17" ht="15">
      <c r="B53" s="70" t="s">
        <v>527</v>
      </c>
      <c r="C53" s="70"/>
    </row>
    <row r="54" spans="2:17" ht="12.75" customHeight="1">
      <c r="B54" s="433" t="s">
        <v>528</v>
      </c>
      <c r="C54" s="433"/>
      <c r="D54" s="433"/>
      <c r="E54" s="433"/>
      <c r="F54" s="433"/>
      <c r="G54" s="433"/>
      <c r="H54" s="433"/>
      <c r="I54" s="433"/>
      <c r="J54" s="433"/>
      <c r="K54" s="433"/>
      <c r="L54" s="433"/>
      <c r="M54" s="433"/>
      <c r="N54" s="433"/>
      <c r="O54" s="433"/>
      <c r="P54" s="433"/>
      <c r="Q54" s="433"/>
    </row>
    <row r="55" spans="2:17">
      <c r="B55" s="433"/>
      <c r="C55" s="433"/>
      <c r="D55" s="433"/>
      <c r="E55" s="433"/>
      <c r="F55" s="433"/>
      <c r="G55" s="433"/>
      <c r="H55" s="433"/>
      <c r="I55" s="433"/>
      <c r="J55" s="433"/>
      <c r="K55" s="433"/>
      <c r="L55" s="433"/>
      <c r="M55" s="433"/>
      <c r="N55" s="433"/>
      <c r="O55" s="433"/>
      <c r="P55" s="433"/>
      <c r="Q55" s="433"/>
    </row>
    <row r="56" spans="2:17">
      <c r="B56" s="433"/>
      <c r="C56" s="433"/>
      <c r="D56" s="433"/>
      <c r="E56" s="433"/>
      <c r="F56" s="433"/>
      <c r="G56" s="433"/>
      <c r="H56" s="433"/>
      <c r="I56" s="433"/>
      <c r="J56" s="433"/>
      <c r="K56" s="433"/>
      <c r="L56" s="433"/>
      <c r="M56" s="433"/>
      <c r="N56" s="433"/>
      <c r="O56" s="433"/>
      <c r="P56" s="433"/>
      <c r="Q56" s="433"/>
    </row>
    <row r="58" spans="2:17">
      <c r="B58" s="434" t="s">
        <v>529</v>
      </c>
      <c r="C58" s="434"/>
      <c r="D58" s="434"/>
      <c r="E58" s="434"/>
      <c r="F58" s="434"/>
      <c r="G58" s="434"/>
      <c r="H58" s="434"/>
      <c r="I58" s="434"/>
      <c r="J58" s="434"/>
      <c r="K58" s="434"/>
      <c r="L58" s="434"/>
      <c r="M58" s="434"/>
      <c r="N58" s="434"/>
      <c r="O58" s="434"/>
      <c r="P58" s="434"/>
      <c r="Q58" s="434"/>
    </row>
    <row r="59" spans="2:17">
      <c r="B59" s="434"/>
      <c r="C59" s="434"/>
      <c r="D59" s="434"/>
      <c r="E59" s="434"/>
      <c r="F59" s="434"/>
      <c r="G59" s="434"/>
      <c r="H59" s="434"/>
      <c r="I59" s="434"/>
      <c r="J59" s="434"/>
      <c r="K59" s="434"/>
      <c r="L59" s="434"/>
      <c r="M59" s="434"/>
      <c r="N59" s="434"/>
      <c r="O59" s="434"/>
      <c r="P59" s="434"/>
      <c r="Q59" s="434"/>
    </row>
    <row r="60" spans="2:17">
      <c r="B60" s="434"/>
      <c r="C60" s="434"/>
      <c r="D60" s="434"/>
      <c r="E60" s="434"/>
      <c r="F60" s="434"/>
      <c r="G60" s="434"/>
      <c r="H60" s="434"/>
      <c r="I60" s="434"/>
      <c r="J60" s="434"/>
      <c r="K60" s="434"/>
      <c r="L60" s="434"/>
      <c r="M60" s="434"/>
      <c r="N60" s="434"/>
      <c r="O60" s="434"/>
      <c r="P60" s="434"/>
      <c r="Q60" s="434"/>
    </row>
    <row r="61" spans="2:17">
      <c r="B61" s="434" t="s">
        <v>530</v>
      </c>
      <c r="C61" s="434"/>
      <c r="D61" s="434"/>
      <c r="E61" s="434"/>
      <c r="F61" s="434"/>
      <c r="G61" s="434"/>
      <c r="H61" s="434"/>
      <c r="I61" s="434"/>
      <c r="J61" s="434"/>
      <c r="K61" s="434"/>
      <c r="L61" s="434"/>
      <c r="M61" s="434"/>
      <c r="N61" s="434"/>
      <c r="O61" s="434"/>
      <c r="P61" s="434"/>
      <c r="Q61" s="434"/>
    </row>
    <row r="62" spans="2:17">
      <c r="B62" s="434"/>
      <c r="C62" s="434"/>
      <c r="D62" s="434"/>
      <c r="E62" s="434"/>
      <c r="F62" s="434"/>
      <c r="G62" s="434"/>
      <c r="H62" s="434"/>
      <c r="I62" s="434"/>
      <c r="J62" s="434"/>
      <c r="K62" s="434"/>
      <c r="L62" s="434"/>
      <c r="M62" s="434"/>
      <c r="N62" s="434"/>
      <c r="O62" s="434"/>
      <c r="P62" s="434"/>
      <c r="Q62" s="434"/>
    </row>
    <row r="63" spans="2:17">
      <c r="B63" s="434"/>
      <c r="C63" s="434"/>
      <c r="D63" s="434"/>
      <c r="E63" s="434"/>
      <c r="F63" s="434"/>
      <c r="G63" s="434"/>
      <c r="H63" s="434"/>
      <c r="I63" s="434"/>
      <c r="J63" s="434"/>
      <c r="K63" s="434"/>
      <c r="L63" s="434"/>
      <c r="M63" s="434"/>
      <c r="N63" s="434"/>
      <c r="O63" s="434"/>
      <c r="P63" s="434"/>
      <c r="Q63" s="434"/>
    </row>
    <row r="65" spans="2:17">
      <c r="B65" s="434" t="s">
        <v>531</v>
      </c>
      <c r="C65" s="434"/>
      <c r="D65" s="434"/>
      <c r="E65" s="434"/>
      <c r="F65" s="434"/>
      <c r="G65" s="434"/>
      <c r="H65" s="434"/>
      <c r="I65" s="434"/>
      <c r="J65" s="434"/>
      <c r="K65" s="434"/>
      <c r="L65" s="434"/>
      <c r="M65" s="434"/>
      <c r="N65" s="434"/>
      <c r="O65" s="434"/>
      <c r="P65" s="434"/>
      <c r="Q65" s="434"/>
    </row>
    <row r="66" spans="2:17">
      <c r="B66" s="434"/>
      <c r="C66" s="434"/>
      <c r="D66" s="434"/>
      <c r="E66" s="434"/>
      <c r="F66" s="434"/>
      <c r="G66" s="434"/>
      <c r="H66" s="434"/>
      <c r="I66" s="434"/>
      <c r="J66" s="434"/>
      <c r="K66" s="434"/>
      <c r="L66" s="434"/>
      <c r="M66" s="434"/>
      <c r="N66" s="434"/>
      <c r="O66" s="434"/>
      <c r="P66" s="434"/>
      <c r="Q66" s="434"/>
    </row>
    <row r="67" spans="2:17">
      <c r="B67" s="434"/>
      <c r="C67" s="434"/>
      <c r="D67" s="434"/>
      <c r="E67" s="434"/>
      <c r="F67" s="434"/>
      <c r="G67" s="434"/>
      <c r="H67" s="434"/>
      <c r="I67" s="434"/>
      <c r="J67" s="434"/>
      <c r="K67" s="434"/>
      <c r="L67" s="434"/>
      <c r="M67" s="434"/>
      <c r="N67" s="434"/>
      <c r="O67" s="434"/>
      <c r="P67" s="434"/>
      <c r="Q67" s="434"/>
    </row>
  </sheetData>
  <mergeCells count="5">
    <mergeCell ref="B43:S44"/>
    <mergeCell ref="B54:Q56"/>
    <mergeCell ref="B58:Q60"/>
    <mergeCell ref="B61:Q63"/>
    <mergeCell ref="B65:Q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61"/>
  <sheetViews>
    <sheetView showGridLines="0" workbookViewId="0"/>
  </sheetViews>
  <sheetFormatPr defaultColWidth="9.140625" defaultRowHeight="12.75"/>
  <cols>
    <col min="1" max="1" width="28.5703125" style="8" bestFit="1" customWidth="1"/>
    <col min="2" max="2" width="10" style="8" customWidth="1"/>
    <col min="3" max="3" width="8.7109375" style="196" customWidth="1"/>
    <col min="4" max="4" width="21" style="8" customWidth="1"/>
    <col min="5" max="5" width="8.7109375" style="8" customWidth="1"/>
    <col min="6" max="9" width="11.5703125" style="8" bestFit="1" customWidth="1"/>
    <col min="10" max="10" width="13.140625" style="8" customWidth="1"/>
    <col min="11" max="11" width="16.7109375" style="8" customWidth="1"/>
    <col min="12" max="12" width="12.28515625" style="8" customWidth="1"/>
    <col min="13" max="13" width="14.85546875" style="8" customWidth="1"/>
    <col min="14" max="16384" width="9.140625" style="8"/>
  </cols>
  <sheetData>
    <row r="1" spans="1:14" customFormat="1" ht="15">
      <c r="C1" s="194"/>
    </row>
    <row r="5" spans="1:14">
      <c r="A5" s="369"/>
      <c r="B5" s="369"/>
      <c r="C5" s="369"/>
      <c r="D5" s="369"/>
      <c r="E5" s="369"/>
      <c r="F5" s="369"/>
      <c r="G5" s="369"/>
      <c r="H5" s="369"/>
      <c r="I5" s="369"/>
      <c r="J5" s="369"/>
      <c r="K5" s="369"/>
    </row>
    <row r="6" spans="1:14">
      <c r="A6" s="376"/>
      <c r="B6" s="376"/>
      <c r="C6" s="376"/>
      <c r="D6" s="376"/>
      <c r="E6" s="376"/>
      <c r="F6" s="376"/>
      <c r="G6" s="376"/>
      <c r="H6" s="376"/>
      <c r="I6" s="376"/>
      <c r="J6" s="376"/>
      <c r="K6" s="376"/>
    </row>
    <row r="7" spans="1:14">
      <c r="A7" s="372" t="s">
        <v>44</v>
      </c>
      <c r="B7" s="373"/>
      <c r="C7" s="195"/>
      <c r="D7" s="190" t="s">
        <v>55</v>
      </c>
      <c r="E7" s="21" t="s">
        <v>97</v>
      </c>
      <c r="F7" s="21" t="s">
        <v>98</v>
      </c>
      <c r="G7" s="21" t="s">
        <v>99</v>
      </c>
      <c r="H7" s="21" t="s">
        <v>100</v>
      </c>
      <c r="I7" s="21" t="s">
        <v>101</v>
      </c>
      <c r="J7" s="21" t="s">
        <v>287</v>
      </c>
      <c r="K7" s="20" t="s">
        <v>31</v>
      </c>
    </row>
    <row r="8" spans="1:14">
      <c r="A8" s="9" t="s">
        <v>36</v>
      </c>
      <c r="B8" s="167">
        <f>'Screener Input'!B8</f>
        <v>5843.55</v>
      </c>
      <c r="D8" s="8" t="s">
        <v>308</v>
      </c>
      <c r="E8" s="10">
        <f>'Screener Output'!L76</f>
        <v>62.797919229867077</v>
      </c>
      <c r="F8" s="10">
        <f>'Screener Output'!K76</f>
        <v>46.452612520638276</v>
      </c>
      <c r="G8" s="10">
        <f>'Screener Output'!J76</f>
        <v>40.092524300161756</v>
      </c>
      <c r="H8" s="310">
        <f>'Screener Output'!I76</f>
        <v>38.339980813923098</v>
      </c>
      <c r="I8" s="310">
        <f>'Screener Output'!H76</f>
        <v>26.388497511605561</v>
      </c>
      <c r="J8" s="10"/>
    </row>
    <row r="9" spans="1:14" ht="15.75">
      <c r="A9" s="9" t="s">
        <v>355</v>
      </c>
      <c r="B9" s="16">
        <f>'Screener Output'!M74</f>
        <v>87.117060001125438</v>
      </c>
      <c r="C9" s="197"/>
      <c r="D9" s="171" t="s">
        <v>35</v>
      </c>
      <c r="E9" s="10">
        <f>'Screener Output'!L74</f>
        <v>83.64460490757439</v>
      </c>
      <c r="F9" s="10">
        <f>'Screener Output'!K74</f>
        <v>73.70533275128173</v>
      </c>
      <c r="G9" s="10">
        <f>'Screener Output'!J74</f>
        <v>68.728851727325207</v>
      </c>
      <c r="H9" s="10">
        <f>'Screener Output'!I74</f>
        <v>57.422172710125757</v>
      </c>
      <c r="I9" s="10">
        <f>'Screener Output'!H74</f>
        <v>32.966217444453157</v>
      </c>
      <c r="J9" s="10">
        <f>'Screener Output'!G74</f>
        <v>21.710791095630679</v>
      </c>
      <c r="K9" s="166">
        <f>(E9/J9)^(1/5)-1</f>
        <v>0.30964158609176384</v>
      </c>
    </row>
    <row r="10" spans="1:14" ht="15.75">
      <c r="A10" s="9" t="s">
        <v>356</v>
      </c>
      <c r="B10" s="16">
        <f>SUM('Screener Input'!D49:G49)/'Screener Input'!K93</f>
        <v>73.423809404344595</v>
      </c>
      <c r="C10" s="197"/>
      <c r="D10" s="171" t="s">
        <v>33</v>
      </c>
      <c r="E10" s="10">
        <f>'Screener Output'!L75</f>
        <v>24.998511566981968</v>
      </c>
      <c r="F10" s="10">
        <f>'Screener Output'!K75</f>
        <v>21.999850584348113</v>
      </c>
      <c r="G10" s="10">
        <f>'Screener Output'!J75</f>
        <v>20.004031645877962</v>
      </c>
      <c r="H10" s="10">
        <f>'Screener Output'!I75</f>
        <v>16.003228663056657</v>
      </c>
      <c r="I10" s="10">
        <f>'Screener Output'!H75</f>
        <v>12.002421497292492</v>
      </c>
      <c r="J10" s="10">
        <f>'Screener Output'!G75</f>
        <v>8.5019290602620021</v>
      </c>
      <c r="K10" s="166">
        <f>(E10/J10)^(1/5)-1</f>
        <v>0.24073586107285938</v>
      </c>
      <c r="N10" s="226"/>
    </row>
    <row r="11" spans="1:14">
      <c r="A11" s="9" t="s">
        <v>37</v>
      </c>
      <c r="B11" s="16">
        <f>'Screener Output'!L73</f>
        <v>283.71265803085663</v>
      </c>
      <c r="C11" s="197"/>
      <c r="D11" s="8" t="s">
        <v>309</v>
      </c>
      <c r="E11" s="10">
        <f>'Screener Output'!L78</f>
        <v>18.514179731905774</v>
      </c>
      <c r="F11" s="10">
        <f>'Screener Output'!K78</f>
        <v>15.237219051975931</v>
      </c>
      <c r="G11" s="10">
        <f>'Screener Output'!J78</f>
        <v>15.805234876954117</v>
      </c>
      <c r="H11" s="310">
        <f>'Screener Output'!I78</f>
        <v>21.204909114616381</v>
      </c>
      <c r="I11" s="310">
        <f>'Screener Output'!H78</f>
        <v>13.071747617763542</v>
      </c>
    </row>
    <row r="12" spans="1:14">
      <c r="A12" s="171" t="s">
        <v>42</v>
      </c>
      <c r="B12" s="170">
        <f>Analysis!M4</f>
        <v>0.30706088549510746</v>
      </c>
      <c r="C12" s="198"/>
      <c r="D12" s="171" t="s">
        <v>37</v>
      </c>
      <c r="E12" s="163">
        <f>'Screener Output'!L73</f>
        <v>283.71265803085663</v>
      </c>
      <c r="F12" s="163">
        <f>'Screener Output'!K73</f>
        <v>224.70014057821191</v>
      </c>
      <c r="G12" s="163">
        <f>'Screener Output'!J73</f>
        <v>174.34180380437505</v>
      </c>
      <c r="H12" s="163">
        <f>'Screener Output'!I73</f>
        <v>103.82336411347683</v>
      </c>
      <c r="I12" s="163">
        <f>'Screener Output'!H73</f>
        <v>66.550316945978267</v>
      </c>
      <c r="J12" s="163">
        <f>'Screener Output'!G73</f>
        <v>46.482008928364124</v>
      </c>
      <c r="K12" s="166">
        <f>(E12/J12)^(1/5)-1</f>
        <v>0.43588204387578577</v>
      </c>
    </row>
    <row r="13" spans="1:14">
      <c r="A13" s="9" t="s">
        <v>295</v>
      </c>
      <c r="B13" s="16">
        <f>B8/B9</f>
        <v>67.076988134407998</v>
      </c>
      <c r="C13" s="197"/>
      <c r="D13" s="171"/>
      <c r="E13" s="11"/>
      <c r="F13" s="11"/>
      <c r="G13" s="11"/>
      <c r="H13" s="11"/>
      <c r="I13" s="11"/>
      <c r="J13" s="11"/>
      <c r="K13" s="166"/>
    </row>
    <row r="14" spans="1:14">
      <c r="A14" s="9" t="s">
        <v>39</v>
      </c>
      <c r="B14" s="186">
        <f>B9/B8</f>
        <v>1.4908242421323586E-2</v>
      </c>
      <c r="C14" s="199"/>
      <c r="D14" s="171" t="s">
        <v>43</v>
      </c>
      <c r="E14" s="11">
        <f>E10/E9</f>
        <v>0.29886579767583121</v>
      </c>
      <c r="F14" s="11">
        <f>F10/F9</f>
        <v>0.29848383777855664</v>
      </c>
      <c r="G14" s="11">
        <f>G10/G9</f>
        <v>0.29105726551699046</v>
      </c>
      <c r="H14" s="11">
        <f>H10/H9</f>
        <v>0.27869423791821563</v>
      </c>
      <c r="I14" s="11">
        <f>I10/I9</f>
        <v>0.36408245858100413</v>
      </c>
      <c r="J14" s="11"/>
      <c r="K14" s="11"/>
    </row>
    <row r="15" spans="1:14">
      <c r="A15" s="9" t="s">
        <v>40</v>
      </c>
      <c r="B15" s="186">
        <f>'Screener Output'!L75/B8</f>
        <v>4.2779665728849697E-3</v>
      </c>
      <c r="C15" s="199"/>
      <c r="D15" s="191"/>
      <c r="E15" s="179"/>
      <c r="F15" s="13"/>
      <c r="G15" s="13"/>
      <c r="H15" s="13"/>
      <c r="I15" s="13"/>
      <c r="J15" s="13"/>
      <c r="K15" s="13"/>
      <c r="M15" s="226"/>
    </row>
    <row r="16" spans="1:14">
      <c r="A16" s="9" t="s">
        <v>296</v>
      </c>
      <c r="B16" s="16">
        <f>B8/B11</f>
        <v>20.596719372896132</v>
      </c>
      <c r="C16" s="197"/>
      <c r="D16" s="192" t="s">
        <v>47</v>
      </c>
      <c r="E16" s="15">
        <v>0</v>
      </c>
      <c r="F16" s="9">
        <v>1</v>
      </c>
      <c r="G16" s="9">
        <v>2</v>
      </c>
      <c r="H16" s="9">
        <v>3</v>
      </c>
      <c r="I16" s="9">
        <v>4</v>
      </c>
      <c r="J16" s="9">
        <v>10</v>
      </c>
      <c r="M16" s="225"/>
    </row>
    <row r="17" spans="1:13">
      <c r="A17" s="9" t="s">
        <v>230</v>
      </c>
      <c r="B17" s="16">
        <f>B13/100/K9</f>
        <v>2.1662784053343982</v>
      </c>
      <c r="C17" s="199"/>
      <c r="D17" s="171" t="s">
        <v>291</v>
      </c>
      <c r="E17" s="163"/>
      <c r="F17" s="163"/>
      <c r="G17" s="163"/>
      <c r="H17" s="163"/>
      <c r="I17" s="163"/>
      <c r="J17" s="347">
        <f>IF($A$29=1, IF($A$28=2,M43, $E$12*(1+$K$12)^J16), IF($A$28=2,K43, $E$12*(1+Valuation_Table!$C$60)^J16))</f>
        <v>357.83984423439802</v>
      </c>
      <c r="M17" s="228"/>
    </row>
    <row r="18" spans="1:13">
      <c r="A18" s="374" t="s">
        <v>45</v>
      </c>
      <c r="B18" s="375"/>
      <c r="C18" s="200"/>
      <c r="D18" s="171" t="s">
        <v>33</v>
      </c>
      <c r="E18" s="10"/>
      <c r="F18" s="10"/>
      <c r="G18" s="10"/>
      <c r="H18" s="10"/>
      <c r="I18" s="10"/>
      <c r="J18" s="10"/>
      <c r="M18" s="227"/>
    </row>
    <row r="19" spans="1:13">
      <c r="A19" s="9" t="s">
        <v>306</v>
      </c>
      <c r="B19" s="187">
        <f>Analysis!M3</f>
        <v>0.37089440344613706</v>
      </c>
      <c r="C19" s="201"/>
      <c r="D19" s="171"/>
      <c r="E19" s="12"/>
      <c r="F19" s="13"/>
      <c r="G19" s="13"/>
      <c r="H19" s="13"/>
      <c r="I19" s="13"/>
      <c r="J19" s="13"/>
      <c r="K19" s="13"/>
    </row>
    <row r="20" spans="1:13">
      <c r="A20" s="9" t="s">
        <v>46</v>
      </c>
      <c r="B20" s="186">
        <f>AVERAGE(E14:I14)</f>
        <v>0.30623671949411962</v>
      </c>
      <c r="C20" s="199"/>
      <c r="D20" s="171" t="s">
        <v>519</v>
      </c>
      <c r="E20" s="167">
        <f>J17</f>
        <v>357.83984423439802</v>
      </c>
      <c r="F20" s="13"/>
      <c r="G20" s="13"/>
      <c r="H20" s="13"/>
      <c r="I20" s="13"/>
      <c r="J20" s="13"/>
      <c r="K20" s="13"/>
    </row>
    <row r="21" spans="1:13">
      <c r="A21" s="9" t="s">
        <v>289</v>
      </c>
      <c r="B21" s="16">
        <f>AVERAGE(E8:G8,B13)</f>
        <v>54.105011046268778</v>
      </c>
      <c r="C21" s="197"/>
      <c r="D21" s="8" t="s">
        <v>310</v>
      </c>
      <c r="E21" s="181">
        <f>B8*B24</f>
        <v>467.48400000000004</v>
      </c>
    </row>
    <row r="22" spans="1:13">
      <c r="A22" s="9" t="s">
        <v>290</v>
      </c>
      <c r="B22" s="16">
        <f>AVERAGE(E11:G11,B16)</f>
        <v>17.538338258432987</v>
      </c>
      <c r="C22" s="197"/>
      <c r="D22" s="171" t="s">
        <v>520</v>
      </c>
      <c r="E22" s="167">
        <f>B20*M43</f>
        <v>109.5837000026288</v>
      </c>
      <c r="F22" s="13"/>
      <c r="G22" s="169"/>
      <c r="H22" s="13"/>
      <c r="I22" s="13"/>
      <c r="J22" s="13"/>
      <c r="K22" s="13"/>
    </row>
    <row r="23" spans="1:13">
      <c r="A23" s="78" t="s">
        <v>75</v>
      </c>
      <c r="B23" s="188"/>
      <c r="C23" s="202"/>
      <c r="D23" s="171" t="s">
        <v>50</v>
      </c>
      <c r="E23" s="167">
        <f>IF(A28=2, E20*I44, E20*B22)</f>
        <v>19360.928725097205</v>
      </c>
      <c r="F23" s="13"/>
      <c r="G23" s="13"/>
      <c r="H23" s="13"/>
      <c r="I23" s="13"/>
      <c r="J23" s="13"/>
      <c r="K23" s="13"/>
    </row>
    <row r="24" spans="1:13">
      <c r="A24" s="8" t="s">
        <v>135</v>
      </c>
      <c r="B24" s="189">
        <f>Valuation_Table!C61</f>
        <v>0.08</v>
      </c>
      <c r="C24" s="203"/>
      <c r="D24" s="171" t="s">
        <v>304</v>
      </c>
      <c r="E24" s="167">
        <f>E23+E22</f>
        <v>19470.512425099834</v>
      </c>
      <c r="F24" s="206"/>
      <c r="G24" s="13"/>
      <c r="H24" s="13"/>
      <c r="I24" s="13"/>
      <c r="J24" s="13"/>
      <c r="K24" s="13"/>
    </row>
    <row r="25" spans="1:13">
      <c r="A25" s="9" t="s">
        <v>288</v>
      </c>
      <c r="B25" s="167">
        <f>IF(A28=2, B21*B9, B22*B11)</f>
        <v>4713.4694936793521</v>
      </c>
      <c r="C25" s="204"/>
      <c r="D25" s="193"/>
      <c r="E25" s="14"/>
      <c r="F25" s="13"/>
      <c r="G25" s="13"/>
      <c r="H25" s="13"/>
      <c r="I25" s="13"/>
      <c r="J25" s="13"/>
      <c r="K25" s="13"/>
    </row>
    <row r="26" spans="1:13">
      <c r="A26" s="9" t="s">
        <v>53</v>
      </c>
      <c r="B26" s="167">
        <f>E24/((1+B24)^5)</f>
        <v>13251.303594159857</v>
      </c>
      <c r="C26" s="204"/>
      <c r="D26" s="192" t="s">
        <v>52</v>
      </c>
      <c r="E26" s="15" t="s">
        <v>76</v>
      </c>
      <c r="F26" s="9">
        <v>1</v>
      </c>
      <c r="G26" s="9">
        <v>2</v>
      </c>
      <c r="H26" s="9">
        <v>3</v>
      </c>
      <c r="I26" s="9">
        <v>4</v>
      </c>
      <c r="J26" s="9">
        <v>5</v>
      </c>
    </row>
    <row r="27" spans="1:13">
      <c r="A27" s="9" t="s">
        <v>54</v>
      </c>
      <c r="B27" s="167">
        <f>E32/(1+B24)^5</f>
        <v>8425.1041233774849</v>
      </c>
      <c r="C27" s="204"/>
      <c r="D27" s="171" t="s">
        <v>37</v>
      </c>
      <c r="E27" s="163">
        <f>E12</f>
        <v>283.71265803085663</v>
      </c>
      <c r="F27" s="163">
        <f>E27+E28-E29</f>
        <v>344.15127536526506</v>
      </c>
      <c r="G27" s="163">
        <f>F27+F28-F29</f>
        <v>417.46498431753764</v>
      </c>
      <c r="H27" s="163">
        <f>G27+G28-G29</f>
        <v>506.3965343329703</v>
      </c>
      <c r="I27" s="163">
        <f>H27+H28-H29</f>
        <v>614.2729560987284</v>
      </c>
      <c r="J27" s="163">
        <f>I27+I28-I29</f>
        <v>745.13002955538423</v>
      </c>
    </row>
    <row r="28" spans="1:13">
      <c r="A28" s="168">
        <v>2</v>
      </c>
      <c r="D28" s="171" t="s">
        <v>35</v>
      </c>
      <c r="E28" s="163">
        <f t="shared" ref="E28:J28" si="0">IF($A$30=1, E27*$B$12, E27*$B$19)</f>
        <v>87.117060001125452</v>
      </c>
      <c r="F28" s="163">
        <f t="shared" si="0"/>
        <v>105.67539535792885</v>
      </c>
      <c r="G28" s="163">
        <f t="shared" si="0"/>
        <v>128.18716774774427</v>
      </c>
      <c r="H28" s="163">
        <f t="shared" si="0"/>
        <v>155.49456824393545</v>
      </c>
      <c r="I28" s="163">
        <f t="shared" si="0"/>
        <v>188.6191978353728</v>
      </c>
      <c r="J28" s="163">
        <f t="shared" si="0"/>
        <v>228.80028668427187</v>
      </c>
    </row>
    <row r="29" spans="1:13">
      <c r="A29" s="168">
        <v>1</v>
      </c>
      <c r="D29" s="171" t="s">
        <v>33</v>
      </c>
      <c r="E29" s="10">
        <f>E28*B20</f>
        <v>26.678442666717043</v>
      </c>
      <c r="F29" s="10">
        <f>F28*B20</f>
        <v>32.361686405656251</v>
      </c>
      <c r="G29" s="10">
        <f>G28*B20</f>
        <v>39.25561773231162</v>
      </c>
      <c r="H29" s="10">
        <f>H28*B20</f>
        <v>47.618146478177302</v>
      </c>
      <c r="I29" s="10">
        <f>I28*B20</f>
        <v>57.762124378716919</v>
      </c>
      <c r="J29" s="10">
        <f>J28*B20</f>
        <v>70.067049213505513</v>
      </c>
    </row>
    <row r="30" spans="1:13">
      <c r="A30" s="168">
        <v>1</v>
      </c>
      <c r="D30" s="171" t="s">
        <v>48</v>
      </c>
      <c r="E30" s="16">
        <f>J28</f>
        <v>228.80028668427187</v>
      </c>
      <c r="F30" s="13"/>
      <c r="G30" s="13"/>
      <c r="H30" s="13"/>
      <c r="I30" s="13"/>
      <c r="J30" s="13"/>
      <c r="K30" s="13"/>
    </row>
    <row r="31" spans="1:13">
      <c r="D31" s="171" t="s">
        <v>49</v>
      </c>
      <c r="E31" s="16">
        <f>SUM(E29:J29)</f>
        <v>273.74306687508465</v>
      </c>
      <c r="F31" s="13"/>
      <c r="G31" s="13"/>
      <c r="H31" s="13"/>
      <c r="I31" s="13"/>
      <c r="J31" s="13"/>
      <c r="K31" s="13"/>
    </row>
    <row r="32" spans="1:13">
      <c r="D32" s="171" t="s">
        <v>50</v>
      </c>
      <c r="E32" s="16">
        <f>B21*E30</f>
        <v>12379.242038441993</v>
      </c>
      <c r="F32" s="13"/>
      <c r="G32" s="13"/>
      <c r="H32" s="13"/>
      <c r="I32" s="13"/>
      <c r="J32" s="13"/>
      <c r="K32" s="13"/>
    </row>
    <row r="33" spans="1:13">
      <c r="D33" s="171" t="s">
        <v>51</v>
      </c>
      <c r="E33" s="16">
        <f>E32+E31</f>
        <v>12652.985105317077</v>
      </c>
      <c r="F33" s="13"/>
      <c r="G33" s="13"/>
      <c r="H33" s="13"/>
      <c r="I33" s="13"/>
      <c r="J33" s="13"/>
      <c r="K33" s="13"/>
    </row>
    <row r="34" spans="1:13">
      <c r="D34" s="193"/>
      <c r="E34" s="14"/>
      <c r="F34" s="13"/>
      <c r="G34" s="13"/>
      <c r="H34" s="13"/>
      <c r="I34" s="13"/>
      <c r="J34" s="13"/>
      <c r="K34" s="13"/>
    </row>
    <row r="37" spans="1:13">
      <c r="A37" s="348" t="s">
        <v>508</v>
      </c>
    </row>
    <row r="38" spans="1:13" ht="19.5" customHeight="1">
      <c r="A38" s="329" t="s">
        <v>55</v>
      </c>
      <c r="B38" s="21" t="s">
        <v>461</v>
      </c>
      <c r="C38" s="21" t="s">
        <v>97</v>
      </c>
      <c r="D38" s="21" t="s">
        <v>98</v>
      </c>
      <c r="E38" s="21" t="s">
        <v>99</v>
      </c>
      <c r="F38" s="21" t="s">
        <v>100</v>
      </c>
      <c r="G38" s="21" t="s">
        <v>101</v>
      </c>
      <c r="H38" s="21" t="s">
        <v>287</v>
      </c>
      <c r="I38" s="330" t="s">
        <v>191</v>
      </c>
      <c r="J38" s="330" t="s">
        <v>190</v>
      </c>
      <c r="K38" s="330" t="s">
        <v>514</v>
      </c>
      <c r="L38" s="330"/>
      <c r="M38" s="330" t="s">
        <v>503</v>
      </c>
    </row>
    <row r="39" spans="1:13">
      <c r="A39" s="331" t="s">
        <v>500</v>
      </c>
      <c r="B39" s="332"/>
      <c r="C39" s="332"/>
      <c r="D39" s="332"/>
      <c r="E39" s="332"/>
      <c r="F39" s="333"/>
      <c r="G39" s="333"/>
      <c r="H39" s="332"/>
      <c r="I39" s="334"/>
      <c r="J39" s="334"/>
      <c r="K39" s="334"/>
      <c r="L39" s="334"/>
      <c r="M39" s="334"/>
    </row>
    <row r="40" spans="1:13">
      <c r="A40" s="335" t="s">
        <v>498</v>
      </c>
      <c r="B40" s="332"/>
      <c r="C40" s="332"/>
      <c r="D40" s="332"/>
      <c r="E40" s="332"/>
      <c r="F40" s="332"/>
      <c r="G40" s="332"/>
      <c r="H40" s="332"/>
      <c r="I40" s="336"/>
      <c r="J40" s="336"/>
      <c r="K40" s="336"/>
      <c r="L40" s="336"/>
      <c r="M40" s="336"/>
    </row>
    <row r="41" spans="1:13">
      <c r="A41" s="335" t="s">
        <v>499</v>
      </c>
      <c r="B41" s="343">
        <f>'Screener Output'!M25/'Screener Input'!K93</f>
        <v>863.54102729431338</v>
      </c>
      <c r="C41" s="343">
        <f>'Screener Output'!L25/'Screener Input'!K93</f>
        <v>839.6161531980888</v>
      </c>
      <c r="D41" s="343">
        <f>'Screener Output'!K25/'Screener Input'!K93</f>
        <v>766.67460608665999</v>
      </c>
      <c r="E41" s="343">
        <f>'Screener Output'!J25/'Screener Input'!K93</f>
        <v>709.78181520994974</v>
      </c>
      <c r="F41" s="343">
        <f>'Screener Output'!I25/'Screener Input'!K93</f>
        <v>675.19219776572129</v>
      </c>
      <c r="G41" s="343">
        <f>'Screener Output'!H25/'Screener Input'!K93</f>
        <v>578.57315462541851</v>
      </c>
      <c r="H41" s="343">
        <f>'Screener Output'!G25/'Screener Input'!K93</f>
        <v>519.54808141733611</v>
      </c>
      <c r="I41" s="344">
        <f>Revenue!D5</f>
        <v>0.106958771903642</v>
      </c>
      <c r="J41" s="344">
        <f>Revenue!C5</f>
        <v>0.128097673658919</v>
      </c>
      <c r="K41" s="346"/>
      <c r="L41" s="340"/>
      <c r="M41" s="340">
        <f>B41*                                  (1+                   (             IF(MIN(I41:J41) &gt;0.25, 0.25,MIN(I41:J41) )                   )                  )                                      ^10</f>
        <v>2385.5989615626536</v>
      </c>
    </row>
    <row r="42" spans="1:13">
      <c r="A42" s="335" t="s">
        <v>501</v>
      </c>
      <c r="B42" s="345">
        <f>'Screener Output'!M127</f>
        <v>0.10088352174080788</v>
      </c>
      <c r="C42" s="345">
        <f>'Screener Output'!L127</f>
        <v>9.9613505866853941E-2</v>
      </c>
      <c r="D42" s="345">
        <f>'Screener Output'!K127</f>
        <v>9.6074475562841724E-2</v>
      </c>
      <c r="E42" s="345">
        <f>'Screener Output'!J127</f>
        <v>9.6737928881733146E-2</v>
      </c>
      <c r="F42" s="345">
        <f>'Screener Output'!I127</f>
        <v>8.4931473051823914E-2</v>
      </c>
      <c r="G42" s="345">
        <f>'Screener Output'!H127</f>
        <v>5.6971337258684564E-2</v>
      </c>
      <c r="H42" s="345">
        <f>'Screener Output'!G127</f>
        <v>4.166312633764311E-2</v>
      </c>
      <c r="I42" s="345">
        <f>IF(POWER('Screener Output'!M127/'Screener Output'!G127,1/5)-1&gt;0, POWER('Screener Output'!M127/'Screener Output'!G127,1/5)-1, 0)</f>
        <v>0.19347596079714768</v>
      </c>
      <c r="J42" s="345">
        <f>IF(POWER('Screener Output'!M127/'Screener Output'!C127,1/10)-1&gt;0, POWER('Screener Output'!M127/'Screener Output'!C127,1/10)-1,0)</f>
        <v>9.4539356724751E-2</v>
      </c>
      <c r="K42" s="342"/>
      <c r="L42" s="342"/>
      <c r="M42" s="342">
        <f>IF(B42*(1+MIN(I42:J42))^10&gt;0.15, 0.15, B42*(1+MIN(I42:J42))^10)</f>
        <v>0.15</v>
      </c>
    </row>
    <row r="43" spans="1:13">
      <c r="A43" s="335" t="s">
        <v>502</v>
      </c>
      <c r="B43" s="340"/>
      <c r="C43" s="340"/>
      <c r="D43" s="340"/>
      <c r="E43" s="340"/>
      <c r="F43" s="340"/>
      <c r="G43" s="340"/>
      <c r="H43" s="340"/>
      <c r="I43" s="336"/>
      <c r="J43" s="336"/>
      <c r="K43" s="338">
        <f>(B41*(1+$B53)^10)*C$52</f>
        <v>270.5723647207106</v>
      </c>
      <c r="L43" s="340"/>
      <c r="M43" s="340">
        <f>M41*M42</f>
        <v>357.83984423439802</v>
      </c>
    </row>
    <row r="44" spans="1:13" ht="13.5" customHeight="1">
      <c r="A44" s="335" t="s">
        <v>504</v>
      </c>
      <c r="B44" s="337"/>
      <c r="C44" s="337"/>
      <c r="D44" s="337"/>
      <c r="E44" s="337"/>
      <c r="F44" s="337"/>
      <c r="G44" s="337"/>
      <c r="H44" s="337"/>
      <c r="I44" s="338">
        <f>AVERAGE(E8:G8,B13)</f>
        <v>54.105011046268778</v>
      </c>
      <c r="J44" s="336"/>
      <c r="K44" s="338">
        <f>I44</f>
        <v>54.105011046268778</v>
      </c>
      <c r="L44" s="336"/>
      <c r="M44" s="336"/>
    </row>
    <row r="45" spans="1:13">
      <c r="A45" s="335" t="s">
        <v>505</v>
      </c>
      <c r="B45" s="337"/>
      <c r="C45" s="337"/>
      <c r="D45" s="337"/>
      <c r="E45" s="337"/>
      <c r="F45" s="337"/>
      <c r="G45" s="337"/>
      <c r="H45" s="337"/>
      <c r="I45" s="336"/>
      <c r="J45" s="336"/>
      <c r="K45" s="338"/>
      <c r="L45" s="338"/>
      <c r="M45" s="340">
        <f>M43*I44</f>
        <v>19360.928725097205</v>
      </c>
    </row>
    <row r="46" spans="1:13">
      <c r="A46" s="335" t="s">
        <v>507</v>
      </c>
      <c r="B46" s="337">
        <f>B8/B41</f>
        <v>6.7669627907654615</v>
      </c>
      <c r="C46" s="337"/>
      <c r="D46" s="337"/>
      <c r="E46" s="337"/>
      <c r="F46" s="337"/>
      <c r="G46" s="337"/>
      <c r="H46" s="337"/>
      <c r="I46" s="336"/>
      <c r="J46" s="336"/>
      <c r="K46" s="337"/>
      <c r="L46" s="337"/>
      <c r="M46" s="339">
        <f>M45/M41</f>
        <v>8.1157516569403167</v>
      </c>
    </row>
    <row r="47" spans="1:13">
      <c r="A47" s="335" t="s">
        <v>506</v>
      </c>
      <c r="B47" s="337"/>
      <c r="C47" s="337"/>
      <c r="D47" s="337"/>
      <c r="E47" s="337"/>
      <c r="F47" s="337"/>
      <c r="G47" s="337"/>
      <c r="H47" s="337"/>
      <c r="I47" s="336"/>
      <c r="J47" s="336"/>
      <c r="K47" s="350"/>
      <c r="L47" s="342"/>
      <c r="M47" s="342">
        <f>POWER(M45/B8,1/10)-1</f>
        <v>0.12726219465360766</v>
      </c>
    </row>
    <row r="49" spans="1:5">
      <c r="A49" s="348" t="s">
        <v>521</v>
      </c>
    </row>
    <row r="50" spans="1:5">
      <c r="A50" s="371" t="s">
        <v>513</v>
      </c>
      <c r="B50" s="371"/>
      <c r="C50" s="370" t="s">
        <v>405</v>
      </c>
      <c r="D50" s="370"/>
      <c r="E50" s="370"/>
    </row>
    <row r="51" spans="1:5">
      <c r="A51" s="371"/>
      <c r="B51" s="371"/>
      <c r="C51" s="330" t="s">
        <v>461</v>
      </c>
      <c r="D51" s="330" t="s">
        <v>512</v>
      </c>
      <c r="E51" s="330" t="s">
        <v>515</v>
      </c>
    </row>
    <row r="52" spans="1:5">
      <c r="A52" s="330" t="s">
        <v>509</v>
      </c>
      <c r="B52" s="351"/>
      <c r="C52" s="354">
        <f>B42</f>
        <v>0.10088352174080788</v>
      </c>
      <c r="D52" s="355">
        <f>C52+1%</f>
        <v>0.11088352174080787</v>
      </c>
      <c r="E52" s="355">
        <f>B42+1.5%</f>
        <v>0.11588352174080788</v>
      </c>
    </row>
    <row r="53" spans="1:5">
      <c r="A53" s="336" t="s">
        <v>510</v>
      </c>
      <c r="B53" s="352">
        <f>Valuation_Table!C60</f>
        <v>0.12</v>
      </c>
      <c r="C53" s="356">
        <f>POWER((($B$41*(1+$B53)^10)*C$52*$K$44)/$B$8, 1/10)-1</f>
        <v>9.6186416808810016E-2</v>
      </c>
      <c r="D53" s="356">
        <f t="shared" ref="D53:E55" si="1">POWER((($B$41*(1+$B53)^10)*D$52*$K$44)/$B$8, 1/10)-1</f>
        <v>0.10659599461554281</v>
      </c>
      <c r="E53" s="356">
        <f t="shared" si="1"/>
        <v>0.11148744480731154</v>
      </c>
    </row>
    <row r="54" spans="1:5">
      <c r="A54" s="349" t="s">
        <v>511</v>
      </c>
      <c r="B54" s="352">
        <f>B53+2%</f>
        <v>0.13999999999999999</v>
      </c>
      <c r="C54" s="356">
        <f t="shared" ref="C54:C55" si="2">POWER((($B$41*(1+$B54)^10)*C$52*$K$44)/$B$8, 1/10)-1</f>
        <v>0.11576117425182453</v>
      </c>
      <c r="D54" s="356">
        <f t="shared" si="1"/>
        <v>0.12635663737653458</v>
      </c>
      <c r="E54" s="356">
        <f t="shared" si="1"/>
        <v>0.13133543489315636</v>
      </c>
    </row>
    <row r="55" spans="1:5">
      <c r="A55" s="349" t="s">
        <v>516</v>
      </c>
      <c r="B55" s="353">
        <f>B53+3%</f>
        <v>0.15</v>
      </c>
      <c r="C55" s="356">
        <f t="shared" si="2"/>
        <v>0.12554855297333156</v>
      </c>
      <c r="D55" s="356">
        <f t="shared" si="1"/>
        <v>0.13623695875703024</v>
      </c>
      <c r="E55" s="356">
        <f t="shared" si="1"/>
        <v>0.14125942993607876</v>
      </c>
    </row>
    <row r="59" spans="1:5">
      <c r="A59" s="177" t="s">
        <v>307</v>
      </c>
      <c r="B59" s="175" t="s">
        <v>81</v>
      </c>
      <c r="C59" s="175" t="s">
        <v>176</v>
      </c>
    </row>
    <row r="60" spans="1:5">
      <c r="A60" s="175" t="s">
        <v>305</v>
      </c>
      <c r="B60" s="175"/>
      <c r="C60" s="176">
        <v>0.12</v>
      </c>
    </row>
    <row r="61" spans="1:5">
      <c r="A61" s="175" t="s">
        <v>135</v>
      </c>
      <c r="B61" s="175"/>
      <c r="C61" s="176">
        <v>0.08</v>
      </c>
    </row>
  </sheetData>
  <mergeCells count="6">
    <mergeCell ref="A5:K5"/>
    <mergeCell ref="C50:E50"/>
    <mergeCell ref="A50:B51"/>
    <mergeCell ref="A7:B7"/>
    <mergeCell ref="A18:B18"/>
    <mergeCell ref="A6:K6"/>
  </mergeCells>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5</xdr:col>
                    <xdr:colOff>333375</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4</xdr:col>
                    <xdr:colOff>247650</xdr:colOff>
                    <xdr:row>2</xdr:row>
                    <xdr:rowOff>133350</xdr:rowOff>
                  </from>
                  <to>
                    <xdr:col>5</xdr:col>
                    <xdr:colOff>142875</xdr:colOff>
                    <xdr:row>4</xdr:row>
                    <xdr:rowOff>28575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6</xdr:col>
                    <xdr:colOff>600075</xdr:colOff>
                    <xdr:row>2</xdr:row>
                    <xdr:rowOff>0</xdr:rowOff>
                  </from>
                  <to>
                    <xdr:col>9</xdr:col>
                    <xdr:colOff>190500</xdr:colOff>
                    <xdr:row>4</xdr:row>
                    <xdr:rowOff>133350</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8</xdr:col>
                    <xdr:colOff>219075</xdr:colOff>
                    <xdr:row>2</xdr:row>
                    <xdr:rowOff>123825</xdr:rowOff>
                  </from>
                  <to>
                    <xdr:col>9</xdr:col>
                    <xdr:colOff>28575</xdr:colOff>
                    <xdr:row>4</xdr:row>
                    <xdr:rowOff>19050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
  <sheetViews>
    <sheetView showGridLines="0" workbookViewId="0"/>
  </sheetViews>
  <sheetFormatPr defaultColWidth="22.140625" defaultRowHeight="20.100000000000001" customHeight="1"/>
  <cols>
    <col min="1" max="3" width="22.140625" style="79"/>
    <col min="4" max="4" width="8.85546875" style="79" customWidth="1"/>
    <col min="5" max="5" width="4" style="80" customWidth="1"/>
    <col min="6" max="6" width="11.42578125" style="271"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68" t="s">
        <v>136</v>
      </c>
      <c r="B2" s="269"/>
      <c r="C2" s="269"/>
      <c r="E2" s="81" t="s">
        <v>137</v>
      </c>
      <c r="F2" s="272"/>
      <c r="G2" s="82" t="s">
        <v>138</v>
      </c>
      <c r="H2" s="83" t="s">
        <v>139</v>
      </c>
      <c r="I2" s="83" t="s">
        <v>140</v>
      </c>
      <c r="J2" s="83" t="s">
        <v>141</v>
      </c>
      <c r="K2" s="83" t="s">
        <v>142</v>
      </c>
      <c r="L2" s="83" t="s">
        <v>66</v>
      </c>
      <c r="M2" s="83"/>
    </row>
    <row r="3" spans="1:13" ht="20.100000000000001" customHeight="1">
      <c r="A3" s="84" t="s">
        <v>143</v>
      </c>
      <c r="B3" s="84" t="s">
        <v>144</v>
      </c>
      <c r="C3" s="84" t="s">
        <v>145</v>
      </c>
      <c r="E3" s="85"/>
      <c r="F3" s="273"/>
      <c r="G3" s="266" t="s">
        <v>146</v>
      </c>
      <c r="H3" s="267"/>
      <c r="I3" s="267"/>
      <c r="J3" s="267"/>
      <c r="K3" s="281">
        <f>SUM(K4:K14)</f>
        <v>50</v>
      </c>
      <c r="L3" s="85">
        <f>SUM(L4:L14)</f>
        <v>47</v>
      </c>
      <c r="M3" s="86"/>
    </row>
    <row r="4" spans="1:13" ht="30" customHeight="1">
      <c r="A4" s="87" t="s">
        <v>147</v>
      </c>
      <c r="B4" s="282">
        <f>Scorecard!K3</f>
        <v>50</v>
      </c>
      <c r="C4" s="280">
        <f>Scorecard!L3</f>
        <v>47</v>
      </c>
      <c r="E4" s="94">
        <v>1</v>
      </c>
      <c r="F4" s="274" t="s">
        <v>396</v>
      </c>
      <c r="G4" s="254" t="s">
        <v>430</v>
      </c>
      <c r="H4" s="88" t="s">
        <v>150</v>
      </c>
      <c r="I4" s="89">
        <f>Revenue!C5</f>
        <v>0.128097673658919</v>
      </c>
      <c r="J4" s="275" t="s">
        <v>153</v>
      </c>
      <c r="K4" s="279">
        <v>4</v>
      </c>
      <c r="L4" s="93">
        <f>Revenue!L5</f>
        <v>3</v>
      </c>
      <c r="M4" s="88"/>
    </row>
    <row r="5" spans="1:13" ht="30" customHeight="1">
      <c r="E5" s="94">
        <v>2</v>
      </c>
      <c r="F5" s="377" t="s">
        <v>431</v>
      </c>
      <c r="G5" s="254" t="s">
        <v>152</v>
      </c>
      <c r="H5" s="88" t="s">
        <v>150</v>
      </c>
      <c r="I5" s="89">
        <f>Profit!F5</f>
        <v>0.23877662958659163</v>
      </c>
      <c r="J5" s="275" t="s">
        <v>299</v>
      </c>
      <c r="K5" s="279">
        <v>5</v>
      </c>
      <c r="L5" s="93">
        <f>Profit!L5</f>
        <v>5</v>
      </c>
      <c r="M5" s="88"/>
    </row>
    <row r="6" spans="1:13" ht="30" customHeight="1">
      <c r="E6" s="94">
        <v>3</v>
      </c>
      <c r="F6" s="378"/>
      <c r="G6" s="254" t="s">
        <v>149</v>
      </c>
      <c r="H6" s="88" t="s">
        <v>150</v>
      </c>
      <c r="I6" s="89">
        <f>Profit!G5</f>
        <v>0.32033918485224477</v>
      </c>
      <c r="J6" s="275" t="s">
        <v>302</v>
      </c>
      <c r="K6" s="279">
        <v>9</v>
      </c>
      <c r="L6" s="93">
        <f>Profit!M5</f>
        <v>9</v>
      </c>
      <c r="M6" s="88"/>
    </row>
    <row r="7" spans="1:13" ht="30" customHeight="1">
      <c r="E7" s="94">
        <v>4</v>
      </c>
      <c r="F7" s="379"/>
      <c r="G7" s="254" t="s">
        <v>154</v>
      </c>
      <c r="H7" s="88" t="s">
        <v>470</v>
      </c>
      <c r="I7" s="89">
        <f>Profit!C5</f>
        <v>9.2545732359829505E-2</v>
      </c>
      <c r="J7" s="275" t="s">
        <v>155</v>
      </c>
      <c r="K7" s="279">
        <v>4</v>
      </c>
      <c r="L7" s="93">
        <f>Profit!P5</f>
        <v>3</v>
      </c>
      <c r="M7" s="88"/>
    </row>
    <row r="8" spans="1:13" ht="30" customHeight="1">
      <c r="E8" s="94"/>
      <c r="F8" s="278" t="s">
        <v>434</v>
      </c>
      <c r="G8" s="254" t="s">
        <v>148</v>
      </c>
      <c r="H8" s="88" t="s">
        <v>418</v>
      </c>
      <c r="I8" s="89">
        <f>Dupont!D4</f>
        <v>0.29974218153367738</v>
      </c>
      <c r="J8" s="275" t="s">
        <v>303</v>
      </c>
      <c r="K8" s="279">
        <f>10</f>
        <v>10</v>
      </c>
      <c r="L8" s="93">
        <f>Dupont!K4</f>
        <v>10</v>
      </c>
      <c r="M8" s="88"/>
    </row>
    <row r="9" spans="1:13" ht="30" customHeight="1">
      <c r="E9" s="94">
        <v>5</v>
      </c>
      <c r="F9" s="377" t="s">
        <v>432</v>
      </c>
      <c r="G9" s="254" t="s">
        <v>160</v>
      </c>
      <c r="H9" s="88" t="s">
        <v>161</v>
      </c>
      <c r="I9" s="91">
        <f>Efficiency!C5</f>
        <v>0.19188848095456634</v>
      </c>
      <c r="J9" s="275" t="s">
        <v>300</v>
      </c>
      <c r="K9" s="279">
        <v>3</v>
      </c>
      <c r="L9" s="93">
        <f>Efficiency!K5</f>
        <v>3</v>
      </c>
      <c r="M9" s="88"/>
    </row>
    <row r="10" spans="1:13" ht="30" customHeight="1">
      <c r="E10" s="94">
        <v>6</v>
      </c>
      <c r="F10" s="378"/>
      <c r="G10" s="254" t="s">
        <v>156</v>
      </c>
      <c r="H10" s="88" t="s">
        <v>157</v>
      </c>
      <c r="I10" s="91">
        <f>Efficiency!E5</f>
        <v>1.02848790508421</v>
      </c>
      <c r="J10" s="275" t="s">
        <v>158</v>
      </c>
      <c r="K10" s="279">
        <v>4</v>
      </c>
      <c r="L10" s="93">
        <f>Efficiency!M5</f>
        <v>4</v>
      </c>
      <c r="M10" s="88"/>
    </row>
    <row r="11" spans="1:13" ht="30" customHeight="1">
      <c r="E11" s="94">
        <v>7</v>
      </c>
      <c r="F11" s="378"/>
      <c r="G11" s="254" t="s">
        <v>163</v>
      </c>
      <c r="H11" s="88" t="s">
        <v>164</v>
      </c>
      <c r="I11" s="93">
        <f>Efficiency!F5</f>
        <v>1248.77</v>
      </c>
      <c r="J11" s="275" t="s">
        <v>165</v>
      </c>
      <c r="K11" s="279">
        <v>1</v>
      </c>
      <c r="L11" s="93">
        <f>Efficiency!N5</f>
        <v>1</v>
      </c>
      <c r="M11" s="88"/>
    </row>
    <row r="12" spans="1:13" ht="30" customHeight="1">
      <c r="E12" s="94">
        <v>8</v>
      </c>
      <c r="F12" s="379"/>
      <c r="G12" s="254" t="s">
        <v>429</v>
      </c>
      <c r="H12" s="88" t="s">
        <v>162</v>
      </c>
      <c r="I12" s="92">
        <f>Efficiency!D5</f>
        <v>0.62552916477053278</v>
      </c>
      <c r="J12" s="277" t="s">
        <v>301</v>
      </c>
      <c r="K12" s="279">
        <v>1</v>
      </c>
      <c r="L12" s="93">
        <f>Efficiency!L5</f>
        <v>0</v>
      </c>
      <c r="M12" s="88"/>
    </row>
    <row r="13" spans="1:13" ht="30" customHeight="1">
      <c r="E13" s="94">
        <v>9</v>
      </c>
      <c r="F13" s="377" t="s">
        <v>433</v>
      </c>
      <c r="G13" s="254" t="s">
        <v>151</v>
      </c>
      <c r="H13" s="90">
        <v>0</v>
      </c>
      <c r="I13" s="89">
        <f>Others!E4</f>
        <v>0</v>
      </c>
      <c r="J13" s="276"/>
      <c r="K13" s="279">
        <v>6</v>
      </c>
      <c r="L13" s="93">
        <f>Others!L4</f>
        <v>6</v>
      </c>
      <c r="M13" s="88"/>
    </row>
    <row r="14" spans="1:13" ht="30" customHeight="1">
      <c r="E14" s="94">
        <v>10</v>
      </c>
      <c r="F14" s="379"/>
      <c r="G14" s="254" t="s">
        <v>159</v>
      </c>
      <c r="H14" s="88" t="s">
        <v>312</v>
      </c>
      <c r="I14" s="185">
        <f>Others!F4</f>
        <v>0</v>
      </c>
      <c r="J14" s="275" t="s">
        <v>297</v>
      </c>
      <c r="K14" s="279">
        <v>3</v>
      </c>
      <c r="L14" s="93">
        <f>Others!M4</f>
        <v>3</v>
      </c>
      <c r="M14" s="88"/>
    </row>
  </sheetData>
  <mergeCells count="3">
    <mergeCell ref="F5:F7"/>
    <mergeCell ref="F9:F12"/>
    <mergeCell ref="F13:F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5"/>
  <sheetViews>
    <sheetView showGridLines="0" workbookViewId="0"/>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285" t="s">
        <v>396</v>
      </c>
      <c r="C3" s="96" t="s">
        <v>190</v>
      </c>
      <c r="D3" s="96" t="s">
        <v>191</v>
      </c>
      <c r="E3" s="96" t="s">
        <v>391</v>
      </c>
      <c r="F3" s="96" t="s">
        <v>447</v>
      </c>
      <c r="G3" s="96" t="s">
        <v>399</v>
      </c>
      <c r="K3" s="285" t="s">
        <v>396</v>
      </c>
      <c r="L3" s="96" t="s">
        <v>190</v>
      </c>
    </row>
    <row r="4" spans="2:22" ht="15" customHeight="1">
      <c r="B4" s="245" t="s">
        <v>394</v>
      </c>
      <c r="C4" s="286">
        <v>0.2</v>
      </c>
      <c r="D4" s="286"/>
      <c r="E4" s="286"/>
      <c r="F4" s="286"/>
      <c r="G4" s="286"/>
      <c r="K4" s="245" t="s">
        <v>397</v>
      </c>
      <c r="L4" s="284">
        <v>4</v>
      </c>
      <c r="O4" s="380"/>
      <c r="P4" s="380"/>
      <c r="Q4" s="380"/>
      <c r="R4" s="380"/>
      <c r="S4" s="380"/>
      <c r="T4" s="380"/>
    </row>
    <row r="5" spans="2:22" ht="15" customHeight="1">
      <c r="B5" s="245" t="s">
        <v>395</v>
      </c>
      <c r="C5" s="286">
        <f>POWER('Screener Output'!M25/'Screener Output'!C25,1/9)-1</f>
        <v>0.128097673658919</v>
      </c>
      <c r="D5" s="286">
        <f>POWER('Screener Output'!M25/'Screener Output'!G25,1/5)-1</f>
        <v>0.106958771903642</v>
      </c>
      <c r="E5" s="286">
        <f>POWER('Screener Output'!M25/'Screener Output'!N25,1)-1</f>
        <v>0.11186778043624912</v>
      </c>
      <c r="F5" s="286">
        <f>'Screener Output'!L191</f>
        <v>0.1247428285596226</v>
      </c>
      <c r="G5" s="286">
        <f>'Screener Output'!L142</f>
        <v>0.49150028915503041</v>
      </c>
      <c r="K5" s="245" t="s">
        <v>398</v>
      </c>
      <c r="L5" s="283">
        <f>IF(C5&gt;0.2,4,IF(AND(C5&gt;0.1,C5&lt;0.2),3,IF(AND(C5&gt;0.05,C5&lt;0.1),2,IF(AND(C5&gt;0,C5&lt;0.05),1,0))))</f>
        <v>3</v>
      </c>
      <c r="O5" s="380"/>
      <c r="P5" s="380"/>
      <c r="Q5" s="380"/>
      <c r="R5" s="380"/>
      <c r="S5" s="380"/>
      <c r="T5" s="380"/>
    </row>
    <row r="6" spans="2:22" ht="15" customHeight="1">
      <c r="E6" s="246"/>
      <c r="O6" s="380"/>
      <c r="P6" s="380"/>
      <c r="Q6" s="380"/>
      <c r="R6" s="380"/>
      <c r="S6" s="380"/>
      <c r="T6" s="380"/>
    </row>
    <row r="7" spans="2:22" ht="25.5" customHeight="1">
      <c r="B7" s="381" t="s">
        <v>479</v>
      </c>
      <c r="C7" s="381"/>
      <c r="D7" s="381"/>
      <c r="E7" s="381"/>
      <c r="F7" s="381"/>
      <c r="G7" s="381"/>
      <c r="H7" s="381"/>
      <c r="I7" s="381"/>
    </row>
    <row r="8" spans="2:22" ht="15" customHeight="1">
      <c r="B8" s="381"/>
      <c r="C8" s="381"/>
      <c r="D8" s="381"/>
      <c r="E8" s="381"/>
      <c r="F8" s="381"/>
      <c r="G8" s="381"/>
      <c r="H8" s="381"/>
      <c r="I8" s="381"/>
    </row>
    <row r="11" spans="2:22" ht="15" customHeight="1">
      <c r="B11" s="384" t="s">
        <v>387</v>
      </c>
      <c r="C11" s="384"/>
      <c r="D11" s="384"/>
      <c r="E11" s="384"/>
      <c r="F11" s="384"/>
      <c r="G11" s="384"/>
      <c r="H11" s="384"/>
      <c r="I11" s="384"/>
      <c r="K11" s="382" t="s">
        <v>388</v>
      </c>
      <c r="L11" s="382"/>
      <c r="M11" s="382"/>
      <c r="N11" s="382"/>
      <c r="O11" s="382"/>
      <c r="P11" s="382"/>
      <c r="Q11" s="382"/>
      <c r="R11" s="382"/>
      <c r="S11" s="382"/>
      <c r="T11" s="382"/>
      <c r="U11" s="243"/>
      <c r="V11" s="288"/>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77"/>
      <c r="C15" s="77"/>
      <c r="K15" s="2"/>
      <c r="L15" s="2"/>
      <c r="M15" s="2"/>
      <c r="N15" s="2"/>
      <c r="O15" s="2"/>
      <c r="P15" s="2"/>
      <c r="Q15" s="2"/>
      <c r="R15" s="2"/>
      <c r="S15" s="2"/>
      <c r="T15" s="2"/>
      <c r="U15" s="2"/>
      <c r="V15" s="2"/>
    </row>
    <row r="16" spans="2:22" ht="15" customHeight="1">
      <c r="B16" s="238"/>
      <c r="C16" s="238"/>
      <c r="K16" s="2"/>
      <c r="L16" s="2"/>
      <c r="M16" s="2"/>
      <c r="N16" s="2"/>
      <c r="O16" s="2"/>
      <c r="P16" s="2"/>
      <c r="Q16" s="2"/>
      <c r="R16" s="2"/>
      <c r="S16" s="2"/>
      <c r="T16" s="2"/>
      <c r="U16" s="2"/>
      <c r="V16" s="2"/>
    </row>
    <row r="17" spans="2:22" ht="15" customHeight="1">
      <c r="B17" s="238"/>
      <c r="C17" s="238"/>
      <c r="K17" s="2"/>
      <c r="L17" s="2"/>
      <c r="M17" s="2"/>
      <c r="N17" s="2"/>
      <c r="O17" s="2"/>
      <c r="P17" s="2"/>
      <c r="Q17" s="2"/>
      <c r="R17" s="2"/>
      <c r="S17" s="2"/>
      <c r="T17" s="2"/>
      <c r="U17" s="2"/>
      <c r="V17" s="2"/>
    </row>
    <row r="18" spans="2:22" ht="15" customHeight="1">
      <c r="B18" s="238"/>
      <c r="C18" s="238"/>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6" spans="2:22" ht="15" customHeight="1">
      <c r="B26" s="77"/>
      <c r="C26" s="77"/>
      <c r="K26" s="2"/>
      <c r="L26" s="2"/>
      <c r="M26" s="2"/>
      <c r="N26" s="2"/>
      <c r="O26" s="2"/>
      <c r="P26" s="2"/>
      <c r="Q26" s="2"/>
      <c r="R26" s="2"/>
      <c r="S26" s="2"/>
      <c r="T26" s="2"/>
      <c r="U26" s="2"/>
      <c r="V26" s="2"/>
    </row>
    <row r="29" spans="2:22" ht="15" customHeight="1">
      <c r="B29" s="382" t="s">
        <v>390</v>
      </c>
      <c r="C29" s="382"/>
      <c r="D29" s="382"/>
      <c r="E29" s="382"/>
      <c r="F29" s="382"/>
      <c r="G29" s="382"/>
      <c r="H29" s="382"/>
      <c r="I29" s="382"/>
      <c r="K29" s="382" t="s">
        <v>389</v>
      </c>
      <c r="L29" s="382"/>
      <c r="M29" s="382"/>
      <c r="N29" s="382"/>
      <c r="O29" s="382"/>
      <c r="P29" s="382"/>
      <c r="Q29" s="382"/>
      <c r="R29" s="382"/>
      <c r="S29" s="382"/>
      <c r="T29" s="382"/>
      <c r="U29" s="243"/>
      <c r="V29" s="288"/>
    </row>
    <row r="30" spans="2:22" ht="15" customHeight="1">
      <c r="B30" s="239"/>
      <c r="C30" s="239"/>
      <c r="K30" s="2"/>
      <c r="L30" s="2"/>
      <c r="M30" s="2"/>
      <c r="N30" s="2"/>
      <c r="O30" s="2"/>
      <c r="P30" s="2"/>
      <c r="Q30" s="2"/>
      <c r="R30" s="2"/>
      <c r="S30" s="2"/>
      <c r="T30" s="2"/>
      <c r="U30" s="2"/>
      <c r="V30" s="2"/>
    </row>
    <row r="31" spans="2:22" ht="15" customHeight="1">
      <c r="B31" s="239"/>
      <c r="C31" s="239"/>
      <c r="K31" s="2"/>
      <c r="L31" s="2"/>
      <c r="M31" s="2"/>
      <c r="N31" s="2"/>
      <c r="O31" s="2"/>
      <c r="P31" s="2"/>
      <c r="Q31" s="2"/>
      <c r="R31" s="2"/>
      <c r="S31" s="2"/>
      <c r="T31" s="2"/>
      <c r="U31" s="2"/>
      <c r="V31" s="2"/>
    </row>
    <row r="32" spans="2:22" ht="15" customHeight="1">
      <c r="B32" s="239"/>
      <c r="C32" s="239"/>
      <c r="K32" s="2"/>
      <c r="L32" s="2"/>
      <c r="M32" s="2"/>
      <c r="N32" s="2"/>
      <c r="O32" s="2"/>
      <c r="P32" s="2"/>
      <c r="Q32" s="2"/>
      <c r="R32" s="2"/>
      <c r="S32" s="2"/>
      <c r="T32" s="2"/>
      <c r="U32" s="2"/>
      <c r="V32" s="2"/>
    </row>
    <row r="33" spans="2:22" ht="15" customHeight="1">
      <c r="B33" s="77"/>
      <c r="C33" s="77"/>
      <c r="K33" s="2"/>
      <c r="L33" s="2"/>
      <c r="M33" s="2"/>
      <c r="N33" s="2"/>
      <c r="O33" s="2"/>
      <c r="P33" s="2"/>
      <c r="Q33" s="2"/>
      <c r="R33" s="2"/>
      <c r="S33" s="2"/>
      <c r="T33" s="2"/>
      <c r="U33" s="2"/>
      <c r="V33" s="2"/>
    </row>
    <row r="34" spans="2:22" ht="15" customHeight="1">
      <c r="B34" s="208"/>
      <c r="C34" s="208"/>
      <c r="K34" s="2"/>
      <c r="L34" s="2"/>
      <c r="M34" s="2"/>
      <c r="N34" s="2"/>
      <c r="O34" s="2"/>
      <c r="P34" s="2"/>
      <c r="Q34" s="2"/>
      <c r="R34" s="2"/>
      <c r="S34" s="2"/>
      <c r="T34" s="2"/>
      <c r="U34" s="2"/>
      <c r="V34" s="2"/>
    </row>
    <row r="35" spans="2:22" ht="15" customHeight="1">
      <c r="B35" s="208"/>
      <c r="C35" s="208"/>
      <c r="K35" s="2"/>
      <c r="L35" s="2"/>
      <c r="M35" s="2"/>
      <c r="N35" s="2"/>
      <c r="O35" s="2"/>
      <c r="P35" s="2"/>
      <c r="Q35" s="2"/>
      <c r="R35" s="2"/>
      <c r="S35" s="2"/>
      <c r="T35" s="2"/>
      <c r="U35" s="2"/>
      <c r="V35" s="2"/>
    </row>
    <row r="36" spans="2:22" ht="15" customHeight="1">
      <c r="B36" s="208"/>
      <c r="C36" s="208"/>
      <c r="K36" s="2"/>
      <c r="L36" s="2"/>
      <c r="M36" s="2"/>
      <c r="N36" s="2"/>
      <c r="O36" s="2"/>
      <c r="P36" s="2"/>
      <c r="Q36" s="2"/>
      <c r="R36" s="2"/>
      <c r="S36" s="2"/>
      <c r="T36" s="2"/>
      <c r="U36" s="2"/>
      <c r="V36" s="2"/>
    </row>
    <row r="37" spans="2:22" ht="15" customHeight="1">
      <c r="B37" s="208"/>
      <c r="C37" s="208"/>
      <c r="K37" s="2"/>
      <c r="L37" s="2"/>
      <c r="M37" s="2"/>
      <c r="N37" s="2"/>
      <c r="O37" s="2"/>
      <c r="P37" s="2"/>
      <c r="Q37" s="2"/>
      <c r="R37" s="2"/>
      <c r="S37" s="2"/>
      <c r="T37" s="2"/>
      <c r="U37" s="2"/>
      <c r="V37" s="2"/>
    </row>
    <row r="38" spans="2:22" ht="15" customHeight="1">
      <c r="B38" s="208"/>
      <c r="C38" s="208"/>
      <c r="K38" s="2"/>
      <c r="L38" s="2"/>
      <c r="M38" s="2"/>
      <c r="N38" s="2"/>
      <c r="O38" s="2"/>
      <c r="P38" s="2"/>
      <c r="Q38" s="2"/>
      <c r="R38" s="2"/>
      <c r="S38" s="2"/>
      <c r="T38" s="2"/>
      <c r="U38" s="2"/>
      <c r="V38" s="2"/>
    </row>
    <row r="39" spans="2:22" ht="15" customHeight="1">
      <c r="B39" s="208"/>
      <c r="C39" s="208"/>
      <c r="K39" s="2"/>
      <c r="L39" s="2"/>
      <c r="M39" s="2"/>
      <c r="N39" s="2"/>
      <c r="O39" s="2"/>
      <c r="P39" s="2"/>
      <c r="Q39" s="2"/>
      <c r="R39" s="2"/>
      <c r="S39" s="2"/>
      <c r="T39" s="2"/>
      <c r="U39" s="2"/>
      <c r="V39" s="2"/>
    </row>
    <row r="40" spans="2:22" ht="15" customHeight="1">
      <c r="B40" s="208"/>
      <c r="C40" s="208"/>
      <c r="K40" s="2"/>
      <c r="L40" s="2"/>
      <c r="M40" s="2"/>
      <c r="N40" s="2"/>
      <c r="O40" s="2"/>
      <c r="P40" s="2"/>
      <c r="Q40" s="2"/>
      <c r="R40" s="2"/>
      <c r="S40" s="2"/>
      <c r="T40" s="2"/>
      <c r="U40" s="2"/>
      <c r="V40" s="2"/>
    </row>
    <row r="41" spans="2:22" ht="15" customHeight="1">
      <c r="B41" s="208"/>
      <c r="C41" s="208"/>
      <c r="K41" s="2"/>
      <c r="L41" s="2"/>
      <c r="M41" s="2"/>
      <c r="N41" s="2"/>
      <c r="O41" s="2"/>
      <c r="P41" s="2"/>
      <c r="Q41" s="2"/>
      <c r="R41" s="2"/>
      <c r="S41" s="2"/>
      <c r="T41" s="2"/>
      <c r="U41" s="2"/>
      <c r="V41" s="2"/>
    </row>
    <row r="42" spans="2:22" ht="15" customHeight="1">
      <c r="B42" s="208"/>
      <c r="C42" s="208"/>
      <c r="K42" s="2"/>
      <c r="L42" s="2"/>
      <c r="M42" s="2"/>
      <c r="N42" s="2"/>
      <c r="O42" s="2"/>
      <c r="P42" s="2"/>
      <c r="Q42" s="2"/>
      <c r="R42" s="2"/>
      <c r="S42" s="2"/>
      <c r="T42" s="2"/>
      <c r="U42" s="2"/>
      <c r="V42" s="2"/>
    </row>
    <row r="43" spans="2:22" ht="15" customHeight="1">
      <c r="B43" s="208"/>
      <c r="C43" s="208"/>
      <c r="K43" s="2"/>
      <c r="L43" s="2"/>
      <c r="M43" s="2"/>
      <c r="N43" s="2"/>
      <c r="O43" s="2"/>
      <c r="P43" s="2"/>
      <c r="Q43" s="2"/>
      <c r="R43" s="2"/>
      <c r="S43" s="2"/>
      <c r="T43" s="2"/>
      <c r="U43" s="2"/>
      <c r="V43" s="2"/>
    </row>
    <row r="44" spans="2:22" ht="15" customHeight="1">
      <c r="B44" s="208"/>
      <c r="C44" s="208"/>
      <c r="K44" s="2"/>
      <c r="L44" s="2"/>
      <c r="M44" s="2"/>
      <c r="N44" s="2"/>
      <c r="O44" s="2"/>
      <c r="P44" s="2"/>
      <c r="Q44" s="2"/>
      <c r="R44" s="2"/>
      <c r="S44" s="2"/>
      <c r="T44" s="2"/>
      <c r="U44" s="2"/>
      <c r="V44" s="2"/>
    </row>
    <row r="48" spans="2:22" ht="15" customHeight="1">
      <c r="B48" s="311" t="s">
        <v>412</v>
      </c>
      <c r="C48" s="311"/>
      <c r="D48" s="311"/>
      <c r="E48" s="311"/>
      <c r="F48" s="311"/>
      <c r="G48" s="311"/>
      <c r="H48" s="311"/>
      <c r="I48" s="311"/>
      <c r="K48" s="382" t="s">
        <v>465</v>
      </c>
      <c r="L48" s="382"/>
      <c r="M48" s="382"/>
      <c r="N48" s="382"/>
      <c r="O48" s="382"/>
      <c r="P48" s="382"/>
      <c r="Q48" s="382"/>
      <c r="R48" s="382"/>
      <c r="S48" s="382"/>
      <c r="T48" s="382"/>
      <c r="U48" s="243"/>
    </row>
    <row r="62" spans="2:21" ht="15" customHeight="1">
      <c r="B62" s="383" t="s">
        <v>423</v>
      </c>
      <c r="C62" s="383"/>
      <c r="D62" s="383"/>
      <c r="E62" s="383"/>
      <c r="F62" s="383"/>
      <c r="G62" s="383"/>
      <c r="H62" s="383"/>
      <c r="I62" s="383"/>
    </row>
    <row r="64" spans="2:21" ht="15" customHeight="1">
      <c r="K64" s="381" t="s">
        <v>477</v>
      </c>
      <c r="L64" s="381"/>
      <c r="M64" s="381"/>
      <c r="N64" s="381"/>
      <c r="O64" s="381"/>
      <c r="P64" s="381"/>
      <c r="Q64" s="381"/>
      <c r="R64" s="381"/>
      <c r="S64" s="381"/>
      <c r="T64" s="381"/>
      <c r="U64" s="381"/>
    </row>
    <row r="65" spans="11:21" ht="15" customHeight="1">
      <c r="K65" s="381"/>
      <c r="L65" s="381"/>
      <c r="M65" s="381"/>
      <c r="N65" s="381"/>
      <c r="O65" s="381"/>
      <c r="P65" s="381"/>
      <c r="Q65" s="381"/>
      <c r="R65" s="381"/>
      <c r="S65" s="381"/>
      <c r="T65" s="381"/>
      <c r="U65" s="381"/>
    </row>
  </sheetData>
  <mergeCells count="21">
    <mergeCell ref="B62:I62"/>
    <mergeCell ref="B29:I29"/>
    <mergeCell ref="K64:U65"/>
    <mergeCell ref="B11:I11"/>
    <mergeCell ref="K11:L11"/>
    <mergeCell ref="M11:N11"/>
    <mergeCell ref="O11:P11"/>
    <mergeCell ref="Q11:R11"/>
    <mergeCell ref="S11:T11"/>
    <mergeCell ref="O4:T6"/>
    <mergeCell ref="B7:I8"/>
    <mergeCell ref="S29:T29"/>
    <mergeCell ref="K48:L48"/>
    <mergeCell ref="M48:N48"/>
    <mergeCell ref="O48:P48"/>
    <mergeCell ref="Q48:R48"/>
    <mergeCell ref="S48:T48"/>
    <mergeCell ref="K29:L29"/>
    <mergeCell ref="M29:N29"/>
    <mergeCell ref="O29:P29"/>
    <mergeCell ref="Q29:R2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51"/>
  <sheetViews>
    <sheetView showGridLines="0" workbookViewId="0"/>
  </sheetViews>
  <sheetFormatPr defaultRowHeight="18" customHeight="1"/>
  <cols>
    <col min="1" max="1" width="5.7109375" customWidth="1"/>
    <col min="2" max="2" width="9.85546875" customWidth="1"/>
    <col min="5" max="5" width="12.28515625" customWidth="1"/>
    <col min="10" max="10" width="7.28515625" customWidth="1"/>
    <col min="11" max="11" width="13" customWidth="1"/>
    <col min="15" max="15" width="11.5703125" customWidth="1"/>
  </cols>
  <sheetData>
    <row r="3" spans="2:22" ht="18" customHeight="1">
      <c r="B3" s="387" t="s">
        <v>409</v>
      </c>
      <c r="C3" s="388"/>
      <c r="E3" s="285"/>
      <c r="F3" s="96" t="s">
        <v>190</v>
      </c>
      <c r="G3" s="96" t="s">
        <v>191</v>
      </c>
      <c r="H3" s="96" t="s">
        <v>391</v>
      </c>
      <c r="K3" s="285" t="s">
        <v>35</v>
      </c>
      <c r="L3" s="96" t="s">
        <v>190</v>
      </c>
      <c r="M3" s="96" t="s">
        <v>191</v>
      </c>
      <c r="O3" s="387" t="s">
        <v>409</v>
      </c>
      <c r="P3" s="388"/>
      <c r="S3" s="96" t="s">
        <v>448</v>
      </c>
    </row>
    <row r="4" spans="2:22" ht="27" customHeight="1">
      <c r="B4" s="245" t="s">
        <v>410</v>
      </c>
      <c r="C4" s="286">
        <v>0.1</v>
      </c>
      <c r="E4" s="245" t="s">
        <v>473</v>
      </c>
      <c r="F4" s="286">
        <v>0.2</v>
      </c>
      <c r="G4" s="286">
        <v>0.2</v>
      </c>
      <c r="H4" s="286"/>
      <c r="K4" s="245" t="s">
        <v>471</v>
      </c>
      <c r="L4" s="287">
        <v>5</v>
      </c>
      <c r="M4" s="287">
        <v>9</v>
      </c>
      <c r="O4" s="245" t="s">
        <v>397</v>
      </c>
      <c r="P4" s="287">
        <v>4</v>
      </c>
      <c r="S4" s="286"/>
    </row>
    <row r="5" spans="2:22" ht="18" customHeight="1">
      <c r="B5" s="245" t="s">
        <v>140</v>
      </c>
      <c r="C5" s="286">
        <f>SUM('Screener Output'!H35:M35)/SUM('Screener Output'!H26:M26)</f>
        <v>9.2545732359829505E-2</v>
      </c>
      <c r="E5" s="245" t="s">
        <v>474</v>
      </c>
      <c r="F5" s="286">
        <f>('Screener Output'!M74/'Screener Output'!C74)^(1/9)-1</f>
        <v>0.23877662958659163</v>
      </c>
      <c r="G5" s="286">
        <f>('Screener Output'!M74/'Screener Output'!G74)^(1/5)-1</f>
        <v>0.32033918485224477</v>
      </c>
      <c r="H5" s="286">
        <f>('Screener Output'!M74/'Screener Output'!N74)^(1/1)-1</f>
        <v>0.18649605227334609</v>
      </c>
      <c r="K5" s="245" t="s">
        <v>472</v>
      </c>
      <c r="L5" s="287">
        <f>IF(F5&gt;0.2,5,IF(AND(F5&gt;0.1,F5&lt;0.2),3,IF(AND(F5&gt;0.05,F5&lt;0.1),1,IF(AND(F5&gt;0,F5&lt;0.05),1,0))))</f>
        <v>5</v>
      </c>
      <c r="M5" s="287">
        <f>IF(G5&gt;0.2,9,IF(AND(G5&gt;0.1,G5&lt;0.2),7,IF(AND(G5&gt;0.05,G5&lt;0.1),3,IF(AND(G5&gt;0,G5&lt;0.05),1,0))))</f>
        <v>9</v>
      </c>
      <c r="O5" s="245" t="s">
        <v>398</v>
      </c>
      <c r="P5" s="287">
        <f>IF(C5&gt;0.1,4,IF(AND(C5&gt;0.08,C5&lt;0.1),3,IF(AND(C5&gt;0.05,C5&lt;0.08),2,IF(AND(C5&gt;0.03,C5&lt;0.05),1,0))))</f>
        <v>3</v>
      </c>
      <c r="S5" s="286">
        <f>'Screener Output'!L193</f>
        <v>0.19415139737183029</v>
      </c>
    </row>
    <row r="6" spans="2:22" ht="18" customHeight="1">
      <c r="E6" s="245" t="s">
        <v>475</v>
      </c>
      <c r="F6" s="286">
        <f>POWER('Screener Output'!M35/'Screener Output'!C35,1/9)-1</f>
        <v>0.24720294698205758</v>
      </c>
      <c r="G6" s="286">
        <f>POWER('Screener Output'!M35/'Screener Output'!G35,1/5)-1</f>
        <v>0.32112868386052984</v>
      </c>
      <c r="H6" s="286">
        <f>('Screener Output'!M35/'Screener Output'!N35)^(1/1)-1</f>
        <v>0.18649605227334587</v>
      </c>
    </row>
    <row r="8" spans="2:22" ht="18" customHeight="1">
      <c r="B8" s="381" t="s">
        <v>480</v>
      </c>
      <c r="C8" s="381"/>
      <c r="D8" s="381"/>
      <c r="E8" s="381"/>
      <c r="F8" s="381"/>
      <c r="G8" s="381"/>
      <c r="H8" s="381"/>
    </row>
    <row r="9" spans="2:22" ht="18" customHeight="1">
      <c r="B9" s="381"/>
      <c r="C9" s="381"/>
      <c r="D9" s="381"/>
      <c r="E9" s="381"/>
      <c r="F9" s="381"/>
      <c r="G9" s="381"/>
      <c r="H9" s="381"/>
    </row>
    <row r="11" spans="2:22" ht="18" customHeight="1">
      <c r="B11" s="384" t="s">
        <v>386</v>
      </c>
      <c r="C11" s="384"/>
      <c r="D11" s="382"/>
      <c r="E11" s="382"/>
      <c r="F11" s="382"/>
      <c r="G11" s="382"/>
      <c r="H11" s="382"/>
      <c r="I11" s="382"/>
      <c r="J11" s="253"/>
      <c r="K11" s="382" t="s">
        <v>408</v>
      </c>
      <c r="L11" s="382"/>
      <c r="M11" s="382"/>
      <c r="N11" s="382"/>
      <c r="O11" s="382"/>
      <c r="P11" s="382"/>
      <c r="Q11" s="382"/>
      <c r="R11" s="382"/>
      <c r="S11" s="385"/>
      <c r="T11" s="385"/>
      <c r="U11" s="385"/>
      <c r="V11" s="385"/>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8:22" ht="18" customHeight="1">
      <c r="H17" s="2"/>
      <c r="I17" s="2"/>
      <c r="J17" s="2"/>
      <c r="K17" s="2"/>
      <c r="L17" s="2"/>
      <c r="M17" s="2"/>
      <c r="N17" s="2"/>
      <c r="O17" s="2"/>
      <c r="P17" s="2"/>
      <c r="Q17" s="2"/>
      <c r="R17" s="2"/>
      <c r="S17" s="2"/>
      <c r="T17" s="2"/>
      <c r="U17" s="2"/>
      <c r="V17" s="2"/>
    </row>
    <row r="18" spans="8:22" ht="18" customHeight="1">
      <c r="H18" s="2"/>
      <c r="I18" s="2"/>
      <c r="J18" s="2"/>
      <c r="K18" s="2"/>
      <c r="L18" s="2"/>
      <c r="M18" s="2"/>
      <c r="N18" s="2"/>
      <c r="O18" s="2"/>
      <c r="P18" s="2"/>
      <c r="Q18" s="2"/>
      <c r="R18" s="2"/>
      <c r="S18" s="2"/>
      <c r="T18" s="2"/>
      <c r="U18" s="2"/>
      <c r="V18" s="2"/>
    </row>
    <row r="19" spans="8:22" ht="18" customHeight="1">
      <c r="H19" s="2"/>
      <c r="I19" s="2"/>
      <c r="J19" s="2"/>
      <c r="K19" s="2"/>
      <c r="L19" s="2"/>
      <c r="M19" s="2"/>
      <c r="N19" s="2"/>
      <c r="O19" s="2"/>
      <c r="P19" s="2"/>
      <c r="Q19" s="2"/>
      <c r="R19" s="2"/>
      <c r="S19" s="2"/>
      <c r="T19" s="2"/>
      <c r="U19" s="2"/>
      <c r="V19" s="2"/>
    </row>
    <row r="20" spans="8:22" ht="18" customHeight="1">
      <c r="H20" s="2"/>
      <c r="I20" s="2"/>
      <c r="J20" s="2"/>
      <c r="K20" s="2"/>
      <c r="L20" s="2"/>
      <c r="M20" s="2"/>
      <c r="N20" s="2"/>
      <c r="O20" s="2"/>
      <c r="P20" s="2"/>
      <c r="Q20" s="2"/>
      <c r="R20" s="2"/>
      <c r="S20" s="2"/>
      <c r="T20" s="2"/>
      <c r="U20" s="2"/>
      <c r="V20" s="2"/>
    </row>
    <row r="21" spans="8:22" ht="18" customHeight="1">
      <c r="H21" s="2"/>
      <c r="I21" s="2"/>
      <c r="J21" s="2"/>
      <c r="K21" s="2"/>
      <c r="L21" s="2"/>
      <c r="M21" s="2"/>
      <c r="N21" s="2"/>
      <c r="O21" s="2"/>
      <c r="P21" s="2"/>
      <c r="Q21" s="2"/>
      <c r="R21" s="2"/>
      <c r="S21" s="2"/>
      <c r="T21" s="2"/>
      <c r="U21" s="2"/>
      <c r="V21" s="2"/>
    </row>
    <row r="22" spans="8:22" ht="18" customHeight="1">
      <c r="I22" s="2"/>
      <c r="J22" s="2"/>
      <c r="K22" s="2"/>
      <c r="L22" s="2"/>
      <c r="M22" s="2"/>
      <c r="N22" s="2"/>
      <c r="O22" s="2"/>
      <c r="P22" s="2"/>
      <c r="Q22" s="2"/>
      <c r="R22" s="2"/>
      <c r="S22" s="2"/>
      <c r="T22" s="2"/>
      <c r="U22" s="2"/>
      <c r="V22" s="2"/>
    </row>
    <row r="23" spans="8:22" ht="18" customHeight="1">
      <c r="I23" s="2"/>
      <c r="J23" s="2"/>
      <c r="K23" s="2"/>
      <c r="L23" s="2"/>
      <c r="M23" s="2"/>
      <c r="N23" s="2"/>
      <c r="O23" s="2"/>
      <c r="P23" s="2"/>
      <c r="Q23" s="2"/>
      <c r="R23" s="2"/>
      <c r="S23" s="2"/>
      <c r="T23" s="2"/>
      <c r="U23" s="2"/>
      <c r="V23" s="2"/>
    </row>
    <row r="24" spans="8:22" ht="18" customHeight="1">
      <c r="I24" s="2"/>
      <c r="J24" s="2"/>
      <c r="K24" s="2"/>
      <c r="L24" s="2"/>
      <c r="M24" s="2"/>
      <c r="N24" s="2"/>
      <c r="O24" s="2"/>
      <c r="P24" s="2"/>
      <c r="Q24" s="2"/>
      <c r="R24" s="2"/>
      <c r="S24" s="2"/>
      <c r="T24" s="2"/>
      <c r="U24" s="2"/>
      <c r="V24" s="2"/>
    </row>
    <row r="25" spans="8:22" ht="18" customHeight="1">
      <c r="I25" s="2"/>
      <c r="J25" s="2"/>
      <c r="K25" s="2"/>
      <c r="L25" s="2"/>
      <c r="M25" s="2"/>
      <c r="N25" s="2"/>
      <c r="O25" s="2"/>
      <c r="P25" s="2"/>
      <c r="Q25" s="2"/>
      <c r="R25" s="2"/>
      <c r="S25" s="2"/>
      <c r="T25" s="2"/>
      <c r="U25" s="2"/>
      <c r="V25" s="2"/>
    </row>
    <row r="26" spans="8:22" ht="18" customHeight="1">
      <c r="I26" s="2"/>
      <c r="J26" s="2"/>
      <c r="K26" s="2"/>
      <c r="L26" s="2"/>
      <c r="M26" s="2"/>
      <c r="N26" s="2"/>
      <c r="O26" s="2"/>
      <c r="P26" s="2"/>
      <c r="Q26" s="2"/>
      <c r="R26" s="2"/>
      <c r="S26" s="2"/>
      <c r="T26" s="2"/>
      <c r="U26" s="2"/>
      <c r="V26" s="2"/>
    </row>
    <row r="28" spans="8:22" ht="18" customHeight="1">
      <c r="K28" s="386" t="s">
        <v>449</v>
      </c>
      <c r="L28" s="386"/>
      <c r="M28" s="386"/>
      <c r="N28" s="386"/>
      <c r="O28" s="386"/>
      <c r="P28" s="386"/>
      <c r="Q28" s="386"/>
      <c r="R28" s="386"/>
    </row>
    <row r="29" spans="8:22" ht="18" customHeight="1">
      <c r="K29" s="386"/>
      <c r="L29" s="386"/>
      <c r="M29" s="386"/>
      <c r="N29" s="386"/>
      <c r="O29" s="386"/>
      <c r="P29" s="386"/>
      <c r="Q29" s="386"/>
      <c r="R29" s="386"/>
    </row>
    <row r="33" spans="2:22" ht="18" customHeight="1">
      <c r="B33" s="384" t="s">
        <v>404</v>
      </c>
      <c r="C33" s="384"/>
      <c r="D33" s="384"/>
      <c r="E33" s="384"/>
      <c r="F33" s="384"/>
      <c r="G33" s="384"/>
      <c r="H33" s="384"/>
      <c r="I33" s="384"/>
      <c r="J33" s="253"/>
      <c r="K33" s="243" t="s">
        <v>467</v>
      </c>
      <c r="L33" s="243"/>
      <c r="M33" s="243"/>
      <c r="N33" s="243"/>
      <c r="O33" s="243"/>
      <c r="P33" s="243"/>
      <c r="Q33" s="243"/>
      <c r="R33" s="243"/>
      <c r="S33" s="385"/>
      <c r="T33" s="385"/>
      <c r="U33" s="385"/>
      <c r="V33" s="385"/>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row r="48" spans="2:22" ht="18" customHeight="1">
      <c r="B48" s="2"/>
      <c r="C48" s="2"/>
      <c r="D48" s="2"/>
      <c r="E48" s="2"/>
      <c r="F48" s="2"/>
      <c r="G48" s="2"/>
      <c r="I48" s="2"/>
      <c r="J48" s="2"/>
      <c r="K48" s="2"/>
      <c r="L48" s="2"/>
      <c r="M48" s="2"/>
      <c r="N48" s="2"/>
      <c r="O48" s="2"/>
      <c r="P48" s="2"/>
      <c r="Q48" s="2"/>
      <c r="R48" s="2"/>
      <c r="S48" s="2"/>
      <c r="T48" s="2"/>
      <c r="U48" s="2"/>
      <c r="V48" s="2"/>
    </row>
    <row r="49" spans="11:18" ht="18" customHeight="1">
      <c r="K49" s="213"/>
    </row>
    <row r="50" spans="11:18" ht="18" customHeight="1">
      <c r="K50" s="381" t="s">
        <v>476</v>
      </c>
      <c r="L50" s="381"/>
      <c r="M50" s="381"/>
      <c r="N50" s="381"/>
      <c r="O50" s="381"/>
      <c r="P50" s="381"/>
      <c r="Q50" s="381"/>
      <c r="R50" s="381"/>
    </row>
    <row r="51" spans="11:18" ht="18" customHeight="1">
      <c r="K51" s="381"/>
      <c r="L51" s="381"/>
      <c r="M51" s="381"/>
      <c r="N51" s="381"/>
      <c r="O51" s="381"/>
      <c r="P51" s="381"/>
      <c r="Q51" s="381"/>
      <c r="R51" s="381"/>
    </row>
  </sheetData>
  <mergeCells count="18">
    <mergeCell ref="K50:R51"/>
    <mergeCell ref="B8:H9"/>
    <mergeCell ref="B3:C3"/>
    <mergeCell ref="O3:P3"/>
    <mergeCell ref="B33:I33"/>
    <mergeCell ref="S33:T33"/>
    <mergeCell ref="U33:V33"/>
    <mergeCell ref="B11:C11"/>
    <mergeCell ref="D11:E11"/>
    <mergeCell ref="S11:T11"/>
    <mergeCell ref="F11:G11"/>
    <mergeCell ref="H11:I11"/>
    <mergeCell ref="K28:R29"/>
    <mergeCell ref="U11:V11"/>
    <mergeCell ref="K11:L11"/>
    <mergeCell ref="M11:N11"/>
    <mergeCell ref="O11:P11"/>
    <mergeCell ref="Q11:R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53"/>
  <sheetViews>
    <sheetView showGridLines="0" workbookViewId="0"/>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46" customWidth="1"/>
    <col min="7" max="7" width="15" style="246" bestFit="1" customWidth="1"/>
    <col min="8" max="8" width="13.5703125" style="246" bestFit="1" customWidth="1"/>
    <col min="9" max="9" width="9.140625" style="246"/>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70" customFormat="1" ht="18" customHeight="1">
      <c r="B3" s="285"/>
      <c r="C3" s="289" t="s">
        <v>415</v>
      </c>
      <c r="D3" s="289" t="s">
        <v>429</v>
      </c>
      <c r="E3" s="289" t="s">
        <v>417</v>
      </c>
      <c r="F3" s="289" t="s">
        <v>102</v>
      </c>
      <c r="G3" s="289" t="s">
        <v>451</v>
      </c>
      <c r="J3" s="295"/>
      <c r="K3" s="289" t="s">
        <v>415</v>
      </c>
      <c r="L3" s="289" t="s">
        <v>429</v>
      </c>
      <c r="M3" s="289" t="s">
        <v>417</v>
      </c>
      <c r="N3" s="289" t="s">
        <v>102</v>
      </c>
    </row>
    <row r="4" spans="2:17" s="270" customFormat="1" ht="18" customHeight="1">
      <c r="B4" s="290" t="s">
        <v>413</v>
      </c>
      <c r="C4" s="291" t="s">
        <v>161</v>
      </c>
      <c r="D4" s="291" t="s">
        <v>420</v>
      </c>
      <c r="E4" s="291" t="s">
        <v>416</v>
      </c>
      <c r="F4" s="291" t="s">
        <v>419</v>
      </c>
      <c r="G4" s="291"/>
      <c r="J4" s="290" t="s">
        <v>397</v>
      </c>
      <c r="K4" s="296">
        <v>3</v>
      </c>
      <c r="L4" s="178">
        <v>1</v>
      </c>
      <c r="M4" s="296">
        <v>4</v>
      </c>
      <c r="N4" s="296">
        <v>1</v>
      </c>
    </row>
    <row r="5" spans="2:17" s="270" customFormat="1" ht="18" customHeight="1">
      <c r="B5" s="290" t="s">
        <v>414</v>
      </c>
      <c r="C5" s="293">
        <f>SUM('Screener Output'!L45:L45)/SUM('Screener Output'!M35:M35)</f>
        <v>0.19188848095456634</v>
      </c>
      <c r="D5" s="291">
        <f>SUM('Screener Output'!L10:L10)/SUM('Screener Output'!L9:L9)</f>
        <v>0.62552916477053278</v>
      </c>
      <c r="E5" s="292">
        <f>SUM('Screener Output'!H62:L62)/SUM('Screener Output'!H35:L35)</f>
        <v>1.02848790508421</v>
      </c>
      <c r="F5" s="294">
        <f>'Screener Output'!L62</f>
        <v>1248.77</v>
      </c>
      <c r="G5" s="294">
        <f>SUM('Screener Output'!H63:L63)</f>
        <v>2638.49</v>
      </c>
      <c r="J5" s="290" t="s">
        <v>414</v>
      </c>
      <c r="K5" s="296">
        <f>IF(C5&lt;=3,3,IF((AND((C5&gt;3),(C5&lt;=5))),2,0))</f>
        <v>3</v>
      </c>
      <c r="L5" s="178">
        <f>IF(Efficiency!D5&gt;1.5,1,IF(AND(Efficiency!D5&gt;1.25,Efficiency!D5&lt;1.5),0.75,IF(AND(Efficiency!D5&gt;1,Efficiency!D5&lt;1.25),0.5,IF(AND(Efficiency!D5&gt;0.9,Efficiency!D5&lt;1),1,0))))</f>
        <v>0</v>
      </c>
      <c r="M5" s="296">
        <f>IF(E5&gt;1,4,IF(AND(E5&gt;0.75,E5&lt;1),2,IF(AND(E5&gt;0.5,E5&lt;0.75),1,IF(AND(E5&gt;0,E5&lt;0.5),1,0))))</f>
        <v>4</v>
      </c>
      <c r="N5" s="296">
        <f>IF(F5&gt;1.5,1,IF(AND(F5&gt;1.25,F5&lt;1.5),0.75,IF(AND(F5&gt;1,F5&lt;1.25),0.5,IF(AND(F5&gt;0.9,F5&lt;1),1,0))))</f>
        <v>1</v>
      </c>
    </row>
    <row r="6" spans="2:17" ht="18" customHeight="1">
      <c r="F6" s="259"/>
      <c r="G6" s="257"/>
      <c r="H6" s="257"/>
      <c r="I6" s="257"/>
      <c r="J6" s="258"/>
      <c r="K6" s="258"/>
      <c r="L6" s="258"/>
    </row>
    <row r="8" spans="2:17" ht="18" customHeight="1">
      <c r="B8" s="384" t="s">
        <v>415</v>
      </c>
      <c r="C8" s="384"/>
      <c r="D8" s="384"/>
      <c r="E8" s="384"/>
      <c r="F8" s="384"/>
      <c r="G8" s="384"/>
      <c r="H8" s="384"/>
      <c r="I8" s="288"/>
      <c r="J8" s="384" t="s">
        <v>435</v>
      </c>
      <c r="K8" s="384"/>
      <c r="L8" s="384"/>
      <c r="M8" s="384"/>
      <c r="N8" s="384"/>
      <c r="O8" s="384"/>
      <c r="P8" s="384"/>
      <c r="Q8" s="384"/>
    </row>
    <row r="21" spans="2:17" ht="8.25" customHeight="1"/>
    <row r="22" spans="2:17" ht="23.25" customHeight="1">
      <c r="B22" s="390" t="s">
        <v>478</v>
      </c>
      <c r="C22" s="390"/>
      <c r="D22" s="390"/>
      <c r="E22" s="390"/>
      <c r="F22" s="390"/>
      <c r="G22" s="390"/>
      <c r="H22" s="390"/>
      <c r="I22" s="390"/>
      <c r="J22" s="390" t="s">
        <v>452</v>
      </c>
      <c r="K22" s="390"/>
      <c r="L22" s="390"/>
      <c r="M22" s="390"/>
      <c r="N22" s="390"/>
      <c r="O22" s="390"/>
      <c r="P22" s="390"/>
      <c r="Q22" s="390"/>
    </row>
    <row r="24" spans="2:17" ht="18" customHeight="1">
      <c r="B24" s="384" t="s">
        <v>411</v>
      </c>
      <c r="C24" s="384"/>
      <c r="D24" s="384"/>
      <c r="E24" s="384"/>
      <c r="F24" s="384"/>
      <c r="G24" s="384"/>
      <c r="H24" s="384"/>
      <c r="J24" s="311" t="s">
        <v>436</v>
      </c>
      <c r="K24" s="311"/>
      <c r="L24" s="311"/>
      <c r="M24" s="311"/>
      <c r="N24" s="311"/>
      <c r="O24" s="311"/>
      <c r="P24" s="311"/>
      <c r="Q24" s="311"/>
    </row>
    <row r="35" spans="2:17" ht="9" customHeight="1"/>
    <row r="36" spans="2:17" ht="18" customHeight="1">
      <c r="J36" s="383" t="s">
        <v>458</v>
      </c>
      <c r="K36" s="383"/>
      <c r="L36" s="383"/>
      <c r="M36" s="383"/>
      <c r="N36" s="383"/>
      <c r="O36" s="383"/>
      <c r="P36" s="383"/>
      <c r="Q36" s="383"/>
    </row>
    <row r="38" spans="2:17" ht="18" customHeight="1">
      <c r="B38" s="384" t="s">
        <v>459</v>
      </c>
      <c r="C38" s="384"/>
      <c r="D38" s="384"/>
      <c r="E38" s="384"/>
      <c r="F38" s="384"/>
      <c r="G38" s="384"/>
      <c r="H38" s="384"/>
      <c r="I38"/>
      <c r="J38" s="384" t="s">
        <v>169</v>
      </c>
      <c r="K38" s="384"/>
      <c r="L38" s="384"/>
      <c r="M38" s="384"/>
      <c r="N38" s="384"/>
      <c r="O38" s="384"/>
      <c r="P38" s="384"/>
      <c r="Q38" s="384"/>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B52" s="389" t="s">
        <v>490</v>
      </c>
      <c r="C52" s="389"/>
      <c r="D52" s="389"/>
      <c r="E52" s="389"/>
      <c r="F52" s="389"/>
      <c r="G52" s="389"/>
      <c r="H52" s="389"/>
      <c r="I52" s="389"/>
      <c r="J52" s="389" t="s">
        <v>428</v>
      </c>
      <c r="K52" s="389"/>
      <c r="L52" s="389"/>
      <c r="M52" s="389"/>
      <c r="N52" s="389"/>
      <c r="O52" s="389"/>
      <c r="P52" s="389"/>
      <c r="Q52" s="389"/>
    </row>
    <row r="53" spans="2:17" ht="18" customHeight="1">
      <c r="I53"/>
    </row>
  </sheetData>
  <mergeCells count="10">
    <mergeCell ref="B52:I52"/>
    <mergeCell ref="B8:H8"/>
    <mergeCell ref="B24:H24"/>
    <mergeCell ref="J38:Q38"/>
    <mergeCell ref="J36:Q36"/>
    <mergeCell ref="J8:Q8"/>
    <mergeCell ref="J22:Q22"/>
    <mergeCell ref="B38:H38"/>
    <mergeCell ref="J52:Q52"/>
    <mergeCell ref="B22:I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workbookViewId="0"/>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83"/>
      <c r="D2" s="96" t="s">
        <v>148</v>
      </c>
      <c r="J2" s="283"/>
      <c r="K2" s="96" t="s">
        <v>148</v>
      </c>
    </row>
    <row r="3" spans="2:29">
      <c r="C3" s="290" t="s">
        <v>410</v>
      </c>
      <c r="D3" s="297" t="s">
        <v>418</v>
      </c>
      <c r="J3" s="290" t="s">
        <v>397</v>
      </c>
      <c r="K3" s="283">
        <v>10</v>
      </c>
    </row>
    <row r="4" spans="2:29">
      <c r="C4" s="290" t="s">
        <v>140</v>
      </c>
      <c r="D4" s="291">
        <f>IF(Valuation_Table!A28=2, G10, SUM('Screener Output'!L35:L35)/SUM('Screener Output'!L60:L60))</f>
        <v>0.29974218153367738</v>
      </c>
      <c r="J4" s="290" t="s">
        <v>398</v>
      </c>
      <c r="K4" s="283">
        <f>IF(Valuation_Table!A28=2, (IF(D4&gt;0.2,10,IF(AND(D4&gt;0.1,D4&lt;0.2),7,IF(AND(D4&gt;0.05,D4&lt;0.1),3,IF(AND(D4&gt;0,D4&lt;0.05),1,0))))), (IF(D4&gt;0.02,10,IF(AND(D4&gt;0.01,D4&lt;0.02),7,IF(AND(D4&gt;0.005,D4&lt;0.01),3,IF(AND(D4&gt;0,D4&lt;0.005),1,0))))))</f>
        <v>10</v>
      </c>
    </row>
    <row r="5" spans="2:29" ht="8.25" customHeight="1"/>
    <row r="6" spans="2:29" ht="18" customHeight="1">
      <c r="B6" s="47"/>
      <c r="C6" s="48" t="s">
        <v>101</v>
      </c>
      <c r="D6" s="48" t="s">
        <v>100</v>
      </c>
      <c r="E6" s="48" t="s">
        <v>99</v>
      </c>
      <c r="F6" s="48" t="s">
        <v>98</v>
      </c>
      <c r="G6" s="48" t="s">
        <v>468</v>
      </c>
      <c r="H6" s="48" t="s">
        <v>469</v>
      </c>
      <c r="J6" s="209"/>
      <c r="K6" s="209" t="s">
        <v>191</v>
      </c>
      <c r="M6" s="382" t="s">
        <v>105</v>
      </c>
      <c r="N6" s="382"/>
      <c r="O6" s="382"/>
      <c r="P6" s="382"/>
      <c r="Q6" s="382"/>
      <c r="R6" s="382"/>
      <c r="S6" s="382"/>
      <c r="T6" s="382"/>
      <c r="V6" s="382"/>
      <c r="W6" s="382"/>
      <c r="X6" s="382"/>
      <c r="Y6" s="382"/>
      <c r="Z6" s="382"/>
      <c r="AA6" s="382"/>
      <c r="AB6" s="382"/>
      <c r="AC6" s="382"/>
    </row>
    <row r="7" spans="2:29">
      <c r="B7" s="49" t="s">
        <v>103</v>
      </c>
      <c r="C7" s="50">
        <f>SUM('Screener Output'!H35:H35)/SUM('Screener Output'!H26:H26)</f>
        <v>5.7248170399163363E-2</v>
      </c>
      <c r="D7" s="50">
        <f>SUM('Screener Output'!I35:I35)/SUM('Screener Output'!I26:I26)</f>
        <v>8.7610486586362168E-2</v>
      </c>
      <c r="E7" s="50">
        <f>SUM('Screener Output'!J35:J35)/SUM('Screener Output'!J26:J26)</f>
        <v>9.8170468118653362E-2</v>
      </c>
      <c r="F7" s="50">
        <f>SUM('Screener Output'!K35:K35)/SUM('Screener Output'!K26:K26)</f>
        <v>9.7671880884771398E-2</v>
      </c>
      <c r="G7" s="50">
        <f>SUM('Screener Output'!L35:L35)/SUM('Screener Output'!L26:L26)</f>
        <v>0.10128515360616663</v>
      </c>
      <c r="H7" s="50">
        <f>'Screener Output'!M35/'Screener Output'!M26</f>
        <v>0.10260032253887533</v>
      </c>
      <c r="J7" s="210" t="s">
        <v>345</v>
      </c>
      <c r="K7" s="211">
        <f>POWER('Screener Output'!M35/'Screener Output'!G35,1/5)-1</f>
        <v>0.32112868386052984</v>
      </c>
      <c r="M7" s="2"/>
      <c r="N7" s="2"/>
      <c r="V7" s="239"/>
      <c r="W7" s="239"/>
    </row>
    <row r="8" spans="2:29">
      <c r="B8" s="49" t="s">
        <v>62</v>
      </c>
      <c r="C8" s="51">
        <f>'Screener Output'!H25/'Screener Output'!H60</f>
        <v>3.2428281319296932</v>
      </c>
      <c r="D8" s="51">
        <f>'Screener Output'!I25/'Screener Output'!I60</f>
        <v>2.8783408076525667</v>
      </c>
      <c r="E8" s="51">
        <f>'Screener Output'!J25/'Screener Output'!J60</f>
        <v>2.4137307886224457</v>
      </c>
      <c r="F8" s="51">
        <f>'Screener Output'!K25/'Screener Output'!K60</f>
        <v>2.214258909111904</v>
      </c>
      <c r="G8" s="51">
        <f>'Screener Output'!L25/'Screener Output'!L60</f>
        <v>1.9227531009962482</v>
      </c>
      <c r="H8" s="51">
        <f>'Screener Output'!M26/'Screener Output'!L60</f>
        <v>1.9444519681765209</v>
      </c>
      <c r="J8" s="210" t="s">
        <v>186</v>
      </c>
      <c r="K8" s="211">
        <f>POWER('Screener Output'!M26/'Screener Output'!G26,1/5)-1</f>
        <v>0.10508643992240807</v>
      </c>
      <c r="M8" s="2"/>
      <c r="N8" s="2"/>
      <c r="V8" s="239"/>
      <c r="W8" s="239"/>
    </row>
    <row r="9" spans="2:29">
      <c r="B9" s="49" t="s">
        <v>104</v>
      </c>
      <c r="C9" s="51">
        <f>'Screener Output'!H60/SUM('Screener Output'!H40:H41)</f>
        <v>2.6839032213604641</v>
      </c>
      <c r="D9" s="51">
        <f>'Screener Output'!I60/SUM('Screener Output'!I40:I41)</f>
        <v>2.2618965392615915</v>
      </c>
      <c r="E9" s="51">
        <f>'Screener Output'!J60/SUM('Screener Output'!J40:J41)</f>
        <v>1.6878585634513885</v>
      </c>
      <c r="F9" s="51">
        <f>'Screener Output'!K60/SUM('Screener Output'!K40:K41)</f>
        <v>1.5416663576149114</v>
      </c>
      <c r="G9" s="51">
        <f>'Screener Output'!L60/SUM('Screener Output'!L40:L41)</f>
        <v>1.5391415142254046</v>
      </c>
      <c r="H9" s="51"/>
      <c r="J9" s="210" t="s">
        <v>315</v>
      </c>
      <c r="K9" s="211">
        <f>POWER('Screener Output'!L60/'Screener Output'!G60,1/5)-1</f>
        <v>0.22371216507868197</v>
      </c>
      <c r="M9" s="2"/>
      <c r="N9" s="2"/>
      <c r="V9" s="239"/>
      <c r="W9" s="239"/>
    </row>
    <row r="10" spans="2:29">
      <c r="B10" s="52" t="s">
        <v>42</v>
      </c>
      <c r="C10" s="325">
        <f t="shared" ref="C10" si="0">C7*C8*C9</f>
        <v>0.49825583696947595</v>
      </c>
      <c r="D10" s="325">
        <f>D7*D8*D9</f>
        <v>0.57038887119614146</v>
      </c>
      <c r="E10" s="325">
        <f>E7*E8*E9</f>
        <v>0.39995003906455778</v>
      </c>
      <c r="F10" s="325">
        <f>F7*F8*F9</f>
        <v>0.33341746647346981</v>
      </c>
      <c r="G10" s="325">
        <f>G7*G8*G9</f>
        <v>0.29974218153367738</v>
      </c>
      <c r="H10" s="53">
        <f>H7*H8*G9</f>
        <v>0.30706088549510746</v>
      </c>
      <c r="J10" s="210" t="s">
        <v>316</v>
      </c>
      <c r="K10" s="211">
        <f>POWER(SUM('Screener Output'!L40:L41)/SUM('Screener Output'!G40:G41),1/5)-1</f>
        <v>0.4371611652066385</v>
      </c>
      <c r="M10" s="2"/>
      <c r="N10" s="2"/>
      <c r="V10" s="239"/>
      <c r="W10" s="239"/>
    </row>
    <row r="11" spans="2:29">
      <c r="B11" s="52" t="s">
        <v>532</v>
      </c>
      <c r="C11" s="325">
        <f>'Screener Output'!H93</f>
        <v>0.60937681327608273</v>
      </c>
      <c r="D11" s="325">
        <f>'Screener Output'!I93</f>
        <v>0.68584643715202376</v>
      </c>
      <c r="E11" s="325">
        <f>'Screener Output'!J93</f>
        <v>0.55127253422592915</v>
      </c>
      <c r="F11" s="325">
        <f>'Screener Output'!K93</f>
        <v>0.46418265992669222</v>
      </c>
      <c r="G11" s="325">
        <f>'Screener Output'!L93</f>
        <v>0.42306060832896664</v>
      </c>
      <c r="H11" s="53">
        <f>'Screener Output'!M93</f>
        <v>0.44103988710620939</v>
      </c>
      <c r="M11" s="2"/>
      <c r="N11" s="2"/>
      <c r="V11" s="239"/>
      <c r="W11" s="239"/>
    </row>
    <row r="12" spans="2:29" ht="33.75" customHeight="1">
      <c r="B12" s="391" t="s">
        <v>106</v>
      </c>
      <c r="C12" s="391"/>
      <c r="D12" s="391"/>
      <c r="E12" s="391"/>
      <c r="F12" s="391"/>
      <c r="G12" s="391"/>
      <c r="H12" s="315"/>
      <c r="M12" s="2"/>
      <c r="N12" s="2"/>
      <c r="V12" s="239"/>
      <c r="W12" s="239"/>
    </row>
    <row r="13" spans="2:29">
      <c r="B13" s="46"/>
      <c r="M13" s="2"/>
      <c r="N13" s="2"/>
      <c r="V13" s="239"/>
      <c r="W13" s="239"/>
    </row>
    <row r="14" spans="2:29">
      <c r="B14" s="46" t="s">
        <v>109</v>
      </c>
      <c r="M14" s="2"/>
      <c r="N14" s="2"/>
      <c r="V14" s="239"/>
      <c r="W14" s="239"/>
    </row>
    <row r="15" spans="2:29">
      <c r="B15" s="46" t="s">
        <v>108</v>
      </c>
      <c r="M15" s="2"/>
      <c r="N15" s="2"/>
      <c r="V15" s="239"/>
      <c r="W15" s="239"/>
    </row>
    <row r="16" spans="2:29">
      <c r="B16" s="46" t="s">
        <v>107</v>
      </c>
      <c r="M16" s="2"/>
      <c r="N16" s="2"/>
      <c r="V16" s="239"/>
      <c r="W16" s="239"/>
    </row>
    <row r="17" spans="2:23">
      <c r="M17" s="2"/>
      <c r="N17" s="2"/>
      <c r="V17" s="239"/>
      <c r="W17" s="239"/>
    </row>
    <row r="18" spans="2:23">
      <c r="M18" s="2"/>
      <c r="N18" s="2"/>
      <c r="V18" s="239"/>
      <c r="W18" s="239"/>
    </row>
    <row r="19" spans="2:23">
      <c r="F19" s="398" t="s">
        <v>128</v>
      </c>
      <c r="G19" s="392">
        <f>'Screener Output'!L35-'Screener Output'!H35</f>
        <v>608.3999999999993</v>
      </c>
      <c r="H19" s="316"/>
      <c r="J19" s="396">
        <f>G19/G21</f>
        <v>0.23327326406196056</v>
      </c>
      <c r="M19" s="2"/>
      <c r="N19" s="2"/>
      <c r="V19" s="239"/>
      <c r="W19" s="239"/>
    </row>
    <row r="20" spans="2:23" ht="15.75" thickBot="1">
      <c r="B20" s="76"/>
      <c r="F20" s="399"/>
      <c r="G20" s="392"/>
      <c r="H20" s="316"/>
      <c r="I20" s="395" t="s">
        <v>127</v>
      </c>
      <c r="J20" s="397"/>
      <c r="M20" s="2"/>
      <c r="N20" s="2"/>
      <c r="V20" s="239"/>
      <c r="W20" s="239"/>
    </row>
    <row r="21" spans="2:23" ht="15.75" thickTop="1">
      <c r="F21" s="400" t="s">
        <v>129</v>
      </c>
      <c r="G21" s="393">
        <f>'Screener Output'!L41-'Screener Output'!H41</f>
        <v>2608.1</v>
      </c>
      <c r="H21" s="317"/>
      <c r="I21" s="395"/>
      <c r="M21" s="2"/>
      <c r="N21" s="2"/>
      <c r="V21" s="239"/>
      <c r="W21" s="239"/>
    </row>
    <row r="22" spans="2:23">
      <c r="F22" s="400"/>
      <c r="G22" s="394"/>
      <c r="H22" s="317"/>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workbookViewId="0"/>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62" customFormat="1" ht="18" customHeight="1">
      <c r="D2" s="298"/>
      <c r="E2" s="289" t="s">
        <v>151</v>
      </c>
      <c r="F2" s="289" t="s">
        <v>159</v>
      </c>
      <c r="H2" s="263"/>
      <c r="I2" s="263"/>
      <c r="J2" s="263"/>
      <c r="K2" s="301"/>
      <c r="L2" s="289" t="s">
        <v>151</v>
      </c>
      <c r="M2" s="289" t="s">
        <v>159</v>
      </c>
      <c r="O2" s="263"/>
      <c r="P2" s="263"/>
      <c r="Q2" s="263"/>
      <c r="R2" s="263"/>
    </row>
    <row r="3" spans="2:18" s="262" customFormat="1" ht="18" customHeight="1">
      <c r="D3" s="260" t="s">
        <v>413</v>
      </c>
      <c r="E3" s="299">
        <v>0</v>
      </c>
      <c r="F3" s="298" t="s">
        <v>312</v>
      </c>
      <c r="H3" s="263"/>
      <c r="I3" s="263"/>
      <c r="J3" s="263"/>
      <c r="K3" s="261" t="s">
        <v>397</v>
      </c>
      <c r="L3" s="298">
        <v>6</v>
      </c>
      <c r="M3" s="298">
        <v>3</v>
      </c>
      <c r="O3" s="263"/>
      <c r="P3" s="263"/>
      <c r="Q3" s="263"/>
      <c r="R3" s="263"/>
    </row>
    <row r="4" spans="2:18" s="262" customFormat="1" ht="18" customHeight="1">
      <c r="D4" s="260" t="s">
        <v>414</v>
      </c>
      <c r="E4" s="299">
        <f>'Shareholding input'!C7</f>
        <v>0</v>
      </c>
      <c r="F4" s="300">
        <f>SUM('Shareholding input'!C6:C7)-SUM('Shareholding input'!H6:H7)</f>
        <v>0</v>
      </c>
      <c r="H4" s="263"/>
      <c r="I4" s="263"/>
      <c r="J4" s="263"/>
      <c r="K4" s="261" t="s">
        <v>414</v>
      </c>
      <c r="L4" s="298">
        <f>IF(E4&gt;0,0,6)</f>
        <v>6</v>
      </c>
      <c r="M4" s="298">
        <f>IF(F4&gt;-0.03,3,IF(F4=0,2,0))</f>
        <v>3</v>
      </c>
      <c r="O4" s="263"/>
      <c r="P4" s="263"/>
      <c r="Q4" s="263"/>
      <c r="R4" s="263"/>
    </row>
    <row r="5" spans="2:18" ht="18" customHeight="1">
      <c r="D5" s="256"/>
      <c r="E5" s="256"/>
      <c r="F5" s="256"/>
      <c r="G5" s="256"/>
      <c r="H5" s="256"/>
      <c r="I5" s="256"/>
      <c r="J5" s="256"/>
      <c r="K5" s="256"/>
      <c r="L5" s="256"/>
      <c r="M5" s="256"/>
      <c r="N5" s="256"/>
      <c r="O5" s="256"/>
      <c r="P5" s="256"/>
      <c r="Q5" s="256"/>
      <c r="R5" s="256"/>
    </row>
    <row r="6" spans="2:18" ht="18" customHeight="1">
      <c r="B6" s="402" t="s">
        <v>438</v>
      </c>
      <c r="C6" s="403"/>
      <c r="D6" s="403"/>
      <c r="E6" s="403"/>
      <c r="F6" s="403"/>
      <c r="G6" s="403"/>
      <c r="I6" s="402" t="s">
        <v>466</v>
      </c>
      <c r="J6" s="402"/>
      <c r="K6" s="402"/>
      <c r="L6" s="402"/>
      <c r="M6" s="402"/>
      <c r="N6" s="402"/>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401" t="s">
        <v>425</v>
      </c>
      <c r="C19" s="401"/>
      <c r="D19" s="401"/>
      <c r="E19" s="401"/>
      <c r="F19" s="401"/>
      <c r="G19" s="401"/>
      <c r="H19" s="2"/>
    </row>
    <row r="20" spans="2:14" ht="18" customHeight="1">
      <c r="B20" s="2"/>
      <c r="C20" s="2"/>
      <c r="D20" s="2"/>
      <c r="E20" s="2"/>
      <c r="F20" s="2"/>
      <c r="G20" s="2"/>
      <c r="H20" s="2"/>
      <c r="I20" s="2"/>
      <c r="J20" s="2"/>
      <c r="K20" s="2"/>
      <c r="L20" s="2"/>
    </row>
    <row r="21" spans="2:14" ht="18" customHeight="1">
      <c r="B21" s="384" t="s">
        <v>456</v>
      </c>
      <c r="C21" s="384"/>
      <c r="D21" s="382"/>
      <c r="E21" s="382"/>
      <c r="F21" s="243"/>
      <c r="G21" s="288"/>
      <c r="I21" s="384" t="s">
        <v>455</v>
      </c>
      <c r="J21" s="384"/>
      <c r="K21" s="382"/>
      <c r="L21" s="382"/>
      <c r="M21" s="382"/>
      <c r="N21" s="382"/>
    </row>
    <row r="34" spans="2:8" ht="5.25" customHeight="1"/>
    <row r="35" spans="2:8" ht="33.75" customHeight="1">
      <c r="H35" s="302"/>
    </row>
    <row r="36" spans="2:8" ht="18" customHeight="1">
      <c r="B36" s="384" t="s">
        <v>441</v>
      </c>
      <c r="C36" s="384"/>
      <c r="D36" s="382"/>
      <c r="E36" s="382"/>
      <c r="F36" s="382"/>
      <c r="G36" s="382"/>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43" t="s">
        <v>437</v>
      </c>
      <c r="C51" s="243"/>
      <c r="D51" s="243"/>
      <c r="E51" s="243"/>
      <c r="F51" s="243"/>
    </row>
    <row r="64" spans="2:7" ht="28.5" customHeight="1">
      <c r="B64" s="401" t="s">
        <v>424</v>
      </c>
      <c r="C64" s="401"/>
      <c r="D64" s="401"/>
      <c r="E64" s="401"/>
      <c r="F64" s="401"/>
      <c r="G64" s="401"/>
    </row>
  </sheetData>
  <mergeCells count="12">
    <mergeCell ref="M21:N21"/>
    <mergeCell ref="B21:C21"/>
    <mergeCell ref="D21:E21"/>
    <mergeCell ref="I6:N6"/>
    <mergeCell ref="B36:C36"/>
    <mergeCell ref="D36:E36"/>
    <mergeCell ref="F36:G36"/>
    <mergeCell ref="B64:G64"/>
    <mergeCell ref="B19:G19"/>
    <mergeCell ref="B6:G6"/>
    <mergeCell ref="I21:J21"/>
    <mergeCell ref="K21:L21"/>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Valuation_Chart</vt:lpstr>
      <vt:lpstr>Valuation_Table</vt:lpstr>
      <vt:lpstr>|</vt:lpstr>
      <vt:lpstr>Scorecard</vt:lpstr>
      <vt:lpstr>Revenue</vt:lpstr>
      <vt:lpstr>Profit</vt:lpstr>
      <vt:lpstr>Efficiency</vt:lpstr>
      <vt:lpstr>Dupont</vt:lpstr>
      <vt:lpstr>Others</vt:lpstr>
      <vt:lpstr>Piotroski</vt:lpstr>
      <vt:lpstr>Altman</vt:lpstr>
      <vt:lpstr>||</vt:lpstr>
      <vt:lpstr>Analysis</vt:lpstr>
      <vt:lpstr>MICAP</vt:lpstr>
      <vt:lpstr>Screener Output</vt:lpstr>
      <vt:lpstr>|||</vt:lpstr>
      <vt:lpstr>Screener Input</vt:lpstr>
      <vt:lpstr>Shareholding input</vt:lpstr>
      <vt:lpstr>Phil Fisher</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2018-10-01T15:55:27Z</dcterms:modified>
</cp:coreProperties>
</file>