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8.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dip Beriwal\Desktop\Create life you love\Reserach @ 2016\Polished\Discard\"/>
    </mc:Choice>
  </mc:AlternateContent>
  <bookViews>
    <workbookView xWindow="0" yWindow="0" windowWidth="15360" windowHeight="7650" tabRatio="877" activeTab="17"/>
  </bookViews>
  <sheets>
    <sheet name="Valuation_Chart" sheetId="1" r:id="rId1"/>
    <sheet name="Valuation_Table" sheetId="11" r:id="rId2"/>
    <sheet name="|" sheetId="33" r:id="rId3"/>
    <sheet name="Scorecard" sheetId="18" r:id="rId4"/>
    <sheet name="Revenue" sheetId="27" r:id="rId5"/>
    <sheet name="Profit" sheetId="28" r:id="rId6"/>
    <sheet name="Efficiency" sheetId="29" r:id="rId7"/>
    <sheet name="Dupont" sheetId="16" r:id="rId8"/>
    <sheet name="Others" sheetId="30" r:id="rId9"/>
    <sheet name="Piotroski" sheetId="14" r:id="rId10"/>
    <sheet name="Altman" sheetId="15" r:id="rId11"/>
    <sheet name="||" sheetId="32" r:id="rId12"/>
    <sheet name="Analysis" sheetId="19" state="hidden" r:id="rId13"/>
    <sheet name="MICAP" sheetId="17" state="hidden" r:id="rId14"/>
    <sheet name="Screener Output" sheetId="20" state="hidden" r:id="rId15"/>
    <sheet name="|||" sheetId="34" state="hidden" r:id="rId16"/>
    <sheet name="Screener Input" sheetId="21" r:id="rId17"/>
    <sheet name="Shareholding input" sheetId="31" r:id="rId18"/>
    <sheet name="Phil Fisher" sheetId="25" state="hidden" r:id="rId1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'Screener Output'!$H$76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'Screener Input'!$E$1</definedName>
  </definedNames>
  <calcPr calcId="152511"/>
</workbook>
</file>

<file path=xl/calcChain.xml><?xml version="1.0" encoding="utf-8"?>
<calcChain xmlns="http://schemas.openxmlformats.org/spreadsheetml/2006/main">
  <c r="B8" i="11" l="1"/>
  <c r="B5" i="1"/>
  <c r="A1" i="20"/>
  <c r="B3" i="1"/>
  <c r="K93" i="21"/>
  <c r="J93" i="21"/>
  <c r="I93" i="21"/>
  <c r="H93" i="21"/>
  <c r="G93" i="21"/>
  <c r="F93" i="21"/>
  <c r="E93" i="21"/>
  <c r="D93" i="21"/>
  <c r="C93" i="21"/>
  <c r="B93" i="21"/>
  <c r="B6" i="21"/>
  <c r="E1" i="21"/>
  <c r="B53" i="11" l="1"/>
  <c r="B55" i="11" s="1"/>
  <c r="B54" i="11" l="1"/>
  <c r="N35" i="20"/>
  <c r="M29" i="20" l="1"/>
  <c r="M34" i="20"/>
  <c r="M132" i="20" s="1"/>
  <c r="M32" i="20"/>
  <c r="M131" i="20" s="1"/>
  <c r="M30" i="20"/>
  <c r="N29" i="20"/>
  <c r="N25" i="20"/>
  <c r="M25" i="20"/>
  <c r="B41" i="11" s="1"/>
  <c r="M31" i="20" l="1"/>
  <c r="M130" i="20"/>
  <c r="B8" i="1"/>
  <c r="F4" i="30"/>
  <c r="E4" i="30"/>
  <c r="H26" i="31"/>
  <c r="G26" i="31"/>
  <c r="F26" i="31"/>
  <c r="E26" i="31"/>
  <c r="D26" i="31"/>
  <c r="C26" i="31"/>
  <c r="H13" i="31"/>
  <c r="H17" i="31" s="1"/>
  <c r="G13" i="31"/>
  <c r="G17" i="31" s="1"/>
  <c r="F13" i="31"/>
  <c r="F17" i="31" s="1"/>
  <c r="E13" i="31"/>
  <c r="E17" i="31" s="1"/>
  <c r="D13" i="31"/>
  <c r="D17" i="31" s="1"/>
  <c r="C13" i="31"/>
  <c r="C17" i="31" s="1"/>
  <c r="N26" i="20"/>
  <c r="M26" i="20"/>
  <c r="M126" i="20" l="1"/>
  <c r="C192" i="20"/>
  <c r="C190" i="20"/>
  <c r="K8" i="18" l="1"/>
  <c r="I14" i="18" l="1"/>
  <c r="I13" i="18"/>
  <c r="L4" i="30" l="1"/>
  <c r="L13" i="18" s="1"/>
  <c r="M4" i="30"/>
  <c r="L14" i="18" s="1"/>
  <c r="M35" i="20"/>
  <c r="N74" i="20"/>
  <c r="D196" i="20"/>
  <c r="E196" i="20"/>
  <c r="F196" i="20"/>
  <c r="G196" i="20"/>
  <c r="H196" i="20"/>
  <c r="I196" i="20"/>
  <c r="J196" i="20"/>
  <c r="K196" i="20"/>
  <c r="L196" i="20"/>
  <c r="D197" i="20"/>
  <c r="E197" i="20"/>
  <c r="F197" i="20"/>
  <c r="G197" i="20"/>
  <c r="H197" i="20"/>
  <c r="I197" i="20"/>
  <c r="J197" i="20"/>
  <c r="K197" i="20"/>
  <c r="L197" i="20"/>
  <c r="D198" i="20"/>
  <c r="E198" i="20"/>
  <c r="F198" i="20"/>
  <c r="G198" i="20"/>
  <c r="H198" i="20"/>
  <c r="I198" i="20"/>
  <c r="J198" i="20"/>
  <c r="K198" i="20"/>
  <c r="L198" i="20"/>
  <c r="D199" i="20"/>
  <c r="E199" i="20"/>
  <c r="F199" i="20"/>
  <c r="G199" i="20"/>
  <c r="H199" i="20"/>
  <c r="I199" i="20"/>
  <c r="J199" i="20"/>
  <c r="K199" i="20"/>
  <c r="L199" i="20"/>
  <c r="C199" i="20"/>
  <c r="C198" i="20"/>
  <c r="C197" i="20"/>
  <c r="C196" i="20"/>
  <c r="D179" i="20"/>
  <c r="E179" i="20"/>
  <c r="F179" i="20"/>
  <c r="G179" i="20"/>
  <c r="H179" i="20"/>
  <c r="I179" i="20"/>
  <c r="J179" i="20"/>
  <c r="K179" i="20"/>
  <c r="L179" i="20"/>
  <c r="C179" i="20"/>
  <c r="D178" i="20"/>
  <c r="E178" i="20"/>
  <c r="F178" i="20"/>
  <c r="G178" i="20"/>
  <c r="H178" i="20"/>
  <c r="I178" i="20"/>
  <c r="J178" i="20"/>
  <c r="K178" i="20"/>
  <c r="L178" i="20"/>
  <c r="C178" i="20"/>
  <c r="D177" i="20"/>
  <c r="E177" i="20"/>
  <c r="F177" i="20"/>
  <c r="G177" i="20"/>
  <c r="H177" i="20"/>
  <c r="I177" i="20"/>
  <c r="J177" i="20"/>
  <c r="K177" i="20"/>
  <c r="L177" i="20"/>
  <c r="C177" i="20"/>
  <c r="D176" i="20"/>
  <c r="E176" i="20"/>
  <c r="F176" i="20"/>
  <c r="G176" i="20"/>
  <c r="H176" i="20"/>
  <c r="I176" i="20"/>
  <c r="J176" i="20"/>
  <c r="K176" i="20"/>
  <c r="L176" i="20"/>
  <c r="C176" i="20"/>
  <c r="D175" i="20"/>
  <c r="E175" i="20"/>
  <c r="F175" i="20"/>
  <c r="G175" i="20"/>
  <c r="H175" i="20"/>
  <c r="I175" i="20"/>
  <c r="J175" i="20"/>
  <c r="K175" i="20"/>
  <c r="L175" i="20"/>
  <c r="C175" i="20"/>
  <c r="D174" i="20"/>
  <c r="E174" i="20"/>
  <c r="F174" i="20"/>
  <c r="G174" i="20"/>
  <c r="H174" i="20"/>
  <c r="I174" i="20"/>
  <c r="J174" i="20"/>
  <c r="K174" i="20"/>
  <c r="L174" i="20"/>
  <c r="C174" i="20"/>
  <c r="D173" i="20"/>
  <c r="E173" i="20"/>
  <c r="F173" i="20"/>
  <c r="G173" i="20"/>
  <c r="H173" i="20"/>
  <c r="I173" i="20"/>
  <c r="J173" i="20"/>
  <c r="K173" i="20"/>
  <c r="L173" i="20"/>
  <c r="C173" i="20"/>
  <c r="D172" i="20"/>
  <c r="E172" i="20"/>
  <c r="F172" i="20"/>
  <c r="G172" i="20"/>
  <c r="H172" i="20"/>
  <c r="I172" i="20"/>
  <c r="J172" i="20"/>
  <c r="K172" i="20"/>
  <c r="L172" i="20"/>
  <c r="C172" i="20"/>
  <c r="D171" i="20"/>
  <c r="E171" i="20"/>
  <c r="F171" i="20"/>
  <c r="G171" i="20"/>
  <c r="H171" i="20"/>
  <c r="I171" i="20"/>
  <c r="J171" i="20"/>
  <c r="K171" i="20"/>
  <c r="L171" i="20"/>
  <c r="C171" i="20"/>
  <c r="D4" i="20"/>
  <c r="E4" i="20"/>
  <c r="F4" i="20"/>
  <c r="G4" i="20"/>
  <c r="H4" i="20"/>
  <c r="I4" i="20"/>
  <c r="J4" i="20"/>
  <c r="K4" i="20"/>
  <c r="L4" i="20"/>
  <c r="C4" i="20"/>
  <c r="H6" i="28" l="1"/>
  <c r="M127" i="20"/>
  <c r="F4" i="19"/>
  <c r="M133" i="20"/>
  <c r="M134" i="20" s="1"/>
  <c r="H7" i="16"/>
  <c r="C99" i="20"/>
  <c r="C94" i="20"/>
  <c r="E99" i="20"/>
  <c r="E94" i="20"/>
  <c r="L99" i="20"/>
  <c r="L94" i="20"/>
  <c r="D99" i="20"/>
  <c r="D94" i="20"/>
  <c r="K99" i="20"/>
  <c r="K94" i="20"/>
  <c r="G99" i="20"/>
  <c r="G94" i="20"/>
  <c r="I99" i="20"/>
  <c r="I94" i="20"/>
  <c r="H99" i="20"/>
  <c r="H94" i="20"/>
  <c r="J99" i="20"/>
  <c r="J94" i="20"/>
  <c r="F99" i="20"/>
  <c r="F94" i="20"/>
  <c r="I111" i="20"/>
  <c r="I105" i="20"/>
  <c r="D111" i="20"/>
  <c r="D105" i="20"/>
  <c r="K111" i="20"/>
  <c r="K105" i="20"/>
  <c r="G111" i="20"/>
  <c r="G105" i="20"/>
  <c r="C111" i="20"/>
  <c r="E111" i="20"/>
  <c r="E105" i="20"/>
  <c r="L111" i="20"/>
  <c r="L105" i="20"/>
  <c r="H111" i="20"/>
  <c r="H105" i="20"/>
  <c r="J111" i="20"/>
  <c r="J105" i="20"/>
  <c r="F111" i="20"/>
  <c r="F105" i="20"/>
  <c r="I137" i="20"/>
  <c r="I116" i="20"/>
  <c r="D137" i="20"/>
  <c r="D116" i="20"/>
  <c r="K137" i="20"/>
  <c r="K116" i="20"/>
  <c r="G137" i="20"/>
  <c r="G116" i="20"/>
  <c r="E137" i="20"/>
  <c r="E116" i="20"/>
  <c r="L137" i="20"/>
  <c r="L116" i="20"/>
  <c r="H137" i="20"/>
  <c r="H116" i="20"/>
  <c r="J137" i="20"/>
  <c r="J116" i="20"/>
  <c r="F137" i="20"/>
  <c r="F116" i="20"/>
  <c r="C137" i="20"/>
  <c r="C116" i="20"/>
  <c r="J125" i="20"/>
  <c r="J129" i="20" s="1"/>
  <c r="G125" i="20"/>
  <c r="G129" i="20" s="1"/>
  <c r="K125" i="20"/>
  <c r="K129" i="20" s="1"/>
  <c r="F125" i="20"/>
  <c r="F129" i="20" s="1"/>
  <c r="C125" i="20"/>
  <c r="C129" i="20" s="1"/>
  <c r="I125" i="20"/>
  <c r="I129" i="20" s="1"/>
  <c r="E125" i="20"/>
  <c r="E129" i="20" s="1"/>
  <c r="L125" i="20"/>
  <c r="L129" i="20" s="1"/>
  <c r="H125" i="20"/>
  <c r="H129" i="20" s="1"/>
  <c r="D125" i="20"/>
  <c r="D129" i="20" s="1"/>
  <c r="C180" i="20"/>
  <c r="I180" i="20"/>
  <c r="E180" i="20"/>
  <c r="K180" i="20"/>
  <c r="G180" i="20"/>
  <c r="C200" i="20"/>
  <c r="J200" i="20"/>
  <c r="F200" i="20"/>
  <c r="K200" i="20"/>
  <c r="G200" i="20"/>
  <c r="J180" i="20"/>
  <c r="F180" i="20"/>
  <c r="L180" i="20"/>
  <c r="H180" i="20"/>
  <c r="D180" i="20"/>
  <c r="E5" i="27"/>
  <c r="L200" i="20"/>
  <c r="H200" i="20"/>
  <c r="D200" i="20"/>
  <c r="I200" i="20"/>
  <c r="E200" i="20"/>
  <c r="B42" i="11" l="1"/>
  <c r="E186" i="20"/>
  <c r="F186" i="20"/>
  <c r="G186" i="20"/>
  <c r="H186" i="20"/>
  <c r="I186" i="20"/>
  <c r="J186" i="20"/>
  <c r="K186" i="20"/>
  <c r="L186" i="20"/>
  <c r="D186" i="20"/>
  <c r="E187" i="20"/>
  <c r="F187" i="20"/>
  <c r="G187" i="20"/>
  <c r="H187" i="20"/>
  <c r="I187" i="20"/>
  <c r="J187" i="20"/>
  <c r="K187" i="20"/>
  <c r="L187" i="20"/>
  <c r="D187" i="20"/>
  <c r="E184" i="20"/>
  <c r="F184" i="20"/>
  <c r="G184" i="20"/>
  <c r="H184" i="20"/>
  <c r="I184" i="20"/>
  <c r="J184" i="20"/>
  <c r="K184" i="20"/>
  <c r="L184" i="20"/>
  <c r="D184" i="20"/>
  <c r="E192" i="20"/>
  <c r="F192" i="20"/>
  <c r="G192" i="20"/>
  <c r="G193" i="20" s="1"/>
  <c r="H192" i="20"/>
  <c r="I192" i="20"/>
  <c r="I193" i="20" s="1"/>
  <c r="J192" i="20"/>
  <c r="J193" i="20" s="1"/>
  <c r="K192" i="20"/>
  <c r="K193" i="20" s="1"/>
  <c r="L192" i="20"/>
  <c r="L193" i="20" s="1"/>
  <c r="S5" i="28" s="1"/>
  <c r="D192" i="20"/>
  <c r="E190" i="20"/>
  <c r="F190" i="20"/>
  <c r="G190" i="20"/>
  <c r="G191" i="20" s="1"/>
  <c r="H190" i="20"/>
  <c r="I190" i="20"/>
  <c r="I191" i="20" s="1"/>
  <c r="J190" i="20"/>
  <c r="J191" i="20" s="1"/>
  <c r="K190" i="20"/>
  <c r="L190" i="20"/>
  <c r="L191" i="20" s="1"/>
  <c r="F5" i="27" s="1"/>
  <c r="D190" i="20"/>
  <c r="C52" i="11" l="1"/>
  <c r="E52" i="11"/>
  <c r="K191" i="20"/>
  <c r="H191" i="20"/>
  <c r="H193" i="20"/>
  <c r="D189" i="20"/>
  <c r="E189" i="20"/>
  <c r="F189" i="20"/>
  <c r="G189" i="20"/>
  <c r="H189" i="20"/>
  <c r="I189" i="20"/>
  <c r="J189" i="20"/>
  <c r="K189" i="20"/>
  <c r="L189" i="20"/>
  <c r="C189" i="20"/>
  <c r="D52" i="11" l="1"/>
  <c r="K43" i="11"/>
  <c r="E185" i="20"/>
  <c r="F185" i="20"/>
  <c r="G185" i="20"/>
  <c r="H185" i="20"/>
  <c r="I185" i="20"/>
  <c r="J185" i="20"/>
  <c r="K185" i="20"/>
  <c r="L185" i="20"/>
  <c r="D185" i="20"/>
  <c r="D195" i="20" l="1"/>
  <c r="E195" i="20"/>
  <c r="F195" i="20"/>
  <c r="G195" i="20"/>
  <c r="H195" i="20"/>
  <c r="I195" i="20"/>
  <c r="J195" i="20"/>
  <c r="K195" i="20"/>
  <c r="L195" i="20"/>
  <c r="C195" i="20"/>
  <c r="B10" i="11" l="1"/>
  <c r="D165" i="20"/>
  <c r="D166" i="20" s="1"/>
  <c r="E165" i="20"/>
  <c r="E166" i="20" s="1"/>
  <c r="F165" i="20"/>
  <c r="F166" i="20" s="1"/>
  <c r="G165" i="20"/>
  <c r="G166" i="20" s="1"/>
  <c r="H165" i="20"/>
  <c r="H166" i="20" s="1"/>
  <c r="I165" i="20"/>
  <c r="I166" i="20" s="1"/>
  <c r="J165" i="20"/>
  <c r="J166" i="20" s="1"/>
  <c r="K165" i="20"/>
  <c r="K166" i="20" s="1"/>
  <c r="L165" i="20"/>
  <c r="L166" i="20" s="1"/>
  <c r="C165" i="20"/>
  <c r="C166" i="20" s="1"/>
  <c r="D162" i="20"/>
  <c r="E162" i="20"/>
  <c r="F162" i="20"/>
  <c r="G162" i="20"/>
  <c r="H162" i="20"/>
  <c r="I162" i="20"/>
  <c r="J162" i="20"/>
  <c r="K162" i="20"/>
  <c r="L162" i="20"/>
  <c r="C162" i="20"/>
  <c r="D161" i="20"/>
  <c r="E161" i="20"/>
  <c r="F161" i="20"/>
  <c r="G161" i="20"/>
  <c r="H161" i="20"/>
  <c r="I161" i="20"/>
  <c r="J161" i="20"/>
  <c r="K161" i="20"/>
  <c r="L161" i="20"/>
  <c r="C161" i="20"/>
  <c r="D160" i="20"/>
  <c r="E160" i="20"/>
  <c r="F160" i="20"/>
  <c r="G160" i="20"/>
  <c r="H160" i="20"/>
  <c r="I160" i="20"/>
  <c r="J160" i="20"/>
  <c r="K160" i="20"/>
  <c r="L160" i="20"/>
  <c r="C160" i="20"/>
  <c r="D159" i="20"/>
  <c r="E159" i="20"/>
  <c r="F159" i="20"/>
  <c r="G159" i="20"/>
  <c r="H159" i="20"/>
  <c r="I159" i="20"/>
  <c r="J159" i="20"/>
  <c r="K159" i="20"/>
  <c r="L159" i="20"/>
  <c r="C159" i="20"/>
  <c r="D156" i="20"/>
  <c r="E156" i="20"/>
  <c r="F156" i="20"/>
  <c r="G156" i="20"/>
  <c r="H156" i="20"/>
  <c r="I156" i="20"/>
  <c r="J156" i="20"/>
  <c r="K156" i="20"/>
  <c r="L156" i="20"/>
  <c r="C156" i="20"/>
  <c r="D158" i="20"/>
  <c r="E158" i="20"/>
  <c r="F158" i="20"/>
  <c r="G158" i="20"/>
  <c r="H158" i="20"/>
  <c r="I158" i="20"/>
  <c r="J158" i="20"/>
  <c r="K158" i="20"/>
  <c r="L158" i="20"/>
  <c r="C158" i="20"/>
  <c r="D157" i="20"/>
  <c r="E157" i="20"/>
  <c r="F157" i="20"/>
  <c r="G157" i="20"/>
  <c r="H157" i="20"/>
  <c r="I157" i="20"/>
  <c r="J157" i="20"/>
  <c r="K157" i="20"/>
  <c r="L157" i="20"/>
  <c r="C157" i="20"/>
  <c r="C181" i="20" l="1"/>
  <c r="I181" i="20"/>
  <c r="K181" i="20"/>
  <c r="L181" i="20"/>
  <c r="D181" i="20"/>
  <c r="F181" i="20"/>
  <c r="E181" i="20"/>
  <c r="G181" i="20"/>
  <c r="H181" i="20"/>
  <c r="J181" i="20"/>
  <c r="M74" i="20" l="1"/>
  <c r="B9" i="11" l="1"/>
  <c r="H5" i="28"/>
  <c r="B46" i="11" l="1"/>
  <c r="B13" i="11"/>
  <c r="B24" i="11"/>
  <c r="E21" i="11" s="1"/>
  <c r="D72" i="20" l="1"/>
  <c r="E72" i="20"/>
  <c r="F72" i="20"/>
  <c r="G72" i="20"/>
  <c r="H72" i="20"/>
  <c r="I72" i="20"/>
  <c r="J72" i="20"/>
  <c r="K72" i="20"/>
  <c r="L72" i="20"/>
  <c r="C72" i="20"/>
  <c r="C25" i="20"/>
  <c r="E12" i="19" s="1"/>
  <c r="D25" i="20"/>
  <c r="E25" i="20"/>
  <c r="F25" i="20"/>
  <c r="G25" i="20"/>
  <c r="H25" i="20"/>
  <c r="G41" i="11" s="1"/>
  <c r="I25" i="20"/>
  <c r="F41" i="11" s="1"/>
  <c r="J25" i="20"/>
  <c r="E41" i="11" s="1"/>
  <c r="K25" i="20"/>
  <c r="D41" i="11" s="1"/>
  <c r="L25" i="20"/>
  <c r="C41" i="11" s="1"/>
  <c r="L73" i="20"/>
  <c r="K73" i="20"/>
  <c r="F12" i="11" s="1"/>
  <c r="J73" i="20"/>
  <c r="G12" i="11" s="1"/>
  <c r="I75" i="20"/>
  <c r="H10" i="11" s="1"/>
  <c r="H73" i="20"/>
  <c r="I12" i="11" s="1"/>
  <c r="G73" i="20"/>
  <c r="J12" i="11" s="1"/>
  <c r="F73" i="20"/>
  <c r="E75" i="20"/>
  <c r="D73" i="20"/>
  <c r="C75" i="20"/>
  <c r="H76" i="20"/>
  <c r="D76" i="20"/>
  <c r="H74" i="20"/>
  <c r="I9" i="11" s="1"/>
  <c r="D74" i="20"/>
  <c r="L65" i="20"/>
  <c r="K65" i="20"/>
  <c r="J65" i="20"/>
  <c r="I65" i="20"/>
  <c r="H65" i="20"/>
  <c r="G65" i="20"/>
  <c r="F65" i="20"/>
  <c r="E65" i="20"/>
  <c r="D65" i="20"/>
  <c r="C65" i="20"/>
  <c r="L64" i="20"/>
  <c r="K64" i="20"/>
  <c r="J64" i="20"/>
  <c r="I64" i="20"/>
  <c r="H64" i="20"/>
  <c r="G64" i="20"/>
  <c r="F64" i="20"/>
  <c r="E64" i="20"/>
  <c r="D64" i="20"/>
  <c r="C64" i="20"/>
  <c r="K62" i="20"/>
  <c r="J62" i="20"/>
  <c r="I62" i="20"/>
  <c r="H62" i="20"/>
  <c r="G62" i="20"/>
  <c r="F62" i="20"/>
  <c r="E62" i="20"/>
  <c r="D62" i="20"/>
  <c r="C62" i="20"/>
  <c r="L60" i="20"/>
  <c r="K60" i="20"/>
  <c r="J60" i="20"/>
  <c r="I60" i="20"/>
  <c r="H60" i="20"/>
  <c r="G60" i="20"/>
  <c r="F60" i="20"/>
  <c r="E60" i="20"/>
  <c r="D60" i="20"/>
  <c r="C60" i="20"/>
  <c r="L59" i="20"/>
  <c r="K59" i="20"/>
  <c r="J59" i="20"/>
  <c r="I59" i="20"/>
  <c r="H59" i="20"/>
  <c r="G59" i="20"/>
  <c r="F59" i="20"/>
  <c r="E59" i="20"/>
  <c r="D59" i="20"/>
  <c r="C59" i="20"/>
  <c r="L55" i="20"/>
  <c r="L8" i="20" s="1"/>
  <c r="C22" i="20" s="1"/>
  <c r="K55" i="20"/>
  <c r="K8" i="20" s="1"/>
  <c r="J55" i="20"/>
  <c r="J8" i="20" s="1"/>
  <c r="I55" i="20"/>
  <c r="I8" i="20" s="1"/>
  <c r="H55" i="20"/>
  <c r="G55" i="20"/>
  <c r="G8" i="20" s="1"/>
  <c r="F55" i="20"/>
  <c r="F8" i="20" s="1"/>
  <c r="E55" i="20"/>
  <c r="E8" i="20" s="1"/>
  <c r="D55" i="20"/>
  <c r="D8" i="20" s="1"/>
  <c r="C55" i="20"/>
  <c r="C8" i="20" s="1"/>
  <c r="L54" i="20"/>
  <c r="L6" i="20" s="1"/>
  <c r="K54" i="20"/>
  <c r="K6" i="20" s="1"/>
  <c r="J54" i="20"/>
  <c r="J6" i="20" s="1"/>
  <c r="I54" i="20"/>
  <c r="I6" i="20" s="1"/>
  <c r="H54" i="20"/>
  <c r="H6" i="20" s="1"/>
  <c r="G54" i="20"/>
  <c r="G6" i="20" s="1"/>
  <c r="F54" i="20"/>
  <c r="F6" i="20" s="1"/>
  <c r="E54" i="20"/>
  <c r="E6" i="20" s="1"/>
  <c r="D54" i="20"/>
  <c r="D6" i="20" s="1"/>
  <c r="C54" i="20"/>
  <c r="C6" i="20" s="1"/>
  <c r="L53" i="20"/>
  <c r="L7" i="20" s="1"/>
  <c r="K53" i="20"/>
  <c r="K7" i="20" s="1"/>
  <c r="J53" i="20"/>
  <c r="J7" i="20" s="1"/>
  <c r="I53" i="20"/>
  <c r="I7" i="20" s="1"/>
  <c r="H53" i="20"/>
  <c r="H7" i="20" s="1"/>
  <c r="G53" i="20"/>
  <c r="G7" i="20" s="1"/>
  <c r="F53" i="20"/>
  <c r="F7" i="20" s="1"/>
  <c r="E53" i="20"/>
  <c r="E7" i="20" s="1"/>
  <c r="D53" i="20"/>
  <c r="D7" i="20" s="1"/>
  <c r="C53" i="20"/>
  <c r="C7" i="20" s="1"/>
  <c r="L52" i="20"/>
  <c r="C5" i="15" s="1"/>
  <c r="K52" i="20"/>
  <c r="J52" i="20"/>
  <c r="I52" i="20"/>
  <c r="H52" i="20"/>
  <c r="G52" i="20"/>
  <c r="F52" i="20"/>
  <c r="E52" i="20"/>
  <c r="D52" i="20"/>
  <c r="C52" i="20"/>
  <c r="L51" i="20"/>
  <c r="K51" i="20"/>
  <c r="J51" i="20"/>
  <c r="I51" i="20"/>
  <c r="H51" i="20"/>
  <c r="G51" i="20"/>
  <c r="F51" i="20"/>
  <c r="E51" i="20"/>
  <c r="D51" i="20"/>
  <c r="C51" i="20"/>
  <c r="L50" i="20"/>
  <c r="K50" i="20"/>
  <c r="J50" i="20"/>
  <c r="I50" i="20"/>
  <c r="H50" i="20"/>
  <c r="G50" i="20"/>
  <c r="F50" i="20"/>
  <c r="E50" i="20"/>
  <c r="D50" i="20"/>
  <c r="C50" i="20"/>
  <c r="L49" i="20"/>
  <c r="K49" i="20"/>
  <c r="J49" i="20"/>
  <c r="I49" i="20"/>
  <c r="H49" i="20"/>
  <c r="G49" i="20"/>
  <c r="F49" i="20"/>
  <c r="E49" i="20"/>
  <c r="D49" i="20"/>
  <c r="C49" i="20"/>
  <c r="L48" i="20"/>
  <c r="L10" i="20" s="1"/>
  <c r="K48" i="20"/>
  <c r="K10" i="20" s="1"/>
  <c r="J48" i="20"/>
  <c r="J10" i="20" s="1"/>
  <c r="I48" i="20"/>
  <c r="I10" i="20" s="1"/>
  <c r="H48" i="20"/>
  <c r="H10" i="20" s="1"/>
  <c r="G48" i="20"/>
  <c r="G10" i="20" s="1"/>
  <c r="F48" i="20"/>
  <c r="F10" i="20" s="1"/>
  <c r="E48" i="20"/>
  <c r="E10" i="20" s="1"/>
  <c r="D48" i="20"/>
  <c r="D10" i="20" s="1"/>
  <c r="C48" i="20"/>
  <c r="C10" i="20" s="1"/>
  <c r="L47" i="20"/>
  <c r="L9" i="20" s="1"/>
  <c r="K47" i="20"/>
  <c r="K9" i="20" s="1"/>
  <c r="J47" i="20"/>
  <c r="J9" i="20" s="1"/>
  <c r="I47" i="20"/>
  <c r="I9" i="20" s="1"/>
  <c r="H47" i="20"/>
  <c r="H9" i="20" s="1"/>
  <c r="G47" i="20"/>
  <c r="G9" i="20" s="1"/>
  <c r="F47" i="20"/>
  <c r="F9" i="20" s="1"/>
  <c r="E47" i="20"/>
  <c r="E9" i="20" s="1"/>
  <c r="D47" i="20"/>
  <c r="D9" i="20" s="1"/>
  <c r="C47" i="20"/>
  <c r="C9" i="20" s="1"/>
  <c r="L46" i="20"/>
  <c r="K46" i="20"/>
  <c r="J46" i="20"/>
  <c r="I46" i="20"/>
  <c r="H46" i="20"/>
  <c r="G46" i="20"/>
  <c r="F46" i="20"/>
  <c r="E46" i="20"/>
  <c r="D46" i="20"/>
  <c r="C46" i="20"/>
  <c r="L45" i="20"/>
  <c r="K45" i="20"/>
  <c r="J45" i="20"/>
  <c r="I45" i="20"/>
  <c r="H45" i="20"/>
  <c r="G45" i="20"/>
  <c r="F45" i="20"/>
  <c r="E45" i="20"/>
  <c r="D45" i="20"/>
  <c r="C45" i="20"/>
  <c r="L41" i="20"/>
  <c r="C8" i="15" s="1"/>
  <c r="K41" i="20"/>
  <c r="J41" i="20"/>
  <c r="I41" i="20"/>
  <c r="H41" i="20"/>
  <c r="G41" i="20"/>
  <c r="F41" i="20"/>
  <c r="E41" i="20"/>
  <c r="D41" i="20"/>
  <c r="C41" i="20"/>
  <c r="L40" i="20"/>
  <c r="K40" i="20"/>
  <c r="D10" i="14" s="1"/>
  <c r="J40" i="20"/>
  <c r="E10" i="14" s="1"/>
  <c r="I40" i="20"/>
  <c r="F10" i="14" s="1"/>
  <c r="H40" i="20"/>
  <c r="G10" i="14" s="1"/>
  <c r="G40" i="20"/>
  <c r="F40" i="20"/>
  <c r="E40" i="20"/>
  <c r="D40" i="20"/>
  <c r="C40" i="20"/>
  <c r="B38" i="20"/>
  <c r="L37" i="20"/>
  <c r="H37" i="20"/>
  <c r="D37" i="20"/>
  <c r="L36" i="20"/>
  <c r="K36" i="20"/>
  <c r="J36" i="20"/>
  <c r="I36" i="20"/>
  <c r="H36" i="20"/>
  <c r="G36" i="20"/>
  <c r="F36" i="20"/>
  <c r="E36" i="20"/>
  <c r="D36" i="20"/>
  <c r="C36" i="20"/>
  <c r="L34" i="20"/>
  <c r="K34" i="20"/>
  <c r="J34" i="20"/>
  <c r="I34" i="20"/>
  <c r="H34" i="20"/>
  <c r="G34" i="20"/>
  <c r="F34" i="20"/>
  <c r="E34" i="20"/>
  <c r="D34" i="20"/>
  <c r="C34" i="20"/>
  <c r="L32" i="20"/>
  <c r="K32" i="20"/>
  <c r="J32" i="20"/>
  <c r="I32" i="20"/>
  <c r="H32" i="20"/>
  <c r="G32" i="20"/>
  <c r="F32" i="20"/>
  <c r="E32" i="20"/>
  <c r="D32" i="20"/>
  <c r="C32" i="20"/>
  <c r="L30" i="20"/>
  <c r="K30" i="20"/>
  <c r="J30" i="20"/>
  <c r="I30" i="20"/>
  <c r="H30" i="20"/>
  <c r="G30" i="20"/>
  <c r="F30" i="20"/>
  <c r="E30" i="20"/>
  <c r="D30" i="20"/>
  <c r="C30" i="20"/>
  <c r="L29" i="20"/>
  <c r="K29" i="20"/>
  <c r="J29" i="20"/>
  <c r="I29" i="20"/>
  <c r="H29" i="20"/>
  <c r="G29" i="20"/>
  <c r="F29" i="20"/>
  <c r="E29" i="20"/>
  <c r="D29" i="20"/>
  <c r="C29" i="20"/>
  <c r="A27" i="20"/>
  <c r="L26" i="20"/>
  <c r="K26" i="20"/>
  <c r="K95" i="20" s="1"/>
  <c r="K96" i="20" s="1"/>
  <c r="J26" i="20"/>
  <c r="J95" i="20" s="1"/>
  <c r="J96" i="20" s="1"/>
  <c r="I26" i="20"/>
  <c r="H26" i="20"/>
  <c r="G26" i="20"/>
  <c r="F26" i="20"/>
  <c r="F95" i="20" s="1"/>
  <c r="F96" i="20" s="1"/>
  <c r="E26" i="20"/>
  <c r="D26" i="20"/>
  <c r="C26" i="20"/>
  <c r="C95" i="20" s="1"/>
  <c r="C96" i="20" s="1"/>
  <c r="A24" i="20"/>
  <c r="L21" i="20"/>
  <c r="K21" i="20"/>
  <c r="J21" i="20"/>
  <c r="I21" i="20"/>
  <c r="H21" i="20"/>
  <c r="G21" i="20"/>
  <c r="F21" i="20"/>
  <c r="E21" i="20"/>
  <c r="D21" i="20"/>
  <c r="C21" i="20"/>
  <c r="L20" i="20"/>
  <c r="K20" i="20"/>
  <c r="J20" i="20"/>
  <c r="I20" i="20"/>
  <c r="H20" i="20"/>
  <c r="G20" i="20"/>
  <c r="F20" i="20"/>
  <c r="E20" i="20"/>
  <c r="D20" i="20"/>
  <c r="C20" i="20"/>
  <c r="L17" i="20"/>
  <c r="K17" i="20"/>
  <c r="J17" i="20"/>
  <c r="I17" i="20"/>
  <c r="H17" i="20"/>
  <c r="G17" i="20"/>
  <c r="F17" i="20"/>
  <c r="E17" i="20"/>
  <c r="D17" i="20"/>
  <c r="C17" i="20"/>
  <c r="L16" i="20"/>
  <c r="K16" i="20"/>
  <c r="J16" i="20"/>
  <c r="I16" i="20"/>
  <c r="H16" i="20"/>
  <c r="G16" i="20"/>
  <c r="F16" i="20"/>
  <c r="E16" i="20"/>
  <c r="D16" i="20"/>
  <c r="C16" i="20"/>
  <c r="L15" i="20"/>
  <c r="L27" i="20" s="1"/>
  <c r="K15" i="20"/>
  <c r="K27" i="20" s="1"/>
  <c r="J15" i="20"/>
  <c r="J27" i="20" s="1"/>
  <c r="I15" i="20"/>
  <c r="I27" i="20" s="1"/>
  <c r="I113" i="20" s="1"/>
  <c r="H15" i="20"/>
  <c r="H27" i="20" s="1"/>
  <c r="G15" i="20"/>
  <c r="G27" i="20" s="1"/>
  <c r="F15" i="20"/>
  <c r="F27" i="20" s="1"/>
  <c r="E15" i="20"/>
  <c r="E27" i="20" s="1"/>
  <c r="E113" i="20" s="1"/>
  <c r="D15" i="20"/>
  <c r="D27" i="20" s="1"/>
  <c r="C15" i="20"/>
  <c r="C27" i="20" s="1"/>
  <c r="L183" i="20"/>
  <c r="K183" i="20"/>
  <c r="J183" i="20"/>
  <c r="I183" i="20"/>
  <c r="H183" i="20"/>
  <c r="G183" i="20"/>
  <c r="F183" i="20"/>
  <c r="E183" i="20"/>
  <c r="D183" i="20"/>
  <c r="C183" i="20"/>
  <c r="A4" i="20"/>
  <c r="K4" i="19"/>
  <c r="K3" i="19"/>
  <c r="K3" i="18"/>
  <c r="B4" i="18" s="1"/>
  <c r="H8" i="16" l="1"/>
  <c r="M93" i="20"/>
  <c r="H11" i="16" s="1"/>
  <c r="D113" i="20"/>
  <c r="H113" i="20"/>
  <c r="L113" i="20"/>
  <c r="D130" i="20"/>
  <c r="H130" i="20"/>
  <c r="L130" i="20"/>
  <c r="D132" i="20"/>
  <c r="H132" i="20"/>
  <c r="L132" i="20"/>
  <c r="F114" i="20"/>
  <c r="J114" i="20"/>
  <c r="E13" i="19"/>
  <c r="H41" i="11"/>
  <c r="G95" i="20"/>
  <c r="G96" i="20" s="1"/>
  <c r="K8" i="16"/>
  <c r="E130" i="20"/>
  <c r="I130" i="20"/>
  <c r="E132" i="20"/>
  <c r="I132" i="20"/>
  <c r="C114" i="20"/>
  <c r="G114" i="20"/>
  <c r="K114" i="20"/>
  <c r="J131" i="20"/>
  <c r="M117" i="20"/>
  <c r="C5" i="29"/>
  <c r="L4" i="19"/>
  <c r="K131" i="20"/>
  <c r="M138" i="20"/>
  <c r="M120" i="20"/>
  <c r="F130" i="20"/>
  <c r="J130" i="20"/>
  <c r="D131" i="20"/>
  <c r="H131" i="20"/>
  <c r="L131" i="20"/>
  <c r="F132" i="20"/>
  <c r="J132" i="20"/>
  <c r="F131" i="20"/>
  <c r="C131" i="20"/>
  <c r="G131" i="20"/>
  <c r="C130" i="20"/>
  <c r="G130" i="20"/>
  <c r="K130" i="20"/>
  <c r="E131" i="20"/>
  <c r="I131" i="20"/>
  <c r="C132" i="20"/>
  <c r="G132" i="20"/>
  <c r="K132" i="20"/>
  <c r="D114" i="20"/>
  <c r="H114" i="20"/>
  <c r="L114" i="20"/>
  <c r="E114" i="20"/>
  <c r="I114" i="20"/>
  <c r="I120" i="20"/>
  <c r="I95" i="20"/>
  <c r="I96" i="20" s="1"/>
  <c r="E120" i="20"/>
  <c r="E95" i="20"/>
  <c r="E96" i="20" s="1"/>
  <c r="D95" i="20"/>
  <c r="D96" i="20" s="1"/>
  <c r="H95" i="20"/>
  <c r="H96" i="20" s="1"/>
  <c r="L95" i="20"/>
  <c r="L96" i="20" s="1"/>
  <c r="C126" i="20"/>
  <c r="F126" i="20"/>
  <c r="J126" i="20"/>
  <c r="F121" i="20"/>
  <c r="J121" i="20"/>
  <c r="G126" i="20"/>
  <c r="K126" i="20"/>
  <c r="D126" i="20"/>
  <c r="H126" i="20"/>
  <c r="L126" i="20"/>
  <c r="E126" i="20"/>
  <c r="I126" i="20"/>
  <c r="D112" i="20"/>
  <c r="H112" i="20"/>
  <c r="L112" i="20"/>
  <c r="C121" i="20"/>
  <c r="G121" i="20"/>
  <c r="K121" i="20"/>
  <c r="D121" i="20"/>
  <c r="H121" i="20"/>
  <c r="L121" i="20"/>
  <c r="D5" i="29"/>
  <c r="E121" i="20"/>
  <c r="I121" i="20"/>
  <c r="E112" i="20"/>
  <c r="I112" i="20"/>
  <c r="F113" i="20"/>
  <c r="J113" i="20"/>
  <c r="F112" i="20"/>
  <c r="J112" i="20"/>
  <c r="C113" i="20"/>
  <c r="G113" i="20"/>
  <c r="K113" i="20"/>
  <c r="C112" i="20"/>
  <c r="G112" i="20"/>
  <c r="K112" i="20"/>
  <c r="F120" i="20"/>
  <c r="C120" i="20"/>
  <c r="G120" i="20"/>
  <c r="K120" i="20"/>
  <c r="E9" i="14"/>
  <c r="J120" i="20"/>
  <c r="D120" i="20"/>
  <c r="H120" i="20"/>
  <c r="L120" i="20"/>
  <c r="F9" i="14"/>
  <c r="G5" i="14"/>
  <c r="C5" i="14"/>
  <c r="F5" i="14"/>
  <c r="E5" i="14"/>
  <c r="D5" i="14"/>
  <c r="E138" i="20"/>
  <c r="I138" i="20"/>
  <c r="D141" i="20"/>
  <c r="H141" i="20"/>
  <c r="I141" i="20"/>
  <c r="L141" i="20"/>
  <c r="E141" i="20"/>
  <c r="D5" i="27"/>
  <c r="I41" i="11" s="1"/>
  <c r="C5" i="27"/>
  <c r="J41" i="11" s="1"/>
  <c r="F141" i="20"/>
  <c r="J141" i="20"/>
  <c r="C141" i="20"/>
  <c r="G141" i="20"/>
  <c r="K141" i="20"/>
  <c r="F138" i="20"/>
  <c r="C138" i="20"/>
  <c r="G138" i="20"/>
  <c r="K138" i="20"/>
  <c r="J138" i="20"/>
  <c r="D138" i="20"/>
  <c r="H138" i="20"/>
  <c r="L138" i="20"/>
  <c r="K10" i="16"/>
  <c r="G14" i="20"/>
  <c r="G24" i="20" s="1"/>
  <c r="G170" i="20"/>
  <c r="G164" i="20"/>
  <c r="G155" i="20"/>
  <c r="D14" i="20"/>
  <c r="D24" i="20" s="1"/>
  <c r="D170" i="20"/>
  <c r="D155" i="20"/>
  <c r="D164" i="20"/>
  <c r="L14" i="20"/>
  <c r="L24" i="20" s="1"/>
  <c r="L170" i="20"/>
  <c r="L155" i="20"/>
  <c r="L164" i="20"/>
  <c r="E14" i="20"/>
  <c r="E24" i="20" s="1"/>
  <c r="E170" i="20"/>
  <c r="E155" i="20"/>
  <c r="E164" i="20"/>
  <c r="I14" i="20"/>
  <c r="I24" i="20" s="1"/>
  <c r="I164" i="20"/>
  <c r="I170" i="20"/>
  <c r="I155" i="20"/>
  <c r="C14" i="20"/>
  <c r="C24" i="20" s="1"/>
  <c r="C170" i="20"/>
  <c r="C155" i="20"/>
  <c r="C164" i="20"/>
  <c r="K14" i="20"/>
  <c r="K24" i="20" s="1"/>
  <c r="K155" i="20"/>
  <c r="K164" i="20"/>
  <c r="K170" i="20"/>
  <c r="H14" i="20"/>
  <c r="H24" i="20" s="1"/>
  <c r="H170" i="20"/>
  <c r="H155" i="20"/>
  <c r="H164" i="20"/>
  <c r="F14" i="20"/>
  <c r="F24" i="20" s="1"/>
  <c r="F164" i="20"/>
  <c r="F170" i="20"/>
  <c r="F155" i="20"/>
  <c r="J14" i="20"/>
  <c r="J24" i="20" s="1"/>
  <c r="J164" i="20"/>
  <c r="J170" i="20"/>
  <c r="J155" i="20"/>
  <c r="C6" i="15"/>
  <c r="K9" i="16"/>
  <c r="B7" i="1"/>
  <c r="F7" i="15"/>
  <c r="C10" i="15"/>
  <c r="E90" i="20"/>
  <c r="I90" i="20"/>
  <c r="D58" i="20"/>
  <c r="C6" i="14"/>
  <c r="D90" i="20"/>
  <c r="H90" i="20"/>
  <c r="G76" i="20"/>
  <c r="G77" i="20" s="1"/>
  <c r="F8" i="16"/>
  <c r="C9" i="16"/>
  <c r="F90" i="20"/>
  <c r="J90" i="20"/>
  <c r="C8" i="16"/>
  <c r="C37" i="20"/>
  <c r="C83" i="20" s="1"/>
  <c r="K37" i="20"/>
  <c r="K82" i="20" s="1"/>
  <c r="D6" i="14"/>
  <c r="D9" i="16"/>
  <c r="C74" i="20"/>
  <c r="K74" i="20"/>
  <c r="F9" i="11" s="1"/>
  <c r="G9" i="16"/>
  <c r="G6" i="14"/>
  <c r="E9" i="16"/>
  <c r="C76" i="20"/>
  <c r="K76" i="20"/>
  <c r="K77" i="20" s="1"/>
  <c r="H75" i="20"/>
  <c r="I10" i="11" s="1"/>
  <c r="E11" i="14"/>
  <c r="C7" i="15"/>
  <c r="G8" i="16"/>
  <c r="G37" i="20"/>
  <c r="G81" i="20" s="1"/>
  <c r="F9" i="16"/>
  <c r="G74" i="20"/>
  <c r="I13" i="19" s="1"/>
  <c r="D77" i="20"/>
  <c r="D8" i="16"/>
  <c r="F11" i="14"/>
  <c r="B6" i="1"/>
  <c r="F6" i="14"/>
  <c r="E6" i="14"/>
  <c r="J23" i="20"/>
  <c r="J63" i="20" s="1"/>
  <c r="C10" i="14"/>
  <c r="C20" i="14" s="1"/>
  <c r="G21" i="16"/>
  <c r="E8" i="16"/>
  <c r="E74" i="20"/>
  <c r="I37" i="20"/>
  <c r="I83" i="20" s="1"/>
  <c r="E37" i="20"/>
  <c r="E83" i="20" s="1"/>
  <c r="I76" i="20"/>
  <c r="I77" i="20" s="1"/>
  <c r="I74" i="20"/>
  <c r="H9" i="11" s="1"/>
  <c r="E76" i="20"/>
  <c r="E77" i="20" s="1"/>
  <c r="D75" i="20"/>
  <c r="C73" i="20"/>
  <c r="J12" i="19" s="1"/>
  <c r="F37" i="20"/>
  <c r="F83" i="20" s="1"/>
  <c r="J37" i="20"/>
  <c r="J81" i="20" s="1"/>
  <c r="F74" i="20"/>
  <c r="J74" i="20"/>
  <c r="G9" i="11" s="1"/>
  <c r="I73" i="20"/>
  <c r="H12" i="11" s="1"/>
  <c r="L75" i="20"/>
  <c r="E73" i="20"/>
  <c r="E12" i="11"/>
  <c r="K12" i="11" s="1"/>
  <c r="J13" i="19"/>
  <c r="F76" i="20"/>
  <c r="F77" i="20" s="1"/>
  <c r="J76" i="20"/>
  <c r="K75" i="20"/>
  <c r="F10" i="11" s="1"/>
  <c r="G75" i="20"/>
  <c r="J10" i="11" s="1"/>
  <c r="J75" i="20"/>
  <c r="G10" i="11" s="1"/>
  <c r="F75" i="20"/>
  <c r="H77" i="20"/>
  <c r="I8" i="11"/>
  <c r="G7" i="14"/>
  <c r="C7" i="14"/>
  <c r="B11" i="11"/>
  <c r="B16" i="11" s="1"/>
  <c r="G11" i="14"/>
  <c r="F23" i="20"/>
  <c r="F63" i="20" s="1"/>
  <c r="C11" i="14"/>
  <c r="E42" i="20"/>
  <c r="I42" i="20"/>
  <c r="I100" i="20" s="1"/>
  <c r="F58" i="20"/>
  <c r="J58" i="20"/>
  <c r="D11" i="14"/>
  <c r="H4" i="19"/>
  <c r="G13" i="19"/>
  <c r="E4" i="19"/>
  <c r="I31" i="20"/>
  <c r="D86" i="20"/>
  <c r="C11" i="15"/>
  <c r="G4" i="19"/>
  <c r="F31" i="20"/>
  <c r="J31" i="20"/>
  <c r="D89" i="20"/>
  <c r="H89" i="20"/>
  <c r="L89" i="20"/>
  <c r="D11" i="20"/>
  <c r="L11" i="20"/>
  <c r="M119" i="20" s="1"/>
  <c r="E11" i="20"/>
  <c r="D23" i="20"/>
  <c r="D63" i="20" s="1"/>
  <c r="D80" i="20" s="1"/>
  <c r="H23" i="20"/>
  <c r="H63" i="20" s="1"/>
  <c r="L23" i="20"/>
  <c r="E23" i="20"/>
  <c r="E63" i="20" s="1"/>
  <c r="I23" i="20"/>
  <c r="I63" i="20" s="1"/>
  <c r="E86" i="20"/>
  <c r="I86" i="20"/>
  <c r="H3" i="19"/>
  <c r="I3" i="19"/>
  <c r="C9" i="15"/>
  <c r="E31" i="20"/>
  <c r="H86" i="20"/>
  <c r="D7" i="14"/>
  <c r="H11" i="20"/>
  <c r="J3" i="19"/>
  <c r="F13" i="19"/>
  <c r="E3" i="19"/>
  <c r="G12" i="19"/>
  <c r="C11" i="20"/>
  <c r="G11" i="20"/>
  <c r="K11" i="20"/>
  <c r="F42" i="20"/>
  <c r="F102" i="20" s="1"/>
  <c r="J42" i="20"/>
  <c r="J101" i="20" s="1"/>
  <c r="C58" i="20"/>
  <c r="G58" i="20"/>
  <c r="K58" i="20"/>
  <c r="F12" i="19"/>
  <c r="G3" i="19"/>
  <c r="H58" i="20"/>
  <c r="E7" i="14"/>
  <c r="I11" i="20"/>
  <c r="F7" i="14"/>
  <c r="I4" i="19"/>
  <c r="H8" i="20"/>
  <c r="H82" i="20" s="1"/>
  <c r="G23" i="20"/>
  <c r="G63" i="20" s="1"/>
  <c r="K23" i="20"/>
  <c r="K63" i="20" s="1"/>
  <c r="C28" i="20"/>
  <c r="G28" i="20"/>
  <c r="K28" i="20"/>
  <c r="C31" i="20"/>
  <c r="G31" i="20"/>
  <c r="K31" i="20"/>
  <c r="F86" i="20"/>
  <c r="J86" i="20"/>
  <c r="J4" i="19"/>
  <c r="F11" i="20"/>
  <c r="J11" i="20"/>
  <c r="J106" i="20" s="1"/>
  <c r="D31" i="20"/>
  <c r="H31" i="20"/>
  <c r="L31" i="20"/>
  <c r="D83" i="20"/>
  <c r="H83" i="20"/>
  <c r="L83" i="20"/>
  <c r="C42" i="20"/>
  <c r="C101" i="20" s="1"/>
  <c r="G42" i="20"/>
  <c r="K42" i="20"/>
  <c r="L58" i="20"/>
  <c r="C86" i="20"/>
  <c r="G86" i="20"/>
  <c r="K86" i="20"/>
  <c r="G9" i="14"/>
  <c r="D42" i="20"/>
  <c r="D101" i="20" s="1"/>
  <c r="H42" i="20"/>
  <c r="H101" i="20" s="1"/>
  <c r="L42" i="20"/>
  <c r="E58" i="20"/>
  <c r="I58" i="20"/>
  <c r="D9" i="14"/>
  <c r="L28" i="20"/>
  <c r="L76" i="20"/>
  <c r="L74" i="20"/>
  <c r="E9" i="11" s="1"/>
  <c r="D28" i="20"/>
  <c r="H28" i="20"/>
  <c r="D69" i="20"/>
  <c r="H69" i="20"/>
  <c r="L69" i="20"/>
  <c r="D79" i="20"/>
  <c r="H79" i="20"/>
  <c r="D81" i="20"/>
  <c r="H81" i="20"/>
  <c r="L81" i="20"/>
  <c r="C90" i="20"/>
  <c r="G90" i="20"/>
  <c r="K90" i="20"/>
  <c r="L62" i="20"/>
  <c r="M118" i="20" s="1"/>
  <c r="E28" i="20"/>
  <c r="I28" i="20"/>
  <c r="F28" i="20"/>
  <c r="J28" i="20"/>
  <c r="D82" i="20"/>
  <c r="L82" i="20"/>
  <c r="D84" i="20"/>
  <c r="L84" i="20"/>
  <c r="H10" i="16" l="1"/>
  <c r="K33" i="20"/>
  <c r="K35" i="20" s="1"/>
  <c r="K133" i="20" s="1"/>
  <c r="K93" i="20"/>
  <c r="F11" i="16" s="1"/>
  <c r="J33" i="20"/>
  <c r="J35" i="20" s="1"/>
  <c r="J133" i="20" s="1"/>
  <c r="J134" i="20" s="1"/>
  <c r="J93" i="20"/>
  <c r="E11" i="16" s="1"/>
  <c r="H88" i="20"/>
  <c r="H93" i="20"/>
  <c r="C11" i="16" s="1"/>
  <c r="G33" i="20"/>
  <c r="G35" i="20" s="1"/>
  <c r="G118" i="20" s="1"/>
  <c r="G93" i="20"/>
  <c r="F88" i="20"/>
  <c r="F93" i="20"/>
  <c r="I88" i="20"/>
  <c r="I93" i="20"/>
  <c r="D11" i="16" s="1"/>
  <c r="E88" i="20"/>
  <c r="E93" i="20"/>
  <c r="L33" i="20"/>
  <c r="L35" i="20" s="1"/>
  <c r="L133" i="20" s="1"/>
  <c r="L134" i="20" s="1"/>
  <c r="L93" i="20"/>
  <c r="G11" i="16" s="1"/>
  <c r="D33" i="20"/>
  <c r="D93" i="20"/>
  <c r="C88" i="20"/>
  <c r="C93" i="20"/>
  <c r="M41" i="11"/>
  <c r="K134" i="20"/>
  <c r="M4" i="19"/>
  <c r="B12" i="11" s="1"/>
  <c r="F5" i="28"/>
  <c r="I5" i="18" s="1"/>
  <c r="I12" i="19"/>
  <c r="I101" i="20"/>
  <c r="C102" i="20"/>
  <c r="F101" i="20"/>
  <c r="I102" i="20"/>
  <c r="L57" i="20"/>
  <c r="L100" i="20"/>
  <c r="K57" i="20"/>
  <c r="K100" i="20"/>
  <c r="H57" i="20"/>
  <c r="H100" i="20"/>
  <c r="L101" i="20"/>
  <c r="K102" i="20"/>
  <c r="J102" i="20"/>
  <c r="L102" i="20"/>
  <c r="E57" i="20"/>
  <c r="E100" i="20"/>
  <c r="E102" i="20"/>
  <c r="G57" i="20"/>
  <c r="G100" i="20"/>
  <c r="J57" i="20"/>
  <c r="J100" i="20"/>
  <c r="E101" i="20"/>
  <c r="D57" i="20"/>
  <c r="D100" i="20"/>
  <c r="C57" i="20"/>
  <c r="C100" i="20"/>
  <c r="F57" i="20"/>
  <c r="F100" i="20"/>
  <c r="G102" i="20"/>
  <c r="G101" i="20"/>
  <c r="D102" i="20"/>
  <c r="K101" i="20"/>
  <c r="H102" i="20"/>
  <c r="K106" i="20"/>
  <c r="L5" i="29"/>
  <c r="L12" i="18" s="1"/>
  <c r="I12" i="18"/>
  <c r="L5" i="27"/>
  <c r="L4" i="18" s="1"/>
  <c r="I4" i="18"/>
  <c r="K118" i="20"/>
  <c r="L107" i="20"/>
  <c r="F106" i="20"/>
  <c r="H106" i="20"/>
  <c r="D106" i="20"/>
  <c r="G106" i="20"/>
  <c r="E106" i="20"/>
  <c r="I106" i="20"/>
  <c r="L106" i="20"/>
  <c r="K119" i="20"/>
  <c r="C9" i="14"/>
  <c r="F5" i="29"/>
  <c r="C18" i="14"/>
  <c r="K117" i="20"/>
  <c r="J9" i="11"/>
  <c r="G5" i="28"/>
  <c r="K139" i="20"/>
  <c r="K127" i="20"/>
  <c r="D42" i="11" s="1"/>
  <c r="K140" i="20"/>
  <c r="K80" i="20"/>
  <c r="E10" i="11"/>
  <c r="K10" i="11" s="1"/>
  <c r="B15" i="11"/>
  <c r="F7" i="16"/>
  <c r="K92" i="20"/>
  <c r="C82" i="20"/>
  <c r="G80" i="20"/>
  <c r="G84" i="20"/>
  <c r="C79" i="20"/>
  <c r="G82" i="20"/>
  <c r="C81" i="20"/>
  <c r="E69" i="20"/>
  <c r="C19" i="14"/>
  <c r="F33" i="20"/>
  <c r="F35" i="20" s="1"/>
  <c r="F133" i="20" s="1"/>
  <c r="F134" i="20" s="1"/>
  <c r="K84" i="20"/>
  <c r="I79" i="20"/>
  <c r="L78" i="20"/>
  <c r="E11" i="11" s="1"/>
  <c r="E82" i="20"/>
  <c r="E81" i="20"/>
  <c r="G88" i="20"/>
  <c r="H84" i="20"/>
  <c r="E33" i="20"/>
  <c r="E35" i="20" s="1"/>
  <c r="E133" i="20" s="1"/>
  <c r="E134" i="20" s="1"/>
  <c r="E84" i="20"/>
  <c r="E78" i="20"/>
  <c r="E79" i="20"/>
  <c r="E89" i="20"/>
  <c r="E80" i="20"/>
  <c r="K89" i="20"/>
  <c r="K79" i="20"/>
  <c r="K69" i="20"/>
  <c r="G89" i="20"/>
  <c r="C84" i="20"/>
  <c r="K81" i="20"/>
  <c r="G83" i="20"/>
  <c r="K83" i="20"/>
  <c r="G79" i="20"/>
  <c r="G69" i="20"/>
  <c r="C89" i="20"/>
  <c r="F8" i="11"/>
  <c r="J84" i="20"/>
  <c r="I84" i="20"/>
  <c r="I80" i="20"/>
  <c r="J83" i="20"/>
  <c r="H33" i="20"/>
  <c r="H35" i="20" s="1"/>
  <c r="I81" i="20"/>
  <c r="I69" i="20"/>
  <c r="I89" i="20"/>
  <c r="I82" i="20"/>
  <c r="J89" i="20"/>
  <c r="B5" i="19"/>
  <c r="C33" i="20"/>
  <c r="C35" i="20" s="1"/>
  <c r="F6" i="28" s="1"/>
  <c r="I78" i="20"/>
  <c r="H11" i="11" s="1"/>
  <c r="F69" i="20"/>
  <c r="F80" i="20"/>
  <c r="H80" i="20"/>
  <c r="F82" i="20"/>
  <c r="H8" i="11"/>
  <c r="F78" i="20"/>
  <c r="F79" i="20"/>
  <c r="F89" i="20"/>
  <c r="F84" i="20"/>
  <c r="F81" i="20"/>
  <c r="J69" i="20"/>
  <c r="J82" i="20"/>
  <c r="J80" i="20"/>
  <c r="B3" i="19"/>
  <c r="J79" i="20"/>
  <c r="E8" i="11"/>
  <c r="B4" i="19"/>
  <c r="J77" i="20"/>
  <c r="G8" i="11"/>
  <c r="C21" i="14"/>
  <c r="K78" i="20"/>
  <c r="F11" i="11" s="1"/>
  <c r="J88" i="20"/>
  <c r="C22" i="14"/>
  <c r="I57" i="20"/>
  <c r="H78" i="20"/>
  <c r="D78" i="20"/>
  <c r="I33" i="20"/>
  <c r="I35" i="20" s="1"/>
  <c r="I133" i="20" s="1"/>
  <c r="I134" i="20" s="1"/>
  <c r="K88" i="20"/>
  <c r="J78" i="20"/>
  <c r="G11" i="11" s="1"/>
  <c r="G78" i="20"/>
  <c r="M12" i="19"/>
  <c r="K70" i="20"/>
  <c r="K87" i="20" s="1"/>
  <c r="D8" i="14"/>
  <c r="D4" i="14"/>
  <c r="M13" i="19"/>
  <c r="D35" i="20"/>
  <c r="D133" i="20" s="1"/>
  <c r="D134" i="20" s="1"/>
  <c r="D66" i="20"/>
  <c r="D67" i="20" s="1"/>
  <c r="L77" i="20"/>
  <c r="D88" i="20"/>
  <c r="C78" i="20"/>
  <c r="K13" i="19"/>
  <c r="L63" i="20"/>
  <c r="M9" i="19" s="1"/>
  <c r="K12" i="19"/>
  <c r="J9" i="19"/>
  <c r="F9" i="19"/>
  <c r="L8" i="19"/>
  <c r="K9" i="19"/>
  <c r="G9" i="19"/>
  <c r="E8" i="19"/>
  <c r="I9" i="19"/>
  <c r="E9" i="19"/>
  <c r="K8" i="19"/>
  <c r="G8" i="19"/>
  <c r="I8" i="19"/>
  <c r="L9" i="19"/>
  <c r="J8" i="19"/>
  <c r="F8" i="19"/>
  <c r="K66" i="20"/>
  <c r="K67" i="20" s="1"/>
  <c r="L79" i="20"/>
  <c r="L127" i="20" l="1"/>
  <c r="C42" i="11" s="1"/>
  <c r="I44" i="11"/>
  <c r="K44" i="11" s="1"/>
  <c r="H13" i="19"/>
  <c r="E7" i="16"/>
  <c r="L140" i="20"/>
  <c r="G127" i="20"/>
  <c r="I42" i="11" s="1"/>
  <c r="K107" i="20"/>
  <c r="G6" i="28"/>
  <c r="O4" i="19"/>
  <c r="E8" i="14"/>
  <c r="L66" i="20"/>
  <c r="L67" i="20" s="1"/>
  <c r="G66" i="20"/>
  <c r="G67" i="20" s="1"/>
  <c r="J70" i="20"/>
  <c r="J87" i="20" s="1"/>
  <c r="J140" i="20"/>
  <c r="L117" i="20"/>
  <c r="L118" i="20"/>
  <c r="J118" i="20"/>
  <c r="G133" i="20"/>
  <c r="G134" i="20" s="1"/>
  <c r="K7" i="16"/>
  <c r="L70" i="20"/>
  <c r="H9" i="19"/>
  <c r="C8" i="14"/>
  <c r="C14" i="14" s="1"/>
  <c r="G7" i="16"/>
  <c r="L92" i="20"/>
  <c r="G70" i="20"/>
  <c r="G87" i="20" s="1"/>
  <c r="G140" i="20"/>
  <c r="L38" i="20"/>
  <c r="J127" i="20"/>
  <c r="E42" i="11" s="1"/>
  <c r="G117" i="20"/>
  <c r="G119" i="20"/>
  <c r="H107" i="20"/>
  <c r="N4" i="19"/>
  <c r="G92" i="20"/>
  <c r="G139" i="20"/>
  <c r="L119" i="20"/>
  <c r="J66" i="20"/>
  <c r="J67" i="20" s="1"/>
  <c r="E4" i="14"/>
  <c r="C4" i="14"/>
  <c r="C16" i="14" s="1"/>
  <c r="J92" i="20"/>
  <c r="L139" i="20"/>
  <c r="J139" i="20"/>
  <c r="J119" i="20"/>
  <c r="J117" i="20"/>
  <c r="B22" i="11"/>
  <c r="B21" i="11"/>
  <c r="B25" i="11" s="1"/>
  <c r="L5" i="28"/>
  <c r="L5" i="18" s="1"/>
  <c r="F3" i="19"/>
  <c r="H133" i="20"/>
  <c r="H134" i="20" s="1"/>
  <c r="C133" i="20"/>
  <c r="C134" i="20" s="1"/>
  <c r="H12" i="19"/>
  <c r="I118" i="20"/>
  <c r="J107" i="20"/>
  <c r="H118" i="20"/>
  <c r="I107" i="20"/>
  <c r="E118" i="20"/>
  <c r="F107" i="20"/>
  <c r="F118" i="20"/>
  <c r="G107" i="20"/>
  <c r="M5" i="28"/>
  <c r="L6" i="18" s="1"/>
  <c r="I6" i="18"/>
  <c r="D118" i="20"/>
  <c r="E107" i="20"/>
  <c r="C118" i="20"/>
  <c r="D107" i="20"/>
  <c r="G5" i="29"/>
  <c r="N5" i="29"/>
  <c r="L11" i="18" s="1"/>
  <c r="I11" i="18"/>
  <c r="K5" i="29"/>
  <c r="L9" i="18" s="1"/>
  <c r="I9" i="18"/>
  <c r="E5" i="29"/>
  <c r="I119" i="20"/>
  <c r="I117" i="20"/>
  <c r="H119" i="20"/>
  <c r="H117" i="20"/>
  <c r="E119" i="20"/>
  <c r="E117" i="20"/>
  <c r="F119" i="20"/>
  <c r="F117" i="20"/>
  <c r="D119" i="20"/>
  <c r="D117" i="20"/>
  <c r="C119" i="20"/>
  <c r="C117" i="20"/>
  <c r="I127" i="20"/>
  <c r="F42" i="11" s="1"/>
  <c r="H127" i="20"/>
  <c r="G42" i="11" s="1"/>
  <c r="C5" i="28"/>
  <c r="P5" i="28" s="1"/>
  <c r="D127" i="20"/>
  <c r="C127" i="20"/>
  <c r="J42" i="11" s="1"/>
  <c r="E127" i="20"/>
  <c r="F127" i="20"/>
  <c r="D139" i="20"/>
  <c r="D140" i="20"/>
  <c r="I139" i="20"/>
  <c r="I140" i="20"/>
  <c r="G4" i="14"/>
  <c r="H139" i="20"/>
  <c r="H140" i="20"/>
  <c r="C139" i="20"/>
  <c r="C140" i="20"/>
  <c r="E139" i="20"/>
  <c r="E140" i="20"/>
  <c r="F139" i="20"/>
  <c r="F140" i="20"/>
  <c r="H70" i="20"/>
  <c r="H87" i="20" s="1"/>
  <c r="C7" i="16"/>
  <c r="H92" i="20"/>
  <c r="C70" i="20"/>
  <c r="C87" i="20" s="1"/>
  <c r="C92" i="20"/>
  <c r="D70" i="20"/>
  <c r="D87" i="20" s="1"/>
  <c r="D92" i="20"/>
  <c r="D7" i="16"/>
  <c r="I92" i="20"/>
  <c r="E70" i="20"/>
  <c r="E87" i="20" s="1"/>
  <c r="E92" i="20"/>
  <c r="F70" i="20"/>
  <c r="F87" i="20" s="1"/>
  <c r="F92" i="20"/>
  <c r="C4" i="19"/>
  <c r="H66" i="20"/>
  <c r="H67" i="20" s="1"/>
  <c r="I70" i="20"/>
  <c r="I87" i="20" s="1"/>
  <c r="G8" i="14"/>
  <c r="M3" i="19"/>
  <c r="G19" i="16"/>
  <c r="F66" i="20"/>
  <c r="F67" i="20" s="1"/>
  <c r="L3" i="19"/>
  <c r="E66" i="20"/>
  <c r="E67" i="20" s="1"/>
  <c r="H8" i="19"/>
  <c r="I66" i="20"/>
  <c r="I67" i="20" s="1"/>
  <c r="N3" i="19"/>
  <c r="O3" i="19"/>
  <c r="F8" i="14"/>
  <c r="C66" i="20"/>
  <c r="C67" i="20" s="1"/>
  <c r="M8" i="19"/>
  <c r="F4" i="14"/>
  <c r="I11" i="11"/>
  <c r="C5" i="19"/>
  <c r="C3" i="19"/>
  <c r="K9" i="11"/>
  <c r="L12" i="19"/>
  <c r="L13" i="19"/>
  <c r="N9" i="19"/>
  <c r="N8" i="19"/>
  <c r="L80" i="20"/>
  <c r="L142" i="20" l="1"/>
  <c r="G5" i="27" s="1"/>
  <c r="H42" i="11"/>
  <c r="C17" i="14"/>
  <c r="M42" i="11"/>
  <c r="M43" i="11" s="1"/>
  <c r="J17" i="11" s="1"/>
  <c r="E20" i="11" s="1"/>
  <c r="E23" i="11" s="1"/>
  <c r="E53" i="11"/>
  <c r="C54" i="11"/>
  <c r="C53" i="11"/>
  <c r="F8" i="1" s="1"/>
  <c r="E54" i="11"/>
  <c r="C55" i="11"/>
  <c r="E55" i="11"/>
  <c r="G8" i="1" s="1"/>
  <c r="D53" i="11"/>
  <c r="D55" i="11"/>
  <c r="D54" i="11"/>
  <c r="L7" i="18"/>
  <c r="I7" i="18"/>
  <c r="M5" i="29"/>
  <c r="L10" i="18" s="1"/>
  <c r="I10" i="18"/>
  <c r="G142" i="20"/>
  <c r="K142" i="20"/>
  <c r="J142" i="20"/>
  <c r="I142" i="20"/>
  <c r="F142" i="20"/>
  <c r="H142" i="20"/>
  <c r="E142" i="20"/>
  <c r="F6" i="1"/>
  <c r="B17" i="11"/>
  <c r="I7" i="1" s="1"/>
  <c r="B19" i="11"/>
  <c r="C15" i="14"/>
  <c r="C23" i="14" s="1"/>
  <c r="J19" i="16"/>
  <c r="M45" i="11" l="1"/>
  <c r="M46" i="11" s="1"/>
  <c r="M47" i="11"/>
  <c r="B16" i="17"/>
  <c r="B15" i="17"/>
  <c r="B17" i="17" l="1"/>
  <c r="B18" i="17" s="1"/>
  <c r="B4" i="17" l="1"/>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D8" i="17" l="1"/>
  <c r="D9" i="17" s="1"/>
  <c r="E3" i="17"/>
  <c r="E5" i="17" s="1"/>
  <c r="O2" i="17"/>
  <c r="P2" i="17" s="1"/>
  <c r="Q2" i="17" s="1"/>
  <c r="R2" i="17" s="1"/>
  <c r="S2" i="17" s="1"/>
  <c r="T2" i="17" s="1"/>
  <c r="U2" i="17" s="1"/>
  <c r="V2" i="17" s="1"/>
  <c r="W2" i="17" s="1"/>
  <c r="X2" i="17" s="1"/>
  <c r="E10" i="16"/>
  <c r="C10" i="16"/>
  <c r="D10" i="16"/>
  <c r="G10" i="16"/>
  <c r="D4" i="16" s="1"/>
  <c r="F10" i="16"/>
  <c r="I8" i="18" l="1"/>
  <c r="K4" i="16"/>
  <c r="L8" i="18" s="1"/>
  <c r="L3" i="18" s="1"/>
  <c r="C4" i="18" s="1"/>
  <c r="F3" i="17"/>
  <c r="G3" i="17" s="1"/>
  <c r="E6" i="17"/>
  <c r="E8" i="17" s="1"/>
  <c r="E9" i="17" s="1"/>
  <c r="F5" i="17" l="1"/>
  <c r="F6" i="17" s="1"/>
  <c r="F8" i="17" s="1"/>
  <c r="F9" i="17" s="1"/>
  <c r="G5" i="17"/>
  <c r="H3" i="17"/>
  <c r="H5" i="17" l="1"/>
  <c r="H6" i="17" s="1"/>
  <c r="H8" i="17" s="1"/>
  <c r="H9" i="17" s="1"/>
  <c r="I3" i="17"/>
  <c r="G6" i="17"/>
  <c r="G8" i="17" s="1"/>
  <c r="G9" i="17" s="1"/>
  <c r="J3" i="17" l="1"/>
  <c r="I5" i="17"/>
  <c r="I6" i="17" s="1"/>
  <c r="I8" i="17" s="1"/>
  <c r="I9" i="17" s="1"/>
  <c r="J5" i="17" l="1"/>
  <c r="K3" i="17"/>
  <c r="L3" i="17" l="1"/>
  <c r="K5" i="17"/>
  <c r="K6" i="17" s="1"/>
  <c r="K8" i="17" s="1"/>
  <c r="K9" i="17" s="1"/>
  <c r="J6" i="17"/>
  <c r="J8" i="17" s="1"/>
  <c r="J9" i="17" s="1"/>
  <c r="G10" i="15"/>
  <c r="L5" i="17" l="1"/>
  <c r="L6" i="17" s="1"/>
  <c r="L8" i="17" s="1"/>
  <c r="L9" i="17" s="1"/>
  <c r="M3" i="17"/>
  <c r="B12" i="17"/>
  <c r="M5" i="17" l="1"/>
  <c r="M6" i="17" s="1"/>
  <c r="M8" i="17" s="1"/>
  <c r="M9" i="17" s="1"/>
  <c r="N3" i="17"/>
  <c r="O3" i="17" l="1"/>
  <c r="N5" i="17"/>
  <c r="N6" i="17" s="1"/>
  <c r="N8" i="17" s="1"/>
  <c r="N9" i="17" s="1"/>
  <c r="F8" i="15"/>
  <c r="F5" i="15"/>
  <c r="F6" i="15"/>
  <c r="F4" i="15"/>
  <c r="C14" i="15" l="1"/>
  <c r="P3" i="17"/>
  <c r="O5" i="17"/>
  <c r="O6" i="17" s="1"/>
  <c r="O8" i="17" s="1"/>
  <c r="O9" i="17" s="1"/>
  <c r="K12" i="14"/>
  <c r="K14" i="14" s="1"/>
  <c r="F14" i="11"/>
  <c r="E14" i="11"/>
  <c r="B14" i="11"/>
  <c r="H14" i="11"/>
  <c r="I14" i="11"/>
  <c r="P5" i="17" l="1"/>
  <c r="P6" i="17" s="1"/>
  <c r="P8" i="17" s="1"/>
  <c r="P9" i="17" s="1"/>
  <c r="Q3" i="17"/>
  <c r="E27" i="11"/>
  <c r="E28" i="11" s="1"/>
  <c r="G14" i="11"/>
  <c r="B20" i="11" s="1"/>
  <c r="E22" i="11" s="1"/>
  <c r="E24" i="11" s="1"/>
  <c r="F7" i="1" s="1"/>
  <c r="E29" i="11" l="1"/>
  <c r="Q5" i="17"/>
  <c r="Q6" i="17" s="1"/>
  <c r="Q8" i="17" s="1"/>
  <c r="Q9" i="17" s="1"/>
  <c r="R3" i="17"/>
  <c r="R5" i="17" l="1"/>
  <c r="R6" i="17" s="1"/>
  <c r="R8" i="17" s="1"/>
  <c r="R9" i="17" s="1"/>
  <c r="S3" i="17"/>
  <c r="F27" i="11"/>
  <c r="F28" i="11" s="1"/>
  <c r="F29" i="11" l="1"/>
  <c r="S5" i="17"/>
  <c r="S6" i="17" s="1"/>
  <c r="S8" i="17" s="1"/>
  <c r="S9" i="17" s="1"/>
  <c r="T3" i="17"/>
  <c r="G27" i="11" l="1"/>
  <c r="G28" i="11" s="1"/>
  <c r="T5" i="17"/>
  <c r="T6" i="17" s="1"/>
  <c r="T8" i="17" s="1"/>
  <c r="T9" i="17" s="1"/>
  <c r="U3" i="17"/>
  <c r="G29" i="11" l="1"/>
  <c r="U5" i="17"/>
  <c r="U6" i="17" s="1"/>
  <c r="U8" i="17" s="1"/>
  <c r="U9" i="17" s="1"/>
  <c r="V3" i="17"/>
  <c r="H27" i="11" l="1"/>
  <c r="V5" i="17"/>
  <c r="V6" i="17" s="1"/>
  <c r="V8" i="17" s="1"/>
  <c r="V9" i="17" s="1"/>
  <c r="W3" i="17"/>
  <c r="B26" i="11" l="1"/>
  <c r="H28" i="11"/>
  <c r="H29" i="11" s="1"/>
  <c r="X3" i="17"/>
  <c r="X5" i="17" s="1"/>
  <c r="W5" i="17"/>
  <c r="W6" i="17" s="1"/>
  <c r="W8" i="17" s="1"/>
  <c r="W9" i="17" s="1"/>
  <c r="I27" i="11" l="1"/>
  <c r="I28" i="11" s="1"/>
  <c r="I29" i="11" s="1"/>
  <c r="X6" i="17"/>
  <c r="X8" i="17" s="1"/>
  <c r="X9" i="17" s="1"/>
  <c r="B6" i="17" s="1"/>
  <c r="J27" i="11" l="1"/>
  <c r="J28" i="11" s="1"/>
  <c r="J29" i="11" l="1"/>
  <c r="E31" i="11" s="1"/>
  <c r="E30" i="11" l="1"/>
  <c r="E32" i="11" s="1"/>
  <c r="B27" i="11" s="1"/>
  <c r="E33" i="11" l="1"/>
  <c r="J5" i="15"/>
  <c r="J7" i="15" s="1"/>
</calcChain>
</file>

<file path=xl/comments1.xml><?xml version="1.0" encoding="utf-8"?>
<comments xmlns="http://schemas.openxmlformats.org/spreadsheetml/2006/main">
  <authors>
    <author>HP</author>
  </authors>
  <commentList>
    <comment ref="D6" authorId="0" shapeId="0">
      <text>
        <r>
          <rPr>
            <sz val="9"/>
            <color indexed="81"/>
            <rFont val="Tahoma"/>
            <family val="2"/>
          </rPr>
          <t xml:space="preserve">How much CMP higher than P E/B Valuation
</t>
        </r>
      </text>
    </comment>
    <comment ref="D7" authorId="0" shapeId="0">
      <text>
        <r>
          <rPr>
            <sz val="9"/>
            <color indexed="81"/>
            <rFont val="Tahoma"/>
            <family val="2"/>
          </rPr>
          <t xml:space="preserve">Sanjay Bakshi's valuation formala
</t>
        </r>
      </text>
    </comment>
    <comment ref="D8" authorId="0" shapeId="0">
      <text>
        <r>
          <rPr>
            <sz val="9"/>
            <color indexed="81"/>
            <rFont val="Tahoma"/>
            <family val="2"/>
          </rPr>
          <t xml:space="preserve">Conservative valuation formula
</t>
        </r>
      </text>
    </comment>
  </commentList>
</comments>
</file>

<file path=xl/comments2.xml><?xml version="1.0" encoding="utf-8"?>
<comments xmlns="http://schemas.openxmlformats.org/spreadsheetml/2006/main">
  <authors>
    <author>HP</author>
  </authors>
  <commentList>
    <comment ref="L41" authorId="0" shapeId="0">
      <text>
        <r>
          <rPr>
            <sz val="9"/>
            <color indexed="81"/>
            <rFont val="Tahoma"/>
            <family val="2"/>
          </rPr>
          <t xml:space="preserve">Sales growth capped at 25%
</t>
        </r>
      </text>
    </comment>
    <comment ref="M41" authorId="0" shapeId="0">
      <text>
        <r>
          <rPr>
            <sz val="9"/>
            <color indexed="81"/>
            <rFont val="Tahoma"/>
            <family val="2"/>
          </rPr>
          <t xml:space="preserve">Sales growth capped at 25%
</t>
        </r>
      </text>
    </comment>
    <comment ref="I42" authorId="0" shapeId="0">
      <text>
        <r>
          <rPr>
            <sz val="9"/>
            <color indexed="81"/>
            <rFont val="Tahoma"/>
            <family val="2"/>
          </rPr>
          <t xml:space="preserve">Lower Cap at 0%
</t>
        </r>
      </text>
    </comment>
    <comment ref="J42" authorId="0" shapeId="0">
      <text>
        <r>
          <rPr>
            <b/>
            <sz val="9"/>
            <color indexed="81"/>
            <rFont val="Tahoma"/>
            <family val="2"/>
          </rPr>
          <t>Lower Cap at 0%</t>
        </r>
      </text>
    </comment>
    <comment ref="L42" authorId="0" shapeId="0">
      <text>
        <r>
          <rPr>
            <sz val="9"/>
            <color indexed="81"/>
            <rFont val="Tahoma"/>
            <family val="2"/>
          </rPr>
          <t xml:space="preserve">Capped at 15%
</t>
        </r>
      </text>
    </comment>
    <comment ref="M42" authorId="0" shapeId="0">
      <text>
        <r>
          <rPr>
            <sz val="9"/>
            <color indexed="81"/>
            <rFont val="Tahoma"/>
            <family val="2"/>
          </rPr>
          <t xml:space="preserve">Capped at 15%
</t>
        </r>
      </text>
    </comment>
  </commentList>
</comments>
</file>

<file path=xl/comments3.xml><?xml version="1.0" encoding="utf-8"?>
<comments xmlns="http://schemas.openxmlformats.org/spreadsheetml/2006/main">
  <authors>
    <author>HP</author>
  </authors>
  <commentList>
    <comment ref="E2" authorId="0" shapeId="0">
      <text>
        <r>
          <rPr>
            <sz val="9"/>
            <color indexed="81"/>
            <rFont val="Tahoma"/>
            <family val="2"/>
          </rPr>
          <t xml:space="preserve">Gross margins suggest pricing power. Higher = Better, but also invites competition. So watch out for consistency.
</t>
        </r>
      </text>
    </comment>
    <comment ref="I7" authorId="0" shapeId="0">
      <text>
        <r>
          <rPr>
            <sz val="9"/>
            <color indexed="81"/>
            <rFont val="Tahoma"/>
            <family val="2"/>
          </rPr>
          <t xml:space="preserve">Accruals method of accounting -
Revenue is booked when sales transaction takes place, not when the actual cash is collected.
Low number would mean that company is able to report higher revenue without realizing the cash benefit from the transactions.
Fluctuating trend reflects operational weakness
</t>
        </r>
      </text>
    </comment>
    <comment ref="J7" authorId="0" shapeId="0">
      <text>
        <r>
          <rPr>
            <sz val="9"/>
            <color indexed="81"/>
            <rFont val="Tahoma"/>
            <family val="2"/>
          </rPr>
          <t xml:space="preserve">How efficiently company's assets are used
</t>
        </r>
      </text>
    </comment>
    <comment ref="K7" authorId="0" shapeId="0">
      <text>
        <r>
          <rPr>
            <sz val="9"/>
            <color indexed="81"/>
            <rFont val="Tahoma"/>
            <family val="2"/>
          </rPr>
          <t xml:space="preserve">Abilty to pay short term loan
</t>
        </r>
      </text>
    </comment>
    <comment ref="L7" authorId="0" shapeId="0">
      <text>
        <r>
          <rPr>
            <sz val="9"/>
            <color indexed="81"/>
            <rFont val="Tahoma"/>
            <family val="2"/>
          </rPr>
          <t xml:space="preserve">Abilty to pay borrowings
</t>
        </r>
      </text>
    </comment>
  </commentList>
</comments>
</file>

<file path=xl/comments4.xml><?xml version="1.0" encoding="utf-8"?>
<comments xmlns="http://schemas.openxmlformats.org/spreadsheetml/2006/main">
  <authors>
    <author>Kumar Saurabh</author>
    <author>HP</author>
  </authors>
  <commentList>
    <comment ref="A53" authorId="0" shapeId="0">
      <text>
        <r>
          <rPr>
            <b/>
            <sz val="9"/>
            <color indexed="81"/>
            <rFont val="Tahoma"/>
            <family val="2"/>
          </rPr>
          <t>Kumar Saurabh:</t>
        </r>
        <r>
          <rPr>
            <sz val="9"/>
            <color indexed="81"/>
            <rFont val="Tahoma"/>
            <family val="2"/>
          </rPr>
          <t xml:space="preserve">
Trades Receiavbles</t>
        </r>
      </text>
    </comment>
    <comment ref="A58"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 ref="A93" authorId="1" shapeId="0">
      <text>
        <r>
          <rPr>
            <sz val="9"/>
            <color indexed="81"/>
            <rFont val="Tahoma"/>
            <family val="2"/>
          </rPr>
          <t xml:space="preserve">EBIT/(total assets less current liabilities)
</t>
        </r>
      </text>
    </comment>
  </commentList>
</comments>
</file>

<file path=xl/sharedStrings.xml><?xml version="1.0" encoding="utf-8"?>
<sst xmlns="http://schemas.openxmlformats.org/spreadsheetml/2006/main" count="753" uniqueCount="565">
  <si>
    <t>Company</t>
  </si>
  <si>
    <t>Sector</t>
  </si>
  <si>
    <t>Face value</t>
  </si>
  <si>
    <t>No of shares outstanding</t>
  </si>
  <si>
    <t>Market Cap</t>
  </si>
  <si>
    <t>Promoter Shareholding</t>
  </si>
  <si>
    <t>Business Summary</t>
  </si>
  <si>
    <t>Equity Share Capital</t>
  </si>
  <si>
    <t>Reserves</t>
  </si>
  <si>
    <t>Networth</t>
  </si>
  <si>
    <t>Secured Loans</t>
  </si>
  <si>
    <t>Unsecured Loans</t>
  </si>
  <si>
    <t>Total Liabilities</t>
  </si>
  <si>
    <t>Net Block</t>
  </si>
  <si>
    <t>Capital Work in Progress</t>
  </si>
  <si>
    <t>Investments</t>
  </si>
  <si>
    <t>Current Liabilities</t>
  </si>
  <si>
    <t>Total Assets</t>
  </si>
  <si>
    <t>Net Sales</t>
  </si>
  <si>
    <t>Other Income</t>
  </si>
  <si>
    <t>Total Income</t>
  </si>
  <si>
    <t>Raw Materials</t>
  </si>
  <si>
    <t>Employee Cost</t>
  </si>
  <si>
    <t>Operating Profit</t>
  </si>
  <si>
    <t>Interest</t>
  </si>
  <si>
    <t>Depreciation</t>
  </si>
  <si>
    <t>Tax</t>
  </si>
  <si>
    <t>Current Assets</t>
  </si>
  <si>
    <t>Year</t>
  </si>
  <si>
    <t>Free Cash Flow</t>
  </si>
  <si>
    <t>Shares Outstanding</t>
  </si>
  <si>
    <t>CAGR</t>
  </si>
  <si>
    <t>FCF</t>
  </si>
  <si>
    <t>DPS</t>
  </si>
  <si>
    <t>Input</t>
  </si>
  <si>
    <t>EPS</t>
  </si>
  <si>
    <t>CMP</t>
  </si>
  <si>
    <t>BVPS</t>
  </si>
  <si>
    <t>P/E</t>
  </si>
  <si>
    <t>Earnings Yeild</t>
  </si>
  <si>
    <t>Dividend Yeild</t>
  </si>
  <si>
    <t>Discount rate</t>
  </si>
  <si>
    <t>ROE</t>
  </si>
  <si>
    <t>Payout Ratio</t>
  </si>
  <si>
    <t>Current Data</t>
  </si>
  <si>
    <t>Average Data</t>
  </si>
  <si>
    <t>Payout</t>
  </si>
  <si>
    <t>Projections Historical</t>
  </si>
  <si>
    <t>Earnings after 5 years</t>
  </si>
  <si>
    <t>Sum Of dividend paid</t>
  </si>
  <si>
    <t>Projected Price</t>
  </si>
  <si>
    <t>Total Gain</t>
  </si>
  <si>
    <t>Projections Growth</t>
  </si>
  <si>
    <t>Historical Earnings Growth</t>
  </si>
  <si>
    <t>Sustainable Earnings Growth</t>
  </si>
  <si>
    <t>Year Ending</t>
  </si>
  <si>
    <t>Piotroski F Score</t>
  </si>
  <si>
    <t>ROA</t>
  </si>
  <si>
    <t>Current Ratio</t>
  </si>
  <si>
    <t>Gross Margin</t>
  </si>
  <si>
    <t>Net Income</t>
  </si>
  <si>
    <t>Operating Cash Flow</t>
  </si>
  <si>
    <t>Asset Turnover</t>
  </si>
  <si>
    <t>Working Capital</t>
  </si>
  <si>
    <t>EBITDA</t>
  </si>
  <si>
    <t>Market Value of Equity</t>
  </si>
  <si>
    <t>Score</t>
  </si>
  <si>
    <t>T1 = Working Capital/Total Assets</t>
  </si>
  <si>
    <t>T3 = EBITDA/Total Assets</t>
  </si>
  <si>
    <t>T5 = Net Sales/Total Assets</t>
  </si>
  <si>
    <r>
      <t>Stock Price</t>
    </r>
    <r>
      <rPr>
        <sz val="10"/>
        <color theme="0"/>
        <rFont val="Arial"/>
        <family val="2"/>
      </rPr>
      <t>#</t>
    </r>
  </si>
  <si>
    <t>Snapshot</t>
  </si>
  <si>
    <t>Value</t>
  </si>
  <si>
    <t>Altman Zscore = 1.2T1 + 1.4T2 + 3.3T3 + 0.6T4 + 0.999T5.</t>
  </si>
  <si>
    <t>Value of stock based on</t>
  </si>
  <si>
    <t>Value of Stock</t>
  </si>
  <si>
    <t>Year 0</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</si>
  <si>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</si>
  <si>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</si>
  <si>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</si>
  <si>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</si>
  <si>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</si>
  <si>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</si>
  <si>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</si>
  <si>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</si>
  <si>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</si>
  <si>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</si>
  <si>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</si>
  <si>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</si>
  <si>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</si>
  <si>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</si>
  <si>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</si>
  <si>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</si>
  <si>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</si>
  <si>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</si>
  <si>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Piotrosoki Score</t>
  </si>
  <si>
    <t>Altman Zscore</t>
  </si>
  <si>
    <t>CY</t>
  </si>
  <si>
    <t>CY-1</t>
  </si>
  <si>
    <t>CY-2</t>
  </si>
  <si>
    <t>CY-3</t>
  </si>
  <si>
    <t>CY-4</t>
  </si>
  <si>
    <t>CFO</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</si>
  <si>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</si>
  <si>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</si>
  <si>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</si>
  <si>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</si>
  <si>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</si>
  <si>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</si>
  <si>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</si>
  <si>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</si>
  <si>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</si>
  <si>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</si>
  <si>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</si>
  <si>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</si>
  <si>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</si>
  <si>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</si>
  <si>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</si>
  <si>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 The module will pick FCF / Share, You can change Input cells</t>
  </si>
  <si>
    <t>Model FCF / Share</t>
  </si>
  <si>
    <t>Capex</t>
  </si>
  <si>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</si>
  <si>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</si>
  <si>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</si>
  <si>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Note - If MICAP is more than twenty it will shown as Zero</t>
  </si>
  <si>
    <t>Owner's Earnings (in INR Cr)</t>
  </si>
  <si>
    <t>This is based on whatever you have input on FCF sheet</t>
  </si>
  <si>
    <t>꓿</t>
  </si>
  <si>
    <r>
      <t>NP</t>
    </r>
    <r>
      <rPr>
        <vertAlign val="subscript"/>
        <sz val="11"/>
        <color theme="1"/>
        <rFont val="Calibri"/>
        <family val="2"/>
        <scheme val="minor"/>
      </rPr>
      <t>CY</t>
    </r>
    <r>
      <rPr>
        <sz val="11"/>
        <color theme="1"/>
        <rFont val="Calibri"/>
        <family val="2"/>
        <scheme val="minor"/>
      </rPr>
      <t xml:space="preserve"> - NP</t>
    </r>
    <r>
      <rPr>
        <vertAlign val="subscript"/>
        <sz val="11"/>
        <color theme="1"/>
        <rFont val="Calibri"/>
        <family val="2"/>
        <scheme val="minor"/>
      </rPr>
      <t>CY-4</t>
    </r>
  </si>
  <si>
    <r>
      <t>NW</t>
    </r>
    <r>
      <rPr>
        <vertAlign val="subscript"/>
        <sz val="11"/>
        <color theme="1"/>
        <rFont val="Calibri"/>
        <family val="2"/>
        <scheme val="minor"/>
      </rPr>
      <t>CY</t>
    </r>
    <r>
      <rPr>
        <sz val="11"/>
        <color theme="1"/>
        <rFont val="Calibri"/>
        <family val="2"/>
        <scheme val="minor"/>
      </rPr>
      <t xml:space="preserve"> - NW</t>
    </r>
    <r>
      <rPr>
        <vertAlign val="subscript"/>
        <sz val="11"/>
        <color theme="1"/>
        <rFont val="Calibri"/>
        <family val="2"/>
        <scheme val="minor"/>
      </rPr>
      <t>CY-4</t>
    </r>
  </si>
  <si>
    <t>Piotroski 2: Operating Cash Flow &gt;0</t>
  </si>
  <si>
    <t>Piotroski 3: Return on Assets higher than last Yr.</t>
  </si>
  <si>
    <t>Piotroski 7: Shares Outstanding not higher than last Yr.</t>
  </si>
  <si>
    <t>Piotroski 8: Gross Margin higher than last Yr.</t>
  </si>
  <si>
    <t>Piotroski 9: Total Income/Total Assets higher than last Yr.</t>
  </si>
  <si>
    <t>Discount Rate</t>
  </si>
  <si>
    <t>RESEARCH FRAMEWORK</t>
  </si>
  <si>
    <t>S.No</t>
  </si>
  <si>
    <t>Criteria</t>
  </si>
  <si>
    <t>Goal</t>
  </si>
  <si>
    <t>Actual</t>
  </si>
  <si>
    <t>Description</t>
  </si>
  <si>
    <t>Weight</t>
  </si>
  <si>
    <t>PARAMETER</t>
  </si>
  <si>
    <t>Max WEIGHT</t>
  </si>
  <si>
    <t>Actual Weight</t>
  </si>
  <si>
    <t>FINANCIAL ANALYSIS</t>
  </si>
  <si>
    <t>Financial Anlaysis</t>
  </si>
  <si>
    <t>ROE/ROA 5 Yr.</t>
  </si>
  <si>
    <t>EPS growth 5 Yr.</t>
  </si>
  <si>
    <t>&gt;20%</t>
  </si>
  <si>
    <t>Promoter Pledged Holding</t>
  </si>
  <si>
    <t>EPS growth 10 Yr.</t>
  </si>
  <si>
    <t>Growth should be consistent year on year. Ignore companies where a sudden spurt of sales in one year is confounding the 10 years performance.
Very high growth rates of &gt;50% are unsustainable.</t>
  </si>
  <si>
    <t>Avg. NP margin 5 Yr.</t>
  </si>
  <si>
    <t>Look for companies with sustained operating &amp; net profit margins over the years - See more at: http://www.drvijaymalik.com/2015/01/selecting-top-stocks-to-buy-part-10.html#sthash.swZnrKBv.dpuf</t>
  </si>
  <si>
    <t>CFO/PAT 5 Yr.</t>
  </si>
  <si>
    <t>&gt;1</t>
  </si>
  <si>
    <t>Cumulative PAT and CFO are similar for last 10 years</t>
  </si>
  <si>
    <t>Promoter Holding 5 Yr.</t>
  </si>
  <si>
    <t>Debt/Net Profit</t>
  </si>
  <si>
    <t>&lt;=5</t>
  </si>
  <si>
    <t>&gt;1.25</t>
  </si>
  <si>
    <t>Current Cash flow</t>
  </si>
  <si>
    <t>CFO &gt; 0</t>
  </si>
  <si>
    <t>Positive CFO is necessary. It’s great if CFO meets the outflow for CFI and CFF</t>
  </si>
  <si>
    <t>CASH FLOW</t>
  </si>
  <si>
    <t xml:space="preserve"> CFF/CFO</t>
  </si>
  <si>
    <t>Capex/CFO</t>
  </si>
  <si>
    <t>CFO/PAT</t>
  </si>
  <si>
    <t>CFO/Sales</t>
  </si>
  <si>
    <t>CFO/Assets</t>
  </si>
  <si>
    <t>CFO/Current Liabilty</t>
  </si>
  <si>
    <t>CFO/Total Debt</t>
  </si>
  <si>
    <t>CAPEX/FCF</t>
  </si>
  <si>
    <t>5 Yr. Average</t>
  </si>
  <si>
    <t>Current</t>
  </si>
  <si>
    <t>OTHERS</t>
  </si>
  <si>
    <t>Gross Profit Margin</t>
  </si>
  <si>
    <t>Net Profit Margin</t>
  </si>
  <si>
    <t>Inventory/Sales</t>
  </si>
  <si>
    <t>Current Cash/Assets</t>
  </si>
  <si>
    <t>Current Assets/Current Liabilities</t>
  </si>
  <si>
    <t>Leverage</t>
  </si>
  <si>
    <t>ROCE</t>
  </si>
  <si>
    <t>GROWTH</t>
  </si>
  <si>
    <t>Sales</t>
  </si>
  <si>
    <t xml:space="preserve">Inventory </t>
  </si>
  <si>
    <t xml:space="preserve">Receivables </t>
  </si>
  <si>
    <t>PAT</t>
  </si>
  <si>
    <t>10 YR CAGR</t>
  </si>
  <si>
    <t>5 YR CAGR</t>
  </si>
  <si>
    <t>FII</t>
  </si>
  <si>
    <t>COPY PASTE DATA FROM ANY FINANCIAL WEBSITE: ONLY FOR THE FIELDS MARKED GREEN BELOW</t>
  </si>
  <si>
    <t>CONSOLIDATED</t>
  </si>
  <si>
    <t>Inventory</t>
  </si>
  <si>
    <t>Debtors</t>
  </si>
  <si>
    <t>Working Capital (check)</t>
  </si>
  <si>
    <t>COPY PASTE DATA FROM ANNUAL REPORTS: ONLY FOR THE FIELDS MARKED ORANGE BELOW</t>
  </si>
  <si>
    <t>Operating Expenses/Capex</t>
  </si>
  <si>
    <t>Employee cost</t>
  </si>
  <si>
    <t>Advertising and sales promotion</t>
  </si>
  <si>
    <t>Freight, transport and distribution</t>
  </si>
  <si>
    <t>Royalty</t>
  </si>
  <si>
    <t>Power and fuel</t>
  </si>
  <si>
    <t>Miscellaneous expenses</t>
  </si>
  <si>
    <t>R&amp;D Cost</t>
  </si>
  <si>
    <t>Gross Profit</t>
  </si>
  <si>
    <t>Depreciation &amp; Amortisation</t>
  </si>
  <si>
    <t>EBIT</t>
  </si>
  <si>
    <t>PBT</t>
  </si>
  <si>
    <t>Dividends</t>
  </si>
  <si>
    <t>Current Market Cap</t>
  </si>
  <si>
    <t>Equity</t>
  </si>
  <si>
    <t>Reserves &amp; Surplus</t>
  </si>
  <si>
    <t>Borrowings</t>
  </si>
  <si>
    <t>Other Liabilities</t>
  </si>
  <si>
    <t>Current Asset</t>
  </si>
  <si>
    <t>Net Fixed Assets</t>
  </si>
  <si>
    <t>Cash</t>
  </si>
  <si>
    <t>Net Other Assets</t>
  </si>
  <si>
    <t>Invested Capital</t>
  </si>
  <si>
    <t>Capital Employed</t>
  </si>
  <si>
    <t>Total Liability</t>
  </si>
  <si>
    <t>Cash from Investing Activity</t>
  </si>
  <si>
    <t>Cash from Financing Activity</t>
  </si>
  <si>
    <t>Tax Rate</t>
  </si>
  <si>
    <t>NOPAT</t>
  </si>
  <si>
    <t>MktCap+Dividend</t>
  </si>
  <si>
    <t>Retained Profit</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</si>
  <si>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</si>
  <si>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</si>
  <si>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</si>
  <si>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</si>
  <si>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</si>
  <si>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</si>
  <si>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</si>
  <si>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</si>
  <si>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</si>
  <si>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</si>
  <si>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</si>
  <si>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</si>
  <si>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</si>
  <si>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</si>
  <si>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COMPANY NAME</t>
  </si>
  <si>
    <t>LATEST VERSION</t>
  </si>
  <si>
    <t>PLEASE DO NOT MAKE ANY CHANGES TO THIS SHEET</t>
  </si>
  <si>
    <t>CURRENT VERSION</t>
  </si>
  <si>
    <t>META</t>
  </si>
  <si>
    <t>Number of shares</t>
  </si>
  <si>
    <t>Face Value</t>
  </si>
  <si>
    <t>Current Price</t>
  </si>
  <si>
    <t>Market Capitalization</t>
  </si>
  <si>
    <t>PROFIT &amp; LOSS</t>
  </si>
  <si>
    <t>Report Date</t>
  </si>
  <si>
    <t>Raw Material Cost</t>
  </si>
  <si>
    <t>Change in Inventory</t>
  </si>
  <si>
    <t>Power and Fuel</t>
  </si>
  <si>
    <t>Other Mfr. Exp</t>
  </si>
  <si>
    <t>Selling and admin</t>
  </si>
  <si>
    <t>Other Expenses</t>
  </si>
  <si>
    <t>Profit before tax</t>
  </si>
  <si>
    <t>Net profit</t>
  </si>
  <si>
    <t>Dividend Amount</t>
  </si>
  <si>
    <t>Quarters</t>
  </si>
  <si>
    <t>Expenses</t>
  </si>
  <si>
    <t>BALANCE SHEET</t>
  </si>
  <si>
    <t>Total</t>
  </si>
  <si>
    <t>Other Assets</t>
  </si>
  <si>
    <t>Receivables</t>
  </si>
  <si>
    <t>Cash &amp; Bank</t>
  </si>
  <si>
    <t>No. of Equity Shares</t>
  </si>
  <si>
    <t>New Bonus Shares</t>
  </si>
  <si>
    <t>CASH FLOW:</t>
  </si>
  <si>
    <t>Cash from Operating Activity</t>
  </si>
  <si>
    <t>Net Cash Flow</t>
  </si>
  <si>
    <t>PRICE:</t>
  </si>
  <si>
    <t>DERIVED:</t>
  </si>
  <si>
    <t>Adjusted Equity Shares in Cr</t>
  </si>
  <si>
    <t>Piotroski 1: PAT &gt;0</t>
  </si>
  <si>
    <t>Piotroski 4: Operating Cash Flow higher than PAT</t>
  </si>
  <si>
    <t>T2 = Reserves &amp; Surplus/Total Assets</t>
  </si>
  <si>
    <t>Borrowings / Total Assets</t>
  </si>
  <si>
    <t>Piotroski 5: Borrowings/Assets lower than last Yr.</t>
  </si>
  <si>
    <t>Piotroski 6: Current Ratio than last Yr.</t>
  </si>
  <si>
    <t>T4 = Market Value of Equity/Total Assets</t>
  </si>
  <si>
    <t>Price</t>
  </si>
  <si>
    <t>CY-5</t>
  </si>
  <si>
    <t>P E/B Valuation</t>
  </si>
  <si>
    <t>Avg P/E Ratio</t>
  </si>
  <si>
    <t>Avg P/B Ratio</t>
  </si>
  <si>
    <t xml:space="preserve">EPS/BV </t>
  </si>
  <si>
    <t>5 Yr. Max</t>
  </si>
  <si>
    <t xml:space="preserve"> </t>
  </si>
  <si>
    <t>Receivables/
Sales</t>
  </si>
  <si>
    <t>PE</t>
  </si>
  <si>
    <t>PB</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</si>
  <si>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</si>
  <si>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FCF/CFO</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</si>
  <si>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</si>
  <si>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</si>
  <si>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Current Ratio measures the liquidity of a company, or its ability to pay short-term obligations. 
Current Ratio = Current Assets / Current Liabilities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</si>
  <si>
    <t>Seek companies where earnings have risen as retained earnings (earnings after paying dividends) have been employed profitably. A great way to screen for such companies is by looking at those that have had consistent earnings and strong return on equity in the past.
  What counts in the long run is the increase in "per share value", not overall growth or size of a business.</t>
  </si>
  <si>
    <t>ROE = Efficiency in allocating capital, which is a CEO's #1 job. Higher = Better. Look for consistency. 
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</si>
  <si>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Final Price</t>
  </si>
  <si>
    <t>Conservative furture growth in EPS/BVPS</t>
  </si>
  <si>
    <t>ROE 5 Yr.</t>
  </si>
  <si>
    <t>Assumptions</t>
  </si>
  <si>
    <t>PE Ratio</t>
  </si>
  <si>
    <t>PB Ratio</t>
  </si>
  <si>
    <t>Bank Interest 1 Yr</t>
  </si>
  <si>
    <t>Current EPS</t>
  </si>
  <si>
    <t>&gt;=-3%</t>
  </si>
  <si>
    <t>Debt/PAT</t>
  </si>
  <si>
    <t>Distance Covered</t>
  </si>
  <si>
    <t>Assets</t>
  </si>
  <si>
    <t xml:space="preserve">Shareholder funds </t>
  </si>
  <si>
    <t>List of mistakes made in the market made over and over again -</t>
  </si>
  <si>
    <t>Do not be taken in by the new highs. Once the past peak of the index has been crossed, every new level is a new high &amp; there is nothing extraordinary about it.</t>
  </si>
  <si>
    <t>These are journeys of an index which will go up as the market prices of stocks go up. They are not urgent reminders that tell you about loss opportunities.</t>
  </si>
  <si>
    <t>Do not treat them like immediate calls for actions. Do not check the index everyday, and do not make generalizations based on the index.</t>
  </si>
  <si>
    <t xml:space="preserve">Explanations about why the market is up or down is equally useless. Discount them. How you will do is a function of what you are buying, holding and selling. </t>
  </si>
  <si>
    <t>Stay focussed on that micro reality, not on the macro nartatives floating around.</t>
  </si>
  <si>
    <t>Do not sacrifice quality for anything. The rising tide allows lightweights to also soar. Do not use price as an indicator of how good the stock is.</t>
  </si>
  <si>
    <t>What you see as the rise in the price of the stock in the past is history. What will matter to you is how the stock stock will behave in the future.</t>
  </si>
  <si>
    <t>Make sure your holdings are worth your hard earned money. Do not take chances with unknown stocks and overhyped IPO when there are enough of others with well established track record &amp; performance numbers</t>
  </si>
  <si>
    <t>Your money deserves better</t>
  </si>
  <si>
    <t>Do not benchmark your returns with what you may have gained in the short-term by participating in the equity markets. It is a good feeling to see the value of investments go up.</t>
  </si>
  <si>
    <t xml:space="preserve">A bull market attracts investors as their confidence moves up when what they have invested in begins to do well, or exceed their expectations </t>
  </si>
  <si>
    <t>Investors who see a 10% return as fantastic will begin to believe that a 40% return is to be normally expected.</t>
  </si>
  <si>
    <t>It does not matter when that would happen, not is it necessary to predict the next fall. Returns will eventually average out overtime and these abnormal gains will bufer you again.</t>
  </si>
  <si>
    <t>Do not quit in great haste. The desire to be right about timing the market is very high with investors. Coming off from a flat into a boom creates anxities.</t>
  </si>
  <si>
    <t xml:space="preserve">Stories about how someone did not make all the money because of not getting out at the right time remain in memory. </t>
  </si>
  <si>
    <t>Tentativeness about how far the markets will run up will increase as naysayers point to the end of the bull market with every rise.</t>
  </si>
  <si>
    <t>Remember that a bull market is not defined by its highs, but by its lows. No one knows how far your stock will run and you may regret quitting too soon.</t>
  </si>
  <si>
    <t>Allow your gains to run. What you have to be hawk-eyed is the loss.</t>
  </si>
  <si>
    <t>Do not hesitate to throw out the bad apples. There is no way you will get each one of the stock picks right - even if you did the best research and analysis.</t>
  </si>
  <si>
    <t>There are too many unknowns and a stock you picked might end up doing worse that you expected. Your portfolio will do well if you focus on selling off what is losing money for you, rather than selling what is making money.</t>
  </si>
  <si>
    <t>If you are unable to see at a loss and move on, you may still not be ready for equity investing.If you do not cut your loss, your profits may get wiped off.</t>
  </si>
  <si>
    <t>Do not indulge in day trading if you not mastered the art of managing your capital. Trading is very different from investing &amp; calls for a different set of skills.</t>
  </si>
  <si>
    <t>Riding the momentum in a stock and booking some quick gains can make you mistakenly believe that it is all easy. Its just that you got lukcy in a gamble ans you may not be able to replicate your gains.</t>
  </si>
  <si>
    <t>Traders are tested when the bets move against them and a good one will bow out and take the loss on the chin. The amateur will hold the position &amp; wish for the markets to oblige &amp; get caught up in steep loss.</t>
  </si>
  <si>
    <t>Trading is about moving the capital quickly across positions, evaluating them as you go along. If you merely buy &amp; sell without that agility it is your broker who will make the money, not you.</t>
  </si>
  <si>
    <t>Particpate in the market with the power of information and preparedness. There are sensible approaches for discerning investor to participate in the value that businesses create</t>
  </si>
  <si>
    <t>RoE</t>
  </si>
  <si>
    <t>NP</t>
  </si>
  <si>
    <t>Tangible assets (Non-current)</t>
  </si>
  <si>
    <t>Investments (Current)</t>
  </si>
  <si>
    <t>Rest</t>
  </si>
  <si>
    <t>Raw Mat + Invt change</t>
  </si>
  <si>
    <t>Inventories (Current)</t>
  </si>
  <si>
    <t>Receivables (Current)</t>
  </si>
  <si>
    <t>Cash (Current)</t>
  </si>
  <si>
    <t>Liabilities</t>
  </si>
  <si>
    <t>Shareholder Funds</t>
  </si>
  <si>
    <r>
      <t>EPS</t>
    </r>
    <r>
      <rPr>
        <vertAlign val="subscript"/>
        <sz val="10"/>
        <color theme="1"/>
        <rFont val="Arial"/>
        <family val="2"/>
      </rPr>
      <t>i</t>
    </r>
  </si>
  <si>
    <r>
      <t>EPS</t>
    </r>
    <r>
      <rPr>
        <vertAlign val="subscript"/>
        <sz val="10"/>
        <color theme="1"/>
        <rFont val="Arial"/>
        <family val="2"/>
      </rPr>
      <t>i-1</t>
    </r>
  </si>
  <si>
    <t>P/L - Annual</t>
  </si>
  <si>
    <t>P/L - Quaterly</t>
  </si>
  <si>
    <t>While it is not possible to predict the future with any degee of certainity, you need to have an investment thesis or a basic set of reasons why you bought the stock. Write down your reasons.</t>
  </si>
  <si>
    <t>Do not be taken in by recent  experiences of appreciation in the value of your investments. Learn to see these as the buffer for the inevitable correction that will come in the future.</t>
  </si>
  <si>
    <t xml:space="preserve">Do not hope to recover your loss from the stock you wrongly picked. You can make it in a another stock.By letting your losses to persist, you are allowing your capital to bleed. </t>
  </si>
  <si>
    <t>http://www.bseindia.com/corporates/Sharehold_Searchnew.aspx?expandable=3</t>
  </si>
  <si>
    <t>P/L - Annual - YoY change</t>
  </si>
  <si>
    <t>Philip Fisher on What to Buy</t>
  </si>
  <si>
    <t>1.Does the company have products or services with sufficient market potential to make possible a sizeable increase in sales for atleast several years</t>
  </si>
  <si>
    <t>2.Does the management has determination to continue to develop products or processes that will further increase total sales potential when the growth potential of currently attractive product lines have largely been exploited</t>
  </si>
  <si>
    <t>3.How effective are the company's research and development efforts in relation to its size</t>
  </si>
  <si>
    <t>4.Does the company have an above average sales organization</t>
  </si>
  <si>
    <t>5.Does the company have a worthwhile profit margin</t>
  </si>
  <si>
    <t>6.What is the company doing to maintain or improve its profit margin</t>
  </si>
  <si>
    <t>7.Does the company have outstanding labor and personel relations</t>
  </si>
  <si>
    <t>8.Does the company have outstanding executive relations</t>
  </si>
  <si>
    <t>9.Does the company have depth to its management</t>
  </si>
  <si>
    <t>10.How good are the company's cost analysis and accounting controls</t>
  </si>
  <si>
    <t>11.Are there other aspects of the business, somewhat peculiar to the industry involved, which will give the investor important clues as to how outstanding the company maybe in relation to its competitors</t>
  </si>
  <si>
    <t>12.Does the company have a short-range or a long-range outlook in regard to its profits</t>
  </si>
  <si>
    <t>13.In the foreseeable future will the growth of the company require sufficient equity financing so that the large number of shares then outstanding will largely cancel the existing share holder's benefit from this anticipated growth</t>
  </si>
  <si>
    <t>14.Does the management talk freely to investors about its affairs when things are going well but calm up when trouble and disappointments happen</t>
  </si>
  <si>
    <t>15. Dies the company has management of unquestionable integrity</t>
  </si>
  <si>
    <t>P/L - QoQ - change</t>
  </si>
  <si>
    <t xml:space="preserve">Sales </t>
  </si>
  <si>
    <t>Sales QoQ</t>
  </si>
  <si>
    <t>NP QoQ</t>
  </si>
  <si>
    <t>Sales YoY</t>
  </si>
  <si>
    <t>EPS YoY</t>
  </si>
  <si>
    <r>
      <t xml:space="preserve">EPS - </t>
    </r>
    <r>
      <rPr>
        <b/>
        <i/>
        <sz val="10"/>
        <color theme="1"/>
        <rFont val="Arial"/>
        <family val="2"/>
      </rPr>
      <t>Annl</t>
    </r>
  </si>
  <si>
    <r>
      <t xml:space="preserve">Total Income - </t>
    </r>
    <r>
      <rPr>
        <b/>
        <i/>
        <sz val="12"/>
        <color theme="1"/>
        <rFont val="Calibri"/>
        <family val="2"/>
        <scheme val="minor"/>
      </rPr>
      <t>Annl</t>
    </r>
  </si>
  <si>
    <r>
      <t xml:space="preserve">Income Dist - </t>
    </r>
    <r>
      <rPr>
        <b/>
        <i/>
        <sz val="10"/>
        <color theme="1"/>
        <rFont val="Arial"/>
        <family val="2"/>
      </rPr>
      <t>Annl</t>
    </r>
  </si>
  <si>
    <r>
      <t xml:space="preserve">Income Dist - </t>
    </r>
    <r>
      <rPr>
        <b/>
        <i/>
        <sz val="10"/>
        <color theme="1"/>
        <rFont val="Arial"/>
        <family val="2"/>
      </rPr>
      <t>Qtrly</t>
    </r>
  </si>
  <si>
    <r>
      <t xml:space="preserve">Total Income - </t>
    </r>
    <r>
      <rPr>
        <b/>
        <i/>
        <sz val="12"/>
        <color theme="1"/>
        <rFont val="Calibri"/>
        <family val="2"/>
        <scheme val="minor"/>
      </rPr>
      <t>Qtrly</t>
    </r>
  </si>
  <si>
    <t>YOY</t>
  </si>
  <si>
    <r>
      <t>TTM</t>
    </r>
    <r>
      <rPr>
        <b/>
        <vertAlign val="subscript"/>
        <sz val="11"/>
        <color indexed="9"/>
        <rFont val="Calibri"/>
        <family val="2"/>
      </rPr>
      <t>I</t>
    </r>
  </si>
  <si>
    <r>
      <t>TTM</t>
    </r>
    <r>
      <rPr>
        <b/>
        <vertAlign val="subscript"/>
        <sz val="11"/>
        <color indexed="9"/>
        <rFont val="Calibri"/>
        <family val="2"/>
      </rPr>
      <t>I-1</t>
    </r>
  </si>
  <si>
    <t>Expected Gth</t>
  </si>
  <si>
    <t>Actual Gth</t>
  </si>
  <si>
    <t>Revenue</t>
  </si>
  <si>
    <t>Expected Score</t>
  </si>
  <si>
    <t>Actual Score</t>
  </si>
  <si>
    <t>SSGR</t>
  </si>
  <si>
    <t>Net fixed asset turnover (Sales/average net fixed assets over the year)</t>
  </si>
  <si>
    <t>Net profit margin as % of sales</t>
  </si>
  <si>
    <t>Dividend paid as % of net profit after tax</t>
  </si>
  <si>
    <t>Depreciation rate as a % of net fixed assets</t>
  </si>
  <si>
    <t>Net Profit - Qtr</t>
  </si>
  <si>
    <t>NP Margin</t>
  </si>
  <si>
    <t>Taxes</t>
  </si>
  <si>
    <t>Net Profit</t>
  </si>
  <si>
    <t>Profit Margin</t>
  </si>
  <si>
    <t>5 YR NP 
margin</t>
  </si>
  <si>
    <t>Expected</t>
  </si>
  <si>
    <t>PAT/WC</t>
  </si>
  <si>
    <t>Sales/NFAT</t>
  </si>
  <si>
    <t>Expected Value</t>
  </si>
  <si>
    <t>Actual Value</t>
  </si>
  <si>
    <t>Debt/NP</t>
  </si>
  <si>
    <t>&gt;=1</t>
  </si>
  <si>
    <t xml:space="preserve">5 Yr. CFO/PAT </t>
  </si>
  <si>
    <t>&gt;20%  / &gt;2%</t>
  </si>
  <si>
    <t>&gt;0</t>
  </si>
  <si>
    <t>&gt;=1.25</t>
  </si>
  <si>
    <t>Receivable Days</t>
  </si>
  <si>
    <t>Inventory Turnover ratio</t>
  </si>
  <si>
    <t>Indicator of asset light business model</t>
  </si>
  <si>
    <t>Accounts receivable days is the number of days that a customer invoice is outstanding before it is collected - indicator of credit terms offered by the company to its customers and subsequent collection practices</t>
  </si>
  <si>
    <t>How effectively inventory is managed by comparing cost of goods sold with average inventory for a period. This measures how many times average inventory is “turned” or sold during a period</t>
  </si>
  <si>
    <r>
      <rPr>
        <sz val="10"/>
        <rFont val="Calibri"/>
        <family val="2"/>
      </rPr>
      <t>∆</t>
    </r>
    <r>
      <rPr>
        <sz val="10"/>
        <rFont val="Calibri"/>
        <family val="2"/>
        <charset val="1"/>
      </rPr>
      <t xml:space="preserve"> WC</t>
    </r>
  </si>
  <si>
    <t>C Liability/C Asset</t>
  </si>
  <si>
    <t>CFO to be higher than PAT. Excess CFO helps to fund its business expansion attempts over and above the SSGR levels.</t>
  </si>
  <si>
    <t>C Liabilty/ C Asset</t>
  </si>
  <si>
    <t>Revenue growth 5 Yr.</t>
  </si>
  <si>
    <t>Profit</t>
  </si>
  <si>
    <t>Efficiency</t>
  </si>
  <si>
    <t>Promoter</t>
  </si>
  <si>
    <t>RoE/RoA</t>
  </si>
  <si>
    <t>C Liabillity/ C Asset</t>
  </si>
  <si>
    <t>Change WC and NP</t>
  </si>
  <si>
    <t xml:space="preserve">Receivable Days
</t>
  </si>
  <si>
    <t xml:space="preserve">Inventory Days
</t>
  </si>
  <si>
    <t>Promoters</t>
  </si>
  <si>
    <t>Others</t>
  </si>
  <si>
    <t>Shareholding Dist.</t>
  </si>
  <si>
    <t>Promoter pledged</t>
  </si>
  <si>
    <t>Mutual funds</t>
  </si>
  <si>
    <t>Bodies corporate</t>
  </si>
  <si>
    <t>Individuals &lt;= 2 lakh</t>
  </si>
  <si>
    <t>Individuals &gt; 2 lakh</t>
  </si>
  <si>
    <t>QoQ</t>
  </si>
  <si>
    <t>QoQ NP</t>
  </si>
  <si>
    <t>Fluctuations in Operating Profit margin indicative of lack of pricing power - company not able to pass in higher raw material price to the customer</t>
  </si>
  <si>
    <t>OP Margin</t>
  </si>
  <si>
    <t>5 YR cFCF</t>
  </si>
  <si>
    <t>Are current liabilties able to fund the current asset. Current Liabilities is also called Float (other people's money)</t>
  </si>
  <si>
    <t>Float</t>
  </si>
  <si>
    <t>Debt</t>
  </si>
  <si>
    <t xml:space="preserve">Asset Dist. </t>
  </si>
  <si>
    <t>Liabilty Dist.</t>
  </si>
  <si>
    <t>Liability Dist.</t>
  </si>
  <si>
    <t xml:space="preserve">Indicator in internal accruals are getting tied to WC and that is causing company to borrow money for capex. </t>
  </si>
  <si>
    <t>Source of Cash</t>
  </si>
  <si>
    <t>Not bad. Revenue growth has slowed down</t>
  </si>
  <si>
    <t>TTM</t>
  </si>
  <si>
    <t>Cash Sales</t>
  </si>
  <si>
    <t>Credit Sales</t>
  </si>
  <si>
    <t>Sales Type</t>
  </si>
  <si>
    <t>Sales in Cash/Credit</t>
  </si>
  <si>
    <t xml:space="preserve">Inventory/Sales
</t>
  </si>
  <si>
    <t>Operating Profit Components</t>
  </si>
  <si>
    <t>CY0</t>
  </si>
  <si>
    <t>CY+1</t>
  </si>
  <si>
    <t xml:space="preserve"> &gt;10%</t>
  </si>
  <si>
    <t>EPS Expected Score</t>
  </si>
  <si>
    <t>EPS Actual Score</t>
  </si>
  <si>
    <t>EPS Expected Gth</t>
  </si>
  <si>
    <t>EPS Actual Gth</t>
  </si>
  <si>
    <t>PAT Actual Gth</t>
  </si>
  <si>
    <t>Company might be making profit but not paying reasonable taxes. There could be genuine reasons (tax exemptions etc.). Company could be showing profits while there is no cost to show.</t>
  </si>
  <si>
    <t>When debtors are increasing at a rate faster than sales, there is a reason to worry. Either the company is trying to increase sales by giving more credit or the company is unable to collect dues in a timely manner.</t>
  </si>
  <si>
    <t xml:space="preserve">    If the ratio &gt;5, the company has taken more loan than what it chew, affecting PAT. </t>
  </si>
  <si>
    <t>SSGR and FCF determine the margin of safety. WC if managed well growth funded by profit allows the company to have SSGR &gt;= Sales gth rate. If sales is debt funded then SSGR &lt; Sales gth rate. Sales funded by debt is a recipe for disaster</t>
  </si>
  <si>
    <t>Equity dilution is a sign of trouble. Company is either trying to be too aggressive or does not generate sufficent funds internally for expansion</t>
  </si>
  <si>
    <t>Red Flags</t>
  </si>
  <si>
    <t>1. Skewed business performance - Significant change In financial ratios from previous year</t>
  </si>
  <si>
    <t>2.Absence or low implementation of policies</t>
  </si>
  <si>
    <t>3.Unusual related party transactions</t>
  </si>
  <si>
    <t>4.Too many acquisitions</t>
  </si>
  <si>
    <t>5.Formation of too many subsidiaries</t>
  </si>
  <si>
    <t>When your stock falls, ask yourself. Is it critical to its survival or is it just a temporary patch? If it is temporary, your stock will most likely pass through the tough phase. As you go about investing, always keep in mind, every good stock will have bad days.</t>
  </si>
  <si>
    <t>Outperformers</t>
  </si>
  <si>
    <t>Use of technology and premiumization to improve margins</t>
  </si>
  <si>
    <t>Limited Capex (higher FCF) and higher operating cash flow are signs of efficient use of capital</t>
  </si>
  <si>
    <t>Company is in perpetual challenger mode. Responds swiftly to competition.</t>
  </si>
  <si>
    <t>Up the ante in customer satisfaction</t>
  </si>
  <si>
    <t>There is relentless focus on execution and excellent capital allocation</t>
  </si>
  <si>
    <t>They stay relevant through economic cycles by anticipating and adapting to disruption better.</t>
  </si>
  <si>
    <t>Ability to convert as opportunities what peers see as risk</t>
  </si>
  <si>
    <t>Stable leadership</t>
  </si>
  <si>
    <t>Not venturing in unrelated business or making unrelated acquisitions</t>
  </si>
  <si>
    <t>Avg. Realization</t>
  </si>
  <si>
    <t>Sales/share</t>
  </si>
  <si>
    <t>Volume/share</t>
  </si>
  <si>
    <t>Net Profit margin</t>
  </si>
  <si>
    <t>Net Profit/share (EPS)</t>
  </si>
  <si>
    <t>Future in 10 Yrs</t>
  </si>
  <si>
    <t>Exit PE</t>
  </si>
  <si>
    <t>Price/share</t>
  </si>
  <si>
    <t>Wealth compounding</t>
  </si>
  <si>
    <t>Price/revenue</t>
  </si>
  <si>
    <t>Fundo Prof Concept</t>
  </si>
  <si>
    <t>Revenue Growth</t>
  </si>
  <si>
    <t>Conservative</t>
  </si>
  <si>
    <t>Conservative +2%</t>
  </si>
  <si>
    <t>TTM+1%</t>
  </si>
  <si>
    <t>10 Yr estimate</t>
  </si>
  <si>
    <t>Conservative 10 Yr</t>
  </si>
  <si>
    <t>TTM+1.5%</t>
  </si>
  <si>
    <t>Conservative +3%</t>
  </si>
  <si>
    <t>Distance Left (Fundoo)</t>
  </si>
  <si>
    <t>Distance Left (Mine)</t>
  </si>
  <si>
    <t>EPS/BV  after 10 years</t>
  </si>
  <si>
    <t>Dividend after 10 Yrs</t>
  </si>
  <si>
    <t>My Concept</t>
  </si>
  <si>
    <t>Good investing means being prepared for an environment different than what we thought and keeping Plan B ready. Predit less and plan more.</t>
  </si>
  <si>
    <t>Accept that market and returns have cycles. What goes up will go down.</t>
  </si>
  <si>
    <r>
      <t xml:space="preserve">Invest in companies with </t>
    </r>
    <r>
      <rPr>
        <b/>
        <sz val="12"/>
        <color theme="1"/>
        <rFont val="Calibri"/>
        <family val="2"/>
        <scheme val="minor"/>
      </rPr>
      <t xml:space="preserve">share of mind </t>
    </r>
    <r>
      <rPr>
        <sz val="10"/>
        <color theme="1"/>
        <rFont val="Calibri"/>
        <family val="2"/>
        <scheme val="minor"/>
      </rPr>
      <t>among consumers. These companies have pricing power and a unique moat. The consumers keep coming back to these products</t>
    </r>
  </si>
  <si>
    <t>A vast majority of customers will have something positive about the company</t>
  </si>
  <si>
    <t>Employee trust &amp; Insurance Co</t>
  </si>
  <si>
    <t>The art of valuation</t>
  </si>
  <si>
    <t>1.Analysts need to be careful of and fix their own internal flaws, keeping emotions in check. Steering clear of the overconfidence mind trap, the heuristics mind trap, confirmation bias, and the like would keep you in good stead. “Make sure we know there’s always a different view on a particular stock,” Valentine states</t>
  </si>
  <si>
    <t>2.It is essential to get a grasp on expectations and concerns of market participants and where those fit into the larger market outlook.</t>
  </si>
  <si>
    <t>3.Don’t change price target unless there is ample reason, whether a revised forecast, a revised multiple, or a new valuation method. Another critical point: If you’re going to change your price target, don’t do it incrementally.</t>
  </si>
  <si>
    <t>4.Which factors are going to move my stocks and where can I get unique insights on these factors?</t>
  </si>
  <si>
    <t>RoCE</t>
  </si>
  <si>
    <t>Going to Bed Smarter #4: ROCE, the Secret Winning Edge to any portfolio</t>
  </si>
  <si>
    <t>At Marketsmojo we use the concept of Return on Capital Employed (ROCE) to uncover great companies that can deliver fantastic shareholder returns.  In this, the fourth piece in the series of Going to Bed Smarter, I present pieces which let you into the secret of ROCE.</t>
  </si>
  <si>
    <t>Sanjeev Mohta</t>
  </si>
  <si>
    <t>August 28, 11:54: AM IST</t>
  </si>
  <si>
    <t>  </t>
  </si>
  <si>
    <t>Yesterday’s ET story says,“Warren Buffett in Talks for a Slice of Paytm”.</t>
  </si>
  <si>
    <t>Let’s discuss how Warren Buffett finds a great business.</t>
  </si>
  <si>
    <t>At Marketsmojo we use the concept of Return on Capital Employed (ROCE) to uncover great companies that can deliver fantastic shareholder returns. </t>
  </si>
  <si>
    <t>The Magic of ROCE</t>
  </si>
  <si>
    <t>The 2007 letter of Berkshire Hathaway is a classic. If there is only one Berkshire Hathaway letter you want to read, this one is it. In that letter, Warren Buffett narrates the success of See’s Candy.</t>
  </si>
  <si>
    <t>ROCE = EBIT/Capital Employed</t>
  </si>
  <si>
    <t>How do we calculated ROCE? Well, there are a few variants. But the easiest one is shown in this paper by Mirae Asset Management. Marketsmojo uses the same method.</t>
  </si>
  <si>
    <t>EBIT is easy to calculate, but what about the Capital Employed? The paper says: “Capital Employed is the capital investment necessary for a business to function. It is commonly represented as total assets less current liabilities (or Fixed Assets plus Working Capital).”</t>
  </si>
  <si>
    <t>ROCE is a far more useful measure compared to Return on Equity (ROE) as: “ ROCE is especially useful when comparing the performance of companies in capital-intensive sectors such as utilities and telecoms. This is because unlike return on equity (ROE), which only analyzes profitability related to a company’s equity, ROCE considers debt and other liabilities as well. This provides a better indication of financial performance for companies with significant debt.”</t>
  </si>
  <si>
    <t>It follows from the equation that in order to generate high ROCE, a company must either have very high profit margins or need low levels of Capital Employed or a combination of the two.</t>
  </si>
  <si>
    <t>We have had many such companies in India as well. Many consumer related business enjoy high ROCE due to their Asset Light nature.  Hindustan Unilever with ROCE at close to 800%, Nestle at 400%, Page Industries at 84% are great examples.</t>
  </si>
  <si>
    <t>High ROCE Means High Valuation</t>
  </si>
  <si>
    <t>A 2011 report, “Impact of ROCE on valuation”, by PWC concluded: “Companies that deliver better Return on Capital Employed (ROCE) experience higher valuation”</t>
  </si>
  <si>
    <t>The relationship remains the same today. Is it any wonder why Hindustan Unilever, Nestle or Page Industries enjoy such high valuations?</t>
  </si>
  <si>
    <t>At Marketsmojo, the five-year average ROCE  is one of the most important metric used in our Quality Parameter.</t>
  </si>
  <si>
    <t>An interesting example: The Abrasives Industry</t>
  </si>
  <si>
    <t>Let us look at the Abrasives Industry (which was picked randomly) which has a fairly uniform product, the relationship between the five-year average ROCE and Price/Book Value is fairly consistent with the findings above.</t>
  </si>
  <si>
    <t>Next time you look at a stock, don’t forget to look at its long term ROCE – it’ll give you an insight about the inherent strength of the company’s business, and its ability to squeeze value from every rupee of capital. That will not only determine its valuation but also the price performance.</t>
  </si>
  <si>
    <t>His 2007 newsletter reads: “A truly great business must have an enduring ‘moat’ that protects excellent returns on invested capital (ROIC).” </t>
  </si>
  <si>
    <t>In this, the fourth piece in the series of Going to Bed Smarter, I present pieces which let you into the secret of ROCE.</t>
  </si>
  <si>
    <t>“We bought See’s for $25 million when its sales were $30 million and pre-tax earnings were less than $5 million. The capital then required to conduct the business was $8 million (Modest seasonal debt was also needed for a few months each year). Consequently, the company was earning 60% pre-tax on invested capital. Two factors helped to minimize the funds required for operations. First, the product was sold for cash, and that eliminated accounts receivable. Second, the production and distribution cycle was short, which minimized inventories.</t>
  </si>
  <si>
    <t>Last year See’s sales were $383 million, and pre-tax profits were $82 million. The capital now required to run the business is $40 million. This means we have had to reinvest only $32 million since 1972 to handle the modest physical growth – and somewhat immodest financial growth – of the business. In the meantime pre-tax earnings have totaled $1.35 billion. All of that, except for the $32 million, has been sent to Berkshire (or, in the early years, to Blue Chip). After paying corporate taxes on the profits, we have used the rest to buy other attractive businesses. Just as Adam and Eve kick-started an activity that led to six billion humans, See’s has given birth to multiple new streams of cash for us. (The biblical command to “be fruitful and multiply” is one we take seriously at Berkshire.)</t>
  </si>
  <si>
    <t>There aren’t many See’s in Corporate America. Typically, companies that increase their earnings from $5 million to $82 million require, say, $400 million or so of capital investment to finance their growth. That’s because growing businesses have both working capital needs that increase in proportion to sales growth and significant requirements for fixed asset investments.</t>
  </si>
  <si>
    <t>A company that needs large increases in capital to engender its growth may well prove to be a satisfactory investment. There is, to follow through on our example, nothing shabby about earning $82 million pre-tax on $400 million of net tangible assets. But that equation for the owner is vastly different from the See’s situation.It’s far better to have an ever-increasing stream of earnings with virtually no major capital requirements. Ask Microsoft or Google.”</t>
  </si>
  <si>
    <t>In 1997, when running research for HSBC, I had written a piece on the importance of ROCE. I had found that, everything else remaining the same, high ROCE companies enjoy far higher valuation that companies with low ROCE. At least for the companies where market believes that the high ROCE is sustainable.</t>
  </si>
  <si>
    <t>BRITANNIA INDUSTRIES LTD</t>
  </si>
  <si>
    <t>FMCG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</si>
</sst>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gt;9999999]##\,##\,##\,##0.00;[&gt;99999]##\,##\,##0.00;##,##0.00"/>
    <numFmt numFmtId="165" formatCode="_ &quot;₹&quot;\ * #,##0_ ;_ &quot;₹&quot;\ * \-#,##0_ ;_ &quot;₹&quot;\ * &quot;-&quot;??_ ;_ @_ "/>
    <numFmt numFmtId="166" formatCode="_(* #,##0_);_(* \(#,##0\);_(* &quot;-&quot;??_);_(@_)"/>
    <numFmt numFmtId="167" formatCode="0.0"/>
    <numFmt numFmtId="168" formatCode="0.0%"/>
    <numFmt numFmtId="169" formatCode="_(* #,##0.0_);_(* \(#,##0.0\);_(* &quot;-&quot;??_);_(@_)"/>
    <numFmt numFmtId="170" formatCode="_ * #,##0.00_ ;_ * \-#,##0.00_ ;_ * &quot;-&quot;??_ ;_ @_ "/>
    <numFmt numFmtId="171" formatCode="[$-409]mmm\-yy;@"/>
  </numFmts>
  <fonts count="72">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1"/>
      <name val="Arial"/>
      <family val="2"/>
    </font>
    <font>
      <sz val="11"/>
      <color rgb="FF3F3F76"/>
      <name val="Calibri"/>
      <family val="2"/>
      <scheme val="minor"/>
    </font>
    <font>
      <sz val="11"/>
      <color rgb="FFFF0000"/>
      <name val="Calibri"/>
      <family val="2"/>
      <scheme val="minor"/>
    </font>
    <font>
      <sz val="10"/>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11"/>
      <color rgb="FF00B050"/>
      <name val="Calibri"/>
      <family val="2"/>
      <scheme val="minor"/>
    </font>
    <font>
      <u/>
      <sz val="11"/>
      <color rgb="FF555555"/>
      <name val="Inherit"/>
    </font>
    <font>
      <sz val="26"/>
      <color theme="1"/>
      <name val="Calibri"/>
      <family val="2"/>
    </font>
    <font>
      <vertAlign val="subscript"/>
      <sz val="11"/>
      <color theme="1"/>
      <name val="Calibri"/>
      <family val="2"/>
      <scheme val="minor"/>
    </font>
    <font>
      <sz val="9"/>
      <color theme="1"/>
      <name val="Cambria"/>
      <family val="1"/>
      <scheme val="major"/>
    </font>
    <font>
      <b/>
      <sz val="9"/>
      <color theme="1"/>
      <name val="Cambria"/>
      <family val="1"/>
      <scheme val="major"/>
    </font>
    <font>
      <sz val="9"/>
      <color rgb="FF444444"/>
      <name val="Cambria"/>
      <family val="1"/>
      <scheme val="major"/>
    </font>
    <font>
      <b/>
      <sz val="9"/>
      <color rgb="FF444444"/>
      <name val="Cambria"/>
      <family val="1"/>
      <scheme val="major"/>
    </font>
    <font>
      <b/>
      <sz val="9"/>
      <color theme="1"/>
      <name val="Calibri"/>
      <family val="2"/>
    </font>
    <font>
      <sz val="9"/>
      <color theme="1"/>
      <name val="Calibri"/>
      <family val="2"/>
      <charset val="1"/>
    </font>
    <font>
      <sz val="11"/>
      <color theme="1"/>
      <name val="Calibri"/>
      <family val="2"/>
      <charset val="1"/>
    </font>
    <font>
      <sz val="9"/>
      <color indexed="81"/>
      <name val="Tahoma"/>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u/>
      <sz val="11"/>
      <color theme="10"/>
      <name val="Calibri"/>
      <family val="2"/>
    </font>
    <font>
      <sz val="8"/>
      <color theme="1"/>
      <name val="Arial"/>
      <family val="2"/>
    </font>
    <font>
      <sz val="10"/>
      <color theme="1"/>
      <name val="Calibri"/>
      <family val="2"/>
      <scheme val="minor"/>
    </font>
    <font>
      <sz val="9"/>
      <color theme="1"/>
      <name val="Calibri"/>
      <family val="2"/>
      <scheme val="minor"/>
    </font>
    <font>
      <sz val="8"/>
      <color rgb="FF000000"/>
      <name val="Segoe UI"/>
      <family val="2"/>
    </font>
    <font>
      <vertAlign val="subscript"/>
      <sz val="10"/>
      <color theme="1"/>
      <name val="Arial"/>
      <family val="2"/>
    </font>
    <font>
      <b/>
      <i/>
      <sz val="10"/>
      <color theme="1"/>
      <name val="Arial"/>
      <family val="2"/>
    </font>
    <font>
      <b/>
      <sz val="12"/>
      <color theme="1"/>
      <name val="Calibri"/>
      <family val="2"/>
      <scheme val="minor"/>
    </font>
    <font>
      <b/>
      <i/>
      <sz val="12"/>
      <color theme="1"/>
      <name val="Calibri"/>
      <family val="2"/>
      <scheme val="minor"/>
    </font>
    <font>
      <b/>
      <vertAlign val="subscript"/>
      <sz val="11"/>
      <color indexed="9"/>
      <name val="Calibri"/>
      <family val="2"/>
    </font>
    <font>
      <b/>
      <sz val="10"/>
      <name val="Calibri"/>
      <family val="2"/>
    </font>
    <font>
      <sz val="10"/>
      <color rgb="FF000000"/>
      <name val="Arial"/>
      <family val="2"/>
    </font>
    <font>
      <b/>
      <sz val="10"/>
      <color theme="1"/>
      <name val="Calibri"/>
      <family val="2"/>
    </font>
    <font>
      <sz val="8"/>
      <color theme="1"/>
      <name val="Calibri"/>
      <family val="2"/>
      <scheme val="minor"/>
    </font>
    <font>
      <b/>
      <sz val="8"/>
      <color theme="1"/>
      <name val="Calibri"/>
      <family val="2"/>
      <scheme val="minor"/>
    </font>
    <font>
      <sz val="10"/>
      <name val="Calibri"/>
      <family val="2"/>
    </font>
    <font>
      <b/>
      <sz val="10"/>
      <color rgb="FF7030A0"/>
      <name val="Calibri"/>
      <family val="2"/>
      <scheme val="minor"/>
    </font>
    <font>
      <sz val="8"/>
      <color rgb="FF444444"/>
      <name val="Cambria"/>
      <family val="1"/>
      <scheme val="major"/>
    </font>
    <font>
      <b/>
      <sz val="10"/>
      <color theme="1"/>
      <name val="Calibri"/>
      <family val="2"/>
      <scheme val="minor"/>
    </font>
    <font>
      <i/>
      <sz val="9"/>
      <color theme="1"/>
      <name val="Calibri"/>
      <family val="2"/>
      <scheme val="minor"/>
    </font>
    <font>
      <i/>
      <sz val="9"/>
      <color rgb="FF444444"/>
      <name val="Calibri"/>
      <family val="2"/>
      <scheme val="minor"/>
    </font>
    <font>
      <i/>
      <sz val="11"/>
      <color theme="1"/>
      <name val="Calibri"/>
      <family val="2"/>
      <scheme val="minor"/>
    </font>
    <font>
      <i/>
      <sz val="10"/>
      <color theme="1"/>
      <name val="Calibri"/>
      <family val="2"/>
      <scheme val="minor"/>
    </font>
    <font>
      <sz val="10"/>
      <color theme="0" tint="-0.499984740745262"/>
      <name val="Arial"/>
      <family val="2"/>
    </font>
  </fonts>
  <fills count="32">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249977111117893"/>
        <bgColor indexed="64"/>
      </patternFill>
    </fill>
    <fill>
      <patternFill patternType="solid">
        <fgColor theme="9"/>
      </patternFill>
    </fill>
    <fill>
      <patternFill patternType="solid">
        <fgColor theme="0" tint="-4.9989318521683403E-2"/>
        <bgColor indexed="64"/>
      </patternFill>
    </fill>
    <fill>
      <patternFill patternType="solid">
        <fgColor rgb="FFC7E6A4"/>
        <bgColor indexed="64"/>
      </patternFill>
    </fill>
    <fill>
      <patternFill patternType="solid">
        <fgColor rgb="FFF2F2F2"/>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0275D8"/>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00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diagonal/>
    </border>
    <border>
      <left/>
      <right/>
      <top style="double">
        <color theme="0" tint="-0.499984740745262"/>
      </top>
      <bottom/>
      <diagonal/>
    </border>
    <border>
      <left/>
      <right/>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s>
  <cellStyleXfs count="12">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2" fillId="7" borderId="0" applyNumberFormat="0" applyBorder="0" applyAlignment="0" applyProtection="0"/>
    <xf numFmtId="0" fontId="17" fillId="12" borderId="8" applyNumberFormat="0" applyAlignment="0" applyProtection="0"/>
    <xf numFmtId="9" fontId="20" fillId="0" borderId="0" applyFont="0" applyFill="0" applyBorder="0" applyAlignment="0" applyProtection="0"/>
    <xf numFmtId="43" fontId="20" fillId="0" borderId="0" applyFont="0" applyFill="0" applyBorder="0" applyAlignment="0" applyProtection="0"/>
    <xf numFmtId="0" fontId="2" fillId="18" borderId="0" applyNumberFormat="0" applyBorder="0" applyAlignment="0" applyProtection="0"/>
    <xf numFmtId="0" fontId="19" fillId="0" borderId="0"/>
    <xf numFmtId="170" fontId="20" fillId="0" borderId="0" applyFont="0" applyFill="0" applyBorder="0" applyAlignment="0" applyProtection="0"/>
    <xf numFmtId="0" fontId="48" fillId="0" borderId="0" applyNumberFormat="0" applyFill="0" applyBorder="0" applyAlignment="0" applyProtection="0">
      <alignment vertical="top"/>
      <protection locked="0"/>
    </xf>
  </cellStyleXfs>
  <cellXfs count="435">
    <xf numFmtId="0" fontId="0" fillId="0" borderId="0" xfId="0"/>
    <xf numFmtId="164" fontId="7" fillId="2" borderId="1" xfId="1" applyNumberFormat="1" applyFont="1" applyBorder="1" applyAlignment="1" applyProtection="1">
      <alignment horizontal="center" vertical="center" wrapText="1"/>
      <protection hidden="1"/>
    </xf>
    <xf numFmtId="0" fontId="0" fillId="0" borderId="0" xfId="0" applyProtection="1">
      <protection locked="0"/>
    </xf>
    <xf numFmtId="0" fontId="7" fillId="2" borderId="1" xfId="1" applyFont="1" applyBorder="1" applyAlignment="1" applyProtection="1">
      <alignment horizontal="center" vertical="center"/>
      <protection locked="0"/>
    </xf>
    <xf numFmtId="0" fontId="7" fillId="9" borderId="0" xfId="0" applyFont="1" applyFill="1" applyProtection="1">
      <protection locked="0"/>
    </xf>
    <xf numFmtId="0" fontId="0" fillId="0" borderId="0" xfId="0" applyAlignment="1" applyProtection="1">
      <alignment wrapText="1"/>
      <protection locked="0"/>
    </xf>
    <xf numFmtId="0" fontId="16" fillId="10" borderId="0" xfId="0" applyFont="1" applyFill="1" applyProtection="1">
      <protection locked="0"/>
    </xf>
    <xf numFmtId="0" fontId="7" fillId="11" borderId="0" xfId="0" applyFont="1" applyFill="1" applyProtection="1">
      <protection locked="0"/>
    </xf>
    <xf numFmtId="0" fontId="12" fillId="0" borderId="0" xfId="0" applyFont="1" applyProtection="1">
      <protection hidden="1"/>
    </xf>
    <xf numFmtId="0" fontId="12" fillId="0" borderId="1" xfId="0" applyFont="1" applyBorder="1" applyProtection="1">
      <protection hidden="1"/>
    </xf>
    <xf numFmtId="2" fontId="12" fillId="0" borderId="1" xfId="0" applyNumberFormat="1" applyFont="1" applyBorder="1" applyProtection="1">
      <protection hidden="1"/>
    </xf>
    <xf numFmtId="10" fontId="12" fillId="0" borderId="1" xfId="0" applyNumberFormat="1" applyFont="1" applyBorder="1" applyProtection="1">
      <protection hidden="1"/>
    </xf>
    <xf numFmtId="0" fontId="12" fillId="0" borderId="2" xfId="0" applyFont="1" applyBorder="1" applyProtection="1">
      <protection hidden="1"/>
    </xf>
    <xf numFmtId="0" fontId="12" fillId="0" borderId="0" xfId="0" applyFont="1" applyBorder="1" applyProtection="1">
      <protection hidden="1"/>
    </xf>
    <xf numFmtId="10" fontId="12" fillId="6" borderId="2" xfId="0" applyNumberFormat="1" applyFont="1" applyFill="1" applyBorder="1" applyProtection="1">
      <protection hidden="1"/>
    </xf>
    <xf numFmtId="1" fontId="12" fillId="0" borderId="1" xfId="0" applyNumberFormat="1" applyFont="1" applyBorder="1" applyAlignment="1" applyProtection="1">
      <alignment horizontal="right"/>
      <protection hidden="1"/>
    </xf>
    <xf numFmtId="2" fontId="12" fillId="0" borderId="2" xfId="0" applyNumberFormat="1" applyFont="1" applyBorder="1" applyProtection="1">
      <protection hidden="1"/>
    </xf>
    <xf numFmtId="0" fontId="17" fillId="12" borderId="8" xfId="5" applyAlignment="1" applyProtection="1">
      <alignment horizontal="center" vertical="center" wrapText="1"/>
      <protection locked="0"/>
    </xf>
    <xf numFmtId="10" fontId="17" fillId="12" borderId="8" xfId="5" applyNumberFormat="1" applyAlignment="1" applyProtection="1">
      <alignment horizontal="center" vertical="center" wrapText="1"/>
      <protection locked="0"/>
    </xf>
    <xf numFmtId="0" fontId="17" fillId="12" borderId="8" xfId="5" applyAlignment="1" applyProtection="1">
      <alignment horizontal="left" vertical="center" wrapText="1"/>
      <protection locked="0"/>
    </xf>
    <xf numFmtId="0" fontId="15" fillId="7" borderId="1" xfId="4" applyFont="1" applyBorder="1" applyProtection="1">
      <protection hidden="1"/>
    </xf>
    <xf numFmtId="14" fontId="15" fillId="7" borderId="1" xfId="4" applyNumberFormat="1" applyFont="1" applyBorder="1" applyAlignment="1" applyProtection="1">
      <alignment horizontal="right" vertical="center" wrapText="1"/>
      <protection hidden="1"/>
    </xf>
    <xf numFmtId="0" fontId="6" fillId="0" borderId="1" xfId="0" applyFont="1" applyBorder="1" applyProtection="1">
      <protection hidden="1"/>
    </xf>
    <xf numFmtId="2" fontId="6" fillId="0" borderId="1" xfId="0" applyNumberFormat="1" applyFont="1" applyBorder="1" applyProtection="1">
      <protection hidden="1"/>
    </xf>
    <xf numFmtId="0" fontId="6" fillId="0" borderId="1" xfId="0" applyFont="1" applyFill="1" applyBorder="1" applyProtection="1">
      <protection hidden="1"/>
    </xf>
    <xf numFmtId="10" fontId="6" fillId="0" borderId="1" xfId="0" applyNumberFormat="1" applyFont="1" applyBorder="1" applyProtection="1">
      <protection hidden="1"/>
    </xf>
    <xf numFmtId="0" fontId="6" fillId="6" borderId="1" xfId="0" applyFont="1" applyFill="1" applyBorder="1" applyProtection="1">
      <protection hidden="1"/>
    </xf>
    <xf numFmtId="3" fontId="6" fillId="0" borderId="1" xfId="0" applyNumberFormat="1" applyFont="1" applyBorder="1" applyProtection="1">
      <protection hidden="1"/>
    </xf>
    <xf numFmtId="0" fontId="6" fillId="0" borderId="0" xfId="0" applyFont="1" applyBorder="1" applyProtection="1">
      <protection hidden="1"/>
    </xf>
    <xf numFmtId="0" fontId="6" fillId="0" borderId="0" xfId="0" applyFont="1" applyProtection="1">
      <protection hidden="1"/>
    </xf>
    <xf numFmtId="0" fontId="7" fillId="7" borderId="1" xfId="4" applyFont="1" applyBorder="1" applyProtection="1">
      <protection hidden="1"/>
    </xf>
    <xf numFmtId="14" fontId="7" fillId="7" borderId="1" xfId="4" applyNumberFormat="1" applyFont="1" applyBorder="1" applyAlignment="1" applyProtection="1">
      <alignment horizontal="center" vertical="center" wrapText="1"/>
      <protection hidden="1"/>
    </xf>
    <xf numFmtId="0" fontId="7" fillId="0" borderId="0" xfId="0" applyFont="1" applyProtection="1">
      <protection hidden="1"/>
    </xf>
    <xf numFmtId="0" fontId="6" fillId="0" borderId="2" xfId="0" applyFont="1" applyBorder="1" applyProtection="1">
      <protection hidden="1"/>
    </xf>
    <xf numFmtId="1" fontId="7" fillId="0" borderId="0" xfId="0" applyNumberFormat="1" applyFont="1" applyProtection="1">
      <protection hidden="1"/>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6" fillId="0" borderId="1" xfId="0" applyNumberFormat="1" applyFont="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5" fillId="6" borderId="1" xfId="0" applyFont="1" applyFill="1" applyBorder="1" applyAlignment="1" applyProtection="1">
      <alignment wrapText="1"/>
      <protection hidden="1"/>
    </xf>
    <xf numFmtId="0" fontId="5" fillId="6" borderId="1" xfId="0" applyNumberFormat="1" applyFont="1" applyFill="1" applyBorder="1" applyAlignment="1" applyProtection="1">
      <alignment horizontal="right"/>
      <protection hidden="1"/>
    </xf>
    <xf numFmtId="0" fontId="5" fillId="0" borderId="0" xfId="0" applyNumberFormat="1" applyFont="1" applyBorder="1" applyAlignment="1" applyProtection="1">
      <alignment horizontal="right"/>
      <protection hidden="1"/>
    </xf>
    <xf numFmtId="0" fontId="5" fillId="0" borderId="1" xfId="0" applyFont="1" applyBorder="1" applyAlignment="1" applyProtection="1">
      <alignment horizontal="center"/>
      <protection hidden="1"/>
    </xf>
    <xf numFmtId="0" fontId="16" fillId="0" borderId="0" xfId="0" applyFont="1" applyProtection="1">
      <protection hidden="1"/>
    </xf>
    <xf numFmtId="2" fontId="6" fillId="6" borderId="1" xfId="0" applyNumberFormat="1" applyFont="1" applyFill="1" applyBorder="1" applyProtection="1">
      <protection hidden="1"/>
    </xf>
    <xf numFmtId="0" fontId="2" fillId="7" borderId="0" xfId="4" applyProtection="1">
      <protection hidden="1"/>
    </xf>
    <xf numFmtId="0" fontId="0" fillId="0" borderId="0" xfId="0" applyAlignment="1">
      <alignment horizontal="left" vertical="center" indent="1"/>
    </xf>
    <xf numFmtId="0" fontId="0" fillId="13" borderId="1" xfId="0"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0" fillId="14" borderId="1" xfId="0" applyFill="1" applyBorder="1" applyAlignment="1" applyProtection="1">
      <alignment horizontal="center"/>
      <protection hidden="1"/>
    </xf>
    <xf numFmtId="9" fontId="0" fillId="14" borderId="1" xfId="6" applyFont="1" applyFill="1" applyBorder="1" applyAlignment="1" applyProtection="1">
      <alignment horizontal="center"/>
      <protection hidden="1"/>
    </xf>
    <xf numFmtId="2" fontId="0" fillId="14" borderId="1" xfId="0" applyNumberForma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9" fontId="1" fillId="14" borderId="1" xfId="6" applyFont="1" applyFill="1" applyBorder="1" applyAlignment="1" applyProtection="1">
      <alignment horizontal="center"/>
      <protection hidden="1"/>
    </xf>
    <xf numFmtId="165" fontId="0" fillId="0" borderId="0" xfId="0" applyNumberFormat="1"/>
    <xf numFmtId="0" fontId="2" fillId="3" borderId="0" xfId="2" applyAlignment="1">
      <alignment wrapText="1"/>
    </xf>
    <xf numFmtId="0" fontId="24" fillId="12" borderId="8" xfId="5" applyFont="1" applyAlignment="1">
      <alignment wrapText="1"/>
    </xf>
    <xf numFmtId="0" fontId="23" fillId="0" borderId="1" xfId="0" applyFont="1" applyBorder="1" applyAlignment="1" applyProtection="1">
      <alignment wrapText="1"/>
      <protection hidden="1"/>
    </xf>
    <xf numFmtId="1" fontId="23" fillId="0" borderId="1" xfId="0" applyNumberFormat="1" applyFont="1" applyBorder="1" applyAlignment="1" applyProtection="1">
      <alignment wrapText="1"/>
      <protection hidden="1"/>
    </xf>
    <xf numFmtId="2" fontId="23" fillId="0" borderId="1" xfId="0" applyNumberFormat="1" applyFont="1" applyBorder="1" applyAlignment="1" applyProtection="1">
      <alignment wrapText="1"/>
      <protection hidden="1"/>
    </xf>
    <xf numFmtId="0" fontId="23" fillId="0" borderId="1" xfId="0" applyFont="1" applyBorder="1" applyProtection="1">
      <protection hidden="1"/>
    </xf>
    <xf numFmtId="0" fontId="23" fillId="0" borderId="6" xfId="0" applyFont="1" applyBorder="1" applyAlignment="1">
      <alignment wrapText="1"/>
    </xf>
    <xf numFmtId="0" fontId="23" fillId="0" borderId="7" xfId="0" applyFont="1" applyBorder="1" applyAlignment="1">
      <alignment wrapText="1"/>
    </xf>
    <xf numFmtId="0" fontId="24" fillId="15" borderId="8" xfId="5" applyFont="1" applyFill="1" applyAlignment="1" applyProtection="1">
      <alignment wrapText="1"/>
      <protection hidden="1"/>
    </xf>
    <xf numFmtId="0" fontId="17" fillId="15" borderId="8" xfId="5" applyFill="1" applyAlignment="1" applyProtection="1">
      <alignment wrapText="1"/>
      <protection hidden="1"/>
    </xf>
    <xf numFmtId="9" fontId="17" fillId="12" borderId="8" xfId="5" applyNumberFormat="1" applyAlignment="1" applyProtection="1">
      <alignment wrapText="1"/>
      <protection locked="0"/>
    </xf>
    <xf numFmtId="0" fontId="0" fillId="16" borderId="0" xfId="0" applyFill="1"/>
    <xf numFmtId="1" fontId="17" fillId="12" borderId="8" xfId="5" applyNumberFormat="1" applyAlignment="1" applyProtection="1">
      <alignment wrapText="1"/>
      <protection locked="0"/>
    </xf>
    <xf numFmtId="1" fontId="0" fillId="16" borderId="0" xfId="0" applyNumberFormat="1" applyFill="1" applyProtection="1">
      <protection hidden="1"/>
    </xf>
    <xf numFmtId="3" fontId="17" fillId="12" borderId="8" xfId="5" applyNumberFormat="1" applyAlignment="1" applyProtection="1">
      <alignment horizontal="center" vertical="center" wrapText="1"/>
      <protection locked="0"/>
    </xf>
    <xf numFmtId="0" fontId="26" fillId="0" borderId="0" xfId="0" applyFont="1"/>
    <xf numFmtId="0" fontId="0" fillId="0" borderId="0" xfId="0" applyBorder="1"/>
    <xf numFmtId="0" fontId="0" fillId="0" borderId="15" xfId="0" applyBorder="1"/>
    <xf numFmtId="0" fontId="0" fillId="0" borderId="16" xfId="0" applyBorder="1"/>
    <xf numFmtId="0" fontId="0" fillId="0" borderId="17" xfId="0" applyBorder="1"/>
    <xf numFmtId="1" fontId="24" fillId="15" borderId="8" xfId="5" applyNumberFormat="1" applyFont="1" applyFill="1" applyAlignment="1" applyProtection="1">
      <alignment wrapText="1"/>
      <protection hidden="1"/>
    </xf>
    <xf numFmtId="0" fontId="28" fillId="0" borderId="0" xfId="0" applyFont="1"/>
    <xf numFmtId="0" fontId="3" fillId="0" borderId="0" xfId="1" applyFont="1" applyFill="1" applyBorder="1" applyAlignment="1" applyProtection="1">
      <alignment horizontal="left" vertical="top"/>
      <protection locked="0"/>
    </xf>
    <xf numFmtId="0" fontId="15" fillId="3" borderId="2" xfId="2" applyFont="1" applyBorder="1" applyAlignment="1" applyProtection="1">
      <alignment horizontal="center"/>
      <protection hidden="1"/>
    </xf>
    <xf numFmtId="0" fontId="31" fillId="0" borderId="0" xfId="0" applyFont="1" applyAlignment="1">
      <alignment wrapText="1"/>
    </xf>
    <xf numFmtId="0" fontId="31" fillId="0" borderId="0" xfId="0" applyFont="1" applyAlignment="1">
      <alignment horizontal="center" wrapText="1"/>
    </xf>
    <xf numFmtId="0" fontId="33" fillId="15" borderId="1" xfId="0" applyFont="1" applyFill="1" applyBorder="1" applyAlignment="1">
      <alignment horizontal="center"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6" borderId="1" xfId="0" applyFont="1" applyFill="1" applyBorder="1" applyAlignment="1">
      <alignment horizontal="center" wrapText="1"/>
    </xf>
    <xf numFmtId="0" fontId="33" fillId="5" borderId="1" xfId="0" applyFont="1" applyFill="1" applyBorder="1" applyAlignment="1">
      <alignment horizontal="center" wrapText="1"/>
    </xf>
    <xf numFmtId="0" fontId="32" fillId="20"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9" fontId="33" fillId="5" borderId="1" xfId="6" applyFont="1" applyFill="1" applyBorder="1" applyAlignment="1">
      <alignment horizontal="center" vertical="center" wrapText="1"/>
    </xf>
    <xf numFmtId="9" fontId="33" fillId="5" borderId="1" xfId="0" applyNumberFormat="1" applyFont="1" applyFill="1" applyBorder="1" applyAlignment="1">
      <alignment horizontal="center" vertical="center" wrapText="1"/>
    </xf>
    <xf numFmtId="167" fontId="33" fillId="5" borderId="1" xfId="6"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1" fontId="33" fillId="5"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0" fontId="35" fillId="6" borderId="23" xfId="9" applyFont="1" applyFill="1" applyBorder="1" applyAlignment="1">
      <alignment horizontal="center" vertical="center" wrapText="1"/>
    </xf>
    <xf numFmtId="0" fontId="35" fillId="21" borderId="23" xfId="9" applyFont="1" applyFill="1" applyBorder="1" applyAlignment="1">
      <alignment horizontal="center" vertical="center" wrapText="1"/>
    </xf>
    <xf numFmtId="0" fontId="36" fillId="0" borderId="0" xfId="9" applyFont="1" applyFill="1" applyBorder="1" applyAlignment="1">
      <alignment horizontal="center" vertical="center" wrapText="1"/>
    </xf>
    <xf numFmtId="167" fontId="36" fillId="0" borderId="23" xfId="9" applyNumberFormat="1" applyFont="1" applyFill="1" applyBorder="1" applyAlignment="1">
      <alignment horizontal="center" vertical="center" wrapText="1"/>
    </xf>
    <xf numFmtId="9" fontId="36" fillId="0" borderId="23" xfId="6" applyFont="1" applyFill="1" applyBorder="1" applyAlignment="1">
      <alignment horizontal="center" vertical="center" wrapText="1"/>
    </xf>
    <xf numFmtId="9" fontId="36" fillId="0" borderId="23" xfId="9" applyNumberFormat="1" applyFont="1" applyFill="1" applyBorder="1" applyAlignment="1">
      <alignment horizontal="center" vertical="center" wrapText="1"/>
    </xf>
    <xf numFmtId="10" fontId="36" fillId="0" borderId="23" xfId="9" applyNumberFormat="1" applyFont="1" applyFill="1" applyBorder="1" applyAlignment="1">
      <alignment horizontal="center" vertical="center" wrapText="1"/>
    </xf>
    <xf numFmtId="168" fontId="36" fillId="0" borderId="23" xfId="9" applyNumberFormat="1" applyFont="1" applyFill="1" applyBorder="1" applyAlignment="1">
      <alignment horizontal="center" vertical="center" wrapText="1"/>
    </xf>
    <xf numFmtId="168" fontId="35" fillId="0" borderId="23" xfId="9" applyNumberFormat="1" applyFont="1" applyFill="1" applyBorder="1" applyAlignment="1">
      <alignment horizontal="center" vertical="center" wrapText="1"/>
    </xf>
    <xf numFmtId="168" fontId="36" fillId="0" borderId="23" xfId="6" applyNumberFormat="1" applyFont="1" applyFill="1" applyBorder="1" applyAlignment="1">
      <alignment horizontal="center" vertical="center" wrapText="1"/>
    </xf>
    <xf numFmtId="9" fontId="35" fillId="0" borderId="23" xfId="6" applyFont="1" applyFill="1" applyBorder="1" applyAlignment="1">
      <alignment horizontal="center" vertical="center" wrapText="1"/>
    </xf>
    <xf numFmtId="0" fontId="35" fillId="0" borderId="0" xfId="9" applyFont="1" applyFill="1" applyBorder="1" applyAlignment="1">
      <alignment horizontal="center" vertical="center" wrapText="1"/>
    </xf>
    <xf numFmtId="167" fontId="36" fillId="0" borderId="0" xfId="9" applyNumberFormat="1" applyFont="1" applyFill="1" applyBorder="1" applyAlignment="1">
      <alignment horizontal="center" vertical="center" wrapText="1"/>
    </xf>
    <xf numFmtId="9" fontId="36" fillId="0" borderId="0" xfId="6" applyFont="1" applyFill="1" applyBorder="1" applyAlignment="1">
      <alignment horizontal="center" vertical="center" wrapText="1"/>
    </xf>
    <xf numFmtId="168" fontId="36" fillId="0" borderId="0" xfId="6" applyNumberFormat="1" applyFont="1" applyFill="1" applyBorder="1" applyAlignment="1">
      <alignment horizontal="center" vertical="center" wrapText="1"/>
    </xf>
    <xf numFmtId="0" fontId="36" fillId="0" borderId="0" xfId="9" applyFont="1" applyFill="1" applyBorder="1" applyAlignment="1">
      <alignment horizontal="center" vertical="center" wrapText="1"/>
    </xf>
    <xf numFmtId="9" fontId="31" fillId="0" borderId="23" xfId="6" applyFont="1" applyFill="1" applyBorder="1" applyAlignment="1">
      <alignment horizontal="center" vertical="center" wrapText="1"/>
    </xf>
    <xf numFmtId="168" fontId="36" fillId="0" borderId="0" xfId="9" applyNumberFormat="1" applyFont="1" applyFill="1" applyBorder="1" applyAlignment="1">
      <alignment horizontal="center" vertical="center" wrapText="1"/>
    </xf>
    <xf numFmtId="10" fontId="36" fillId="0" borderId="0" xfId="9" applyNumberFormat="1" applyFont="1" applyFill="1" applyBorder="1" applyAlignment="1">
      <alignment horizontal="center" vertical="center" wrapText="1"/>
    </xf>
    <xf numFmtId="9" fontId="36" fillId="0" borderId="0" xfId="9" applyNumberFormat="1" applyFont="1" applyFill="1" applyBorder="1" applyAlignment="1">
      <alignment horizontal="center" vertical="center" wrapText="1"/>
    </xf>
    <xf numFmtId="2" fontId="36" fillId="0" borderId="0" xfId="9" applyNumberFormat="1" applyFont="1" applyFill="1" applyBorder="1" applyAlignment="1">
      <alignment horizontal="center" vertical="center" wrapText="1"/>
    </xf>
    <xf numFmtId="168" fontId="37" fillId="0" borderId="23" xfId="6" applyNumberFormat="1" applyFont="1" applyFill="1" applyBorder="1" applyAlignment="1">
      <alignment horizontal="center" vertical="center"/>
    </xf>
    <xf numFmtId="168" fontId="31" fillId="0" borderId="23" xfId="6" applyNumberFormat="1" applyFont="1" applyFill="1" applyBorder="1" applyAlignment="1">
      <alignment horizontal="center" vertical="center" wrapText="1"/>
    </xf>
    <xf numFmtId="0" fontId="39" fillId="0" borderId="0" xfId="0" applyFont="1" applyBorder="1"/>
    <xf numFmtId="0" fontId="40" fillId="0" borderId="0" xfId="0" applyFont="1" applyBorder="1"/>
    <xf numFmtId="0" fontId="42" fillId="23" borderId="0" xfId="0" applyFont="1" applyFill="1"/>
    <xf numFmtId="0" fontId="42" fillId="0" borderId="0" xfId="0" applyFont="1"/>
    <xf numFmtId="0" fontId="41" fillId="24" borderId="24" xfId="0" applyFont="1" applyFill="1" applyBorder="1" applyAlignment="1">
      <alignment horizontal="center"/>
    </xf>
    <xf numFmtId="0" fontId="43" fillId="0" borderId="24" xfId="0" applyFont="1" applyBorder="1"/>
    <xf numFmtId="0" fontId="42" fillId="0" borderId="24" xfId="0" applyFont="1" applyBorder="1"/>
    <xf numFmtId="0" fontId="42" fillId="0" borderId="24" xfId="0" applyFont="1" applyFill="1" applyBorder="1" applyAlignment="1">
      <alignment horizontal="left" wrapText="1"/>
    </xf>
    <xf numFmtId="4" fontId="44" fillId="0" borderId="1" xfId="0" applyNumberFormat="1" applyFont="1" applyFill="1" applyBorder="1" applyAlignment="1">
      <alignment horizontal="right" vertical="center" wrapText="1"/>
    </xf>
    <xf numFmtId="0" fontId="45" fillId="26" borderId="25" xfId="0" applyFont="1" applyFill="1" applyBorder="1" applyAlignment="1">
      <alignment horizontal="right" vertical="center" wrapText="1"/>
    </xf>
    <xf numFmtId="0" fontId="41" fillId="27" borderId="25" xfId="0" applyFont="1" applyFill="1" applyBorder="1"/>
    <xf numFmtId="0" fontId="42" fillId="0" borderId="25" xfId="0" applyFont="1" applyFill="1" applyBorder="1"/>
    <xf numFmtId="2" fontId="42" fillId="0" borderId="25" xfId="0" applyNumberFormat="1" applyFont="1" applyFill="1" applyBorder="1"/>
    <xf numFmtId="2" fontId="42" fillId="0" borderId="25" xfId="0" applyNumberFormat="1" applyFont="1" applyFill="1" applyBorder="1" applyAlignment="1">
      <alignment horizontal="right"/>
    </xf>
    <xf numFmtId="10" fontId="42" fillId="0" borderId="0" xfId="0" applyNumberFormat="1" applyFont="1" applyFill="1"/>
    <xf numFmtId="0" fontId="42" fillId="13" borderId="25" xfId="0" applyFont="1" applyFill="1" applyBorder="1"/>
    <xf numFmtId="0" fontId="41" fillId="24" borderId="26" xfId="0" applyFont="1" applyFill="1" applyBorder="1" applyAlignment="1">
      <alignment horizontal="center"/>
    </xf>
    <xf numFmtId="0" fontId="42" fillId="0" borderId="1" xfId="0" applyFont="1" applyBorder="1"/>
    <xf numFmtId="0" fontId="42" fillId="23" borderId="27" xfId="0" applyFont="1" applyFill="1" applyBorder="1"/>
    <xf numFmtId="0" fontId="42" fillId="0" borderId="1" xfId="0" applyFont="1" applyFill="1" applyBorder="1"/>
    <xf numFmtId="2" fontId="42" fillId="0" borderId="1" xfId="0" applyNumberFormat="1" applyFont="1" applyBorder="1"/>
    <xf numFmtId="0" fontId="42" fillId="13" borderId="1" xfId="0" applyFont="1" applyFill="1" applyBorder="1"/>
    <xf numFmtId="0" fontId="42" fillId="6" borderId="1" xfId="0" applyFont="1" applyFill="1" applyBorder="1"/>
    <xf numFmtId="0" fontId="40" fillId="0" borderId="1" xfId="0" applyFont="1" applyBorder="1"/>
    <xf numFmtId="167" fontId="42" fillId="0" borderId="1" xfId="0" applyNumberFormat="1" applyFont="1" applyBorder="1"/>
    <xf numFmtId="9" fontId="46" fillId="0" borderId="1" xfId="6" applyFont="1" applyBorder="1"/>
    <xf numFmtId="0" fontId="42" fillId="0" borderId="25" xfId="0" applyFont="1" applyFill="1" applyBorder="1" applyAlignment="1">
      <alignment horizontal="left"/>
    </xf>
    <xf numFmtId="0" fontId="42" fillId="0" borderId="25" xfId="0" applyFont="1" applyBorder="1"/>
    <xf numFmtId="0" fontId="42" fillId="0" borderId="1" xfId="0" applyFont="1" applyFill="1" applyBorder="1" applyAlignment="1"/>
    <xf numFmtId="2" fontId="42" fillId="0" borderId="1" xfId="0" applyNumberFormat="1" applyFont="1" applyFill="1" applyBorder="1" applyAlignment="1">
      <alignment horizontal="center" vertical="center"/>
    </xf>
    <xf numFmtId="2" fontId="42" fillId="0" borderId="1" xfId="0" applyNumberFormat="1" applyFont="1" applyBorder="1" applyAlignment="1">
      <alignment horizontal="center" vertical="center"/>
    </xf>
    <xf numFmtId="10" fontId="42" fillId="0" borderId="1" xfId="0" applyNumberFormat="1" applyFont="1" applyBorder="1"/>
    <xf numFmtId="0" fontId="42" fillId="0" borderId="0" xfId="0" applyFont="1" applyBorder="1"/>
    <xf numFmtId="10" fontId="42" fillId="0" borderId="0" xfId="0" applyNumberFormat="1" applyFont="1" applyBorder="1"/>
    <xf numFmtId="169" fontId="42" fillId="0" borderId="0" xfId="0" applyNumberFormat="1" applyFont="1" applyBorder="1"/>
    <xf numFmtId="170" fontId="1" fillId="0" borderId="0" xfId="10" applyFont="1" applyBorder="1"/>
    <xf numFmtId="170" fontId="0" fillId="0" borderId="0" xfId="10" applyFont="1" applyBorder="1"/>
    <xf numFmtId="171" fontId="25" fillId="28" borderId="0" xfId="10" applyNumberFormat="1" applyFont="1" applyFill="1" applyBorder="1"/>
    <xf numFmtId="171" fontId="25" fillId="28" borderId="0" xfId="0" applyNumberFormat="1" applyFont="1" applyFill="1" applyBorder="1" applyAlignment="1">
      <alignment horizontal="center"/>
    </xf>
    <xf numFmtId="171" fontId="3" fillId="0" borderId="0" xfId="10" applyNumberFormat="1" applyFont="1" applyFill="1" applyBorder="1"/>
    <xf numFmtId="170" fontId="20" fillId="0" borderId="0" xfId="10" applyFont="1" applyBorder="1"/>
    <xf numFmtId="43" fontId="0" fillId="0" borderId="0" xfId="10" applyNumberFormat="1" applyFont="1" applyBorder="1"/>
    <xf numFmtId="9" fontId="6" fillId="0" borderId="1" xfId="6" applyFont="1" applyBorder="1" applyProtection="1">
      <protection hidden="1"/>
    </xf>
    <xf numFmtId="168" fontId="6" fillId="0" borderId="1" xfId="6" applyNumberFormat="1" applyFont="1" applyBorder="1" applyProtection="1">
      <protection hidden="1"/>
    </xf>
    <xf numFmtId="1" fontId="42" fillId="0" borderId="1" xfId="0" applyNumberFormat="1" applyFont="1" applyFill="1" applyBorder="1" applyAlignment="1">
      <alignment horizontal="center" vertical="center"/>
    </xf>
    <xf numFmtId="167" fontId="12" fillId="0" borderId="1" xfId="0" applyNumberFormat="1" applyFont="1" applyBorder="1" applyProtection="1">
      <protection hidden="1"/>
    </xf>
    <xf numFmtId="3" fontId="6" fillId="0" borderId="0" xfId="0" applyNumberFormat="1" applyFont="1" applyBorder="1" applyProtection="1">
      <protection hidden="1"/>
    </xf>
    <xf numFmtId="1" fontId="17" fillId="12" borderId="8" xfId="5" applyNumberFormat="1" applyAlignment="1" applyProtection="1">
      <alignment horizontal="center" vertical="center" wrapText="1"/>
      <protection locked="0"/>
    </xf>
    <xf numFmtId="9" fontId="12" fillId="0" borderId="1" xfId="0" applyNumberFormat="1" applyFont="1" applyBorder="1" applyProtection="1">
      <protection hidden="1"/>
    </xf>
    <xf numFmtId="1" fontId="12" fillId="0" borderId="2" xfId="0" applyNumberFormat="1" applyFont="1" applyBorder="1" applyProtection="1">
      <protection hidden="1"/>
    </xf>
    <xf numFmtId="0" fontId="49" fillId="0" borderId="0" xfId="0" applyFont="1" applyAlignment="1" applyProtection="1">
      <alignment horizontal="left"/>
      <protection hidden="1"/>
    </xf>
    <xf numFmtId="1" fontId="12" fillId="0" borderId="0" xfId="0" applyNumberFormat="1" applyFont="1" applyBorder="1" applyProtection="1">
      <protection hidden="1"/>
    </xf>
    <xf numFmtId="9" fontId="12" fillId="0" borderId="0" xfId="0" applyNumberFormat="1" applyFont="1" applyProtection="1">
      <protection hidden="1"/>
    </xf>
    <xf numFmtId="0" fontId="12" fillId="0" borderId="3" xfId="0" applyFont="1" applyBorder="1" applyProtection="1">
      <protection hidden="1"/>
    </xf>
    <xf numFmtId="0" fontId="50" fillId="0" borderId="0" xfId="0" applyFont="1" applyAlignment="1">
      <alignment horizontal="left" vertical="center"/>
    </xf>
    <xf numFmtId="0" fontId="0" fillId="0" borderId="0" xfId="0" applyAlignment="1">
      <alignment horizontal="left" vertical="center"/>
    </xf>
    <xf numFmtId="171" fontId="41" fillId="24" borderId="26" xfId="0" applyNumberFormat="1" applyFont="1" applyFill="1" applyBorder="1" applyAlignment="1">
      <alignment horizontal="center"/>
    </xf>
    <xf numFmtId="0" fontId="50" fillId="0" borderId="23" xfId="0" applyFont="1" applyBorder="1" applyAlignment="1">
      <alignment horizontal="left" vertical="center"/>
    </xf>
    <xf numFmtId="9" fontId="50" fillId="0" borderId="23" xfId="0" applyNumberFormat="1" applyFont="1" applyBorder="1" applyAlignment="1">
      <alignment horizontal="left" vertical="center"/>
    </xf>
    <xf numFmtId="0" fontId="50" fillId="6" borderId="23" xfId="0" applyFont="1" applyFill="1" applyBorder="1" applyAlignment="1">
      <alignment horizontal="left" vertical="center"/>
    </xf>
    <xf numFmtId="0" fontId="51" fillId="0" borderId="23" xfId="0" applyFont="1" applyBorder="1" applyAlignment="1">
      <alignment horizontal="left" vertical="center" wrapText="1"/>
    </xf>
    <xf numFmtId="10" fontId="12" fillId="0" borderId="2" xfId="0" applyNumberFormat="1" applyFont="1" applyFill="1" applyBorder="1" applyProtection="1">
      <protection hidden="1"/>
    </xf>
    <xf numFmtId="0" fontId="42" fillId="25" borderId="26" xfId="0" applyFont="1" applyFill="1" applyBorder="1" applyAlignment="1"/>
    <xf numFmtId="1" fontId="12" fillId="0" borderId="0" xfId="0" applyNumberFormat="1" applyFont="1" applyProtection="1">
      <protection hidden="1"/>
    </xf>
    <xf numFmtId="9" fontId="36" fillId="0" borderId="23" xfId="6" applyNumberFormat="1" applyFont="1" applyFill="1" applyBorder="1" applyAlignment="1">
      <alignment horizontal="center" vertical="center" wrapText="1"/>
    </xf>
    <xf numFmtId="167" fontId="42" fillId="23" borderId="27" xfId="0" applyNumberFormat="1" applyFont="1" applyFill="1" applyBorder="1"/>
    <xf numFmtId="166" fontId="42" fillId="23" borderId="27" xfId="7" applyNumberFormat="1" applyFont="1" applyFill="1" applyBorder="1"/>
    <xf numFmtId="168" fontId="33" fillId="5" borderId="1" xfId="6" applyNumberFormat="1" applyFont="1" applyFill="1" applyBorder="1" applyAlignment="1">
      <alignment horizontal="center" vertical="center" wrapText="1"/>
    </xf>
    <xf numFmtId="10" fontId="12" fillId="0" borderId="2" xfId="0" applyNumberFormat="1" applyFont="1" applyBorder="1" applyProtection="1">
      <protection hidden="1"/>
    </xf>
    <xf numFmtId="168" fontId="12" fillId="0" borderId="2" xfId="0" applyNumberFormat="1" applyFont="1" applyBorder="1" applyProtection="1">
      <protection hidden="1"/>
    </xf>
    <xf numFmtId="0" fontId="15" fillId="3" borderId="4" xfId="2" applyFont="1" applyBorder="1" applyAlignment="1" applyProtection="1">
      <alignment horizontal="center"/>
      <protection hidden="1"/>
    </xf>
    <xf numFmtId="9" fontId="12" fillId="0" borderId="32" xfId="6" applyFont="1" applyBorder="1" applyProtection="1">
      <protection hidden="1"/>
    </xf>
    <xf numFmtId="0" fontId="15" fillId="7" borderId="3" xfId="4" applyFont="1" applyBorder="1" applyProtection="1">
      <protection hidden="1"/>
    </xf>
    <xf numFmtId="0" fontId="12" fillId="0" borderId="3" xfId="0" applyFont="1" applyFill="1" applyBorder="1" applyProtection="1">
      <protection hidden="1"/>
    </xf>
    <xf numFmtId="0" fontId="14" fillId="0" borderId="3" xfId="0" applyFont="1" applyBorder="1" applyProtection="1">
      <protection hidden="1"/>
    </xf>
    <xf numFmtId="0" fontId="12" fillId="6" borderId="3" xfId="0" applyFont="1" applyFill="1" applyBorder="1" applyProtection="1">
      <protection hidden="1"/>
    </xf>
    <xf numFmtId="0" fontId="0" fillId="0" borderId="0" xfId="0" applyFill="1" applyBorder="1"/>
    <xf numFmtId="0" fontId="15" fillId="0" borderId="0" xfId="4" applyFont="1" applyFill="1" applyBorder="1" applyAlignment="1" applyProtection="1">
      <alignment horizontal="center"/>
      <protection hidden="1"/>
    </xf>
    <xf numFmtId="0" fontId="12" fillId="0" borderId="0" xfId="0" applyFont="1" applyFill="1" applyBorder="1" applyProtection="1">
      <protection hidden="1"/>
    </xf>
    <xf numFmtId="2" fontId="12" fillId="0" borderId="0" xfId="0" applyNumberFormat="1" applyFont="1" applyFill="1" applyBorder="1" applyProtection="1">
      <protection hidden="1"/>
    </xf>
    <xf numFmtId="9" fontId="12" fillId="0" borderId="0" xfId="0" applyNumberFormat="1" applyFont="1" applyFill="1" applyBorder="1" applyProtection="1">
      <protection hidden="1"/>
    </xf>
    <xf numFmtId="10" fontId="12" fillId="0" borderId="0" xfId="0" applyNumberFormat="1" applyFont="1" applyFill="1" applyBorder="1" applyProtection="1">
      <protection hidden="1"/>
    </xf>
    <xf numFmtId="0" fontId="13" fillId="0" borderId="0" xfId="4" applyFont="1" applyFill="1" applyBorder="1" applyAlignment="1" applyProtection="1">
      <alignment horizontal="center"/>
      <protection hidden="1"/>
    </xf>
    <xf numFmtId="168" fontId="12" fillId="0" borderId="0" xfId="0" applyNumberFormat="1" applyFont="1" applyFill="1" applyBorder="1" applyProtection="1">
      <protection hidden="1"/>
    </xf>
    <xf numFmtId="0" fontId="15" fillId="0" borderId="0" xfId="2" applyFont="1" applyFill="1" applyBorder="1" applyAlignment="1" applyProtection="1">
      <alignment horizontal="center"/>
      <protection hidden="1"/>
    </xf>
    <xf numFmtId="9" fontId="12" fillId="0" borderId="0" xfId="6" applyFont="1" applyFill="1" applyBorder="1" applyProtection="1">
      <protection hidden="1"/>
    </xf>
    <xf numFmtId="1" fontId="12" fillId="0" borderId="0" xfId="0" applyNumberFormat="1" applyFont="1" applyFill="1" applyBorder="1" applyProtection="1">
      <protection hidden="1"/>
    </xf>
    <xf numFmtId="0" fontId="42" fillId="25" borderId="26" xfId="0" applyFont="1" applyFill="1" applyBorder="1" applyAlignment="1"/>
    <xf numFmtId="9" fontId="12" fillId="0" borderId="0" xfId="6" applyFont="1" applyBorder="1" applyProtection="1">
      <protection hidden="1"/>
    </xf>
    <xf numFmtId="9" fontId="1" fillId="0" borderId="33" xfId="6" applyFont="1" applyBorder="1" applyAlignment="1" applyProtection="1">
      <protection locked="0"/>
    </xf>
    <xf numFmtId="0" fontId="3" fillId="0" borderId="0" xfId="1" applyFont="1" applyFill="1" applyBorder="1" applyAlignment="1" applyProtection="1">
      <alignment horizontal="left" vertical="top"/>
      <protection locked="0"/>
    </xf>
    <xf numFmtId="0" fontId="1" fillId="13" borderId="0" xfId="0" applyFont="1" applyFill="1" applyBorder="1" applyAlignment="1" applyProtection="1">
      <alignment horizontal="center" vertical="center" wrapText="1"/>
      <protection hidden="1"/>
    </xf>
    <xf numFmtId="0" fontId="0" fillId="14" borderId="1" xfId="0" applyFill="1" applyBorder="1" applyAlignment="1" applyProtection="1">
      <alignment horizontal="left"/>
      <protection hidden="1"/>
    </xf>
    <xf numFmtId="168" fontId="0" fillId="14" borderId="1" xfId="6" applyNumberFormat="1" applyFont="1" applyFill="1" applyBorder="1" applyAlignment="1" applyProtection="1">
      <alignment horizontal="center"/>
      <protection hidden="1"/>
    </xf>
    <xf numFmtId="0" fontId="50" fillId="0" borderId="0" xfId="0" applyFont="1"/>
    <xf numFmtId="0" fontId="1" fillId="0" borderId="0" xfId="0" applyFont="1"/>
    <xf numFmtId="1" fontId="42" fillId="0" borderId="1" xfId="0" applyNumberFormat="1" applyFont="1" applyBorder="1"/>
    <xf numFmtId="9" fontId="42" fillId="0" borderId="0" xfId="6" applyFont="1"/>
    <xf numFmtId="1" fontId="42" fillId="0" borderId="1" xfId="0" applyNumberFormat="1" applyFont="1" applyFill="1" applyBorder="1"/>
    <xf numFmtId="1" fontId="42" fillId="0" borderId="0" xfId="0" applyNumberFormat="1" applyFont="1"/>
    <xf numFmtId="1" fontId="40" fillId="0" borderId="1" xfId="0" applyNumberFormat="1" applyFont="1" applyBorder="1"/>
    <xf numFmtId="0" fontId="0" fillId="6" borderId="0" xfId="0" applyFill="1"/>
    <xf numFmtId="1" fontId="0" fillId="0" borderId="0" xfId="0" applyNumberFormat="1"/>
    <xf numFmtId="0" fontId="42" fillId="6" borderId="0" xfId="0" applyFont="1" applyFill="1"/>
    <xf numFmtId="9" fontId="0" fillId="0" borderId="0" xfId="6" applyFont="1"/>
    <xf numFmtId="9" fontId="0" fillId="0" borderId="0" xfId="0" applyNumberFormat="1"/>
    <xf numFmtId="1" fontId="6" fillId="0" borderId="0" xfId="0" applyNumberFormat="1" applyFont="1" applyProtection="1">
      <protection hidden="1"/>
    </xf>
    <xf numFmtId="167" fontId="12" fillId="0" borderId="0" xfId="0" applyNumberFormat="1" applyFont="1" applyProtection="1">
      <protection hidden="1"/>
    </xf>
    <xf numFmtId="9" fontId="12" fillId="0" borderId="0" xfId="6" applyFont="1" applyProtection="1">
      <protection hidden="1"/>
    </xf>
    <xf numFmtId="168" fontId="12" fillId="0" borderId="0" xfId="6" applyNumberFormat="1" applyFont="1" applyProtection="1">
      <protection hidden="1"/>
    </xf>
    <xf numFmtId="10" fontId="12" fillId="0" borderId="0" xfId="6" applyNumberFormat="1" applyFont="1" applyProtection="1">
      <protection hidden="1"/>
    </xf>
    <xf numFmtId="0" fontId="1" fillId="0" borderId="0" xfId="0" applyFont="1" applyProtection="1">
      <protection locked="0"/>
    </xf>
    <xf numFmtId="171" fontId="0" fillId="0" borderId="0" xfId="0" applyNumberFormat="1"/>
    <xf numFmtId="171" fontId="42" fillId="0" borderId="0" xfId="0" applyNumberFormat="1" applyFont="1"/>
    <xf numFmtId="0" fontId="4" fillId="0" borderId="0" xfId="3" applyAlignment="1">
      <alignment horizontal="left" vertical="center"/>
    </xf>
    <xf numFmtId="0" fontId="42" fillId="0" borderId="0" xfId="0" applyFont="1" applyFill="1"/>
    <xf numFmtId="9" fontId="42" fillId="0" borderId="0" xfId="6" applyFont="1" applyFill="1"/>
    <xf numFmtId="0" fontId="0" fillId="0" borderId="0" xfId="0" applyFill="1"/>
    <xf numFmtId="170" fontId="0" fillId="0" borderId="0" xfId="10" applyFont="1" applyFill="1" applyBorder="1"/>
    <xf numFmtId="171" fontId="42" fillId="0" borderId="0" xfId="6" applyNumberFormat="1" applyFont="1"/>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1" fontId="42" fillId="0" borderId="0" xfId="6" applyNumberFormat="1" applyFont="1"/>
    <xf numFmtId="169" fontId="42" fillId="0" borderId="0" xfId="7" applyNumberFormat="1" applyFont="1"/>
    <xf numFmtId="166" fontId="42" fillId="0" borderId="0" xfId="7" applyNumberFormat="1" applyFont="1"/>
    <xf numFmtId="0" fontId="55" fillId="29" borderId="0" xfId="0" applyFont="1" applyFill="1" applyBorder="1" applyAlignment="1" applyProtection="1">
      <protection locked="0"/>
    </xf>
    <xf numFmtId="9" fontId="42" fillId="0" borderId="0" xfId="6" applyNumberFormat="1" applyFont="1"/>
    <xf numFmtId="0" fontId="35" fillId="6" borderId="23" xfId="9" applyFont="1" applyFill="1" applyBorder="1" applyAlignment="1">
      <alignment horizontal="left" vertical="center" wrapText="1"/>
    </xf>
    <xf numFmtId="0" fontId="0" fillId="0" borderId="0" xfId="0" applyAlignment="1">
      <alignment horizontal="left"/>
    </xf>
    <xf numFmtId="0" fontId="58" fillId="0" borderId="1" xfId="0" applyFont="1" applyBorder="1"/>
    <xf numFmtId="1" fontId="58" fillId="0" borderId="1" xfId="0" applyNumberFormat="1" applyFont="1" applyBorder="1"/>
    <xf numFmtId="0" fontId="59" fillId="0" borderId="0" xfId="0" applyFont="1" applyAlignment="1">
      <alignment wrapText="1"/>
    </xf>
    <xf numFmtId="2" fontId="42" fillId="0" borderId="0" xfId="6" applyNumberFormat="1" applyFont="1"/>
    <xf numFmtId="0" fontId="59" fillId="0" borderId="0" xfId="0" applyFont="1"/>
    <xf numFmtId="168" fontId="42" fillId="0" borderId="0" xfId="6" applyNumberFormat="1" applyFont="1"/>
    <xf numFmtId="0" fontId="55" fillId="0" borderId="0" xfId="0" applyFont="1" applyFill="1" applyBorder="1" applyAlignment="1" applyProtection="1">
      <alignment horizontal="center"/>
      <protection locked="0"/>
    </xf>
    <xf numFmtId="0" fontId="33" fillId="10" borderId="1" xfId="0" applyFont="1" applyFill="1" applyBorder="1" applyAlignment="1">
      <alignment vertical="center" wrapText="1"/>
    </xf>
    <xf numFmtId="167" fontId="42" fillId="0" borderId="0" xfId="6" applyNumberFormat="1" applyFont="1"/>
    <xf numFmtId="0" fontId="50" fillId="0" borderId="0" xfId="0" applyFont="1" applyAlignment="1">
      <alignment wrapText="1"/>
    </xf>
    <xf numFmtId="0" fontId="61" fillId="0" borderId="0" xfId="0" applyFont="1" applyAlignment="1">
      <alignment horizontal="left"/>
    </xf>
    <xf numFmtId="0" fontId="61" fillId="0" borderId="0" xfId="0" applyFont="1"/>
    <xf numFmtId="0" fontId="62" fillId="0" borderId="0" xfId="0" applyFont="1" applyAlignment="1">
      <alignment horizontal="left"/>
    </xf>
    <xf numFmtId="0" fontId="60" fillId="6" borderId="23" xfId="9" applyFont="1" applyFill="1" applyBorder="1" applyAlignment="1">
      <alignment horizontal="left" vertical="top" wrapText="1"/>
    </xf>
    <xf numFmtId="0" fontId="35" fillId="6" borderId="23" xfId="9" applyFont="1" applyFill="1" applyBorder="1" applyAlignment="1">
      <alignment horizontal="left" vertical="top" wrapText="1"/>
    </xf>
    <xf numFmtId="0" fontId="0" fillId="0" borderId="0" xfId="0" applyAlignment="1">
      <alignment horizontal="left" vertical="top"/>
    </xf>
    <xf numFmtId="0" fontId="50" fillId="0" borderId="0" xfId="0" applyFont="1" applyAlignment="1">
      <alignment horizontal="left" vertical="top" wrapText="1"/>
    </xf>
    <xf numFmtId="3" fontId="44" fillId="0" borderId="1" xfId="0" applyNumberFormat="1" applyFont="1" applyFill="1" applyBorder="1" applyAlignment="1">
      <alignment horizontal="right" vertical="center" wrapText="1"/>
    </xf>
    <xf numFmtId="0" fontId="63" fillId="0" borderId="0" xfId="0" applyFont="1"/>
    <xf numFmtId="0" fontId="34" fillId="6" borderId="2" xfId="0" applyFont="1" applyFill="1" applyBorder="1" applyAlignment="1">
      <alignment vertical="center" wrapText="1"/>
    </xf>
    <xf numFmtId="0" fontId="34" fillId="6" borderId="4" xfId="0" applyFont="1" applyFill="1" applyBorder="1" applyAlignment="1">
      <alignment vertical="center" wrapText="1"/>
    </xf>
    <xf numFmtId="0" fontId="32" fillId="15" borderId="20" xfId="0" applyFont="1" applyFill="1" applyBorder="1" applyAlignment="1">
      <alignment vertical="center" wrapText="1"/>
    </xf>
    <xf numFmtId="0" fontId="32" fillId="15" borderId="21" xfId="0" applyFont="1" applyFill="1" applyBorder="1" applyAlignment="1">
      <alignment vertical="center" wrapText="1"/>
    </xf>
    <xf numFmtId="0" fontId="51" fillId="0" borderId="0" xfId="0" applyFont="1" applyAlignment="1">
      <alignment vertical="center"/>
    </xf>
    <xf numFmtId="0" fontId="31" fillId="0" borderId="0" xfId="0" applyFont="1" applyAlignment="1">
      <alignment horizontal="left" wrapText="1"/>
    </xf>
    <xf numFmtId="0" fontId="33" fillId="15" borderId="1" xfId="0" applyFont="1" applyFill="1" applyBorder="1" applyAlignment="1">
      <alignment horizontal="left" vertical="center" wrapText="1"/>
    </xf>
    <xf numFmtId="0" fontId="33" fillId="6" borderId="2" xfId="0" applyFont="1" applyFill="1" applyBorder="1" applyAlignment="1">
      <alignment horizontal="left" wrapText="1"/>
    </xf>
    <xf numFmtId="0" fontId="33" fillId="10" borderId="1" xfId="0" applyFont="1" applyFill="1" applyBorder="1" applyAlignment="1">
      <alignment horizontal="left" vertical="center" wrapText="1"/>
    </xf>
    <xf numFmtId="0" fontId="65" fillId="5" borderId="1" xfId="0" applyFont="1" applyFill="1" applyBorder="1" applyAlignment="1">
      <alignment horizontal="left" vertical="center" wrapText="1"/>
    </xf>
    <xf numFmtId="0" fontId="65" fillId="5" borderId="3" xfId="0" applyFont="1" applyFill="1" applyBorder="1" applyAlignment="1">
      <alignment horizontal="left" vertical="center" wrapText="1"/>
    </xf>
    <xf numFmtId="0" fontId="65" fillId="5" borderId="1" xfId="0" applyFont="1" applyFill="1" applyBorder="1" applyAlignment="1">
      <alignment horizontal="left" vertical="top" wrapText="1"/>
    </xf>
    <xf numFmtId="0" fontId="33" fillId="10" borderId="36" xfId="0" applyFont="1" applyFill="1" applyBorder="1" applyAlignment="1">
      <alignment horizontal="left" vertical="center" wrapText="1"/>
    </xf>
    <xf numFmtId="0" fontId="33" fillId="5"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1" fontId="33" fillId="6" borderId="1" xfId="0" applyNumberFormat="1" applyFont="1" applyFill="1" applyBorder="1" applyAlignment="1">
      <alignment horizontal="center" wrapText="1"/>
    </xf>
    <xf numFmtId="0" fontId="32" fillId="0" borderId="1" xfId="6" applyNumberFormat="1" applyFont="1" applyBorder="1" applyAlignment="1">
      <alignment horizontal="center" vertical="center" wrapText="1"/>
    </xf>
    <xf numFmtId="0" fontId="0" fillId="0" borderId="23" xfId="0" applyBorder="1"/>
    <xf numFmtId="0" fontId="0" fillId="0" borderId="23" xfId="0" applyNumberFormat="1" applyBorder="1"/>
    <xf numFmtId="0" fontId="66" fillId="0" borderId="23" xfId="0" applyFont="1" applyBorder="1" applyAlignment="1">
      <alignment vertical="center"/>
    </xf>
    <xf numFmtId="9" fontId="50" fillId="0" borderId="23" xfId="6" applyNumberFormat="1" applyFont="1" applyBorder="1"/>
    <xf numFmtId="0" fontId="50" fillId="0" borderId="23" xfId="6" applyNumberFormat="1" applyFont="1" applyBorder="1"/>
    <xf numFmtId="0" fontId="55" fillId="0" borderId="0" xfId="0" applyFont="1" applyFill="1" applyBorder="1" applyAlignment="1" applyProtection="1">
      <protection locked="0"/>
    </xf>
    <xf numFmtId="0" fontId="35" fillId="21" borderId="23" xfId="9" applyFont="1" applyFill="1" applyBorder="1" applyAlignment="1">
      <alignment vertical="center" wrapText="1"/>
    </xf>
    <xf numFmtId="0" fontId="35" fillId="6" borderId="23" xfId="9" applyFont="1" applyFill="1" applyBorder="1" applyAlignment="1">
      <alignment vertical="center" wrapText="1"/>
    </xf>
    <xf numFmtId="9" fontId="50" fillId="0" borderId="23" xfId="6" applyNumberFormat="1" applyFont="1" applyBorder="1" applyAlignment="1">
      <alignment horizontal="left"/>
    </xf>
    <xf numFmtId="2" fontId="50" fillId="0" borderId="23" xfId="6" applyNumberFormat="1" applyFont="1" applyBorder="1" applyAlignment="1">
      <alignment horizontal="left"/>
    </xf>
    <xf numFmtId="167" fontId="50" fillId="0" borderId="23" xfId="6" applyNumberFormat="1" applyFont="1" applyBorder="1" applyAlignment="1">
      <alignment horizontal="left"/>
    </xf>
    <xf numFmtId="1" fontId="50" fillId="0" borderId="23" xfId="6" applyNumberFormat="1" applyFont="1" applyBorder="1" applyAlignment="1">
      <alignment horizontal="left"/>
    </xf>
    <xf numFmtId="0" fontId="51" fillId="0" borderId="23" xfId="0" applyFont="1" applyBorder="1" applyAlignment="1">
      <alignment vertical="center"/>
    </xf>
    <xf numFmtId="0" fontId="51" fillId="0" borderId="23" xfId="0" applyFont="1" applyBorder="1" applyAlignment="1">
      <alignment horizontal="left" vertical="center"/>
    </xf>
    <xf numFmtId="0" fontId="50" fillId="0" borderId="23" xfId="0" applyFont="1" applyBorder="1" applyAlignment="1">
      <alignment horizontal="left"/>
    </xf>
    <xf numFmtId="0" fontId="50" fillId="0" borderId="23" xfId="0" applyFont="1" applyBorder="1" applyAlignment="1">
      <alignment horizontal="left" vertical="top" wrapText="1"/>
    </xf>
    <xf numFmtId="9" fontId="50" fillId="0" borderId="23" xfId="0" applyNumberFormat="1" applyFont="1" applyBorder="1" applyAlignment="1">
      <alignment horizontal="left" vertical="top" wrapText="1"/>
    </xf>
    <xf numFmtId="9" fontId="50" fillId="0" borderId="23" xfId="6" applyFont="1" applyBorder="1" applyAlignment="1">
      <alignment horizontal="left" vertical="top" wrapText="1"/>
    </xf>
    <xf numFmtId="0" fontId="0" fillId="0" borderId="23" xfId="0" applyBorder="1" applyAlignment="1">
      <alignment horizontal="left" vertical="top"/>
    </xf>
    <xf numFmtId="0" fontId="68" fillId="0" borderId="0" xfId="0" applyFont="1" applyAlignment="1">
      <alignment horizontal="left" vertical="top" wrapText="1"/>
    </xf>
    <xf numFmtId="168" fontId="50" fillId="0" borderId="39" xfId="0" applyNumberFormat="1" applyFont="1" applyBorder="1" applyAlignment="1">
      <alignment horizontal="left" vertical="center"/>
    </xf>
    <xf numFmtId="0" fontId="66" fillId="0" borderId="39" xfId="0" applyFont="1" applyBorder="1" applyAlignment="1">
      <alignment horizontal="left" vertical="center"/>
    </xf>
    <xf numFmtId="9" fontId="0" fillId="0" borderId="39" xfId="0" applyNumberFormat="1" applyBorder="1" applyAlignment="1">
      <alignment horizontal="left" vertical="center"/>
    </xf>
    <xf numFmtId="9" fontId="50" fillId="0" borderId="39" xfId="0" applyNumberFormat="1" applyFont="1" applyBorder="1" applyAlignment="1">
      <alignment horizontal="left" vertical="center"/>
    </xf>
    <xf numFmtId="0" fontId="1" fillId="0" borderId="0" xfId="0" applyFont="1" applyAlignment="1">
      <alignment horizontal="right" vertical="center"/>
    </xf>
    <xf numFmtId="171" fontId="66" fillId="0" borderId="39" xfId="0" applyNumberFormat="1" applyFont="1" applyBorder="1" applyAlignment="1">
      <alignment horizontal="left" vertical="center"/>
    </xf>
    <xf numFmtId="0" fontId="1" fillId="6" borderId="39" xfId="0" applyFont="1" applyFill="1" applyBorder="1" applyAlignment="1">
      <alignment horizontal="left" vertical="center"/>
    </xf>
    <xf numFmtId="2" fontId="12" fillId="0" borderId="1" xfId="0" applyNumberFormat="1" applyFont="1" applyFill="1" applyBorder="1" applyProtection="1">
      <protection hidden="1"/>
    </xf>
    <xf numFmtId="0" fontId="55" fillId="29" borderId="0" xfId="0" applyFont="1" applyFill="1" applyBorder="1" applyAlignment="1" applyProtection="1">
      <alignment horizontal="left"/>
      <protection locked="0"/>
    </xf>
    <xf numFmtId="1" fontId="46" fillId="0" borderId="1" xfId="6" applyNumberFormat="1" applyFont="1" applyBorder="1"/>
    <xf numFmtId="1" fontId="42" fillId="0" borderId="25" xfId="0" applyNumberFormat="1" applyFont="1" applyBorder="1"/>
    <xf numFmtId="166" fontId="42" fillId="0" borderId="25" xfId="7" applyNumberFormat="1" applyFont="1" applyBorder="1"/>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0" xfId="7" applyNumberFormat="1" applyFont="1" applyBorder="1" applyAlignment="1">
      <alignment horizontal="center" vertical="center"/>
    </xf>
    <xf numFmtId="1" fontId="42" fillId="6" borderId="1" xfId="0" applyNumberFormat="1" applyFont="1" applyFill="1" applyBorder="1"/>
    <xf numFmtId="1" fontId="0" fillId="0" borderId="0" xfId="0" applyNumberFormat="1" applyFill="1"/>
    <xf numFmtId="0" fontId="42" fillId="6" borderId="24" xfId="0" applyFont="1" applyFill="1" applyBorder="1" applyAlignment="1">
      <alignment horizontal="left" wrapText="1"/>
    </xf>
    <xf numFmtId="4" fontId="44" fillId="6" borderId="1" xfId="0" applyNumberFormat="1" applyFont="1" applyFill="1" applyBorder="1" applyAlignment="1">
      <alignment horizontal="right" vertical="center" wrapText="1"/>
    </xf>
    <xf numFmtId="3" fontId="44" fillId="6" borderId="1" xfId="0" applyNumberFormat="1" applyFont="1" applyFill="1" applyBorder="1" applyAlignment="1">
      <alignment horizontal="right" vertical="center" wrapText="1"/>
    </xf>
    <xf numFmtId="171" fontId="66" fillId="6" borderId="39" xfId="0" applyNumberFormat="1" applyFont="1" applyFill="1" applyBorder="1" applyAlignment="1">
      <alignment horizontal="left" vertical="center"/>
    </xf>
    <xf numFmtId="0" fontId="1" fillId="30" borderId="0" xfId="0" applyFont="1" applyFill="1" applyAlignment="1" applyProtection="1">
      <alignment horizontal="left" vertical="center"/>
      <protection locked="0"/>
    </xf>
    <xf numFmtId="9" fontId="1" fillId="14" borderId="1" xfId="6" applyNumberFormat="1" applyFont="1" applyFill="1" applyBorder="1" applyAlignment="1" applyProtection="1">
      <alignment horizontal="center"/>
      <protection hidden="1"/>
    </xf>
    <xf numFmtId="2" fontId="42" fillId="0" borderId="0" xfId="0" applyNumberFormat="1" applyFont="1"/>
    <xf numFmtId="0" fontId="42" fillId="25" borderId="31" xfId="0" applyFont="1" applyFill="1" applyBorder="1" applyAlignment="1"/>
    <xf numFmtId="0" fontId="13" fillId="31" borderId="0" xfId="0" applyFont="1" applyFill="1"/>
    <xf numFmtId="0" fontId="15" fillId="7" borderId="3" xfId="4" applyFont="1" applyBorder="1" applyAlignment="1" applyProtection="1">
      <alignment vertical="center"/>
      <protection hidden="1"/>
    </xf>
    <xf numFmtId="0" fontId="15" fillId="7" borderId="1" xfId="4" applyFont="1" applyBorder="1" applyAlignment="1" applyProtection="1">
      <alignment vertical="center"/>
      <protection hidden="1"/>
    </xf>
    <xf numFmtId="0" fontId="12" fillId="0" borderId="0" xfId="0" applyFont="1" applyAlignment="1" applyProtection="1">
      <alignment vertical="center"/>
      <protection hidden="1"/>
    </xf>
    <xf numFmtId="2" fontId="12" fillId="0" borderId="1" xfId="0" applyNumberFormat="1" applyFont="1" applyBorder="1" applyAlignment="1" applyProtection="1">
      <alignment vertical="center"/>
      <protection hidden="1"/>
    </xf>
    <xf numFmtId="2" fontId="12" fillId="0" borderId="1" xfId="0" applyNumberFormat="1" applyFont="1" applyFill="1" applyBorder="1" applyAlignment="1" applyProtection="1">
      <alignment vertical="center"/>
      <protection hidden="1"/>
    </xf>
    <xf numFmtId="0" fontId="12" fillId="0" borderId="1" xfId="0" applyFont="1" applyBorder="1" applyAlignment="1" applyProtection="1">
      <alignment vertical="center"/>
      <protection hidden="1"/>
    </xf>
    <xf numFmtId="0" fontId="12" fillId="0" borderId="3" xfId="0" applyFont="1" applyBorder="1" applyAlignment="1" applyProtection="1">
      <alignment vertical="center"/>
      <protection hidden="1"/>
    </xf>
    <xf numFmtId="9" fontId="12" fillId="0" borderId="1" xfId="0" applyNumberFormat="1" applyFont="1" applyBorder="1" applyAlignment="1" applyProtection="1">
      <alignment vertical="center"/>
      <protection hidden="1"/>
    </xf>
    <xf numFmtId="167" fontId="12" fillId="0" borderId="1" xfId="0" applyNumberFormat="1" applyFont="1" applyBorder="1" applyAlignment="1" applyProtection="1">
      <alignment vertical="center"/>
      <protection hidden="1"/>
    </xf>
    <xf numFmtId="1" fontId="12" fillId="0" borderId="1" xfId="0" applyNumberFormat="1" applyFont="1" applyBorder="1" applyAlignment="1" applyProtection="1">
      <alignment vertical="center"/>
      <protection hidden="1"/>
    </xf>
    <xf numFmtId="169" fontId="12" fillId="0" borderId="1" xfId="7" applyNumberFormat="1" applyFont="1" applyBorder="1" applyAlignment="1" applyProtection="1">
      <alignment vertical="center"/>
      <protection hidden="1"/>
    </xf>
    <xf numFmtId="166" fontId="12" fillId="0" borderId="1" xfId="7" applyNumberFormat="1" applyFont="1" applyBorder="1" applyAlignment="1" applyProtection="1">
      <alignment vertical="center"/>
      <protection hidden="1"/>
    </xf>
    <xf numFmtId="0" fontId="42" fillId="0" borderId="0" xfId="0" applyFont="1" applyAlignment="1">
      <alignment horizontal="right"/>
    </xf>
    <xf numFmtId="168" fontId="12" fillId="0" borderId="1" xfId="6" applyNumberFormat="1" applyFont="1" applyBorder="1" applyAlignment="1" applyProtection="1">
      <alignment vertical="center"/>
      <protection hidden="1"/>
    </xf>
    <xf numFmtId="166" fontId="12" fillId="6" borderId="1" xfId="7" applyNumberFormat="1" applyFont="1" applyFill="1" applyBorder="1" applyAlignment="1" applyProtection="1">
      <alignment vertical="center"/>
      <protection hidden="1"/>
    </xf>
    <xf numFmtId="9" fontId="12" fillId="6" borderId="1" xfId="0" applyNumberFormat="1" applyFont="1" applyFill="1" applyBorder="1" applyAlignment="1" applyProtection="1">
      <alignment vertical="center"/>
      <protection hidden="1"/>
    </xf>
    <xf numFmtId="168" fontId="12" fillId="6" borderId="1" xfId="6" applyNumberFormat="1" applyFont="1" applyFill="1" applyBorder="1" applyAlignment="1" applyProtection="1">
      <alignment vertical="center"/>
      <protection hidden="1"/>
    </xf>
    <xf numFmtId="1" fontId="12" fillId="6" borderId="1" xfId="0" applyNumberFormat="1" applyFont="1" applyFill="1" applyBorder="1" applyAlignment="1" applyProtection="1">
      <alignment vertical="center"/>
      <protection hidden="1"/>
    </xf>
    <xf numFmtId="1" fontId="12" fillId="0" borderId="1" xfId="0" applyNumberFormat="1" applyFont="1" applyBorder="1" applyProtection="1">
      <protection hidden="1"/>
    </xf>
    <xf numFmtId="0" fontId="12" fillId="6" borderId="0" xfId="0" applyFont="1" applyFill="1" applyProtection="1">
      <protection hidden="1"/>
    </xf>
    <xf numFmtId="9" fontId="12" fillId="0" borderId="1" xfId="0" applyNumberFormat="1" applyFont="1" applyFill="1" applyBorder="1" applyAlignment="1" applyProtection="1">
      <alignment vertical="center"/>
      <protection hidden="1"/>
    </xf>
    <xf numFmtId="168" fontId="12" fillId="0" borderId="1" xfId="0" applyNumberFormat="1" applyFont="1" applyBorder="1" applyAlignment="1" applyProtection="1">
      <alignment vertical="center"/>
      <protection hidden="1"/>
    </xf>
    <xf numFmtId="0" fontId="71" fillId="0" borderId="1" xfId="0" applyFont="1" applyBorder="1" applyAlignment="1" applyProtection="1">
      <alignment vertical="center"/>
      <protection hidden="1"/>
    </xf>
    <xf numFmtId="9" fontId="71" fillId="0" borderId="1" xfId="6" applyFont="1" applyBorder="1" applyAlignment="1" applyProtection="1">
      <alignment vertical="center"/>
      <protection hidden="1"/>
    </xf>
    <xf numFmtId="9" fontId="71" fillId="0" borderId="1" xfId="6" applyNumberFormat="1" applyFont="1" applyBorder="1" applyAlignment="1" applyProtection="1">
      <alignment vertical="center"/>
      <protection hidden="1"/>
    </xf>
    <xf numFmtId="168" fontId="71" fillId="0" borderId="1" xfId="0" applyNumberFormat="1" applyFont="1" applyFill="1" applyBorder="1" applyProtection="1">
      <protection hidden="1"/>
    </xf>
    <xf numFmtId="168" fontId="71" fillId="0" borderId="1" xfId="0" applyNumberFormat="1" applyFont="1" applyBorder="1" applyProtection="1">
      <protection hidden="1"/>
    </xf>
    <xf numFmtId="168" fontId="14" fillId="0" borderId="1" xfId="6" applyNumberFormat="1" applyFont="1" applyBorder="1" applyAlignment="1" applyProtection="1">
      <alignment vertical="center"/>
      <protection hidden="1"/>
    </xf>
    <xf numFmtId="168" fontId="1" fillId="0" borderId="34" xfId="6" applyNumberFormat="1" applyFont="1" applyBorder="1" applyAlignment="1" applyProtection="1">
      <protection locked="0"/>
    </xf>
    <xf numFmtId="168" fontId="1" fillId="0" borderId="33" xfId="6" applyNumberFormat="1" applyFont="1" applyBorder="1" applyAlignment="1" applyProtection="1">
      <protection locked="0"/>
    </xf>
    <xf numFmtId="166" fontId="42" fillId="0" borderId="1" xfId="7" applyNumberFormat="1" applyFont="1" applyFill="1" applyBorder="1"/>
    <xf numFmtId="166" fontId="40" fillId="0" borderId="1" xfId="7" applyNumberFormat="1" applyFont="1" applyBorder="1"/>
    <xf numFmtId="166" fontId="42" fillId="0" borderId="1" xfId="7" applyNumberFormat="1" applyFont="1" applyBorder="1"/>
    <xf numFmtId="0" fontId="1" fillId="0" borderId="33" xfId="0" applyFont="1" applyBorder="1" applyAlignment="1" applyProtection="1">
      <alignment horizontal="left"/>
      <protection locked="0"/>
    </xf>
    <xf numFmtId="0" fontId="1" fillId="0" borderId="34" xfId="0" applyFont="1" applyBorder="1" applyAlignment="1" applyProtection="1">
      <alignment horizontal="left"/>
      <protection locked="0"/>
    </xf>
    <xf numFmtId="2" fontId="66" fillId="30" borderId="40" xfId="6" applyNumberFormat="1" applyFont="1" applyFill="1" applyBorder="1" applyAlignment="1">
      <alignment horizontal="left" vertical="center"/>
    </xf>
    <xf numFmtId="2" fontId="66" fillId="30" borderId="0" xfId="6" applyNumberFormat="1" applyFont="1" applyFill="1" applyBorder="1" applyAlignment="1">
      <alignment horizontal="left" vertical="center"/>
    </xf>
    <xf numFmtId="0" fontId="3" fillId="0" borderId="0" xfId="1" applyFont="1" applyFill="1" applyBorder="1" applyAlignment="1" applyProtection="1">
      <alignment horizontal="left" vertical="top"/>
      <protection locked="0"/>
    </xf>
    <xf numFmtId="0" fontId="10" fillId="8" borderId="0" xfId="0" applyFont="1" applyFill="1" applyAlignment="1" applyProtection="1">
      <alignment horizontal="center"/>
      <protection locked="0"/>
    </xf>
    <xf numFmtId="0" fontId="0" fillId="0" borderId="0" xfId="0" applyAlignment="1" applyProtection="1">
      <alignment horizontal="center"/>
      <protection locked="0"/>
    </xf>
    <xf numFmtId="0" fontId="11" fillId="0" borderId="0" xfId="3" applyFont="1" applyAlignment="1" applyProtection="1">
      <alignment horizontal="center" vertical="center"/>
      <protection hidden="1"/>
    </xf>
    <xf numFmtId="0" fontId="15" fillId="7" borderId="1" xfId="4" applyFont="1" applyBorder="1" applyAlignment="1" applyProtection="1">
      <alignment horizontal="center" vertical="center"/>
      <protection hidden="1"/>
    </xf>
    <xf numFmtId="0" fontId="25" fillId="7" borderId="1" xfId="4" applyFont="1" applyBorder="1" applyAlignment="1" applyProtection="1">
      <alignment horizontal="center" vertical="center"/>
      <protection hidden="1"/>
    </xf>
    <xf numFmtId="0" fontId="15" fillId="7" borderId="2" xfId="4" applyFont="1" applyBorder="1" applyAlignment="1" applyProtection="1">
      <alignment horizontal="center"/>
      <protection hidden="1"/>
    </xf>
    <xf numFmtId="0" fontId="15" fillId="7" borderId="3" xfId="4" applyFont="1" applyBorder="1" applyAlignment="1" applyProtection="1">
      <alignment horizontal="center"/>
      <protection hidden="1"/>
    </xf>
    <xf numFmtId="0" fontId="13" fillId="7" borderId="2" xfId="4" applyFont="1" applyBorder="1" applyAlignment="1" applyProtection="1">
      <alignment horizontal="center"/>
      <protection hidden="1"/>
    </xf>
    <xf numFmtId="0" fontId="13" fillId="7" borderId="3" xfId="4" applyFont="1" applyBorder="1" applyAlignment="1" applyProtection="1">
      <alignment horizontal="center"/>
      <protection hidden="1"/>
    </xf>
    <xf numFmtId="0" fontId="19" fillId="13" borderId="0" xfId="2" applyFont="1" applyFill="1" applyAlignment="1" applyProtection="1">
      <alignment horizontal="center" vertical="center"/>
      <protection hidden="1"/>
    </xf>
    <xf numFmtId="0" fontId="33" fillId="10" borderId="35" xfId="0" applyFont="1" applyFill="1" applyBorder="1" applyAlignment="1">
      <alignment horizontal="left" vertical="center" wrapText="1"/>
    </xf>
    <xf numFmtId="0" fontId="33" fillId="10" borderId="36" xfId="0" applyFont="1" applyFill="1" applyBorder="1" applyAlignment="1">
      <alignment horizontal="left" vertical="center" wrapText="1"/>
    </xf>
    <xf numFmtId="0" fontId="33" fillId="10" borderId="22" xfId="0" applyFont="1" applyFill="1" applyBorder="1" applyAlignment="1">
      <alignment horizontal="left" vertical="center" wrapText="1"/>
    </xf>
    <xf numFmtId="0" fontId="64" fillId="0" borderId="0" xfId="0" applyFont="1" applyAlignment="1">
      <alignment horizontal="left" wrapText="1"/>
    </xf>
    <xf numFmtId="0" fontId="70" fillId="0" borderId="0" xfId="0" applyFont="1" applyAlignment="1">
      <alignment horizontal="left" wrapText="1"/>
    </xf>
    <xf numFmtId="0" fontId="55" fillId="29" borderId="0" xfId="0" applyFont="1" applyFill="1" applyBorder="1" applyAlignment="1" applyProtection="1">
      <alignment horizontal="center"/>
      <protection locked="0"/>
    </xf>
    <xf numFmtId="0" fontId="67" fillId="0" borderId="0" xfId="0" applyFont="1" applyAlignment="1">
      <alignment horizontal="left" wrapText="1"/>
    </xf>
    <xf numFmtId="0" fontId="55" fillId="29" borderId="0" xfId="0" applyFont="1" applyFill="1" applyBorder="1" applyAlignment="1" applyProtection="1">
      <alignment horizontal="left"/>
      <protection locked="0"/>
    </xf>
    <xf numFmtId="0" fontId="55" fillId="0" borderId="0" xfId="0" applyFont="1" applyFill="1" applyBorder="1" applyAlignment="1" applyProtection="1">
      <alignment horizontal="center"/>
      <protection locked="0"/>
    </xf>
    <xf numFmtId="0" fontId="69" fillId="0" borderId="0" xfId="0" applyFont="1" applyAlignment="1">
      <alignment horizontal="left" vertical="center" wrapText="1"/>
    </xf>
    <xf numFmtId="0" fontId="35" fillId="21" borderId="37" xfId="9" applyFont="1" applyFill="1" applyBorder="1" applyAlignment="1">
      <alignment horizontal="left" vertical="center"/>
    </xf>
    <xf numFmtId="0" fontId="35" fillId="21" borderId="38" xfId="9" applyFont="1" applyFill="1" applyBorder="1" applyAlignment="1">
      <alignment horizontal="left" vertical="center"/>
    </xf>
    <xf numFmtId="0" fontId="67" fillId="0" borderId="0" xfId="0" applyFont="1" applyAlignment="1">
      <alignment horizontal="left"/>
    </xf>
    <xf numFmtId="0" fontId="67" fillId="0" borderId="0" xfId="0" applyFont="1" applyAlignment="1">
      <alignment horizontal="left" vertical="center" wrapText="1"/>
    </xf>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18" xfId="7" applyNumberFormat="1" applyFont="1" applyBorder="1" applyAlignment="1">
      <alignment horizontal="center" vertical="center"/>
    </xf>
    <xf numFmtId="166" fontId="0" fillId="0" borderId="0" xfId="7" applyNumberFormat="1" applyFont="1" applyBorder="1" applyAlignment="1">
      <alignment horizontal="center" vertical="center"/>
    </xf>
    <xf numFmtId="0" fontId="29" fillId="0" borderId="0" xfId="0" applyFont="1" applyAlignment="1">
      <alignment horizontal="center" vertical="center"/>
    </xf>
    <xf numFmtId="9" fontId="0" fillId="0" borderId="0" xfId="6" applyFont="1" applyBorder="1" applyAlignment="1">
      <alignment horizontal="center"/>
    </xf>
    <xf numFmtId="9" fontId="0" fillId="0" borderId="19" xfId="6" applyFont="1" applyBorder="1" applyAlignment="1">
      <alignment horizont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68" fillId="0" borderId="0" xfId="0" applyFont="1" applyAlignment="1">
      <alignment horizontal="left" vertical="top" wrapText="1"/>
    </xf>
    <xf numFmtId="0" fontId="55" fillId="29" borderId="0" xfId="0" applyFont="1" applyFill="1" applyBorder="1" applyAlignment="1" applyProtection="1">
      <alignment horizontal="left" vertical="top" wrapText="1"/>
      <protection locked="0"/>
    </xf>
    <xf numFmtId="0" fontId="55" fillId="29" borderId="0" xfId="0" applyFont="1" applyFill="1" applyBorder="1" applyAlignment="1" applyProtection="1">
      <alignment horizontal="left" vertical="top"/>
      <protection locked="0"/>
    </xf>
    <xf numFmtId="0" fontId="9" fillId="0" borderId="0" xfId="3"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5" xfId="2" applyBorder="1" applyAlignment="1" applyProtection="1">
      <alignment horizontal="center"/>
      <protection hidden="1"/>
    </xf>
    <xf numFmtId="0" fontId="7" fillId="9" borderId="0" xfId="0" applyFont="1" applyFill="1" applyAlignment="1" applyProtection="1">
      <alignment horizontal="center"/>
      <protection locked="0"/>
    </xf>
    <xf numFmtId="0" fontId="6"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2" fillId="7" borderId="2" xfId="4" applyBorder="1" applyAlignment="1" applyProtection="1">
      <alignment horizontal="center"/>
      <protection hidden="1"/>
    </xf>
    <xf numFmtId="0" fontId="2" fillId="7" borderId="4" xfId="4" applyBorder="1" applyAlignment="1" applyProtection="1">
      <alignment horizontal="center"/>
      <protection hidden="1"/>
    </xf>
    <xf numFmtId="0" fontId="2" fillId="7" borderId="3" xfId="4" applyBorder="1" applyAlignment="1" applyProtection="1">
      <alignment horizontal="center"/>
      <protection hidden="1"/>
    </xf>
    <xf numFmtId="0" fontId="1" fillId="0" borderId="0" xfId="0" applyFont="1" applyAlignment="1">
      <alignment horizontal="center"/>
    </xf>
    <xf numFmtId="0" fontId="24" fillId="0" borderId="10" xfId="5" applyFont="1" applyFill="1" applyBorder="1" applyAlignment="1">
      <alignment horizontal="center" wrapText="1"/>
    </xf>
    <xf numFmtId="0" fontId="24" fillId="0" borderId="11" xfId="5" applyFont="1" applyFill="1" applyBorder="1" applyAlignment="1">
      <alignment horizontal="center" wrapText="1"/>
    </xf>
    <xf numFmtId="0" fontId="24" fillId="0" borderId="0" xfId="5" applyFont="1" applyFill="1" applyBorder="1" applyAlignment="1">
      <alignment horizontal="center" wrapText="1"/>
    </xf>
    <xf numFmtId="0" fontId="24" fillId="0" borderId="9" xfId="5" applyFont="1" applyFill="1" applyBorder="1" applyAlignment="1">
      <alignment horizontal="center" wrapText="1"/>
    </xf>
    <xf numFmtId="0" fontId="2" fillId="3" borderId="0" xfId="2" applyAlignment="1">
      <alignment horizontal="center" wrapText="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5" fillId="4" borderId="16" xfId="0" applyFont="1" applyFill="1" applyBorder="1" applyAlignment="1">
      <alignment horizontal="center"/>
    </xf>
    <xf numFmtId="170" fontId="48" fillId="0" borderId="0" xfId="11" applyNumberFormat="1" applyBorder="1" applyAlignment="1" applyProtection="1">
      <alignment horizontal="center"/>
    </xf>
    <xf numFmtId="170" fontId="25" fillId="18" borderId="0" xfId="8" applyNumberFormat="1" applyFont="1" applyBorder="1" applyAlignment="1">
      <alignment horizontal="center"/>
    </xf>
    <xf numFmtId="0" fontId="42" fillId="25" borderId="27" xfId="0" applyFont="1" applyFill="1" applyBorder="1" applyAlignment="1"/>
    <xf numFmtId="0" fontId="41" fillId="22" borderId="0" xfId="0" applyFont="1" applyFill="1" applyBorder="1" applyAlignment="1">
      <alignment horizontal="center"/>
    </xf>
    <xf numFmtId="0" fontId="42" fillId="25" borderId="24" xfId="0" applyFont="1" applyFill="1" applyBorder="1" applyAlignment="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50" fillId="0" borderId="0" xfId="0" applyFont="1" applyAlignment="1">
      <alignment horizontal="left" wrapText="1"/>
    </xf>
    <xf numFmtId="0" fontId="50" fillId="0" borderId="0" xfId="0" applyFont="1" applyAlignment="1">
      <alignment horizontal="left" vertical="center" wrapText="1"/>
    </xf>
  </cellXfs>
  <cellStyles count="12">
    <cellStyle name="Accent1" xfId="1" builtinId="29"/>
    <cellStyle name="Accent3" xfId="4" builtinId="37"/>
    <cellStyle name="Accent4" xfId="2" builtinId="41"/>
    <cellStyle name="Accent6" xfId="8" builtinId="49"/>
    <cellStyle name="Comma" xfId="7" builtinId="3"/>
    <cellStyle name="Comma 2" xfId="10"/>
    <cellStyle name="Hyperlink" xfId="3" builtinId="8"/>
    <cellStyle name="Hyperlink 2" xfId="11"/>
    <cellStyle name="Input" xfId="5" builtinId="20"/>
    <cellStyle name="Normal" xfId="0" builtinId="0"/>
    <cellStyle name="Normal 2" xfId="9"/>
    <cellStyle name="Percent" xfId="6" builtinId="5"/>
  </cellStyles>
  <dxfs count="2">
    <dxf>
      <font>
        <b/>
        <i val="0"/>
        <color theme="0"/>
      </font>
      <fill>
        <patternFill>
          <bgColor theme="5"/>
        </patternFill>
      </fill>
    </dxf>
    <dxf>
      <fill>
        <patternFill>
          <bgColor rgb="FF00B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3.2407407407407406E-2"/>
          <c:w val="0.95018868220539698"/>
          <c:h val="0.76388888888888884"/>
        </c:manualLayout>
      </c:layout>
      <c:barChart>
        <c:barDir val="col"/>
        <c:grouping val="clustered"/>
        <c:varyColors val="0"/>
        <c:ser>
          <c:idx val="0"/>
          <c:order val="0"/>
          <c:tx>
            <c:strRef>
              <c:f>'Screener Output'!$A$184</c:f>
              <c:strCache>
                <c:ptCount val="1"/>
                <c:pt idx="0">
                  <c:v>Sales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Output'!$D$184:$L$184</c:f>
              <c:numCache>
                <c:formatCode>_(* #,##0_);_(* \(#,##0\);_(* "-"??_);_(@_)</c:formatCode>
                <c:ptCount val="9"/>
                <c:pt idx="0">
                  <c:v>3831.1499999999996</c:v>
                </c:pt>
                <c:pt idx="1">
                  <c:v>4668.3900000000003</c:v>
                </c:pt>
                <c:pt idx="2">
                  <c:v>5544.51</c:v>
                </c:pt>
                <c:pt idx="3">
                  <c:v>6237.65</c:v>
                </c:pt>
                <c:pt idx="4">
                  <c:v>6946.3</c:v>
                </c:pt>
                <c:pt idx="5">
                  <c:v>8106.3</c:v>
                </c:pt>
                <c:pt idx="6">
                  <c:v>8521.58</c:v>
                </c:pt>
                <c:pt idx="7">
                  <c:v>9204.630000000001</c:v>
                </c:pt>
                <c:pt idx="8">
                  <c:v>10080.36</c:v>
                </c:pt>
              </c:numCache>
            </c:numRef>
          </c:val>
        </c:ser>
        <c:dLbls>
          <c:dLblPos val="inEnd"/>
          <c:showLegendKey val="0"/>
          <c:showVal val="1"/>
          <c:showCatName val="0"/>
          <c:showSerName val="0"/>
          <c:showPercent val="0"/>
          <c:showBubbleSize val="0"/>
        </c:dLbls>
        <c:gapWidth val="41"/>
        <c:axId val="-1808799520"/>
        <c:axId val="-1808813120"/>
      </c:barChart>
      <c:lineChart>
        <c:grouping val="standard"/>
        <c:varyColors val="0"/>
        <c:ser>
          <c:idx val="1"/>
          <c:order val="1"/>
          <c:tx>
            <c:strRef>
              <c:f>'Screener Output'!$A$185</c:f>
              <c:strCache>
                <c:ptCount val="1"/>
                <c:pt idx="0">
                  <c:v>Sales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Output'!$D$185:$L$185</c:f>
              <c:numCache>
                <c:formatCode>0%</c:formatCode>
                <c:ptCount val="9"/>
                <c:pt idx="0">
                  <c:v>9.3380327915637995E-2</c:v>
                </c:pt>
                <c:pt idx="1">
                  <c:v>0.21853490466309089</c:v>
                </c:pt>
                <c:pt idx="2">
                  <c:v>0.18767069589301655</c:v>
                </c:pt>
                <c:pt idx="3">
                  <c:v>0.12501375234240708</c:v>
                </c:pt>
                <c:pt idx="4">
                  <c:v>0.11360849037698495</c:v>
                </c:pt>
                <c:pt idx="5">
                  <c:v>0.16699537883477533</c:v>
                </c:pt>
                <c:pt idx="6">
                  <c:v>5.1229290798514793E-2</c:v>
                </c:pt>
                <c:pt idx="7">
                  <c:v>8.0155323308588544E-2</c:v>
                </c:pt>
                <c:pt idx="8">
                  <c:v>9.5140163157019897E-2</c:v>
                </c:pt>
              </c:numCache>
            </c:numRef>
          </c:val>
          <c:smooth val="0"/>
        </c:ser>
        <c:dLbls>
          <c:showLegendKey val="0"/>
          <c:showVal val="0"/>
          <c:showCatName val="0"/>
          <c:showSerName val="0"/>
          <c:showPercent val="0"/>
          <c:showBubbleSize val="0"/>
        </c:dLbls>
        <c:marker val="1"/>
        <c:smooth val="0"/>
        <c:axId val="-1808804416"/>
        <c:axId val="-1808810400"/>
      </c:lineChart>
      <c:dateAx>
        <c:axId val="-1808799520"/>
        <c:scaling>
          <c:orientation val="minMax"/>
        </c:scaling>
        <c:delete val="0"/>
        <c:axPos val="b"/>
        <c:majorGridlines>
          <c:spPr>
            <a:ln w="9525" cap="flat" cmpd="sng" algn="ctr">
              <a:solidFill>
                <a:schemeClr val="dk1">
                  <a:lumMod val="15000"/>
                  <a:lumOff val="85000"/>
                </a:schemeClr>
              </a:solidFill>
              <a:round/>
            </a:ln>
            <a:effectLst/>
          </c:spPr>
        </c:majorGridlines>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0" baseline="0">
                <a:solidFill>
                  <a:schemeClr val="dk1">
                    <a:lumMod val="65000"/>
                    <a:lumOff val="35000"/>
                  </a:schemeClr>
                </a:solidFill>
                <a:effectLst/>
                <a:latin typeface="+mn-lt"/>
                <a:ea typeface="+mn-ea"/>
                <a:cs typeface="+mn-cs"/>
              </a:defRPr>
            </a:pPr>
            <a:endParaRPr lang="en-US"/>
          </a:p>
        </c:txPr>
        <c:crossAx val="-1808813120"/>
        <c:crosses val="autoZero"/>
        <c:auto val="1"/>
        <c:lblOffset val="100"/>
        <c:baseTimeUnit val="years"/>
      </c:dateAx>
      <c:valAx>
        <c:axId val="-1808813120"/>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808799520"/>
        <c:crosses val="autoZero"/>
        <c:crossBetween val="between"/>
      </c:valAx>
      <c:valAx>
        <c:axId val="-1808810400"/>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808804416"/>
        <c:crosses val="max"/>
        <c:crossBetween val="between"/>
        <c:majorUnit val="0.2"/>
      </c:valAx>
      <c:dateAx>
        <c:axId val="-1808804416"/>
        <c:scaling>
          <c:orientation val="minMax"/>
        </c:scaling>
        <c:delete val="1"/>
        <c:axPos val="b"/>
        <c:numFmt formatCode="[$-409]mmm\-yy;@" sourceLinked="1"/>
        <c:majorTickMark val="out"/>
        <c:minorTickMark val="none"/>
        <c:tickLblPos val="nextTo"/>
        <c:crossAx val="-1808810400"/>
        <c:crosses val="autoZero"/>
        <c:auto val="1"/>
        <c:lblOffset val="100"/>
        <c:baseTimeUnit val="year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12228429546864E-2"/>
          <c:y val="5.0925925925925923E-2"/>
          <c:w val="0.94537554314090622"/>
          <c:h val="0.80521580635753864"/>
        </c:manualLayout>
      </c:layout>
      <c:lineChart>
        <c:grouping val="standard"/>
        <c:varyColors val="0"/>
        <c:ser>
          <c:idx val="0"/>
          <c:order val="0"/>
          <c:tx>
            <c:strRef>
              <c:f>'Screener Output'!$A$126</c:f>
              <c:strCache>
                <c:ptCount val="1"/>
                <c:pt idx="0">
                  <c:v>OP Margin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Output'!$B$125:$M$125</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Output'!$B$126:$M$126</c:f>
              <c:numCache>
                <c:formatCode>0%</c:formatCode>
                <c:ptCount val="12"/>
                <c:pt idx="1">
                  <c:v>8.6118150489736117E-2</c:v>
                </c:pt>
                <c:pt idx="2">
                  <c:v>5.0422618085244571E-2</c:v>
                </c:pt>
                <c:pt idx="3">
                  <c:v>6.4149625329220042E-2</c:v>
                </c:pt>
                <c:pt idx="4">
                  <c:v>6.745397302278601E-2</c:v>
                </c:pt>
                <c:pt idx="5">
                  <c:v>7.6450873911349387E-2</c:v>
                </c:pt>
                <c:pt idx="6">
                  <c:v>9.559058603644599E-2</c:v>
                </c:pt>
                <c:pt idx="7">
                  <c:v>0.13971383560563069</c:v>
                </c:pt>
                <c:pt idx="8">
                  <c:v>0.15942638227129657</c:v>
                </c:pt>
                <c:pt idx="9">
                  <c:v>0.15779829889033575</c:v>
                </c:pt>
                <c:pt idx="10">
                  <c:v>0.16824911060027292</c:v>
                </c:pt>
                <c:pt idx="11">
                  <c:v>0.17022754293651632</c:v>
                </c:pt>
              </c:numCache>
            </c:numRef>
          </c:val>
          <c:smooth val="0"/>
        </c:ser>
        <c:ser>
          <c:idx val="1"/>
          <c:order val="1"/>
          <c:tx>
            <c:strRef>
              <c:f>'Screener Output'!$A$127</c:f>
              <c:strCache>
                <c:ptCount val="1"/>
                <c:pt idx="0">
                  <c:v>NP Margin</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Output'!$B$125:$M$125</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Output'!$B$127:$M$127</c:f>
              <c:numCache>
                <c:formatCode>0%</c:formatCode>
                <c:ptCount val="12"/>
                <c:pt idx="1">
                  <c:v>4.087957876111243E-2</c:v>
                </c:pt>
                <c:pt idx="2">
                  <c:v>2.6910979731934306E-2</c:v>
                </c:pt>
                <c:pt idx="3">
                  <c:v>2.8748669241430189E-2</c:v>
                </c:pt>
                <c:pt idx="4">
                  <c:v>3.6023020970293071E-2</c:v>
                </c:pt>
                <c:pt idx="5" formatCode="0.0%">
                  <c:v>4.166312633764311E-2</c:v>
                </c:pt>
                <c:pt idx="6" formatCode="0.0%">
                  <c:v>5.6971337258684564E-2</c:v>
                </c:pt>
                <c:pt idx="7" formatCode="0.0%">
                  <c:v>8.4931473051823914E-2</c:v>
                </c:pt>
                <c:pt idx="8" formatCode="0.0%">
                  <c:v>9.6737928881733146E-2</c:v>
                </c:pt>
                <c:pt idx="9" formatCode="0.0%">
                  <c:v>9.6074475562841724E-2</c:v>
                </c:pt>
                <c:pt idx="10" formatCode="0.0%">
                  <c:v>9.9613505866853941E-2</c:v>
                </c:pt>
                <c:pt idx="11" formatCode="0.0%">
                  <c:v>0.10088352174080788</c:v>
                </c:pt>
              </c:numCache>
            </c:numRef>
          </c:val>
          <c:smooth val="0"/>
        </c:ser>
        <c:dLbls>
          <c:dLblPos val="ctr"/>
          <c:showLegendKey val="0"/>
          <c:showVal val="1"/>
          <c:showCatName val="0"/>
          <c:showSerName val="0"/>
          <c:showPercent val="0"/>
          <c:showBubbleSize val="0"/>
        </c:dLbls>
        <c:marker val="1"/>
        <c:smooth val="0"/>
        <c:axId val="-1827086032"/>
        <c:axId val="-1827086576"/>
      </c:lineChart>
      <c:catAx>
        <c:axId val="-182708603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n-US"/>
          </a:p>
        </c:txPr>
        <c:crossAx val="-1827086576"/>
        <c:crosses val="autoZero"/>
        <c:auto val="1"/>
        <c:lblAlgn val="ctr"/>
        <c:lblOffset val="100"/>
        <c:noMultiLvlLbl val="1"/>
      </c:catAx>
      <c:valAx>
        <c:axId val="-18270865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827086032"/>
        <c:crosses val="autoZero"/>
        <c:crossBetween val="between"/>
      </c:valAx>
      <c:spPr>
        <a:noFill/>
        <a:ln>
          <a:noFill/>
        </a:ln>
        <a:effectLst/>
      </c:spPr>
    </c:plotArea>
    <c:legend>
      <c:legendPos val="b"/>
      <c:layout>
        <c:manualLayout>
          <c:xMode val="edge"/>
          <c:yMode val="edge"/>
          <c:x val="0.31346696188116152"/>
          <c:y val="0.92187445319335082"/>
          <c:w val="0.3730660762376770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'Screener Output'!$A$117:$B$117</c:f>
              <c:strCache>
                <c:ptCount val="2"/>
                <c:pt idx="0">
                  <c:v>Debt/PAT</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Output'!$C$116:$M$116</c:f>
              <c:strCache>
                <c:ptCount val="11"/>
                <c:pt idx="0">
                  <c:v>Mar-09</c:v>
                </c:pt>
                <c:pt idx="1">
                  <c:v>Mar-10</c:v>
                </c:pt>
                <c:pt idx="2">
                  <c:v>Mar-11</c:v>
                </c:pt>
                <c:pt idx="3">
                  <c:v>Mar-12</c:v>
                </c:pt>
                <c:pt idx="4">
                  <c:v>Mar-13</c:v>
                </c:pt>
                <c:pt idx="5">
                  <c:v>Mar-14</c:v>
                </c:pt>
                <c:pt idx="6">
                  <c:v>Mar-15</c:v>
                </c:pt>
                <c:pt idx="7">
                  <c:v>Mar-16</c:v>
                </c:pt>
                <c:pt idx="8">
                  <c:v>Mar-17</c:v>
                </c:pt>
                <c:pt idx="9">
                  <c:v>Mar-18</c:v>
                </c:pt>
                <c:pt idx="10">
                  <c:v>TTM</c:v>
                </c:pt>
              </c:strCache>
            </c:strRef>
          </c:cat>
          <c:val>
            <c:numRef>
              <c:f>'Screener Output'!$C$117:$M$117</c:f>
              <c:numCache>
                <c:formatCode>0.0</c:formatCode>
                <c:ptCount val="11"/>
                <c:pt idx="0">
                  <c:v>1.9185981569394037</c:v>
                </c:pt>
                <c:pt idx="1">
                  <c:v>6.3720659553831167</c:v>
                </c:pt>
                <c:pt idx="2">
                  <c:v>4.6042023694210465</c:v>
                </c:pt>
                <c:pt idx="3">
                  <c:v>3.0251339308065943</c:v>
                </c:pt>
                <c:pt idx="4">
                  <c:v>1.4622133292288775</c:v>
                </c:pt>
                <c:pt idx="5">
                  <c:v>0.3784302825087173</c:v>
                </c:pt>
                <c:pt idx="6">
                  <c:v>0.21071055077852652</c:v>
                </c:pt>
                <c:pt idx="7">
                  <c:v>0.15897180843320888</c:v>
                </c:pt>
                <c:pt idx="8">
                  <c:v>0.1408523967297276</c:v>
                </c:pt>
                <c:pt idx="9">
                  <c:v>0.19987252773517639</c:v>
                </c:pt>
                <c:pt idx="10">
                  <c:v>0.19188848095456634</c:v>
                </c:pt>
              </c:numCache>
            </c:numRef>
          </c:val>
          <c:smooth val="0"/>
        </c:ser>
        <c:dLbls>
          <c:dLblPos val="ctr"/>
          <c:showLegendKey val="0"/>
          <c:showVal val="1"/>
          <c:showCatName val="0"/>
          <c:showSerName val="0"/>
          <c:showPercent val="0"/>
          <c:showBubbleSize val="0"/>
        </c:dLbls>
        <c:marker val="1"/>
        <c:smooth val="0"/>
        <c:axId val="-1806658256"/>
        <c:axId val="-1806657712"/>
      </c:lineChart>
      <c:catAx>
        <c:axId val="-1806658256"/>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06657712"/>
        <c:crosses val="autoZero"/>
        <c:auto val="1"/>
        <c:lblAlgn val="ctr"/>
        <c:lblOffset val="100"/>
        <c:noMultiLvlLbl val="1"/>
      </c:catAx>
      <c:valAx>
        <c:axId val="-18066577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8066582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Output'!$A$118:$B$118</c:f>
              <c:strCache>
                <c:ptCount val="2"/>
                <c:pt idx="0">
                  <c:v>CFO/PAT</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'Screener Output'!$C$116:$M$116</c:f>
              <c:strCache>
                <c:ptCount val="11"/>
                <c:pt idx="0">
                  <c:v>Mar-09</c:v>
                </c:pt>
                <c:pt idx="1">
                  <c:v>Mar-10</c:v>
                </c:pt>
                <c:pt idx="2">
                  <c:v>Mar-11</c:v>
                </c:pt>
                <c:pt idx="3">
                  <c:v>Mar-12</c:v>
                </c:pt>
                <c:pt idx="4">
                  <c:v>Mar-13</c:v>
                </c:pt>
                <c:pt idx="5">
                  <c:v>Mar-14</c:v>
                </c:pt>
                <c:pt idx="6">
                  <c:v>Mar-15</c:v>
                </c:pt>
                <c:pt idx="7">
                  <c:v>Mar-16</c:v>
                </c:pt>
                <c:pt idx="8">
                  <c:v>Mar-17</c:v>
                </c:pt>
                <c:pt idx="9">
                  <c:v>Mar-18</c:v>
                </c:pt>
                <c:pt idx="10">
                  <c:v>TTM</c:v>
                </c:pt>
              </c:strCache>
            </c:strRef>
          </c:cat>
          <c:val>
            <c:numRef>
              <c:f>'Screener Output'!$C$118:$M$118</c:f>
              <c:numCache>
                <c:formatCode>0.0</c:formatCode>
                <c:ptCount val="11"/>
                <c:pt idx="0">
                  <c:v>1.7475565484501547</c:v>
                </c:pt>
                <c:pt idx="1">
                  <c:v>2.3059165858389887</c:v>
                </c:pt>
                <c:pt idx="2">
                  <c:v>2.2089263095149345</c:v>
                </c:pt>
                <c:pt idx="3">
                  <c:v>1.2322635558003325</c:v>
                </c:pt>
                <c:pt idx="4">
                  <c:v>1.2305679544405133</c:v>
                </c:pt>
                <c:pt idx="5">
                  <c:v>1.6967706069641659</c:v>
                </c:pt>
                <c:pt idx="6">
                  <c:v>0.84891354868696234</c:v>
                </c:pt>
                <c:pt idx="7">
                  <c:v>1.1636057062448451</c:v>
                </c:pt>
                <c:pt idx="8">
                  <c:v>0.49899924236427579</c:v>
                </c:pt>
                <c:pt idx="9">
                  <c:v>1.2436214073734739</c:v>
                </c:pt>
                <c:pt idx="10">
                  <c:v>1.1939440875019123</c:v>
                </c:pt>
              </c:numCache>
            </c:numRef>
          </c:val>
        </c:ser>
        <c:dLbls>
          <c:dLblPos val="inEnd"/>
          <c:showLegendKey val="0"/>
          <c:showVal val="1"/>
          <c:showCatName val="0"/>
          <c:showSerName val="0"/>
          <c:showPercent val="0"/>
          <c:showBubbleSize val="0"/>
        </c:dLbls>
        <c:gapWidth val="65"/>
        <c:axId val="-1806661520"/>
        <c:axId val="-1806651184"/>
      </c:barChart>
      <c:catAx>
        <c:axId val="-18066615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06651184"/>
        <c:crosses val="autoZero"/>
        <c:auto val="1"/>
        <c:lblAlgn val="ctr"/>
        <c:lblOffset val="100"/>
        <c:noMultiLvlLbl val="1"/>
      </c:catAx>
      <c:valAx>
        <c:axId val="-18066511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8066615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'Screener Output'!$A$119:$B$119</c:f>
              <c:strCache>
                <c:ptCount val="2"/>
                <c:pt idx="0">
                  <c:v>PAT/WC</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'Screener Output'!$C$116:$M$116</c:f>
              <c:strCache>
                <c:ptCount val="11"/>
                <c:pt idx="0">
                  <c:v>Mar-09</c:v>
                </c:pt>
                <c:pt idx="1">
                  <c:v>Mar-10</c:v>
                </c:pt>
                <c:pt idx="2">
                  <c:v>Mar-11</c:v>
                </c:pt>
                <c:pt idx="3">
                  <c:v>Mar-12</c:v>
                </c:pt>
                <c:pt idx="4">
                  <c:v>Mar-13</c:v>
                </c:pt>
                <c:pt idx="5">
                  <c:v>Mar-14</c:v>
                </c:pt>
                <c:pt idx="6">
                  <c:v>Mar-15</c:v>
                </c:pt>
                <c:pt idx="7">
                  <c:v>Mar-16</c:v>
                </c:pt>
                <c:pt idx="8">
                  <c:v>Mar-17</c:v>
                </c:pt>
                <c:pt idx="9">
                  <c:v>Mar-18</c:v>
                </c:pt>
                <c:pt idx="10">
                  <c:v>TTM</c:v>
                </c:pt>
              </c:strCache>
            </c:strRef>
          </c:cat>
          <c:val>
            <c:numRef>
              <c:f>'Screener Output'!$C$119:$M$119</c:f>
              <c:numCache>
                <c:formatCode>0%</c:formatCode>
                <c:ptCount val="11"/>
                <c:pt idx="0">
                  <c:v>1.008448324415657</c:v>
                </c:pt>
                <c:pt idx="1">
                  <c:v>1.6154810404262019</c:v>
                </c:pt>
                <c:pt idx="2">
                  <c:v>3.5561738208797102</c:v>
                </c:pt>
                <c:pt idx="3">
                  <c:v>6.8353867214236637</c:v>
                </c:pt>
                <c:pt idx="4">
                  <c:v>-4.5818053596614847</c:v>
                </c:pt>
                <c:pt idx="5">
                  <c:v>-1.9334571037717434</c:v>
                </c:pt>
                <c:pt idx="6">
                  <c:v>-34.083168316831618</c:v>
                </c:pt>
                <c:pt idx="7">
                  <c:v>2.0920718708760524</c:v>
                </c:pt>
                <c:pt idx="8">
                  <c:v>0.77296843724597253</c:v>
                </c:pt>
                <c:pt idx="9">
                  <c:v>1.0254383546255732</c:v>
                </c:pt>
                <c:pt idx="10">
                  <c:v>1.0681045311111792</c:v>
                </c:pt>
              </c:numCache>
            </c:numRef>
          </c:val>
          <c:smooth val="0"/>
        </c:ser>
        <c:dLbls>
          <c:dLblPos val="ctr"/>
          <c:showLegendKey val="0"/>
          <c:showVal val="1"/>
          <c:showCatName val="0"/>
          <c:showSerName val="0"/>
          <c:showPercent val="0"/>
          <c:showBubbleSize val="0"/>
        </c:dLbls>
        <c:smooth val="0"/>
        <c:axId val="-1806664784"/>
        <c:axId val="-1806660976"/>
      </c:lineChart>
      <c:catAx>
        <c:axId val="-1806664784"/>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806660976"/>
        <c:crosses val="autoZero"/>
        <c:auto val="1"/>
        <c:lblAlgn val="ctr"/>
        <c:lblOffset val="100"/>
        <c:noMultiLvlLbl val="1"/>
      </c:catAx>
      <c:valAx>
        <c:axId val="-180666097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806664784"/>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'Screener Output'!$A$121:$B$121</c:f>
              <c:strCache>
                <c:ptCount val="2"/>
                <c:pt idx="0">
                  <c:v>C Liability/C Asset</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Output'!$C$121:$L$121</c:f>
              <c:numCache>
                <c:formatCode>0.00</c:formatCode>
                <c:ptCount val="10"/>
                <c:pt idx="0">
                  <c:v>0.78253414171106628</c:v>
                </c:pt>
                <c:pt idx="1">
                  <c:v>0.90376669984016411</c:v>
                </c:pt>
                <c:pt idx="2">
                  <c:v>0.94882434301521434</c:v>
                </c:pt>
                <c:pt idx="3">
                  <c:v>0.96691613546042277</c:v>
                </c:pt>
                <c:pt idx="4">
                  <c:v>1.0617703432653773</c:v>
                </c:pt>
                <c:pt idx="5">
                  <c:v>1.2068519454269835</c:v>
                </c:pt>
                <c:pt idx="6">
                  <c:v>1.0143677138975624</c:v>
                </c:pt>
                <c:pt idx="7">
                  <c:v>0.76845284615429821</c:v>
                </c:pt>
                <c:pt idx="8">
                  <c:v>0.53869447233344214</c:v>
                </c:pt>
                <c:pt idx="9">
                  <c:v>0.62552916477053278</c:v>
                </c:pt>
              </c:numCache>
            </c:numRef>
          </c:val>
        </c:ser>
        <c:dLbls>
          <c:dLblPos val="inEnd"/>
          <c:showLegendKey val="0"/>
          <c:showVal val="1"/>
          <c:showCatName val="0"/>
          <c:showSerName val="0"/>
          <c:showPercent val="0"/>
          <c:showBubbleSize val="0"/>
        </c:dLbls>
        <c:gapWidth val="41"/>
        <c:axId val="-1806663152"/>
        <c:axId val="-1806652816"/>
      </c:barChart>
      <c:dateAx>
        <c:axId val="-180666315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806652816"/>
        <c:crosses val="autoZero"/>
        <c:auto val="1"/>
        <c:lblOffset val="100"/>
        <c:baseTimeUnit val="years"/>
      </c:dateAx>
      <c:valAx>
        <c:axId val="-1806652816"/>
        <c:scaling>
          <c:orientation val="minMax"/>
        </c:scaling>
        <c:delete val="1"/>
        <c:axPos val="l"/>
        <c:numFmt formatCode="0.00" sourceLinked="1"/>
        <c:majorTickMark val="none"/>
        <c:minorTickMark val="none"/>
        <c:tickLblPos val="nextTo"/>
        <c:crossAx val="-180666315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Output'!$A$106:$C$106</c:f>
              <c:strCache>
                <c:ptCount val="3"/>
                <c:pt idx="0">
                  <c:v>∆ WC</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Output'!$D$105:$L$105</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Output'!$D$106:$L$106</c:f>
              <c:numCache>
                <c:formatCode>0</c:formatCode>
                <c:ptCount val="9"/>
                <c:pt idx="0">
                  <c:v>-78.220000000000027</c:v>
                </c:pt>
                <c:pt idx="1">
                  <c:v>-26.079999999999927</c:v>
                </c:pt>
                <c:pt idx="2">
                  <c:v>-8.5199999999999818</c:v>
                </c:pt>
                <c:pt idx="3">
                  <c:v>-85.940000000000055</c:v>
                </c:pt>
                <c:pt idx="4">
                  <c:v>-147.96000000000004</c:v>
                </c:pt>
                <c:pt idx="5">
                  <c:v>184.48000000000002</c:v>
                </c:pt>
                <c:pt idx="6">
                  <c:v>414.24</c:v>
                </c:pt>
                <c:pt idx="7">
                  <c:v>750.0300000000002</c:v>
                </c:pt>
                <c:pt idx="8">
                  <c:v>-164.84000000000037</c:v>
                </c:pt>
              </c:numCache>
            </c:numRef>
          </c:val>
        </c:ser>
        <c:ser>
          <c:idx val="1"/>
          <c:order val="1"/>
          <c:tx>
            <c:strRef>
              <c:f>'Screener Output'!$A$107:$C$107</c:f>
              <c:strCache>
                <c:ptCount val="3"/>
                <c:pt idx="0">
                  <c:v>NP</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Output'!$D$105:$L$105</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Output'!$D$107:$L$107</c:f>
              <c:numCache>
                <c:formatCode>0</c:formatCode>
                <c:ptCount val="9"/>
                <c:pt idx="0">
                  <c:v>143.2399999999999</c:v>
                </c:pt>
                <c:pt idx="1">
                  <c:v>103.10000000000011</c:v>
                </c:pt>
                <c:pt idx="2">
                  <c:v>134.21000000000029</c:v>
                </c:pt>
                <c:pt idx="3">
                  <c:v>199.72999999999965</c:v>
                </c:pt>
                <c:pt idx="4">
                  <c:v>259.87999999999954</c:v>
                </c:pt>
                <c:pt idx="5">
                  <c:v>395.74000000000058</c:v>
                </c:pt>
                <c:pt idx="6">
                  <c:v>688.48000000000025</c:v>
                </c:pt>
                <c:pt idx="7">
                  <c:v>824.35999999999956</c:v>
                </c:pt>
                <c:pt idx="8">
                  <c:v>884.32999999999993</c:v>
                </c:pt>
              </c:numCache>
            </c:numRef>
          </c:val>
        </c:ser>
        <c:dLbls>
          <c:dLblPos val="inEnd"/>
          <c:showLegendKey val="0"/>
          <c:showVal val="1"/>
          <c:showCatName val="0"/>
          <c:showSerName val="0"/>
          <c:showPercent val="0"/>
          <c:showBubbleSize val="0"/>
        </c:dLbls>
        <c:gapWidth val="65"/>
        <c:axId val="-1806650640"/>
        <c:axId val="-1806660432"/>
      </c:barChart>
      <c:dateAx>
        <c:axId val="-1806650640"/>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06660432"/>
        <c:crosses val="autoZero"/>
        <c:auto val="1"/>
        <c:lblOffset val="100"/>
        <c:baseTimeUnit val="years"/>
      </c:dateAx>
      <c:valAx>
        <c:axId val="-18066604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80665064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8888888888889E-2"/>
          <c:y val="5.0925925925925923E-2"/>
          <c:w val="0.93888888888888888"/>
          <c:h val="0.80439705453485"/>
        </c:manualLayout>
      </c:layout>
      <c:barChart>
        <c:barDir val="col"/>
        <c:grouping val="clustered"/>
        <c:varyColors val="0"/>
        <c:ser>
          <c:idx val="0"/>
          <c:order val="0"/>
          <c:tx>
            <c:strRef>
              <c:f>'Screener Output'!$A$62</c:f>
              <c:strCache>
                <c:ptCount val="1"/>
                <c:pt idx="0">
                  <c:v>Operating Cash Flow</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Output'!$C$24:$L$24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Output'!$C$62:$L$62</c:f>
              <c:numCache>
                <c:formatCode>0</c:formatCode>
                <c:ptCount val="10"/>
                <c:pt idx="0">
                  <c:v>250.32</c:v>
                </c:pt>
                <c:pt idx="1">
                  <c:v>237.74</c:v>
                </c:pt>
                <c:pt idx="2">
                  <c:v>296.45999999999998</c:v>
                </c:pt>
                <c:pt idx="3">
                  <c:v>246.12</c:v>
                </c:pt>
                <c:pt idx="4">
                  <c:v>319.8</c:v>
                </c:pt>
                <c:pt idx="5">
                  <c:v>671.48</c:v>
                </c:pt>
                <c:pt idx="6">
                  <c:v>584.46</c:v>
                </c:pt>
                <c:pt idx="7">
                  <c:v>959.23</c:v>
                </c:pt>
                <c:pt idx="8">
                  <c:v>441.28</c:v>
                </c:pt>
                <c:pt idx="9">
                  <c:v>1248.77</c:v>
                </c:pt>
              </c:numCache>
            </c:numRef>
          </c:val>
        </c:ser>
        <c:ser>
          <c:idx val="2"/>
          <c:order val="2"/>
          <c:tx>
            <c:strRef>
              <c:f>'Screener Output'!$A$64</c:f>
              <c:strCache>
                <c:ptCount val="1"/>
                <c:pt idx="0">
                  <c:v>Cash from Investing Activity</c:v>
                </c:pt>
              </c:strCache>
            </c:strRef>
          </c:tx>
          <c:spPr>
            <a:solidFill>
              <a:schemeClr val="bg1">
                <a:lumMod val="50000"/>
                <a:alpha val="85000"/>
              </a:schemeClr>
            </a:solidFill>
            <a:ln w="9525" cap="flat" cmpd="sng" algn="ctr">
              <a:solidFill>
                <a:schemeClr val="lt1">
                  <a:alpha val="50000"/>
                </a:schemeClr>
              </a:solidFill>
              <a:round/>
            </a:ln>
            <a:effectLst/>
          </c:spPr>
          <c:invertIfNegative val="0"/>
          <c:dLbls>
            <c:delete val="1"/>
          </c:dLbls>
          <c:cat>
            <c:numRef>
              <c:f>'Screener Output'!$C$24:$L$24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Output'!$C$64:$L$64</c:f>
              <c:numCache>
                <c:formatCode>0</c:formatCode>
                <c:ptCount val="10"/>
                <c:pt idx="0">
                  <c:v>-6.02</c:v>
                </c:pt>
                <c:pt idx="1">
                  <c:v>-36.68</c:v>
                </c:pt>
                <c:pt idx="2">
                  <c:v>-117.85</c:v>
                </c:pt>
                <c:pt idx="3">
                  <c:v>-64.78</c:v>
                </c:pt>
                <c:pt idx="4">
                  <c:v>28.18</c:v>
                </c:pt>
                <c:pt idx="5">
                  <c:v>-245.64</c:v>
                </c:pt>
                <c:pt idx="6">
                  <c:v>-450.3</c:v>
                </c:pt>
                <c:pt idx="7">
                  <c:v>-705.2</c:v>
                </c:pt>
                <c:pt idx="8">
                  <c:v>-149.85</c:v>
                </c:pt>
                <c:pt idx="9">
                  <c:v>-956.26</c:v>
                </c:pt>
              </c:numCache>
            </c:numRef>
          </c:val>
        </c:ser>
        <c:ser>
          <c:idx val="3"/>
          <c:order val="3"/>
          <c:tx>
            <c:strRef>
              <c:f>'Screener Output'!$A$65</c:f>
              <c:strCache>
                <c:ptCount val="1"/>
                <c:pt idx="0">
                  <c:v>Cash from Financing Activity</c:v>
                </c:pt>
              </c:strCache>
            </c:strRef>
          </c:tx>
          <c:spPr>
            <a:solidFill>
              <a:srgbClr val="FF0000">
                <a:alpha val="85000"/>
              </a:srgbClr>
            </a:solidFill>
            <a:ln w="9525" cap="flat" cmpd="sng" algn="ctr">
              <a:solidFill>
                <a:schemeClr val="lt1">
                  <a:alpha val="50000"/>
                </a:schemeClr>
              </a:solidFill>
              <a:round/>
            </a:ln>
            <a:effectLst/>
          </c:spPr>
          <c:invertIfNegative val="0"/>
          <c:dLbls>
            <c:delete val="1"/>
          </c:dLbls>
          <c:cat>
            <c:numRef>
              <c:f>'Screener Output'!$C$24:$L$24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Output'!$C$65:$L$65</c:f>
              <c:numCache>
                <c:formatCode>0</c:formatCode>
                <c:ptCount val="10"/>
                <c:pt idx="0">
                  <c:v>-112.69</c:v>
                </c:pt>
                <c:pt idx="1">
                  <c:v>-222.89</c:v>
                </c:pt>
                <c:pt idx="2">
                  <c:v>-165.8</c:v>
                </c:pt>
                <c:pt idx="3">
                  <c:v>-168.41</c:v>
                </c:pt>
                <c:pt idx="4">
                  <c:v>-378.15</c:v>
                </c:pt>
                <c:pt idx="5">
                  <c:v>-357.34</c:v>
                </c:pt>
                <c:pt idx="6">
                  <c:v>-181.37</c:v>
                </c:pt>
                <c:pt idx="7">
                  <c:v>-246.18</c:v>
                </c:pt>
                <c:pt idx="8">
                  <c:v>-295.08</c:v>
                </c:pt>
                <c:pt idx="9">
                  <c:v>-231.75</c:v>
                </c:pt>
              </c:numCache>
            </c:numRef>
          </c:val>
        </c:ser>
        <c:dLbls>
          <c:dLblPos val="inEnd"/>
          <c:showLegendKey val="0"/>
          <c:showVal val="1"/>
          <c:showCatName val="0"/>
          <c:showSerName val="0"/>
          <c:showPercent val="0"/>
          <c:showBubbleSize val="0"/>
        </c:dLbls>
        <c:gapWidth val="65"/>
        <c:axId val="-1806653360"/>
        <c:axId val="-1806658800"/>
      </c:barChart>
      <c:lineChart>
        <c:grouping val="stacked"/>
        <c:varyColors val="0"/>
        <c:ser>
          <c:idx val="1"/>
          <c:order val="1"/>
          <c:tx>
            <c:strRef>
              <c:f>'Screener Output'!$A$63</c:f>
              <c:strCache>
                <c:ptCount val="1"/>
                <c:pt idx="0">
                  <c:v>Free Cash Flow</c:v>
                </c:pt>
              </c:strCache>
            </c:strRef>
          </c:tx>
          <c:spPr>
            <a:ln w="31750" cap="rnd">
              <a:solidFill>
                <a:schemeClr val="tx1">
                  <a:lumMod val="75000"/>
                  <a:lumOff val="25000"/>
                  <a:alpha val="85000"/>
                </a:schemeClr>
              </a:solidFill>
              <a:round/>
            </a:ln>
            <a:effectLst/>
          </c:spPr>
          <c:marker>
            <c:symbol val="circle"/>
            <c:size val="6"/>
            <c:spPr>
              <a:solidFill>
                <a:schemeClr val="accent2">
                  <a:alpha val="85000"/>
                </a:schemeClr>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Output'!$C$24:$L$24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Output'!$C$63:$L$63</c:f>
              <c:numCache>
                <c:formatCode>0</c:formatCode>
                <c:ptCount val="10"/>
                <c:pt idx="1">
                  <c:v>146.82000000000002</c:v>
                </c:pt>
                <c:pt idx="2">
                  <c:v>223.33999999999997</c:v>
                </c:pt>
                <c:pt idx="3">
                  <c:v>-33.649999999999977</c:v>
                </c:pt>
                <c:pt idx="4">
                  <c:v>98.200000000000017</c:v>
                </c:pt>
                <c:pt idx="5">
                  <c:v>517.71999999999991</c:v>
                </c:pt>
                <c:pt idx="6">
                  <c:v>502.22</c:v>
                </c:pt>
                <c:pt idx="7">
                  <c:v>697.95</c:v>
                </c:pt>
                <c:pt idx="8">
                  <c:v>172.26</c:v>
                </c:pt>
                <c:pt idx="9">
                  <c:v>748.34000000000015</c:v>
                </c:pt>
              </c:numCache>
            </c:numRef>
          </c:val>
          <c:smooth val="0"/>
        </c:ser>
        <c:dLbls>
          <c:showLegendKey val="0"/>
          <c:showVal val="0"/>
          <c:showCatName val="0"/>
          <c:showSerName val="0"/>
          <c:showPercent val="0"/>
          <c:showBubbleSize val="0"/>
        </c:dLbls>
        <c:marker val="1"/>
        <c:smooth val="0"/>
        <c:axId val="-1806653360"/>
        <c:axId val="-1806658800"/>
      </c:lineChart>
      <c:dateAx>
        <c:axId val="-1806653360"/>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06658800"/>
        <c:crosses val="autoZero"/>
        <c:auto val="1"/>
        <c:lblOffset val="100"/>
        <c:baseTimeUnit val="years"/>
      </c:dateAx>
      <c:valAx>
        <c:axId val="-1806658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806653360"/>
        <c:crosses val="autoZero"/>
        <c:crossBetween val="between"/>
      </c:valAx>
      <c:spPr>
        <a:noFill/>
        <a:ln>
          <a:noFill/>
        </a:ln>
        <a:effectLst/>
      </c:spPr>
    </c:plotArea>
    <c:legend>
      <c:legendPos val="b"/>
      <c:layout>
        <c:manualLayout>
          <c:xMode val="edge"/>
          <c:yMode val="edge"/>
          <c:x val="1.4461251554082056E-2"/>
          <c:y val="0.87847112860892385"/>
          <c:w val="0.93379679513744973"/>
          <c:h val="0.11226961213181684"/>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Dupont!$B$8</c:f>
              <c:strCache>
                <c:ptCount val="1"/>
                <c:pt idx="0">
                  <c:v>Asset Turnover</c:v>
                </c:pt>
              </c:strCache>
            </c:strRef>
          </c:tx>
          <c:spPr>
            <a:solidFill>
              <a:srgbClr val="00B050"/>
            </a:solidFill>
            <a:ln>
              <a:noFill/>
            </a:ln>
            <a:effectLst/>
          </c:spPr>
          <c:invertIfNegative val="0"/>
          <c:cat>
            <c:strRef>
              <c:f>Dupont!$C$6:$G$6</c:f>
              <c:strCache>
                <c:ptCount val="5"/>
                <c:pt idx="0">
                  <c:v>CY-4</c:v>
                </c:pt>
                <c:pt idx="1">
                  <c:v>CY-3</c:v>
                </c:pt>
                <c:pt idx="2">
                  <c:v>CY-2</c:v>
                </c:pt>
                <c:pt idx="3">
                  <c:v>CY-1</c:v>
                </c:pt>
                <c:pt idx="4">
                  <c:v>CY0</c:v>
                </c:pt>
              </c:strCache>
            </c:strRef>
          </c:cat>
          <c:val>
            <c:numRef>
              <c:f>Dupont!$C$8:$G$8</c:f>
              <c:numCache>
                <c:formatCode>0.00</c:formatCode>
                <c:ptCount val="5"/>
                <c:pt idx="0">
                  <c:v>3.2428281319296932</c:v>
                </c:pt>
                <c:pt idx="1">
                  <c:v>2.8783408076525667</c:v>
                </c:pt>
                <c:pt idx="2">
                  <c:v>2.4137307886224457</c:v>
                </c:pt>
                <c:pt idx="3">
                  <c:v>2.214258909111904</c:v>
                </c:pt>
                <c:pt idx="4">
                  <c:v>1.9227531009962482</c:v>
                </c:pt>
              </c:numCache>
            </c:numRef>
          </c:val>
        </c:ser>
        <c:ser>
          <c:idx val="2"/>
          <c:order val="2"/>
          <c:tx>
            <c:strRef>
              <c:f>Dupont!$B$9</c:f>
              <c:strCache>
                <c:ptCount val="1"/>
                <c:pt idx="0">
                  <c:v>Equity Multiplier</c:v>
                </c:pt>
              </c:strCache>
            </c:strRef>
          </c:tx>
          <c:spPr>
            <a:solidFill>
              <a:schemeClr val="bg1">
                <a:lumMod val="65000"/>
              </a:schemeClr>
            </a:solidFill>
            <a:ln>
              <a:noFill/>
            </a:ln>
            <a:effectLst/>
          </c:spPr>
          <c:invertIfNegative val="0"/>
          <c:cat>
            <c:strRef>
              <c:f>Dupont!$C$6:$G$6</c:f>
              <c:strCache>
                <c:ptCount val="5"/>
                <c:pt idx="0">
                  <c:v>CY-4</c:v>
                </c:pt>
                <c:pt idx="1">
                  <c:v>CY-3</c:v>
                </c:pt>
                <c:pt idx="2">
                  <c:v>CY-2</c:v>
                </c:pt>
                <c:pt idx="3">
                  <c:v>CY-1</c:v>
                </c:pt>
                <c:pt idx="4">
                  <c:v>CY0</c:v>
                </c:pt>
              </c:strCache>
            </c:strRef>
          </c:cat>
          <c:val>
            <c:numRef>
              <c:f>Dupont!$C$9:$G$9</c:f>
              <c:numCache>
                <c:formatCode>0.00</c:formatCode>
                <c:ptCount val="5"/>
                <c:pt idx="0">
                  <c:v>2.6839032213604641</c:v>
                </c:pt>
                <c:pt idx="1">
                  <c:v>2.2618965392615915</c:v>
                </c:pt>
                <c:pt idx="2">
                  <c:v>1.6878585634513885</c:v>
                </c:pt>
                <c:pt idx="3">
                  <c:v>1.5416663576149114</c:v>
                </c:pt>
                <c:pt idx="4">
                  <c:v>1.5391415142254046</c:v>
                </c:pt>
              </c:numCache>
            </c:numRef>
          </c:val>
        </c:ser>
        <c:dLbls>
          <c:showLegendKey val="0"/>
          <c:showVal val="0"/>
          <c:showCatName val="0"/>
          <c:showSerName val="0"/>
          <c:showPercent val="0"/>
          <c:showBubbleSize val="0"/>
        </c:dLbls>
        <c:gapWidth val="247"/>
        <c:axId val="-1806650096"/>
        <c:axId val="-1806665328"/>
      </c:barChart>
      <c:lineChart>
        <c:grouping val="standard"/>
        <c:varyColors val="0"/>
        <c:ser>
          <c:idx val="0"/>
          <c:order val="0"/>
          <c:tx>
            <c:strRef>
              <c:f>Dupont!$B$7</c:f>
              <c:strCache>
                <c:ptCount val="1"/>
                <c:pt idx="0">
                  <c:v>NPM</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Dupont!$C$6:$G$6</c:f>
              <c:strCache>
                <c:ptCount val="5"/>
                <c:pt idx="0">
                  <c:v>CY-4</c:v>
                </c:pt>
                <c:pt idx="1">
                  <c:v>CY-3</c:v>
                </c:pt>
                <c:pt idx="2">
                  <c:v>CY-2</c:v>
                </c:pt>
                <c:pt idx="3">
                  <c:v>CY-1</c:v>
                </c:pt>
                <c:pt idx="4">
                  <c:v>CY0</c:v>
                </c:pt>
              </c:strCache>
            </c:strRef>
          </c:cat>
          <c:val>
            <c:numRef>
              <c:f>Dupont!$C$7:$G$7</c:f>
              <c:numCache>
                <c:formatCode>0%</c:formatCode>
                <c:ptCount val="5"/>
                <c:pt idx="0">
                  <c:v>5.7248170399163363E-2</c:v>
                </c:pt>
                <c:pt idx="1">
                  <c:v>8.7610486586362168E-2</c:v>
                </c:pt>
                <c:pt idx="2">
                  <c:v>9.8170468118653362E-2</c:v>
                </c:pt>
                <c:pt idx="3">
                  <c:v>9.7671880884771398E-2</c:v>
                </c:pt>
                <c:pt idx="4">
                  <c:v>0.10128515360616663</c:v>
                </c:pt>
              </c:numCache>
            </c:numRef>
          </c:val>
          <c:smooth val="0"/>
        </c:ser>
        <c:ser>
          <c:idx val="3"/>
          <c:order val="3"/>
          <c:tx>
            <c:strRef>
              <c:f>Dupont!$B$10</c:f>
              <c:strCache>
                <c:ptCount val="1"/>
                <c:pt idx="0">
                  <c:v>ROE</c:v>
                </c:pt>
              </c:strCache>
            </c:strRef>
          </c:tx>
          <c:spPr>
            <a:ln w="22225" cap="rnd">
              <a:solidFill>
                <a:schemeClr val="tx1"/>
              </a:solidFill>
              <a:round/>
            </a:ln>
            <a:effectLst/>
          </c:spPr>
          <c:marker>
            <c:symbol val="circle"/>
            <c:size val="6"/>
            <c:spPr>
              <a:solidFill>
                <a:schemeClr val="lt1"/>
              </a:solidFill>
              <a:ln w="15875">
                <a:solidFill>
                  <a:schemeClr val="accent4"/>
                </a:solidFill>
                <a:round/>
              </a:ln>
              <a:effectLst/>
            </c:spPr>
          </c:marker>
          <c:cat>
            <c:strRef>
              <c:f>Dupont!$C$6:$G$6</c:f>
              <c:strCache>
                <c:ptCount val="5"/>
                <c:pt idx="0">
                  <c:v>CY-4</c:v>
                </c:pt>
                <c:pt idx="1">
                  <c:v>CY-3</c:v>
                </c:pt>
                <c:pt idx="2">
                  <c:v>CY-2</c:v>
                </c:pt>
                <c:pt idx="3">
                  <c:v>CY-1</c:v>
                </c:pt>
                <c:pt idx="4">
                  <c:v>CY0</c:v>
                </c:pt>
              </c:strCache>
            </c:strRef>
          </c:cat>
          <c:val>
            <c:numRef>
              <c:f>Dupont!$C$10:$G$10</c:f>
              <c:numCache>
                <c:formatCode>0%</c:formatCode>
                <c:ptCount val="5"/>
                <c:pt idx="0">
                  <c:v>0.49825583696947595</c:v>
                </c:pt>
                <c:pt idx="1">
                  <c:v>0.57038887119614146</c:v>
                </c:pt>
                <c:pt idx="2">
                  <c:v>0.39995003906455778</c:v>
                </c:pt>
                <c:pt idx="3">
                  <c:v>0.33341746647346981</c:v>
                </c:pt>
                <c:pt idx="4">
                  <c:v>0.29974218153367738</c:v>
                </c:pt>
              </c:numCache>
            </c:numRef>
          </c:val>
          <c:smooth val="0"/>
        </c:ser>
        <c:dLbls>
          <c:showLegendKey val="0"/>
          <c:showVal val="0"/>
          <c:showCatName val="0"/>
          <c:showSerName val="0"/>
          <c:showPercent val="0"/>
          <c:showBubbleSize val="0"/>
        </c:dLbls>
        <c:marker val="1"/>
        <c:smooth val="0"/>
        <c:axId val="-1806664240"/>
        <c:axId val="-1806657168"/>
      </c:lineChart>
      <c:catAx>
        <c:axId val="-18066500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1806665328"/>
        <c:crosses val="autoZero"/>
        <c:auto val="1"/>
        <c:lblAlgn val="ctr"/>
        <c:lblOffset val="100"/>
        <c:noMultiLvlLbl val="0"/>
      </c:catAx>
      <c:valAx>
        <c:axId val="-1806665328"/>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806650096"/>
        <c:crosses val="autoZero"/>
        <c:crossBetween val="between"/>
      </c:valAx>
      <c:valAx>
        <c:axId val="-1806657168"/>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806664240"/>
        <c:crosses val="max"/>
        <c:crossBetween val="between"/>
      </c:valAx>
      <c:catAx>
        <c:axId val="-1806664240"/>
        <c:scaling>
          <c:orientation val="minMax"/>
        </c:scaling>
        <c:delete val="1"/>
        <c:axPos val="b"/>
        <c:numFmt formatCode="General" sourceLinked="1"/>
        <c:majorTickMark val="out"/>
        <c:minorTickMark val="none"/>
        <c:tickLblPos val="nextTo"/>
        <c:crossAx val="-1806657168"/>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43866995422149E-2"/>
          <c:y val="5.4502818311879121E-2"/>
          <c:w val="0.89784315299318185"/>
          <c:h val="0.74558580189085655"/>
        </c:manualLayout>
      </c:layout>
      <c:areaChart>
        <c:grouping val="percentStacked"/>
        <c:varyColors val="0"/>
        <c:ser>
          <c:idx val="0"/>
          <c:order val="0"/>
          <c:tx>
            <c:strRef>
              <c:f>'Screener Output'!$A$157</c:f>
              <c:strCache>
                <c:ptCount val="1"/>
                <c:pt idx="0">
                  <c:v>Tangible assets (Non-current)</c:v>
                </c:pt>
              </c:strCache>
            </c:strRef>
          </c:tx>
          <c:spPr>
            <a:solidFill>
              <a:schemeClr val="accent1">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Output'!$C$157:$L$157</c:f>
              <c:numCache>
                <c:formatCode>0%</c:formatCode>
                <c:ptCount val="10"/>
                <c:pt idx="0">
                  <c:v>0.31215211204065524</c:v>
                </c:pt>
                <c:pt idx="1">
                  <c:v>0.32443214304277768</c:v>
                </c:pt>
                <c:pt idx="2">
                  <c:v>0.3071704954735715</c:v>
                </c:pt>
                <c:pt idx="3">
                  <c:v>0.33436865752368305</c:v>
                </c:pt>
                <c:pt idx="4">
                  <c:v>0.38565013032964501</c:v>
                </c:pt>
                <c:pt idx="5">
                  <c:v>0.39569104362643259</c:v>
                </c:pt>
                <c:pt idx="6">
                  <c:v>0.29970777364707724</c:v>
                </c:pt>
                <c:pt idx="7">
                  <c:v>0.26915472771253607</c:v>
                </c:pt>
                <c:pt idx="8">
                  <c:v>0.27904632690077896</c:v>
                </c:pt>
                <c:pt idx="9">
                  <c:v>0.25666311249802104</c:v>
                </c:pt>
              </c:numCache>
            </c:numRef>
          </c:val>
        </c:ser>
        <c:ser>
          <c:idx val="2"/>
          <c:order val="1"/>
          <c:tx>
            <c:strRef>
              <c:f>'Screener Output'!$A$158</c:f>
              <c:strCache>
                <c:ptCount val="1"/>
                <c:pt idx="0">
                  <c:v>Investments (Current)</c:v>
                </c:pt>
              </c:strCache>
            </c:strRef>
          </c:tx>
          <c:spPr>
            <a:solidFill>
              <a:schemeClr val="accent3">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Output'!$C$158:$L$158</c:f>
              <c:numCache>
                <c:formatCode>0%</c:formatCode>
                <c:ptCount val="10"/>
                <c:pt idx="0">
                  <c:v>0.25034000968612957</c:v>
                </c:pt>
                <c:pt idx="1">
                  <c:v>0.23808410000519778</c:v>
                </c:pt>
                <c:pt idx="2">
                  <c:v>0.23636595931081475</c:v>
                </c:pt>
                <c:pt idx="3">
                  <c:v>0.13308021441920992</c:v>
                </c:pt>
                <c:pt idx="4">
                  <c:v>5.6633203178159057E-2</c:v>
                </c:pt>
                <c:pt idx="5">
                  <c:v>9.2374127588058158E-2</c:v>
                </c:pt>
                <c:pt idx="6">
                  <c:v>0.18390731134001587</c:v>
                </c:pt>
                <c:pt idx="7">
                  <c:v>0.22330801085410965</c:v>
                </c:pt>
                <c:pt idx="8">
                  <c:v>0.11711627190893391</c:v>
                </c:pt>
                <c:pt idx="9">
                  <c:v>0.20586456900777655</c:v>
                </c:pt>
              </c:numCache>
            </c:numRef>
          </c:val>
        </c:ser>
        <c:ser>
          <c:idx val="3"/>
          <c:order val="2"/>
          <c:tx>
            <c:strRef>
              <c:f>'Screener Output'!$A$159</c:f>
              <c:strCache>
                <c:ptCount val="1"/>
                <c:pt idx="0">
                  <c:v>Inventories (Current)</c:v>
                </c:pt>
              </c:strCache>
            </c:strRef>
          </c:tx>
          <c:spPr>
            <a:solidFill>
              <a:schemeClr val="accent4">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Output'!$C$159:$L$159</c:f>
              <c:numCache>
                <c:formatCode>0%</c:formatCode>
                <c:ptCount val="10"/>
                <c:pt idx="0">
                  <c:v>0.19152662690488353</c:v>
                </c:pt>
                <c:pt idx="1">
                  <c:v>0.19765190498466656</c:v>
                </c:pt>
                <c:pt idx="2">
                  <c:v>0.2110812323566631</c:v>
                </c:pt>
                <c:pt idx="3">
                  <c:v>0.2312128822889947</c:v>
                </c:pt>
                <c:pt idx="4">
                  <c:v>0.19610685984067333</c:v>
                </c:pt>
                <c:pt idx="5">
                  <c:v>0.19619990196307274</c:v>
                </c:pt>
                <c:pt idx="6">
                  <c:v>0.14346432033405415</c:v>
                </c:pt>
                <c:pt idx="7">
                  <c:v>0.12481376364553061</c:v>
                </c:pt>
                <c:pt idx="8">
                  <c:v>0.15911791733421862</c:v>
                </c:pt>
                <c:pt idx="9">
                  <c:v>0.12451479875712183</c:v>
                </c:pt>
              </c:numCache>
            </c:numRef>
          </c:val>
        </c:ser>
        <c:ser>
          <c:idx val="4"/>
          <c:order val="3"/>
          <c:tx>
            <c:strRef>
              <c:f>'Screener Output'!$A$160</c:f>
              <c:strCache>
                <c:ptCount val="1"/>
                <c:pt idx="0">
                  <c:v>Receivables (Current)</c:v>
                </c:pt>
              </c:strCache>
            </c:strRef>
          </c:tx>
          <c:spPr>
            <a:solidFill>
              <a:schemeClr val="accent5">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Output'!$C$160:$L$160</c:f>
              <c:numCache>
                <c:formatCode>0%</c:formatCode>
                <c:ptCount val="10"/>
                <c:pt idx="0">
                  <c:v>4.9094081509443978E-2</c:v>
                </c:pt>
                <c:pt idx="1">
                  <c:v>4.7605125006497218E-2</c:v>
                </c:pt>
                <c:pt idx="2">
                  <c:v>4.9255329504526421E-2</c:v>
                </c:pt>
                <c:pt idx="3">
                  <c:v>6.0518269009355412E-2</c:v>
                </c:pt>
                <c:pt idx="4">
                  <c:v>6.4280255843897544E-2</c:v>
                </c:pt>
                <c:pt idx="5">
                  <c:v>5.0745780910809737E-2</c:v>
                </c:pt>
                <c:pt idx="6">
                  <c:v>4.8222674350479888E-2</c:v>
                </c:pt>
                <c:pt idx="7">
                  <c:v>4.8325147431212932E-2</c:v>
                </c:pt>
                <c:pt idx="8">
                  <c:v>4.3098595615085958E-2</c:v>
                </c:pt>
                <c:pt idx="9">
                  <c:v>5.8100166518205425E-2</c:v>
                </c:pt>
              </c:numCache>
            </c:numRef>
          </c:val>
        </c:ser>
        <c:ser>
          <c:idx val="5"/>
          <c:order val="4"/>
          <c:tx>
            <c:strRef>
              <c:f>'Screener Output'!$A$161</c:f>
              <c:strCache>
                <c:ptCount val="1"/>
                <c:pt idx="0">
                  <c:v>Cash (Current)</c:v>
                </c:pt>
              </c:strCache>
            </c:strRef>
          </c:tx>
          <c:spPr>
            <a:solidFill>
              <a:schemeClr val="accent6">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Output'!$C$161:$L$161</c:f>
              <c:numCache>
                <c:formatCode>0%</c:formatCode>
                <c:ptCount val="10"/>
                <c:pt idx="0">
                  <c:v>4.5670764474461133E-2</c:v>
                </c:pt>
                <c:pt idx="1">
                  <c:v>2.7775612038047716E-2</c:v>
                </c:pt>
                <c:pt idx="2">
                  <c:v>4.6773094519614519E-2</c:v>
                </c:pt>
                <c:pt idx="3">
                  <c:v>3.284298237628322E-2</c:v>
                </c:pt>
                <c:pt idx="4">
                  <c:v>5.3874820731311571E-2</c:v>
                </c:pt>
                <c:pt idx="5">
                  <c:v>5.0918512639760972E-2</c:v>
                </c:pt>
                <c:pt idx="6">
                  <c:v>8.0364022426508447E-2</c:v>
                </c:pt>
                <c:pt idx="7">
                  <c:v>2.482679310911326E-2</c:v>
                </c:pt>
                <c:pt idx="8">
                  <c:v>2.9049935289561176E-2</c:v>
                </c:pt>
                <c:pt idx="9">
                  <c:v>3.5558217473157759E-2</c:v>
                </c:pt>
              </c:numCache>
            </c:numRef>
          </c:val>
        </c:ser>
        <c:ser>
          <c:idx val="1"/>
          <c:order val="5"/>
          <c:tx>
            <c:strRef>
              <c:f>'Screener Output'!$A$162</c:f>
              <c:strCache>
                <c:ptCount val="1"/>
                <c:pt idx="0">
                  <c:v>Rest</c:v>
                </c:pt>
              </c:strCache>
            </c:strRef>
          </c:tx>
          <c:spPr>
            <a:solidFill>
              <a:schemeClr val="accent2">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Output'!$C$162:$L$162</c:f>
              <c:numCache>
                <c:formatCode>0%</c:formatCode>
                <c:ptCount val="10"/>
                <c:pt idx="0">
                  <c:v>0.1512164053844266</c:v>
                </c:pt>
                <c:pt idx="1">
                  <c:v>0.16445111492281303</c:v>
                </c:pt>
                <c:pt idx="2">
                  <c:v>0.14935388883480968</c:v>
                </c:pt>
                <c:pt idx="3">
                  <c:v>0.2079769943824738</c:v>
                </c:pt>
                <c:pt idx="4">
                  <c:v>0.24345473007631346</c:v>
                </c:pt>
                <c:pt idx="5">
                  <c:v>0.21407063327186579</c:v>
                </c:pt>
                <c:pt idx="6">
                  <c:v>0.24433389790186441</c:v>
                </c:pt>
                <c:pt idx="7">
                  <c:v>0.30957155724749746</c:v>
                </c:pt>
                <c:pt idx="8">
                  <c:v>0.37257095295142145</c:v>
                </c:pt>
                <c:pt idx="9">
                  <c:v>0.31929913574571733</c:v>
                </c:pt>
              </c:numCache>
            </c:numRef>
          </c:val>
        </c:ser>
        <c:dLbls>
          <c:showLegendKey val="0"/>
          <c:showVal val="1"/>
          <c:showCatName val="0"/>
          <c:showSerName val="0"/>
          <c:showPercent val="0"/>
          <c:showBubbleSize val="0"/>
        </c:dLbls>
        <c:axId val="-1806663696"/>
        <c:axId val="-1806656624"/>
      </c:areaChart>
      <c:dateAx>
        <c:axId val="-180666369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06656624"/>
        <c:crosses val="autoZero"/>
        <c:auto val="1"/>
        <c:lblOffset val="100"/>
        <c:baseTimeUnit val="years"/>
      </c:dateAx>
      <c:valAx>
        <c:axId val="-180665662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806663696"/>
        <c:crosses val="autoZero"/>
        <c:crossBetween val="midCat"/>
      </c:valAx>
      <c:spPr>
        <a:noFill/>
        <a:ln>
          <a:noFill/>
        </a:ln>
        <a:effectLst/>
      </c:spPr>
    </c:plotArea>
    <c:legend>
      <c:legendPos val="b"/>
      <c:layout>
        <c:manualLayout>
          <c:xMode val="edge"/>
          <c:yMode val="edge"/>
          <c:x val="9.7819076446525929E-3"/>
          <c:y val="0.87919392601082591"/>
          <c:w val="0.96365902350050647"/>
          <c:h val="0.102962059180397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'Screener Output'!$A$112:$B$112</c:f>
              <c:strCache>
                <c:ptCount val="2"/>
                <c:pt idx="0">
                  <c:v>Receivable Days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Output'!$C$112:$L$112</c:f>
              <c:numCache>
                <c:formatCode>0</c:formatCode>
                <c:ptCount val="10"/>
                <c:pt idx="0">
                  <c:v>7.8948214531031242</c:v>
                </c:pt>
                <c:pt idx="1">
                  <c:v>7.0883084939741465</c:v>
                </c:pt>
                <c:pt idx="2">
                  <c:v>6.4109272830619286</c:v>
                </c:pt>
                <c:pt idx="3">
                  <c:v>7.5197570993387872</c:v>
                </c:pt>
                <c:pt idx="4">
                  <c:v>7.2469973696165653</c:v>
                </c:pt>
                <c:pt idx="5">
                  <c:v>5.7395001381513184</c:v>
                </c:pt>
                <c:pt idx="6">
                  <c:v>6.3079664869019476</c:v>
                </c:pt>
                <c:pt idx="7">
                  <c:v>7.4158561811454504</c:v>
                </c:pt>
                <c:pt idx="8">
                  <c:v>7.2225259523596517</c:v>
                </c:pt>
                <c:pt idx="9">
                  <c:v>11.2143546644691</c:v>
                </c:pt>
              </c:numCache>
            </c:numRef>
          </c:val>
        </c:ser>
        <c:dLbls>
          <c:dLblPos val="inEnd"/>
          <c:showLegendKey val="0"/>
          <c:showVal val="1"/>
          <c:showCatName val="0"/>
          <c:showSerName val="0"/>
          <c:showPercent val="0"/>
          <c:showBubbleSize val="0"/>
        </c:dLbls>
        <c:gapWidth val="65"/>
        <c:axId val="-1806653904"/>
        <c:axId val="-1806654992"/>
      </c:barChart>
      <c:dateAx>
        <c:axId val="-1806653904"/>
        <c:scaling>
          <c:orientation val="minMax"/>
        </c:scaling>
        <c:delete val="0"/>
        <c:axPos val="l"/>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06654992"/>
        <c:crosses val="autoZero"/>
        <c:auto val="1"/>
        <c:lblOffset val="100"/>
        <c:baseTimeUnit val="years"/>
      </c:dateAx>
      <c:valAx>
        <c:axId val="-18066549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80665390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2.4675774164750371E-2"/>
          <c:w val="0.7583333333333333"/>
          <c:h val="0.78255128797312179"/>
        </c:manualLayout>
      </c:layout>
      <c:areaChart>
        <c:grouping val="percentStacked"/>
        <c:varyColors val="0"/>
        <c:ser>
          <c:idx val="0"/>
          <c:order val="0"/>
          <c:tx>
            <c:strRef>
              <c:f>'Screener Output'!$A$171</c:f>
              <c:strCache>
                <c:ptCount val="1"/>
                <c:pt idx="0">
                  <c:v>Raw Mat + Invt change</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Output'!$C$171:$L$171</c:f>
              <c:numCache>
                <c:formatCode>0%</c:formatCode>
                <c:ptCount val="10"/>
                <c:pt idx="0">
                  <c:v>0.60476604974386061</c:v>
                </c:pt>
                <c:pt idx="1">
                  <c:v>0.62944285658353238</c:v>
                </c:pt>
                <c:pt idx="2">
                  <c:v>0.64853407705868615</c:v>
                </c:pt>
                <c:pt idx="3">
                  <c:v>0.63716541227268053</c:v>
                </c:pt>
                <c:pt idx="4">
                  <c:v>0.61903922150168733</c:v>
                </c:pt>
                <c:pt idx="5">
                  <c:v>0.60046643536846944</c:v>
                </c:pt>
                <c:pt idx="6">
                  <c:v>0.57878563586346421</c:v>
                </c:pt>
                <c:pt idx="7">
                  <c:v>0.5882383313892493</c:v>
                </c:pt>
                <c:pt idx="8">
                  <c:v>0.60715965769400826</c:v>
                </c:pt>
                <c:pt idx="9">
                  <c:v>0.60584145804316514</c:v>
                </c:pt>
              </c:numCache>
            </c:numRef>
          </c:val>
        </c:ser>
        <c:ser>
          <c:idx val="1"/>
          <c:order val="1"/>
          <c:tx>
            <c:strRef>
              <c:f>'Screener Output'!$A$172</c:f>
              <c:strCache>
                <c:ptCount val="1"/>
                <c:pt idx="0">
                  <c:v>Power and Fuel</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Output'!$C$172:$L$172</c:f>
              <c:numCache>
                <c:formatCode>0%</c:formatCode>
                <c:ptCount val="10"/>
                <c:pt idx="0">
                  <c:v>1.4691990467900512E-2</c:v>
                </c:pt>
                <c:pt idx="1">
                  <c:v>1.1868499014656175E-2</c:v>
                </c:pt>
                <c:pt idx="2">
                  <c:v>1.2111241777143724E-2</c:v>
                </c:pt>
                <c:pt idx="3">
                  <c:v>1.3142730376534626E-2</c:v>
                </c:pt>
                <c:pt idx="4">
                  <c:v>1.4590430691045507E-2</c:v>
                </c:pt>
                <c:pt idx="5">
                  <c:v>1.593942098671235E-2</c:v>
                </c:pt>
                <c:pt idx="6">
                  <c:v>1.3688119117229808E-2</c:v>
                </c:pt>
                <c:pt idx="7">
                  <c:v>1.1166943219449913E-2</c:v>
                </c:pt>
                <c:pt idx="8">
                  <c:v>1.1329081125477069E-2</c:v>
                </c:pt>
                <c:pt idx="9">
                  <c:v>1.2780297529056503E-2</c:v>
                </c:pt>
              </c:numCache>
            </c:numRef>
          </c:val>
        </c:ser>
        <c:ser>
          <c:idx val="2"/>
          <c:order val="2"/>
          <c:tx>
            <c:strRef>
              <c:f>'Screener Output'!$A$173</c:f>
              <c:strCache>
                <c:ptCount val="1"/>
                <c:pt idx="0">
                  <c:v>Other Mfr. Exp</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Output'!$C$173:$L$173</c:f>
              <c:numCache>
                <c:formatCode>0%</c:formatCode>
                <c:ptCount val="10"/>
                <c:pt idx="0">
                  <c:v>7.3488491559525679E-2</c:v>
                </c:pt>
                <c:pt idx="1">
                  <c:v>7.3641073829006962E-2</c:v>
                </c:pt>
                <c:pt idx="2">
                  <c:v>6.8522552743022741E-2</c:v>
                </c:pt>
                <c:pt idx="3">
                  <c:v>7.0920604345559843E-2</c:v>
                </c:pt>
                <c:pt idx="4">
                  <c:v>7.4975351294157264E-2</c:v>
                </c:pt>
                <c:pt idx="5">
                  <c:v>7.341318399723594E-2</c:v>
                </c:pt>
                <c:pt idx="6">
                  <c:v>6.8549153127814164E-2</c:v>
                </c:pt>
                <c:pt idx="7">
                  <c:v>5.986565871587194E-2</c:v>
                </c:pt>
                <c:pt idx="8">
                  <c:v>5.5399293616364802E-2</c:v>
                </c:pt>
                <c:pt idx="9">
                  <c:v>4.8370296298941698E-2</c:v>
                </c:pt>
              </c:numCache>
            </c:numRef>
          </c:val>
        </c:ser>
        <c:ser>
          <c:idx val="3"/>
          <c:order val="3"/>
          <c:tx>
            <c:strRef>
              <c:f>'Screener Output'!$A$174</c:f>
              <c:strCache>
                <c:ptCount val="1"/>
                <c:pt idx="0">
                  <c:v>Employee Cost</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Output'!$C$174:$L$174</c:f>
              <c:numCache>
                <c:formatCode>0%</c:formatCode>
                <c:ptCount val="10"/>
                <c:pt idx="0">
                  <c:v>4.5294596098688626E-2</c:v>
                </c:pt>
                <c:pt idx="1">
                  <c:v>4.2940109366639265E-2</c:v>
                </c:pt>
                <c:pt idx="2">
                  <c:v>3.8019531358776795E-2</c:v>
                </c:pt>
                <c:pt idx="3">
                  <c:v>3.8082716056062664E-2</c:v>
                </c:pt>
                <c:pt idx="4">
                  <c:v>3.6351831218487736E-2</c:v>
                </c:pt>
                <c:pt idx="5">
                  <c:v>3.781293638339836E-2</c:v>
                </c:pt>
                <c:pt idx="6">
                  <c:v>3.6322366554408299E-2</c:v>
                </c:pt>
                <c:pt idx="7">
                  <c:v>4.0058299047829163E-2</c:v>
                </c:pt>
                <c:pt idx="8">
                  <c:v>3.8307895048470167E-2</c:v>
                </c:pt>
                <c:pt idx="9">
                  <c:v>3.9839846989591643E-2</c:v>
                </c:pt>
              </c:numCache>
            </c:numRef>
          </c:val>
        </c:ser>
        <c:ser>
          <c:idx val="4"/>
          <c:order val="4"/>
          <c:tx>
            <c:strRef>
              <c:f>'Screener Output'!$A$175</c:f>
              <c:strCache>
                <c:ptCount val="1"/>
                <c:pt idx="0">
                  <c:v>Selling and admin</c:v>
                </c:pt>
              </c:strCache>
            </c:strRef>
          </c:tx>
          <c:spPr>
            <a:solidFill>
              <a:schemeClr val="accent5">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Output'!$C$175:$L$175</c:f>
              <c:numCache>
                <c:formatCode>0%</c:formatCode>
                <c:ptCount val="10"/>
                <c:pt idx="0">
                  <c:v>0.1426361677535353</c:v>
                </c:pt>
                <c:pt idx="1">
                  <c:v>0.15737050232958774</c:v>
                </c:pt>
                <c:pt idx="2">
                  <c:v>0.14222462133626368</c:v>
                </c:pt>
                <c:pt idx="3">
                  <c:v>0.14185563737823539</c:v>
                </c:pt>
                <c:pt idx="4">
                  <c:v>0.14759244266670943</c:v>
                </c:pt>
                <c:pt idx="5">
                  <c:v>0.1484085052473979</c:v>
                </c:pt>
                <c:pt idx="6">
                  <c:v>0.13928302678163895</c:v>
                </c:pt>
                <c:pt idx="7">
                  <c:v>0.11227612719706909</c:v>
                </c:pt>
                <c:pt idx="8">
                  <c:v>9.9407580750122487E-2</c:v>
                </c:pt>
                <c:pt idx="9">
                  <c:v>9.4587891702280477E-2</c:v>
                </c:pt>
              </c:numCache>
            </c:numRef>
          </c:val>
        </c:ser>
        <c:ser>
          <c:idx val="5"/>
          <c:order val="5"/>
          <c:tx>
            <c:strRef>
              <c:f>'Screener Output'!$A$176</c:f>
              <c:strCache>
                <c:ptCount val="1"/>
                <c:pt idx="0">
                  <c:v>Other Expenses</c:v>
                </c:pt>
              </c:strCache>
            </c:strRef>
          </c:tx>
          <c:spPr>
            <a:solidFill>
              <a:schemeClr val="accent6">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Output'!$C$176:$L$176</c:f>
              <c:numCache>
                <c:formatCode>0%</c:formatCode>
                <c:ptCount val="10"/>
                <c:pt idx="0">
                  <c:v>3.5037600422380459E-2</c:v>
                </c:pt>
                <c:pt idx="1">
                  <c:v>3.5080850397400262E-2</c:v>
                </c:pt>
                <c:pt idx="2">
                  <c:v>2.7249222965519158E-2</c:v>
                </c:pt>
                <c:pt idx="3">
                  <c:v>3.2098418074816351E-2</c:v>
                </c:pt>
                <c:pt idx="4">
                  <c:v>3.1640120878856627E-2</c:v>
                </c:pt>
                <c:pt idx="5">
                  <c:v>2.8831176309690051E-2</c:v>
                </c:pt>
                <c:pt idx="6">
                  <c:v>2.7930128418637356E-2</c:v>
                </c:pt>
                <c:pt idx="7">
                  <c:v>3.1294666012640852E-2</c:v>
                </c:pt>
                <c:pt idx="8">
                  <c:v>3.3178954504417879E-2</c:v>
                </c:pt>
                <c:pt idx="9">
                  <c:v>3.3107944557535643E-2</c:v>
                </c:pt>
              </c:numCache>
            </c:numRef>
          </c:val>
        </c:ser>
        <c:ser>
          <c:idx val="6"/>
          <c:order val="6"/>
          <c:tx>
            <c:strRef>
              <c:f>'Screener Output'!$A$177</c:f>
              <c:strCache>
                <c:ptCount val="1"/>
                <c:pt idx="0">
                  <c:v>Depreciation</c:v>
                </c:pt>
              </c:strCache>
            </c:strRef>
          </c:tx>
          <c:spPr>
            <a:solidFill>
              <a:schemeClr val="accent1">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Output'!$C$177:$L$177</c:f>
              <c:numCache>
                <c:formatCode>0%</c:formatCode>
                <c:ptCount val="10"/>
                <c:pt idx="0">
                  <c:v>1.8810199917236262E-2</c:v>
                </c:pt>
                <c:pt idx="1">
                  <c:v>1.5199091656552212E-2</c:v>
                </c:pt>
                <c:pt idx="2">
                  <c:v>1.3904151109911552E-2</c:v>
                </c:pt>
                <c:pt idx="3">
                  <c:v>1.1151571554564785E-2</c:v>
                </c:pt>
                <c:pt idx="4">
                  <c:v>1.172717289363783E-2</c:v>
                </c:pt>
                <c:pt idx="5">
                  <c:v>1.1974720354721219E-2</c:v>
                </c:pt>
                <c:pt idx="6">
                  <c:v>1.7823174567928646E-2</c:v>
                </c:pt>
                <c:pt idx="7">
                  <c:v>1.3308564843608815E-2</c:v>
                </c:pt>
                <c:pt idx="8">
                  <c:v>1.2957609377020042E-2</c:v>
                </c:pt>
                <c:pt idx="9">
                  <c:v>1.4093742683793037E-2</c:v>
                </c:pt>
              </c:numCache>
            </c:numRef>
          </c:val>
        </c:ser>
        <c:ser>
          <c:idx val="7"/>
          <c:order val="7"/>
          <c:tx>
            <c:strRef>
              <c:f>'Screener Output'!$A$178</c:f>
              <c:strCache>
                <c:ptCount val="1"/>
                <c:pt idx="0">
                  <c:v>Interest</c:v>
                </c:pt>
              </c:strCache>
            </c:strRef>
          </c:tx>
          <c:spPr>
            <a:solidFill>
              <a:schemeClr val="accent2">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Output'!$C$178:$L$178</c:f>
              <c:numCache>
                <c:formatCode>0%</c:formatCode>
                <c:ptCount val="10"/>
                <c:pt idx="0">
                  <c:v>9.303785727536068E-3</c:v>
                </c:pt>
                <c:pt idx="1">
                  <c:v>6.1208775432963995E-3</c:v>
                </c:pt>
                <c:pt idx="2">
                  <c:v>9.345834431142213E-3</c:v>
                </c:pt>
                <c:pt idx="3">
                  <c:v>7.5029173001762107E-3</c:v>
                </c:pt>
                <c:pt idx="4">
                  <c:v>6.6210832605227933E-3</c:v>
                </c:pt>
                <c:pt idx="5">
                  <c:v>1.1934411125347306E-3</c:v>
                </c:pt>
                <c:pt idx="6">
                  <c:v>4.7617285321293311E-4</c:v>
                </c:pt>
                <c:pt idx="7">
                  <c:v>5.7149026354267642E-4</c:v>
                </c:pt>
                <c:pt idx="8">
                  <c:v>5.920933269452438E-4</c:v>
                </c:pt>
                <c:pt idx="9">
                  <c:v>7.5294929942978223E-4</c:v>
                </c:pt>
              </c:numCache>
            </c:numRef>
          </c:val>
        </c:ser>
        <c:ser>
          <c:idx val="8"/>
          <c:order val="8"/>
          <c:tx>
            <c:strRef>
              <c:f>'Screener Output'!$A$179</c:f>
              <c:strCache>
                <c:ptCount val="1"/>
                <c:pt idx="0">
                  <c:v>Tax</c:v>
                </c:pt>
              </c:strCache>
            </c:strRef>
          </c:tx>
          <c:spPr>
            <a:solidFill>
              <a:schemeClr val="bg1">
                <a:lumMod val="65000"/>
                <a:alpha val="85000"/>
              </a:schemeClr>
            </a:solidFill>
            <a:ln w="9525" cap="flat" cmpd="sng" algn="ctr">
              <a:solidFill>
                <a:schemeClr val="bg1">
                  <a:lumMod val="65000"/>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Output'!$C$179:$L$179</c:f>
              <c:numCache>
                <c:formatCode>0%</c:formatCode>
                <c:ptCount val="10"/>
                <c:pt idx="0">
                  <c:v>1.5091539548224149E-2</c:v>
                </c:pt>
                <c:pt idx="1">
                  <c:v>1.4251595473943855E-3</c:v>
                </c:pt>
                <c:pt idx="2">
                  <c:v>1.13400979781038E-2</c:v>
                </c:pt>
                <c:pt idx="3">
                  <c:v>1.2056971671076432E-2</c:v>
                </c:pt>
                <c:pt idx="4">
                  <c:v>1.579921925725233E-2</c:v>
                </c:pt>
                <c:pt idx="5">
                  <c:v>2.4988842981155435E-2</c:v>
                </c:pt>
                <c:pt idx="6">
                  <c:v>3.2210749663841708E-2</c:v>
                </c:pt>
                <c:pt idx="7">
                  <c:v>4.648199042900495E-2</c:v>
                </c:pt>
                <c:pt idx="8">
                  <c:v>4.5593358994332193E-2</c:v>
                </c:pt>
                <c:pt idx="9">
                  <c:v>5.1012067029352126E-2</c:v>
                </c:pt>
              </c:numCache>
            </c:numRef>
          </c:val>
        </c:ser>
        <c:ser>
          <c:idx val="9"/>
          <c:order val="9"/>
          <c:tx>
            <c:strRef>
              <c:f>'Screener Output'!$A$180</c:f>
              <c:strCache>
                <c:ptCount val="1"/>
                <c:pt idx="0">
                  <c:v>Net profit</c:v>
                </c:pt>
              </c:strCache>
            </c:strRef>
          </c:tx>
          <c:spPr>
            <a:solidFill>
              <a:srgbClr val="00B050">
                <a:alpha val="85000"/>
              </a:srgbClr>
            </a:solidFill>
            <a:ln w="9525" cap="flat" cmpd="sng" algn="ctr">
              <a:solidFill>
                <a:srgbClr val="00B050">
                  <a:alpha val="50000"/>
                </a:srgb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Output'!$C$180:$L$180</c:f>
              <c:numCache>
                <c:formatCode>0%</c:formatCode>
                <c:ptCount val="10"/>
                <c:pt idx="0">
                  <c:v>4.0879578761112367E-2</c:v>
                </c:pt>
                <c:pt idx="1">
                  <c:v>2.6910979731934237E-2</c:v>
                </c:pt>
                <c:pt idx="2">
                  <c:v>2.8748669241430269E-2</c:v>
                </c:pt>
                <c:pt idx="3">
                  <c:v>3.6023020970293307E-2</c:v>
                </c:pt>
                <c:pt idx="4">
                  <c:v>4.1663126337643241E-2</c:v>
                </c:pt>
                <c:pt idx="5">
                  <c:v>5.697133725868464E-2</c:v>
                </c:pt>
                <c:pt idx="6">
                  <c:v>8.4931473051823914E-2</c:v>
                </c:pt>
                <c:pt idx="7">
                  <c:v>9.6737928881733382E-2</c:v>
                </c:pt>
                <c:pt idx="8">
                  <c:v>9.6074475562841988E-2</c:v>
                </c:pt>
                <c:pt idx="9">
                  <c:v>9.9613505866853913E-2</c:v>
                </c:pt>
              </c:numCache>
            </c:numRef>
          </c:val>
        </c:ser>
        <c:dLbls>
          <c:showLegendKey val="0"/>
          <c:showVal val="1"/>
          <c:showCatName val="0"/>
          <c:showSerName val="0"/>
          <c:showPercent val="0"/>
          <c:showBubbleSize val="0"/>
        </c:dLbls>
        <c:axId val="-1808798976"/>
        <c:axId val="-1808804960"/>
      </c:areaChart>
      <c:dateAx>
        <c:axId val="-180879897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808804960"/>
        <c:crosses val="autoZero"/>
        <c:auto val="1"/>
        <c:lblOffset val="100"/>
        <c:baseTimeUnit val="years"/>
      </c:dateAx>
      <c:valAx>
        <c:axId val="-18088049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808798976"/>
        <c:crosses val="autoZero"/>
        <c:crossBetween val="midCat"/>
      </c:valAx>
      <c:spPr>
        <a:noFill/>
        <a:ln>
          <a:noFill/>
        </a:ln>
        <a:effectLst/>
      </c:spPr>
    </c:plotArea>
    <c:legend>
      <c:legendPos val="r"/>
      <c:layout>
        <c:manualLayout>
          <c:xMode val="edge"/>
          <c:yMode val="edge"/>
          <c:x val="0.81952101689421786"/>
          <c:y val="5.9422592973785602E-4"/>
          <c:w val="0.17567055350778257"/>
          <c:h val="0.999405774070262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Output'!$A$113:$B$113</c:f>
              <c:strCache>
                <c:ptCount val="2"/>
                <c:pt idx="0">
                  <c:v>Inventory Turnover ratio</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Output'!$C$113:$L$113</c:f>
              <c:numCache>
                <c:formatCode>0.0</c:formatCode>
                <c:ptCount val="10"/>
                <c:pt idx="0">
                  <c:v>7.4082579930028754</c:v>
                </c:pt>
                <c:pt idx="1">
                  <c:v>8.226480013493001</c:v>
                </c:pt>
                <c:pt idx="2">
                  <c:v>9.3472879169482166</c:v>
                </c:pt>
                <c:pt idx="3">
                  <c:v>9.1094245611331566</c:v>
                </c:pt>
                <c:pt idx="4">
                  <c:v>9.5954267574370977</c:v>
                </c:pt>
                <c:pt idx="5">
                  <c:v>10.522882230105415</c:v>
                </c:pt>
                <c:pt idx="6">
                  <c:v>11.457364341085272</c:v>
                </c:pt>
                <c:pt idx="7">
                  <c:v>11.878890480531318</c:v>
                </c:pt>
                <c:pt idx="8">
                  <c:v>10.240232283821795</c:v>
                </c:pt>
                <c:pt idx="9">
                  <c:v>9.2841490138787446</c:v>
                </c:pt>
              </c:numCache>
            </c:numRef>
          </c:val>
        </c:ser>
        <c:dLbls>
          <c:dLblPos val="inEnd"/>
          <c:showLegendKey val="0"/>
          <c:showVal val="1"/>
          <c:showCatName val="0"/>
          <c:showSerName val="0"/>
          <c:showPercent val="0"/>
          <c:showBubbleSize val="0"/>
        </c:dLbls>
        <c:gapWidth val="41"/>
        <c:axId val="-1806662608"/>
        <c:axId val="-1806656080"/>
      </c:barChart>
      <c:dateAx>
        <c:axId val="-180666260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806656080"/>
        <c:crosses val="autoZero"/>
        <c:auto val="1"/>
        <c:lblOffset val="100"/>
        <c:baseTimeUnit val="years"/>
      </c:dateAx>
      <c:valAx>
        <c:axId val="-1806656080"/>
        <c:scaling>
          <c:orientation val="minMax"/>
        </c:scaling>
        <c:delete val="1"/>
        <c:axPos val="l"/>
        <c:numFmt formatCode="0.0" sourceLinked="1"/>
        <c:majorTickMark val="none"/>
        <c:minorTickMark val="none"/>
        <c:tickLblPos val="nextTo"/>
        <c:crossAx val="-180666260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Output'!$A$100:$B$100</c:f>
              <c:strCache>
                <c:ptCount val="2"/>
                <c:pt idx="0">
                  <c:v>Equity</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Output'!$C$100:$L$100</c:f>
              <c:numCache>
                <c:formatCode>0%</c:formatCode>
                <c:ptCount val="10"/>
                <c:pt idx="0">
                  <c:v>0.47858104835767029</c:v>
                </c:pt>
                <c:pt idx="1">
                  <c:v>0.18374135869847705</c:v>
                </c:pt>
                <c:pt idx="2">
                  <c:v>0.19835369414971285</c:v>
                </c:pt>
                <c:pt idx="3">
                  <c:v>0.21911565463727059</c:v>
                </c:pt>
                <c:pt idx="4">
                  <c:v>0.29079736618966362</c:v>
                </c:pt>
                <c:pt idx="5">
                  <c:v>0.37259167619803457</c:v>
                </c:pt>
                <c:pt idx="6">
                  <c:v>0.44210687033742729</c:v>
                </c:pt>
                <c:pt idx="7">
                  <c:v>0.59246670405556212</c:v>
                </c:pt>
                <c:pt idx="8">
                  <c:v>0.64864877868067683</c:v>
                </c:pt>
                <c:pt idx="9">
                  <c:v>0.64971283716121742</c:v>
                </c:pt>
              </c:numCache>
            </c:numRef>
          </c:val>
        </c:ser>
        <c:ser>
          <c:idx val="1"/>
          <c:order val="1"/>
          <c:tx>
            <c:strRef>
              <c:f>'Screener Output'!$A$101:$B$101</c:f>
              <c:strCache>
                <c:ptCount val="2"/>
                <c:pt idx="0">
                  <c:v>Float</c:v>
                </c:pt>
              </c:strCache>
            </c:strRef>
          </c:tx>
          <c:spPr>
            <a:solidFill>
              <a:schemeClr val="accent6">
                <a:lumMod val="60000"/>
                <a:lumOff val="4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Output'!$C$101:$L$101</c:f>
              <c:numCache>
                <c:formatCode>0%</c:formatCode>
                <c:ptCount val="10"/>
                <c:pt idx="0">
                  <c:v>0.3390941478527974</c:v>
                </c:pt>
                <c:pt idx="1">
                  <c:v>0.38941732938302404</c:v>
                </c:pt>
                <c:pt idx="2">
                  <c:v>0.42570329991239175</c:v>
                </c:pt>
                <c:pt idx="3">
                  <c:v>0.45732233033624836</c:v>
                </c:pt>
                <c:pt idx="4">
                  <c:v>0.51030598678907535</c:v>
                </c:pt>
                <c:pt idx="5">
                  <c:v>0.55749398940267503</c:v>
                </c:pt>
                <c:pt idx="6">
                  <c:v>0.50638246499852646</c:v>
                </c:pt>
                <c:pt idx="7">
                  <c:v>0.37041348719430328</c:v>
                </c:pt>
                <c:pt idx="8">
                  <c:v>0.32138716087159425</c:v>
                </c:pt>
                <c:pt idx="9">
                  <c:v>0.31200514241789012</c:v>
                </c:pt>
              </c:numCache>
            </c:numRef>
          </c:val>
        </c:ser>
        <c:ser>
          <c:idx val="2"/>
          <c:order val="2"/>
          <c:tx>
            <c:strRef>
              <c:f>'Screener Output'!$A$102:$B$102</c:f>
              <c:strCache>
                <c:ptCount val="2"/>
                <c:pt idx="0">
                  <c:v>Debt</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Output'!$C$102:$L$102</c:f>
              <c:numCache>
                <c:formatCode>0%</c:formatCode>
                <c:ptCount val="10"/>
                <c:pt idx="0">
                  <c:v>0.18232480378953234</c:v>
                </c:pt>
                <c:pt idx="1">
                  <c:v>0.42684131191849889</c:v>
                </c:pt>
                <c:pt idx="2">
                  <c:v>0.37594300593789548</c:v>
                </c:pt>
                <c:pt idx="3">
                  <c:v>0.32356201502648113</c:v>
                </c:pt>
                <c:pt idx="4">
                  <c:v>0.198896647021261</c:v>
                </c:pt>
                <c:pt idx="5">
                  <c:v>6.9914334399290387E-2</c:v>
                </c:pt>
                <c:pt idx="6">
                  <c:v>5.1510664664046218E-2</c:v>
                </c:pt>
                <c:pt idx="7">
                  <c:v>3.7119808750134549E-2</c:v>
                </c:pt>
                <c:pt idx="8">
                  <c:v>2.9964060447728879E-2</c:v>
                </c:pt>
                <c:pt idx="9">
                  <c:v>3.8282020420892404E-2</c:v>
                </c:pt>
              </c:numCache>
            </c:numRef>
          </c:val>
        </c:ser>
        <c:dLbls>
          <c:dLblPos val="ctr"/>
          <c:showLegendKey val="0"/>
          <c:showVal val="1"/>
          <c:showCatName val="0"/>
          <c:showSerName val="0"/>
          <c:showPercent val="0"/>
          <c:showBubbleSize val="0"/>
        </c:dLbls>
        <c:gapWidth val="150"/>
        <c:overlap val="100"/>
        <c:axId val="-1806652272"/>
        <c:axId val="-1806659888"/>
      </c:barChart>
      <c:dateAx>
        <c:axId val="-180665227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06659888"/>
        <c:crosses val="autoZero"/>
        <c:auto val="1"/>
        <c:lblOffset val="100"/>
        <c:baseTimeUnit val="years"/>
      </c:dateAx>
      <c:valAx>
        <c:axId val="-18066598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8066522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Output'!$C$114:$L$114</c:f>
              <c:numCache>
                <c:formatCode>0%</c:formatCode>
                <c:ptCount val="10"/>
                <c:pt idx="0">
                  <c:v>8.4381932813637206E-2</c:v>
                </c:pt>
                <c:pt idx="1">
                  <c:v>8.0630070688142569E-2</c:v>
                </c:pt>
                <c:pt idx="2">
                  <c:v>7.5270426825299705E-2</c:v>
                </c:pt>
                <c:pt idx="3">
                  <c:v>7.8711189947077403E-2</c:v>
                </c:pt>
                <c:pt idx="4">
                  <c:v>6.0573187549410636E-2</c:v>
                </c:pt>
                <c:pt idx="5">
                  <c:v>6.0796706356841236E-2</c:v>
                </c:pt>
                <c:pt idx="6">
                  <c:v>5.1414915466467814E-2</c:v>
                </c:pt>
                <c:pt idx="7">
                  <c:v>5.2475637799607726E-2</c:v>
                </c:pt>
                <c:pt idx="8">
                  <c:v>7.3055381601022304E-2</c:v>
                </c:pt>
                <c:pt idx="9">
                  <c:v>6.5845335732636401E-2</c:v>
                </c:pt>
              </c:numCache>
            </c:numRef>
          </c:val>
          <c:smooth val="0"/>
        </c:ser>
        <c:dLbls>
          <c:dLblPos val="ctr"/>
          <c:showLegendKey val="0"/>
          <c:showVal val="1"/>
          <c:showCatName val="0"/>
          <c:showSerName val="0"/>
          <c:showPercent val="0"/>
          <c:showBubbleSize val="0"/>
        </c:dLbls>
        <c:marker val="1"/>
        <c:smooth val="0"/>
        <c:axId val="-1806662064"/>
        <c:axId val="-1806659344"/>
      </c:lineChart>
      <c:dateAx>
        <c:axId val="-180666206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06659344"/>
        <c:crosses val="autoZero"/>
        <c:auto val="1"/>
        <c:lblOffset val="100"/>
        <c:baseTimeUnit val="years"/>
      </c:dateAx>
      <c:valAx>
        <c:axId val="-18066593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8066620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'Shareholding input'!$B$6</c:f>
              <c:strCache>
                <c:ptCount val="1"/>
                <c:pt idx="0">
                  <c:v>Employee trust &amp; Insurance Co</c:v>
                </c:pt>
              </c:strCache>
            </c:strRef>
          </c:tx>
          <c:spPr>
            <a:solidFill>
              <a:srgbClr val="00B050">
                <a:alpha val="85000"/>
              </a:srgb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input'!$C$6:$H$6</c:f>
              <c:numCache>
                <c:formatCode>0%</c:formatCode>
                <c:ptCount val="6"/>
                <c:pt idx="0">
                  <c:v>0.50700000000000001</c:v>
                </c:pt>
                <c:pt idx="1">
                  <c:v>0.50700000000000001</c:v>
                </c:pt>
                <c:pt idx="2">
                  <c:v>0.50700000000000001</c:v>
                </c:pt>
                <c:pt idx="3">
                  <c:v>0.50700000000000001</c:v>
                </c:pt>
                <c:pt idx="4">
                  <c:v>0.50700000000000001</c:v>
                </c:pt>
                <c:pt idx="5">
                  <c:v>0.50700000000000001</c:v>
                </c:pt>
              </c:numCache>
            </c:numRef>
          </c:val>
        </c:ser>
        <c:ser>
          <c:idx val="1"/>
          <c:order val="1"/>
          <c:tx>
            <c:strRef>
              <c:f>'Shareholding input'!$B$7</c:f>
              <c:strCache>
                <c:ptCount val="1"/>
                <c:pt idx="0">
                  <c:v>Promoter pledged</c:v>
                </c:pt>
              </c:strCache>
            </c:strRef>
          </c:tx>
          <c:spPr>
            <a:solidFill>
              <a:schemeClr val="accent2">
                <a:alpha val="85000"/>
              </a:schemeClr>
            </a:solidFill>
            <a:ln w="9525" cap="flat" cmpd="sng" algn="ctr">
              <a:solidFill>
                <a:schemeClr val="lt1">
                  <a:alpha val="50000"/>
                </a:schemeClr>
              </a:solidFill>
              <a:round/>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input'!$C$7:$H$7</c:f>
              <c:numCache>
                <c:formatCode>0%</c:formatCode>
                <c:ptCount val="6"/>
                <c:pt idx="1">
                  <c:v>0</c:v>
                </c:pt>
                <c:pt idx="2">
                  <c:v>0</c:v>
                </c:pt>
                <c:pt idx="3">
                  <c:v>0</c:v>
                </c:pt>
                <c:pt idx="4">
                  <c:v>0</c:v>
                </c:pt>
                <c:pt idx="5">
                  <c:v>0</c:v>
                </c:pt>
              </c:numCache>
            </c:numRef>
          </c:val>
        </c:ser>
        <c:ser>
          <c:idx val="2"/>
          <c:order val="2"/>
          <c:tx>
            <c:strRef>
              <c:f>'Shareholding input'!$B$8</c:f>
              <c:strCache>
                <c:ptCount val="1"/>
                <c:pt idx="0">
                  <c:v>FII</c:v>
                </c:pt>
              </c:strCache>
            </c:strRef>
          </c:tx>
          <c:spPr>
            <a:solidFill>
              <a:schemeClr val="accent3">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input'!$C$8:$H$8</c:f>
              <c:numCache>
                <c:formatCode>0%</c:formatCode>
                <c:ptCount val="6"/>
                <c:pt idx="0">
                  <c:v>0.1726</c:v>
                </c:pt>
                <c:pt idx="1">
                  <c:v>0.17050000000000001</c:v>
                </c:pt>
                <c:pt idx="2">
                  <c:v>0.1101</c:v>
                </c:pt>
                <c:pt idx="3">
                  <c:v>6.5100000000000005E-2</c:v>
                </c:pt>
                <c:pt idx="4">
                  <c:v>0.191</c:v>
                </c:pt>
                <c:pt idx="5">
                  <c:v>0.2011</c:v>
                </c:pt>
              </c:numCache>
            </c:numRef>
          </c:val>
        </c:ser>
        <c:ser>
          <c:idx val="3"/>
          <c:order val="3"/>
          <c:tx>
            <c:strRef>
              <c:f>'Shareholding input'!$B$9</c:f>
              <c:strCache>
                <c:ptCount val="1"/>
                <c:pt idx="0">
                  <c:v>Mutual funds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input'!$C$9:$H$9</c:f>
              <c:numCache>
                <c:formatCode>0%</c:formatCode>
                <c:ptCount val="6"/>
                <c:pt idx="0">
                  <c:v>5.4800000000000001E-2</c:v>
                </c:pt>
                <c:pt idx="1">
                  <c:v>5.9700000000000003E-2</c:v>
                </c:pt>
                <c:pt idx="2">
                  <c:v>6.7000000000000004E-2</c:v>
                </c:pt>
                <c:pt idx="3">
                  <c:v>6.1600000000000002E-2</c:v>
                </c:pt>
                <c:pt idx="4">
                  <c:v>5.21E-2</c:v>
                </c:pt>
                <c:pt idx="5">
                  <c:v>3.7499999999999999E-2</c:v>
                </c:pt>
              </c:numCache>
            </c:numRef>
          </c:val>
        </c:ser>
        <c:ser>
          <c:idx val="4"/>
          <c:order val="4"/>
          <c:tx>
            <c:strRef>
              <c:f>'Shareholding input'!$B$10</c:f>
              <c:strCache>
                <c:ptCount val="1"/>
                <c:pt idx="0">
                  <c:v>Bodies corporate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input'!$C$10:$H$10</c:f>
              <c:numCache>
                <c:formatCode>0%</c:formatCode>
                <c:ptCount val="6"/>
                <c:pt idx="0">
                  <c:v>2.52E-2</c:v>
                </c:pt>
                <c:pt idx="1">
                  <c:v>2.3599999999999999E-2</c:v>
                </c:pt>
                <c:pt idx="2">
                  <c:v>2.9000000000000001E-2</c:v>
                </c:pt>
                <c:pt idx="4">
                  <c:v>3.6999999999999998E-2</c:v>
                </c:pt>
                <c:pt idx="5">
                  <c:v>3.2500000000000001E-2</c:v>
                </c:pt>
              </c:numCache>
            </c:numRef>
          </c:val>
        </c:ser>
        <c:ser>
          <c:idx val="5"/>
          <c:order val="5"/>
          <c:tx>
            <c:strRef>
              <c:f>'Shareholding input'!$B$11</c:f>
              <c:strCache>
                <c:ptCount val="1"/>
                <c:pt idx="0">
                  <c:v>Individuals &lt;= 2 lakh</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input'!$C$11:$H$11</c:f>
              <c:numCache>
                <c:formatCode>0%</c:formatCode>
                <c:ptCount val="6"/>
                <c:pt idx="0">
                  <c:v>0.1353</c:v>
                </c:pt>
                <c:pt idx="1">
                  <c:v>0.13489999999999999</c:v>
                </c:pt>
                <c:pt idx="2">
                  <c:v>0.1449</c:v>
                </c:pt>
                <c:pt idx="3">
                  <c:v>0.14749999999999999</c:v>
                </c:pt>
                <c:pt idx="4">
                  <c:v>0.13589999999999999</c:v>
                </c:pt>
                <c:pt idx="5">
                  <c:v>0.13619999999999999</c:v>
                </c:pt>
              </c:numCache>
            </c:numRef>
          </c:val>
        </c:ser>
        <c:ser>
          <c:idx val="6"/>
          <c:order val="6"/>
          <c:tx>
            <c:strRef>
              <c:f>'Shareholding input'!$B$12</c:f>
              <c:strCache>
                <c:ptCount val="1"/>
                <c:pt idx="0">
                  <c:v>Individuals &gt; 2 lakh</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input'!$C$12:$H$12</c:f>
              <c:numCache>
                <c:formatCode>0%</c:formatCode>
                <c:ptCount val="6"/>
                <c:pt idx="0">
                  <c:v>1.5699999999999999E-2</c:v>
                </c:pt>
                <c:pt idx="1">
                  <c:v>1.5699999999999999E-2</c:v>
                </c:pt>
                <c:pt idx="2">
                  <c:v>1.9099999999999999E-2</c:v>
                </c:pt>
                <c:pt idx="3">
                  <c:v>2.4500000000000001E-2</c:v>
                </c:pt>
                <c:pt idx="4">
                  <c:v>3.6299999999999999E-2</c:v>
                </c:pt>
                <c:pt idx="5">
                  <c:v>3.85E-2</c:v>
                </c:pt>
              </c:numCache>
            </c:numRef>
          </c:val>
        </c:ser>
        <c:ser>
          <c:idx val="7"/>
          <c:order val="7"/>
          <c:tx>
            <c:strRef>
              <c:f>'Shareholding input'!$B$13</c:f>
              <c:strCache>
                <c:ptCount val="1"/>
                <c:pt idx="0">
                  <c:v>Others</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input'!$C$13:$H$13</c:f>
              <c:numCache>
                <c:formatCode>0%</c:formatCode>
                <c:ptCount val="6"/>
                <c:pt idx="0">
                  <c:v>8.9400000000000035E-2</c:v>
                </c:pt>
                <c:pt idx="1">
                  <c:v>8.8600000000000012E-2</c:v>
                </c:pt>
                <c:pt idx="2">
                  <c:v>0.12290000000000001</c:v>
                </c:pt>
                <c:pt idx="3">
                  <c:v>0.19430000000000003</c:v>
                </c:pt>
                <c:pt idx="4">
                  <c:v>4.0699999999999958E-2</c:v>
                </c:pt>
                <c:pt idx="5">
                  <c:v>4.7200000000000131E-2</c:v>
                </c:pt>
              </c:numCache>
            </c:numRef>
          </c:val>
        </c:ser>
        <c:dLbls>
          <c:dLblPos val="ctr"/>
          <c:showLegendKey val="0"/>
          <c:showVal val="1"/>
          <c:showCatName val="0"/>
          <c:showSerName val="0"/>
          <c:showPercent val="0"/>
          <c:showBubbleSize val="0"/>
        </c:dLbls>
        <c:gapWidth val="150"/>
        <c:overlap val="100"/>
        <c:axId val="-1806655536"/>
        <c:axId val="-1806654448"/>
      </c:barChart>
      <c:dateAx>
        <c:axId val="-1806655536"/>
        <c:scaling>
          <c:orientation val="minMax"/>
        </c:scaling>
        <c:delete val="0"/>
        <c:axPos val="l"/>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06654448"/>
        <c:crosses val="autoZero"/>
        <c:auto val="1"/>
        <c:lblOffset val="100"/>
        <c:baseTimeUnit val="years"/>
      </c:dateAx>
      <c:valAx>
        <c:axId val="-180665444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8066555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Piotroski Score</a:t>
            </a:r>
          </a:p>
        </c:rich>
      </c:tx>
      <c:layout/>
      <c:overlay val="0"/>
    </c:title>
    <c:autoTitleDeleted val="0"/>
    <c:plotArea>
      <c:layout/>
      <c:doughnutChart>
        <c:varyColors val="1"/>
        <c:ser>
          <c:idx val="0"/>
          <c:order val="0"/>
          <c:tx>
            <c:strRef>
              <c:f>Piotroski!$F$11</c:f>
              <c:strCache>
                <c:ptCount val="1"/>
                <c:pt idx="0">
                  <c:v>288%</c:v>
                </c:pt>
              </c:strCache>
            </c:strRef>
          </c:tx>
          <c:dPt>
            <c:idx val="4"/>
            <c:bubble3D val="0"/>
            <c:spPr>
              <a:noFill/>
            </c:spPr>
          </c:dPt>
          <c:val>
            <c:numRef>
              <c:f>Piotroski!$I$12:$I$16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Piotroski!$D$11</c:f>
              <c:strCache>
                <c:ptCount val="1"/>
                <c:pt idx="0">
                  <c:v>221%</c:v>
                </c:pt>
              </c:strCache>
            </c:strRef>
          </c:tx>
          <c:explosion val="1"/>
          <c:dPt>
            <c:idx val="0"/>
            <c:bubble3D val="0"/>
            <c:spPr>
              <a:noFill/>
            </c:spPr>
          </c:dPt>
          <c:dPt>
            <c:idx val="1"/>
            <c:bubble3D val="0"/>
            <c:spPr>
              <a:solidFill>
                <a:schemeClr val="tx1"/>
              </a:solidFill>
            </c:spPr>
          </c:dPt>
          <c:dPt>
            <c:idx val="2"/>
            <c:bubble3D val="0"/>
            <c:spPr>
              <a:noFill/>
            </c:spPr>
          </c:dPt>
          <c:val>
            <c:numRef>
              <c:f>Piotroski!$K$12:$K$14</c:f>
              <c:numCache>
                <c:formatCode>General</c:formatCode>
                <c:ptCount val="3"/>
                <c:pt idx="0" formatCode="0">
                  <c:v>44.444444444444443</c:v>
                </c:pt>
                <c:pt idx="1">
                  <c:v>1</c:v>
                </c:pt>
                <c:pt idx="2">
                  <c:v>154.55555555555554</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doughnutChart>
        <c:varyColors val="1"/>
        <c:ser>
          <c:idx val="0"/>
          <c:order val="0"/>
          <c:tx>
            <c:strRef>
              <c:f>Altman!$G$4</c:f>
              <c:strCache>
                <c:ptCount val="1"/>
                <c:pt idx="0">
                  <c:v>Altman Score</c:v>
                </c:pt>
              </c:strCache>
            </c:strRef>
          </c:tx>
          <c:dPt>
            <c:idx val="4"/>
            <c:bubble3D val="0"/>
            <c:spPr>
              <a:noFill/>
            </c:spPr>
          </c:dPt>
          <c:val>
            <c:numRef>
              <c:f>Altman!$H$5:$H$9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Altman!$I$4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Altman!$J$5:$J$7</c:f>
              <c:numCache>
                <c:formatCode>General</c:formatCode>
                <c:ptCount val="3"/>
                <c:pt idx="0" formatCode="0">
                  <c:v>100</c:v>
                </c:pt>
                <c:pt idx="1">
                  <c:v>1</c:v>
                </c:pt>
                <c:pt idx="2">
                  <c:v>99</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Output'!$A$190</c:f>
              <c:strCache>
                <c:ptCount val="1"/>
                <c:pt idx="0">
                  <c:v>Sales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Output'!$D$190:$L$190</c:f>
              <c:numCache>
                <c:formatCode>0</c:formatCode>
                <c:ptCount val="9"/>
                <c:pt idx="0">
                  <c:v>2180.2599999999998</c:v>
                </c:pt>
                <c:pt idx="1">
                  <c:v>2428.16</c:v>
                </c:pt>
                <c:pt idx="2">
                  <c:v>2319.2399999999998</c:v>
                </c:pt>
                <c:pt idx="3">
                  <c:v>2278.04</c:v>
                </c:pt>
                <c:pt idx="4">
                  <c:v>2299.0499999999997</c:v>
                </c:pt>
                <c:pt idx="5">
                  <c:v>2596.2599999999998</c:v>
                </c:pt>
                <c:pt idx="6">
                  <c:v>2603.5700000000002</c:v>
                </c:pt>
                <c:pt idx="7">
                  <c:v>2581.9299999999998</c:v>
                </c:pt>
                <c:pt idx="8">
                  <c:v>2585.84</c:v>
                </c:pt>
              </c:numCache>
            </c:numRef>
          </c:val>
        </c:ser>
        <c:dLbls>
          <c:dLblPos val="inEnd"/>
          <c:showLegendKey val="0"/>
          <c:showVal val="1"/>
          <c:showCatName val="0"/>
          <c:showSerName val="0"/>
          <c:showPercent val="0"/>
          <c:showBubbleSize val="0"/>
        </c:dLbls>
        <c:gapWidth val="0"/>
        <c:axId val="-1808801152"/>
        <c:axId val="-1808808768"/>
      </c:barChart>
      <c:lineChart>
        <c:grouping val="standard"/>
        <c:varyColors val="0"/>
        <c:ser>
          <c:idx val="1"/>
          <c:order val="1"/>
          <c:tx>
            <c:strRef>
              <c:f>'Screener Output'!$A$191</c:f>
              <c:strCache>
                <c:ptCount val="1"/>
                <c:pt idx="0">
                  <c:v>Sales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Output'!$D$191:$L$191</c:f>
              <c:numCache>
                <c:formatCode>0%</c:formatCode>
                <c:ptCount val="9"/>
                <c:pt idx="3">
                  <c:v>4.9831559834278893E-2</c:v>
                </c:pt>
                <c:pt idx="4">
                  <c:v>5.4484327557263734E-2</c:v>
                </c:pt>
                <c:pt idx="5">
                  <c:v>6.9229375329467491E-2</c:v>
                </c:pt>
                <c:pt idx="6">
                  <c:v>0.12259619530535892</c:v>
                </c:pt>
                <c:pt idx="7">
                  <c:v>0.1333997647100138</c:v>
                </c:pt>
                <c:pt idx="8">
                  <c:v>0.1247428285596226</c:v>
                </c:pt>
              </c:numCache>
            </c:numRef>
          </c:val>
          <c:smooth val="0"/>
        </c:ser>
        <c:dLbls>
          <c:showLegendKey val="0"/>
          <c:showVal val="0"/>
          <c:showCatName val="0"/>
          <c:showSerName val="0"/>
          <c:showPercent val="0"/>
          <c:showBubbleSize val="0"/>
        </c:dLbls>
        <c:marker val="1"/>
        <c:smooth val="0"/>
        <c:axId val="-1808814208"/>
        <c:axId val="-1808806592"/>
      </c:lineChart>
      <c:dateAx>
        <c:axId val="-180880115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808808768"/>
        <c:crosses val="autoZero"/>
        <c:auto val="1"/>
        <c:lblOffset val="100"/>
        <c:baseTimeUnit val="months"/>
        <c:majorUnit val="3"/>
        <c:majorTimeUnit val="months"/>
      </c:dateAx>
      <c:valAx>
        <c:axId val="-180880876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808801152"/>
        <c:crosses val="autoZero"/>
        <c:crossBetween val="between"/>
      </c:valAx>
      <c:valAx>
        <c:axId val="-1808806592"/>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808814208"/>
        <c:crosses val="max"/>
        <c:crossBetween val="between"/>
        <c:majorUnit val="0.2"/>
      </c:valAx>
      <c:dateAx>
        <c:axId val="-1808814208"/>
        <c:scaling>
          <c:orientation val="minMax"/>
        </c:scaling>
        <c:delete val="1"/>
        <c:axPos val="b"/>
        <c:numFmt formatCode="[$-409]mmm\-yy;@" sourceLinked="1"/>
        <c:majorTickMark val="out"/>
        <c:minorTickMark val="none"/>
        <c:tickLblPos val="nextTo"/>
        <c:crossAx val="-1808806592"/>
        <c:crosses val="autoZero"/>
        <c:auto val="1"/>
        <c:lblOffset val="100"/>
        <c:baseTimeUnit val="month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120044335545495E-2"/>
          <c:y val="8.5099999999999995E-2"/>
          <c:w val="0.77090653363363681"/>
          <c:h val="0.74193333333333333"/>
        </c:manualLayout>
      </c:layout>
      <c:areaChart>
        <c:grouping val="percentStacked"/>
        <c:varyColors val="0"/>
        <c:ser>
          <c:idx val="0"/>
          <c:order val="0"/>
          <c:tx>
            <c:strRef>
              <c:f>'Screener Output'!$A$196</c:f>
              <c:strCache>
                <c:ptCount val="1"/>
                <c:pt idx="0">
                  <c:v>Expenses</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Output'!$C$196:$L$196</c:f>
              <c:numCache>
                <c:formatCode>0%</c:formatCode>
                <c:ptCount val="10"/>
                <c:pt idx="0">
                  <c:v>0.84953753842325264</c:v>
                </c:pt>
                <c:pt idx="1">
                  <c:v>0.83685890673589391</c:v>
                </c:pt>
                <c:pt idx="2">
                  <c:v>0.84346995255666846</c:v>
                </c:pt>
                <c:pt idx="3">
                  <c:v>0.84845035442645012</c:v>
                </c:pt>
                <c:pt idx="4">
                  <c:v>0.84998068515039249</c:v>
                </c:pt>
                <c:pt idx="5">
                  <c:v>0.84173462952088918</c:v>
                </c:pt>
                <c:pt idx="6">
                  <c:v>0.83490867632671617</c:v>
                </c:pt>
                <c:pt idx="7">
                  <c:v>0.83312528566545163</c:v>
                </c:pt>
                <c:pt idx="8">
                  <c:v>0.82924014206426977</c:v>
                </c:pt>
                <c:pt idx="9">
                  <c:v>0.83319153543916091</c:v>
                </c:pt>
              </c:numCache>
            </c:numRef>
          </c:val>
        </c:ser>
        <c:ser>
          <c:idx val="1"/>
          <c:order val="1"/>
          <c:tx>
            <c:strRef>
              <c:f>'Screener Output'!$A$197</c:f>
              <c:strCache>
                <c:ptCount val="1"/>
                <c:pt idx="0">
                  <c:v>Depreciation</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Output'!$C$197:$L$197</c:f>
              <c:numCache>
                <c:formatCode>0%</c:formatCode>
                <c:ptCount val="10"/>
                <c:pt idx="0">
                  <c:v>1.4203354056159013E-2</c:v>
                </c:pt>
                <c:pt idx="1">
                  <c:v>1.2778292497225103E-2</c:v>
                </c:pt>
                <c:pt idx="2">
                  <c:v>1.1914371375856617E-2</c:v>
                </c:pt>
                <c:pt idx="3">
                  <c:v>1.3051689346510065E-2</c:v>
                </c:pt>
                <c:pt idx="4">
                  <c:v>1.4139347860441433E-2</c:v>
                </c:pt>
                <c:pt idx="5">
                  <c:v>1.4436397642504513E-2</c:v>
                </c:pt>
                <c:pt idx="6">
                  <c:v>1.2957099828214432E-2</c:v>
                </c:pt>
                <c:pt idx="7">
                  <c:v>1.26326543937747E-2</c:v>
                </c:pt>
                <c:pt idx="8">
                  <c:v>1.6402458625911626E-2</c:v>
                </c:pt>
                <c:pt idx="9">
                  <c:v>1.3782755313553816E-2</c:v>
                </c:pt>
              </c:numCache>
            </c:numRef>
          </c:val>
        </c:ser>
        <c:ser>
          <c:idx val="2"/>
          <c:order val="2"/>
          <c:tx>
            <c:strRef>
              <c:f>'Screener Output'!$A$198</c:f>
              <c:strCache>
                <c:ptCount val="1"/>
                <c:pt idx="0">
                  <c:v>Interest</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Output'!$C$198:$L$198</c:f>
              <c:numCache>
                <c:formatCode>0%</c:formatCode>
                <c:ptCount val="10"/>
                <c:pt idx="0">
                  <c:v>6.8205593780387209E-4</c:v>
                </c:pt>
                <c:pt idx="1">
                  <c:v>6.8799134048232787E-4</c:v>
                </c:pt>
                <c:pt idx="2">
                  <c:v>6.3010674749604647E-4</c:v>
                </c:pt>
                <c:pt idx="3">
                  <c:v>4.7429330297856203E-4</c:v>
                </c:pt>
                <c:pt idx="4">
                  <c:v>5.7944548822672125E-4</c:v>
                </c:pt>
                <c:pt idx="5">
                  <c:v>5.5240207911963642E-4</c:v>
                </c:pt>
                <c:pt idx="6">
                  <c:v>5.3923721044887645E-4</c:v>
                </c:pt>
                <c:pt idx="7">
                  <c:v>9.7942440571983837E-4</c:v>
                </c:pt>
                <c:pt idx="8">
                  <c:v>9.1791799157994226E-4</c:v>
                </c:pt>
                <c:pt idx="9">
                  <c:v>9.4360053212882457E-4</c:v>
                </c:pt>
              </c:numCache>
            </c:numRef>
          </c:val>
        </c:ser>
        <c:ser>
          <c:idx val="3"/>
          <c:order val="3"/>
          <c:tx>
            <c:strRef>
              <c:f>'Screener Output'!$A$199</c:f>
              <c:strCache>
                <c:ptCount val="1"/>
                <c:pt idx="0">
                  <c:v>Tax</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Output'!$C$199:$L$199</c:f>
              <c:numCache>
                <c:formatCode>0%</c:formatCode>
                <c:ptCount val="10"/>
                <c:pt idx="0">
                  <c:v>4.3877395836693686E-2</c:v>
                </c:pt>
                <c:pt idx="1">
                  <c:v>4.9131754928311309E-2</c:v>
                </c:pt>
                <c:pt idx="2">
                  <c:v>4.7595710332103323E-2</c:v>
                </c:pt>
                <c:pt idx="3">
                  <c:v>4.297528500715752E-2</c:v>
                </c:pt>
                <c:pt idx="4">
                  <c:v>4.2716545802532001E-2</c:v>
                </c:pt>
                <c:pt idx="5">
                  <c:v>4.9272525608403478E-2</c:v>
                </c:pt>
                <c:pt idx="6">
                  <c:v>5.1054208746427562E-2</c:v>
                </c:pt>
                <c:pt idx="7">
                  <c:v>5.1997833743667343E-2</c:v>
                </c:pt>
                <c:pt idx="8">
                  <c:v>5.1515726607615234E-2</c:v>
                </c:pt>
                <c:pt idx="9">
                  <c:v>5.2277016366055133E-2</c:v>
                </c:pt>
              </c:numCache>
            </c:numRef>
          </c:val>
        </c:ser>
        <c:ser>
          <c:idx val="4"/>
          <c:order val="4"/>
          <c:tx>
            <c:strRef>
              <c:f>'Screener Output'!$A$200</c:f>
              <c:strCache>
                <c:ptCount val="1"/>
                <c:pt idx="0">
                  <c:v>Net profit</c:v>
                </c:pt>
              </c:strCache>
            </c:strRef>
          </c:tx>
          <c:spPr>
            <a:solidFill>
              <a:srgbClr val="00B050">
                <a:alpha val="85000"/>
              </a:srgbClr>
            </a:solidFill>
            <a:ln w="9525" cap="flat" cmpd="sng" algn="ctr">
              <a:solidFill>
                <a:schemeClr val="lt1">
                  <a:alpha val="50000"/>
                </a:scheme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Output'!$C$200:$L$200</c:f>
              <c:numCache>
                <c:formatCode>0%</c:formatCode>
                <c:ptCount val="10"/>
                <c:pt idx="0">
                  <c:v>9.1699655746090736E-2</c:v>
                </c:pt>
                <c:pt idx="1">
                  <c:v>0.10054305449808731</c:v>
                </c:pt>
                <c:pt idx="2">
                  <c:v>9.6389858987875554E-2</c:v>
                </c:pt>
                <c:pt idx="3">
                  <c:v>9.5048377916903792E-2</c:v>
                </c:pt>
                <c:pt idx="4">
                  <c:v>9.2583975698407261E-2</c:v>
                </c:pt>
                <c:pt idx="5">
                  <c:v>9.4004045149083226E-2</c:v>
                </c:pt>
                <c:pt idx="6">
                  <c:v>0.10054077788819293</c:v>
                </c:pt>
                <c:pt idx="7">
                  <c:v>0.10126480179138642</c:v>
                </c:pt>
                <c:pt idx="8">
                  <c:v>0.10192375471062343</c:v>
                </c:pt>
                <c:pt idx="9">
                  <c:v>9.9805092349101399E-2</c:v>
                </c:pt>
              </c:numCache>
            </c:numRef>
          </c:val>
        </c:ser>
        <c:dLbls>
          <c:showLegendKey val="0"/>
          <c:showVal val="1"/>
          <c:showCatName val="0"/>
          <c:showSerName val="0"/>
          <c:showPercent val="0"/>
          <c:showBubbleSize val="0"/>
        </c:dLbls>
        <c:axId val="-1808808224"/>
        <c:axId val="-1808803328"/>
      </c:areaChart>
      <c:dateAx>
        <c:axId val="-1808808224"/>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808803328"/>
        <c:crosses val="autoZero"/>
        <c:auto val="1"/>
        <c:lblOffset val="100"/>
        <c:baseTimeUnit val="months"/>
        <c:majorUnit val="3"/>
        <c:majorTimeUnit val="months"/>
      </c:dateAx>
      <c:valAx>
        <c:axId val="-18088033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808808224"/>
        <c:crosses val="autoZero"/>
        <c:crossBetween val="midCat"/>
      </c:valAx>
      <c:spPr>
        <a:noFill/>
        <a:ln>
          <a:noFill/>
        </a:ln>
        <a:effectLst/>
      </c:spPr>
    </c:plotArea>
    <c:legend>
      <c:legendPos val="r"/>
      <c:layout>
        <c:manualLayout>
          <c:xMode val="edge"/>
          <c:yMode val="edge"/>
          <c:x val="0.84500860930348598"/>
          <c:y val="7.9480687536486821E-2"/>
          <c:w val="0.13655561797582291"/>
          <c:h val="0.311528871391076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22807017543858E-2"/>
          <c:y val="7.2351391746976843E-2"/>
          <c:w val="0.95175438596491224"/>
          <c:h val="0.82326483824092522"/>
        </c:manualLayout>
      </c:layout>
      <c:barChart>
        <c:barDir val="col"/>
        <c:grouping val="clustered"/>
        <c:varyColors val="0"/>
        <c:ser>
          <c:idx val="3"/>
          <c:order val="0"/>
          <c:tx>
            <c:strRef>
              <c:f>'Screener Output'!$A$120:$B$120</c:f>
              <c:strCache>
                <c:ptCount val="2"/>
                <c:pt idx="0">
                  <c:v>Sales/NFAT</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Output'!$C$116:$M$116</c:f>
              <c:strCache>
                <c:ptCount val="11"/>
                <c:pt idx="0">
                  <c:v>Mar-09</c:v>
                </c:pt>
                <c:pt idx="1">
                  <c:v>Mar-10</c:v>
                </c:pt>
                <c:pt idx="2">
                  <c:v>Mar-11</c:v>
                </c:pt>
                <c:pt idx="3">
                  <c:v>Mar-12</c:v>
                </c:pt>
                <c:pt idx="4">
                  <c:v>Mar-13</c:v>
                </c:pt>
                <c:pt idx="5">
                  <c:v>Mar-14</c:v>
                </c:pt>
                <c:pt idx="6">
                  <c:v>Mar-15</c:v>
                </c:pt>
                <c:pt idx="7">
                  <c:v>Mar-16</c:v>
                </c:pt>
                <c:pt idx="8">
                  <c:v>Mar-17</c:v>
                </c:pt>
                <c:pt idx="9">
                  <c:v>Mar-18</c:v>
                </c:pt>
                <c:pt idx="10">
                  <c:v>TTM</c:v>
                </c:pt>
              </c:strCache>
            </c:strRef>
          </c:cat>
          <c:val>
            <c:numRef>
              <c:f>'Screener Output'!$C$120:$M$120</c:f>
              <c:numCache>
                <c:formatCode>0.00</c:formatCode>
                <c:ptCount val="11"/>
                <c:pt idx="0">
                  <c:v>7.2713226073834774</c:v>
                </c:pt>
                <c:pt idx="1">
                  <c:v>7.7803990307779554</c:v>
                </c:pt>
                <c:pt idx="2">
                  <c:v>9.1799289007498288</c:v>
                </c:pt>
                <c:pt idx="3">
                  <c:v>9.7148094361008788</c:v>
                </c:pt>
                <c:pt idx="4">
                  <c:v>9.0882389673741351</c:v>
                </c:pt>
                <c:pt idx="5">
                  <c:v>8.7260207398430953</c:v>
                </c:pt>
                <c:pt idx="6">
                  <c:v>9.2907794710521028</c:v>
                </c:pt>
                <c:pt idx="7">
                  <c:v>9.3598430594490356</c:v>
                </c:pt>
                <c:pt idx="8">
                  <c:v>8.5811404444065342</c:v>
                </c:pt>
                <c:pt idx="9">
                  <c:v>7.9134974197693948</c:v>
                </c:pt>
                <c:pt idx="10" formatCode="0.0">
                  <c:v>8.1371014411775278</c:v>
                </c:pt>
              </c:numCache>
            </c:numRef>
          </c:val>
        </c:ser>
        <c:dLbls>
          <c:dLblPos val="inEnd"/>
          <c:showLegendKey val="0"/>
          <c:showVal val="1"/>
          <c:showCatName val="0"/>
          <c:showSerName val="0"/>
          <c:showPercent val="0"/>
          <c:showBubbleSize val="0"/>
        </c:dLbls>
        <c:gapWidth val="41"/>
        <c:axId val="-1808802240"/>
        <c:axId val="-1808807136"/>
      </c:barChart>
      <c:catAx>
        <c:axId val="-1808802240"/>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808807136"/>
        <c:crosses val="autoZero"/>
        <c:auto val="1"/>
        <c:lblAlgn val="ctr"/>
        <c:lblOffset val="100"/>
        <c:noMultiLvlLbl val="1"/>
      </c:catAx>
      <c:valAx>
        <c:axId val="-1808807136"/>
        <c:scaling>
          <c:orientation val="minMax"/>
        </c:scaling>
        <c:delete val="1"/>
        <c:axPos val="l"/>
        <c:numFmt formatCode="0.00" sourceLinked="1"/>
        <c:majorTickMark val="none"/>
        <c:minorTickMark val="none"/>
        <c:tickLblPos val="nextTo"/>
        <c:crossAx val="-180880224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Output'!$A$95:$B$95</c:f>
              <c:strCache>
                <c:ptCount val="2"/>
                <c:pt idx="0">
                  <c:v>Cash Sales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Output'!$C$94:$L$94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Output'!$C$95:$L$95</c:f>
              <c:numCache>
                <c:formatCode>0%</c:formatCode>
                <c:ptCount val="10"/>
                <c:pt idx="0">
                  <c:v>0.97837035218327917</c:v>
                </c:pt>
                <c:pt idx="1">
                  <c:v>0.98057997672883801</c:v>
                </c:pt>
                <c:pt idx="2">
                  <c:v>0.98243581566284399</c:v>
                </c:pt>
                <c:pt idx="3">
                  <c:v>0.97939792575523621</c:v>
                </c:pt>
                <c:pt idx="4">
                  <c:v>0.98014521268598198</c:v>
                </c:pt>
                <c:pt idx="5">
                  <c:v>0.98427534208725664</c:v>
                </c:pt>
                <c:pt idx="6">
                  <c:v>0.98271790003588499</c:v>
                </c:pt>
                <c:pt idx="7">
                  <c:v>0.97968258580508094</c:v>
                </c:pt>
                <c:pt idx="8">
                  <c:v>0.98021225766476805</c:v>
                </c:pt>
                <c:pt idx="9">
                  <c:v>0.9692757406452901</c:v>
                </c:pt>
              </c:numCache>
            </c:numRef>
          </c:val>
        </c:ser>
        <c:ser>
          <c:idx val="1"/>
          <c:order val="1"/>
          <c:tx>
            <c:strRef>
              <c:f>'Screener Output'!$A$96:$B$96</c:f>
              <c:strCache>
                <c:ptCount val="2"/>
                <c:pt idx="0">
                  <c:v>Credit Sales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Output'!$C$94:$L$94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Output'!$C$96:$L$96</c:f>
              <c:numCache>
                <c:formatCode>0%</c:formatCode>
                <c:ptCount val="10"/>
                <c:pt idx="0">
                  <c:v>2.1629647816720832E-2</c:v>
                </c:pt>
                <c:pt idx="1">
                  <c:v>1.942002327116199E-2</c:v>
                </c:pt>
                <c:pt idx="2">
                  <c:v>1.7564184337156008E-2</c:v>
                </c:pt>
                <c:pt idx="3">
                  <c:v>2.0602074244763791E-2</c:v>
                </c:pt>
                <c:pt idx="4">
                  <c:v>1.9854787314018019E-2</c:v>
                </c:pt>
                <c:pt idx="5">
                  <c:v>1.5724657912743356E-2</c:v>
                </c:pt>
                <c:pt idx="6">
                  <c:v>1.7282099964115005E-2</c:v>
                </c:pt>
                <c:pt idx="7">
                  <c:v>2.0317414194919059E-2</c:v>
                </c:pt>
                <c:pt idx="8">
                  <c:v>1.978774233523195E-2</c:v>
                </c:pt>
                <c:pt idx="9">
                  <c:v>3.0724259354709904E-2</c:v>
                </c:pt>
              </c:numCache>
            </c:numRef>
          </c:val>
        </c:ser>
        <c:dLbls>
          <c:dLblPos val="ctr"/>
          <c:showLegendKey val="0"/>
          <c:showVal val="1"/>
          <c:showCatName val="0"/>
          <c:showSerName val="0"/>
          <c:showPercent val="0"/>
          <c:showBubbleSize val="0"/>
        </c:dLbls>
        <c:gapWidth val="150"/>
        <c:overlap val="100"/>
        <c:axId val="-1808801696"/>
        <c:axId val="-1808800608"/>
      </c:barChart>
      <c:dateAx>
        <c:axId val="-180880169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08800608"/>
        <c:crosses val="autoZero"/>
        <c:auto val="1"/>
        <c:lblOffset val="100"/>
        <c:baseTimeUnit val="years"/>
      </c:dateAx>
      <c:valAx>
        <c:axId val="-18088006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80880169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2840186430534E-2"/>
          <c:y val="2.7777777777777776E-2"/>
          <c:w val="0.95018868220539698"/>
          <c:h val="0.77314814814814814"/>
        </c:manualLayout>
      </c:layout>
      <c:barChart>
        <c:barDir val="col"/>
        <c:grouping val="clustered"/>
        <c:varyColors val="0"/>
        <c:ser>
          <c:idx val="0"/>
          <c:order val="0"/>
          <c:tx>
            <c:strRef>
              <c:f>'Screener Output'!$A$186</c:f>
              <c:strCache>
                <c:ptCount val="1"/>
                <c:pt idx="0">
                  <c:v>EPS</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Output'!$D$186:$L$186</c:f>
              <c:numCache>
                <c:formatCode>_(* #,##0.0_);_(* \(#,##0.0\);_(* "-"??_);_(@_)</c:formatCode>
                <c:ptCount val="9"/>
                <c:pt idx="0">
                  <c:v>8.6378648818762773</c:v>
                </c:pt>
                <c:pt idx="1">
                  <c:v>11.247307102927676</c:v>
                </c:pt>
                <c:pt idx="2">
                  <c:v>16.705620635572892</c:v>
                </c:pt>
                <c:pt idx="3">
                  <c:v>21.710791095630679</c:v>
                </c:pt>
                <c:pt idx="4">
                  <c:v>32.966217444453157</c:v>
                </c:pt>
                <c:pt idx="5">
                  <c:v>57.422172710125757</c:v>
                </c:pt>
                <c:pt idx="6">
                  <c:v>68.728851727325207</c:v>
                </c:pt>
                <c:pt idx="7">
                  <c:v>73.70533275128173</c:v>
                </c:pt>
                <c:pt idx="8">
                  <c:v>83.64460490757439</c:v>
                </c:pt>
              </c:numCache>
            </c:numRef>
          </c:val>
        </c:ser>
        <c:dLbls>
          <c:dLblPos val="inEnd"/>
          <c:showLegendKey val="0"/>
          <c:showVal val="1"/>
          <c:showCatName val="0"/>
          <c:showSerName val="0"/>
          <c:showPercent val="0"/>
          <c:showBubbleSize val="0"/>
        </c:dLbls>
        <c:gapWidth val="41"/>
        <c:axId val="-1808800064"/>
        <c:axId val="-1808803872"/>
      </c:barChart>
      <c:lineChart>
        <c:grouping val="standard"/>
        <c:varyColors val="0"/>
        <c:ser>
          <c:idx val="1"/>
          <c:order val="1"/>
          <c:tx>
            <c:strRef>
              <c:f>'Screener Output'!$A$187</c:f>
              <c:strCache>
                <c:ptCount val="1"/>
                <c:pt idx="0">
                  <c:v>EPS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Output'!$D$187:$L$187</c:f>
              <c:numCache>
                <c:formatCode>0%</c:formatCode>
                <c:ptCount val="9"/>
                <c:pt idx="0">
                  <c:v>-0.31885397412199612</c:v>
                </c:pt>
                <c:pt idx="1">
                  <c:v>0.30209342895910041</c:v>
                </c:pt>
                <c:pt idx="2">
                  <c:v>0.48529959062151118</c:v>
                </c:pt>
                <c:pt idx="3">
                  <c:v>0.29960996776137683</c:v>
                </c:pt>
                <c:pt idx="4">
                  <c:v>0.51842543642215078</c:v>
                </c:pt>
                <c:pt idx="5">
                  <c:v>0.74184899456178033</c:v>
                </c:pt>
                <c:pt idx="6">
                  <c:v>0.19690440963070088</c:v>
                </c:pt>
                <c:pt idx="7">
                  <c:v>7.2407451876254303E-2</c:v>
                </c:pt>
                <c:pt idx="8">
                  <c:v>0.13485146576615681</c:v>
                </c:pt>
              </c:numCache>
            </c:numRef>
          </c:val>
          <c:smooth val="0"/>
        </c:ser>
        <c:dLbls>
          <c:showLegendKey val="0"/>
          <c:showVal val="0"/>
          <c:showCatName val="0"/>
          <c:showSerName val="0"/>
          <c:showPercent val="0"/>
          <c:showBubbleSize val="0"/>
        </c:dLbls>
        <c:marker val="1"/>
        <c:smooth val="0"/>
        <c:axId val="-1808813664"/>
        <c:axId val="-1808809856"/>
      </c:lineChart>
      <c:dateAx>
        <c:axId val="-1808800064"/>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lgn="ctr">
              <a:defRPr lang="en-US" sz="1000" b="0" i="0" u="none" strike="noStrike" kern="1200" baseline="0">
                <a:solidFill>
                  <a:schemeClr val="dk1">
                    <a:lumMod val="65000"/>
                    <a:lumOff val="35000"/>
                  </a:schemeClr>
                </a:solidFill>
                <a:effectLst/>
                <a:latin typeface="+mn-lt"/>
                <a:ea typeface="+mn-ea"/>
                <a:cs typeface="+mn-cs"/>
              </a:defRPr>
            </a:pPr>
            <a:endParaRPr lang="en-US"/>
          </a:p>
        </c:txPr>
        <c:crossAx val="-1808803872"/>
        <c:crosses val="autoZero"/>
        <c:auto val="1"/>
        <c:lblOffset val="100"/>
        <c:baseTimeUnit val="years"/>
      </c:dateAx>
      <c:valAx>
        <c:axId val="-1808803872"/>
        <c:scaling>
          <c:orientation val="minMax"/>
        </c:scaling>
        <c:delete val="0"/>
        <c:axPos val="l"/>
        <c:majorGridlines>
          <c:spPr>
            <a:ln w="9525" cap="flat" cmpd="sng" algn="ctr">
              <a:solidFill>
                <a:schemeClr val="dk1">
                  <a:lumMod val="15000"/>
                  <a:lumOff val="85000"/>
                </a:schemeClr>
              </a:solidFill>
              <a:round/>
            </a:ln>
            <a:effectLst/>
          </c:spPr>
        </c:majorGridlines>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808800064"/>
        <c:crossesAt val="39875"/>
        <c:crossBetween val="between"/>
      </c:valAx>
      <c:valAx>
        <c:axId val="-1808809856"/>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808813664"/>
        <c:crosses val="max"/>
        <c:crossBetween val="between"/>
        <c:majorUnit val="0.2"/>
      </c:valAx>
      <c:dateAx>
        <c:axId val="-1808813664"/>
        <c:scaling>
          <c:orientation val="minMax"/>
        </c:scaling>
        <c:delete val="1"/>
        <c:axPos val="b"/>
        <c:numFmt formatCode="[$-409]mmm\-yy;@" sourceLinked="1"/>
        <c:majorTickMark val="out"/>
        <c:minorTickMark val="none"/>
        <c:tickLblPos val="nextTo"/>
        <c:crossAx val="-1808809856"/>
        <c:crosses val="autoZero"/>
        <c:auto val="1"/>
        <c:lblOffset val="100"/>
        <c:baseTimeUnit val="year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Output'!$A$192</c:f>
              <c:strCache>
                <c:ptCount val="1"/>
                <c:pt idx="0">
                  <c:v>NP</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Output'!$D$192:$L$192</c:f>
              <c:numCache>
                <c:formatCode>0</c:formatCode>
                <c:ptCount val="9"/>
                <c:pt idx="0">
                  <c:v>219.21</c:v>
                </c:pt>
                <c:pt idx="1">
                  <c:v>234.05</c:v>
                </c:pt>
                <c:pt idx="2">
                  <c:v>220.44</c:v>
                </c:pt>
                <c:pt idx="3">
                  <c:v>210.91</c:v>
                </c:pt>
                <c:pt idx="4">
                  <c:v>216.12</c:v>
                </c:pt>
                <c:pt idx="5">
                  <c:v>261.02999999999997</c:v>
                </c:pt>
                <c:pt idx="6">
                  <c:v>263.64999999999998</c:v>
                </c:pt>
                <c:pt idx="7">
                  <c:v>263.16000000000003</c:v>
                </c:pt>
                <c:pt idx="8">
                  <c:v>258.08</c:v>
                </c:pt>
              </c:numCache>
            </c:numRef>
          </c:val>
        </c:ser>
        <c:dLbls>
          <c:dLblPos val="inEnd"/>
          <c:showLegendKey val="0"/>
          <c:showVal val="1"/>
          <c:showCatName val="0"/>
          <c:showSerName val="0"/>
          <c:showPercent val="0"/>
          <c:showBubbleSize val="0"/>
        </c:dLbls>
        <c:gapWidth val="41"/>
        <c:axId val="-1808806048"/>
        <c:axId val="-1808805504"/>
      </c:barChart>
      <c:lineChart>
        <c:grouping val="standard"/>
        <c:varyColors val="0"/>
        <c:ser>
          <c:idx val="1"/>
          <c:order val="1"/>
          <c:tx>
            <c:strRef>
              <c:f>'Screener Output'!$A$193</c:f>
              <c:strCache>
                <c:ptCount val="1"/>
                <c:pt idx="0">
                  <c:v>NP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Output'!$D$193:$L$193</c:f>
              <c:numCache>
                <c:formatCode>0%</c:formatCode>
                <c:ptCount val="9"/>
                <c:pt idx="3">
                  <c:v>5.9955774449693466E-2</c:v>
                </c:pt>
                <c:pt idx="4">
                  <c:v>-1.4096072259477177E-2</c:v>
                </c:pt>
                <c:pt idx="5">
                  <c:v>0.11527451399273647</c:v>
                </c:pt>
                <c:pt idx="6">
                  <c:v>0.19601705679549974</c:v>
                </c:pt>
                <c:pt idx="7">
                  <c:v>0.24773600113792638</c:v>
                </c:pt>
                <c:pt idx="8">
                  <c:v>0.19415139737183029</c:v>
                </c:pt>
              </c:numCache>
            </c:numRef>
          </c:val>
          <c:smooth val="0"/>
        </c:ser>
        <c:dLbls>
          <c:showLegendKey val="0"/>
          <c:showVal val="0"/>
          <c:showCatName val="0"/>
          <c:showSerName val="0"/>
          <c:showPercent val="0"/>
          <c:showBubbleSize val="0"/>
        </c:dLbls>
        <c:marker val="1"/>
        <c:smooth val="0"/>
        <c:axId val="-1808812032"/>
        <c:axId val="-1808812576"/>
      </c:lineChart>
      <c:dateAx>
        <c:axId val="-180880604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808805504"/>
        <c:crosses val="autoZero"/>
        <c:auto val="1"/>
        <c:lblOffset val="100"/>
        <c:baseTimeUnit val="months"/>
        <c:majorUnit val="3"/>
        <c:majorTimeUnit val="months"/>
      </c:dateAx>
      <c:valAx>
        <c:axId val="-18088055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808806048"/>
        <c:crosses val="autoZero"/>
        <c:crossBetween val="between"/>
      </c:valAx>
      <c:valAx>
        <c:axId val="-1808812576"/>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808812032"/>
        <c:crosses val="max"/>
        <c:crossBetween val="between"/>
        <c:majorUnit val="0.2"/>
      </c:valAx>
      <c:dateAx>
        <c:axId val="-1808812032"/>
        <c:scaling>
          <c:orientation val="minMax"/>
        </c:scaling>
        <c:delete val="1"/>
        <c:axPos val="b"/>
        <c:numFmt formatCode="[$-409]mmm\-yy;@" sourceLinked="1"/>
        <c:majorTickMark val="out"/>
        <c:minorTickMark val="none"/>
        <c:tickLblPos val="nextTo"/>
        <c:crossAx val="-1808812576"/>
        <c:crosses val="autoZero"/>
        <c:auto val="1"/>
        <c:lblOffset val="100"/>
        <c:baseTimeUnit val="month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45682556828414E-2"/>
          <c:y val="4.8420618934261125E-2"/>
          <c:w val="0.89940532704170106"/>
          <c:h val="0.80740004883110539"/>
        </c:manualLayout>
      </c:layout>
      <c:barChart>
        <c:barDir val="col"/>
        <c:grouping val="percentStacked"/>
        <c:varyColors val="0"/>
        <c:ser>
          <c:idx val="1"/>
          <c:order val="0"/>
          <c:tx>
            <c:strRef>
              <c:f>'Screener Output'!$A$130</c:f>
              <c:strCache>
                <c:ptCount val="1"/>
                <c:pt idx="0">
                  <c:v>Depreciation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Output'!$B$130:$M$130</c:f>
              <c:numCache>
                <c:formatCode>0%</c:formatCode>
                <c:ptCount val="12"/>
                <c:pt idx="1">
                  <c:v>0.22370430709703704</c:v>
                </c:pt>
                <c:pt idx="2">
                  <c:v>0.30608704793944475</c:v>
                </c:pt>
                <c:pt idx="3">
                  <c:v>0.21952044370793714</c:v>
                </c:pt>
                <c:pt idx="4">
                  <c:v>0.16710359179481651</c:v>
                </c:pt>
                <c:pt idx="5">
                  <c:v>0.15469040771443088</c:v>
                </c:pt>
                <c:pt idx="6">
                  <c:v>0.12587962892900911</c:v>
                </c:pt>
                <c:pt idx="7">
                  <c:v>0.13159308881258364</c:v>
                </c:pt>
                <c:pt idx="8">
                  <c:v>8.4713984791669805E-2</c:v>
                </c:pt>
                <c:pt idx="9">
                  <c:v>8.3480318046923116E-2</c:v>
                </c:pt>
                <c:pt idx="10">
                  <c:v>8.5172839654200791E-2</c:v>
                </c:pt>
                <c:pt idx="11">
                  <c:v>8.3281469700112937E-2</c:v>
                </c:pt>
              </c:numCache>
            </c:numRef>
          </c:val>
        </c:ser>
        <c:ser>
          <c:idx val="2"/>
          <c:order val="1"/>
          <c:tx>
            <c:strRef>
              <c:f>'Screener Output'!$A$131</c:f>
              <c:strCache>
                <c:ptCount val="1"/>
                <c:pt idx="0">
                  <c:v>Interest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Output'!$B$131:$M$131</c:f>
              <c:numCache>
                <c:formatCode>0%</c:formatCode>
                <c:ptCount val="12"/>
                <c:pt idx="1">
                  <c:v>0.11064725248616915</c:v>
                </c:pt>
                <c:pt idx="2">
                  <c:v>0.12326534903280061</c:v>
                </c:pt>
                <c:pt idx="3">
                  <c:v>0.14755318069599907</c:v>
                </c:pt>
                <c:pt idx="4">
                  <c:v>0.11242939380016767</c:v>
                </c:pt>
                <c:pt idx="5">
                  <c:v>8.7337167991879613E-2</c:v>
                </c:pt>
                <c:pt idx="6">
                  <c:v>1.2545589370299176E-2</c:v>
                </c:pt>
                <c:pt idx="7">
                  <c:v>3.515706830125781E-3</c:v>
                </c:pt>
                <c:pt idx="8">
                  <c:v>3.6377489280965698E-3</c:v>
                </c:pt>
                <c:pt idx="9">
                  <c:v>3.8146032812587491E-3</c:v>
                </c:pt>
                <c:pt idx="10">
                  <c:v>4.5503051522164011E-3</c:v>
                </c:pt>
                <c:pt idx="11">
                  <c:v>5.0480603001175576E-3</c:v>
                </c:pt>
              </c:numCache>
            </c:numRef>
          </c:val>
        </c:ser>
        <c:ser>
          <c:idx val="3"/>
          <c:order val="2"/>
          <c:tx>
            <c:strRef>
              <c:f>'Screener Output'!$A$132</c:f>
              <c:strCache>
                <c:ptCount val="1"/>
                <c:pt idx="0">
                  <c:v>Taxes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Output'!$B$132:$M$132</c:f>
              <c:numCache>
                <c:formatCode>0%</c:formatCode>
                <c:ptCount val="12"/>
                <c:pt idx="1">
                  <c:v>0.17947934697756515</c:v>
                </c:pt>
                <c:pt idx="2">
                  <c:v>2.8700588730025216E-2</c:v>
                </c:pt>
                <c:pt idx="3">
                  <c:v>0.17903885826372196</c:v>
                </c:pt>
                <c:pt idx="4">
                  <c:v>0.18067079268127903</c:v>
                </c:pt>
                <c:pt idx="5">
                  <c:v>0.20840382338013891</c:v>
                </c:pt>
                <c:pt idx="6">
                  <c:v>0.26268557332889403</c:v>
                </c:pt>
                <c:pt idx="7">
                  <c:v>0.23782026176532198</c:v>
                </c:pt>
                <c:pt idx="8">
                  <c:v>0.29587522595873744</c:v>
                </c:pt>
                <c:pt idx="9">
                  <c:v>0.29373845120107511</c:v>
                </c:pt>
                <c:pt idx="10">
                  <c:v>0.30828167527967298</c:v>
                </c:pt>
                <c:pt idx="11">
                  <c:v>0.30894590046792525</c:v>
                </c:pt>
              </c:numCache>
            </c:numRef>
          </c:val>
        </c:ser>
        <c:ser>
          <c:idx val="4"/>
          <c:order val="3"/>
          <c:tx>
            <c:strRef>
              <c:f>'Screener Output'!$A$133</c:f>
              <c:strCache>
                <c:ptCount val="1"/>
                <c:pt idx="0">
                  <c:v>Net Profit</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Output'!$B$133:$M$133</c:f>
              <c:numCache>
                <c:formatCode>0%</c:formatCode>
                <c:ptCount val="12"/>
                <c:pt idx="1">
                  <c:v>0.48616909343922871</c:v>
                </c:pt>
                <c:pt idx="2">
                  <c:v>0.54194701429772951</c:v>
                </c:pt>
                <c:pt idx="3">
                  <c:v>0.45388751733234184</c:v>
                </c:pt>
                <c:pt idx="4">
                  <c:v>0.53979622172373676</c:v>
                </c:pt>
                <c:pt idx="5">
                  <c:v>0.54956860091355053</c:v>
                </c:pt>
                <c:pt idx="6">
                  <c:v>0.59888920837179782</c:v>
                </c:pt>
                <c:pt idx="7">
                  <c:v>0.62707094259196861</c:v>
                </c:pt>
                <c:pt idx="8">
                  <c:v>0.61577304032149616</c:v>
                </c:pt>
                <c:pt idx="9">
                  <c:v>0.61896662747074294</c:v>
                </c:pt>
                <c:pt idx="10">
                  <c:v>0.60199517991390994</c:v>
                </c:pt>
                <c:pt idx="11">
                  <c:v>0.60272456953184417</c:v>
                </c:pt>
              </c:numCache>
            </c:numRef>
          </c:val>
        </c:ser>
        <c:dLbls>
          <c:dLblPos val="ctr"/>
          <c:showLegendKey val="0"/>
          <c:showVal val="1"/>
          <c:showCatName val="0"/>
          <c:showSerName val="0"/>
          <c:showPercent val="0"/>
          <c:showBubbleSize val="0"/>
        </c:dLbls>
        <c:gapWidth val="150"/>
        <c:overlap val="100"/>
        <c:axId val="-1808810944"/>
        <c:axId val="-1827087120"/>
      </c:barChart>
      <c:catAx>
        <c:axId val="-1808810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7087120"/>
        <c:crosses val="autoZero"/>
        <c:auto val="1"/>
        <c:lblAlgn val="ctr"/>
        <c:lblOffset val="100"/>
        <c:noMultiLvlLbl val="1"/>
      </c:catAx>
      <c:valAx>
        <c:axId val="-1827087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8810944"/>
        <c:crosses val="autoZero"/>
        <c:crossBetween val="between"/>
      </c:valAx>
      <c:spPr>
        <a:noFill/>
        <a:ln>
          <a:noFill/>
        </a:ln>
        <a:effectLst/>
      </c:spPr>
    </c:plotArea>
    <c:legend>
      <c:legendPos val="b"/>
      <c:layout>
        <c:manualLayout>
          <c:xMode val="edge"/>
          <c:yMode val="edge"/>
          <c:x val="0.14127777777777778"/>
          <c:y val="0.92187445319335082"/>
          <c:w val="0.7174442257217847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8.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A$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A$30"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image" Target="../media/image2.png"/><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6.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image" Target="../media/image1.png"/><Relationship Id="rId5" Type="http://schemas.openxmlformats.org/officeDocument/2006/relationships/chart" Target="../charts/chart15.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5</xdr:col>
      <xdr:colOff>142874</xdr:colOff>
      <xdr:row>31</xdr:row>
      <xdr:rowOff>133350</xdr:rowOff>
    </xdr:from>
    <xdr:to>
      <xdr:col>11</xdr:col>
      <xdr:colOff>66674</xdr:colOff>
      <xdr:row>33</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xdr:row>
          <xdr:rowOff>133350</xdr:rowOff>
        </xdr:from>
        <xdr:to>
          <xdr:col>1</xdr:col>
          <xdr:colOff>352425</xdr:colOff>
          <xdr:row>4</xdr:row>
          <xdr:rowOff>114300</xdr:rowOff>
        </xdr:to>
        <xdr:sp macro="" textlink="">
          <xdr:nvSpPr>
            <xdr:cNvPr id="16386" name="Group Box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xdr:row>
          <xdr:rowOff>133350</xdr:rowOff>
        </xdr:from>
        <xdr:to>
          <xdr:col>0</xdr:col>
          <xdr:colOff>1133475</xdr:colOff>
          <xdr:row>4</xdr:row>
          <xdr:rowOff>28575</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xdr:row>
          <xdr:rowOff>133350</xdr:rowOff>
        </xdr:from>
        <xdr:to>
          <xdr:col>1</xdr:col>
          <xdr:colOff>0</xdr:colOff>
          <xdr:row>4</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xdr:row>
          <xdr:rowOff>133350</xdr:rowOff>
        </xdr:from>
        <xdr:to>
          <xdr:col>5</xdr:col>
          <xdr:colOff>333375</xdr:colOff>
          <xdr:row>4</xdr:row>
          <xdr:rowOff>104775</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Future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xdr:row>
          <xdr:rowOff>142875</xdr:rowOff>
        </xdr:from>
        <xdr:to>
          <xdr:col>3</xdr:col>
          <xdr:colOff>1038225</xdr:colOff>
          <xdr:row>4</xdr:row>
          <xdr:rowOff>38100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CAGR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xdr:row>
          <xdr:rowOff>133350</xdr:rowOff>
        </xdr:from>
        <xdr:to>
          <xdr:col>5</xdr:col>
          <xdr:colOff>142875</xdr:colOff>
          <xdr:row>4</xdr:row>
          <xdr:rowOff>28575</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Conservative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xdr:row>
          <xdr:rowOff>0</xdr:rowOff>
        </xdr:from>
        <xdr:to>
          <xdr:col>9</xdr:col>
          <xdr:colOff>190500</xdr:colOff>
          <xdr:row>4</xdr:row>
          <xdr:rowOff>133350</xdr:rowOff>
        </xdr:to>
        <xdr:sp macro="" textlink="">
          <xdr:nvSpPr>
            <xdr:cNvPr id="16392" name="Group Box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xdr:row>
          <xdr:rowOff>123825</xdr:rowOff>
        </xdr:from>
        <xdr:to>
          <xdr:col>9</xdr:col>
          <xdr:colOff>28575</xdr:colOff>
          <xdr:row>4</xdr:row>
          <xdr:rowOff>19050</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xdr:row>
          <xdr:rowOff>152400</xdr:rowOff>
        </xdr:from>
        <xdr:to>
          <xdr:col>7</xdr:col>
          <xdr:colOff>485775</xdr:colOff>
          <xdr:row>4</xdr:row>
          <xdr:rowOff>47625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Avg.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21166</xdr:colOff>
      <xdr:row>11</xdr:row>
      <xdr:rowOff>10584</xdr:rowOff>
    </xdr:from>
    <xdr:to>
      <xdr:col>9</xdr:col>
      <xdr:colOff>0</xdr:colOff>
      <xdr:row>26</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486834</xdr:colOff>
      <xdr:row>15</xdr:row>
      <xdr:rowOff>52917</xdr:rowOff>
    </xdr:from>
    <xdr:to>
      <xdr:col>8</xdr:col>
      <xdr:colOff>266700</xdr:colOff>
      <xdr:row>15</xdr:row>
      <xdr:rowOff>66515</xdr:rowOff>
    </xdr:to>
    <xdr:cxnSp macro="">
      <xdr:nvCxnSpPr>
        <xdr:cNvPr id="9" name="Straight Connector 8"/>
        <xdr:cNvCxnSpPr/>
      </xdr:nvCxnSpPr>
      <xdr:spPr>
        <a:xfrm>
          <a:off x="867834" y="1205442"/>
          <a:ext cx="4047066" cy="1359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480484</xdr:colOff>
      <xdr:row>17</xdr:row>
      <xdr:rowOff>28575</xdr:rowOff>
    </xdr:from>
    <xdr:to>
      <xdr:col>8</xdr:col>
      <xdr:colOff>295275</xdr:colOff>
      <xdr:row>17</xdr:row>
      <xdr:rowOff>46567</xdr:rowOff>
    </xdr:to>
    <xdr:cxnSp macro="">
      <xdr:nvCxnSpPr>
        <xdr:cNvPr id="10" name="Straight Connector 9"/>
        <xdr:cNvCxnSpPr/>
      </xdr:nvCxnSpPr>
      <xdr:spPr>
        <a:xfrm flipV="1">
          <a:off x="861484" y="1562100"/>
          <a:ext cx="4081991" cy="1799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20110</xdr:rowOff>
    </xdr:from>
    <xdr:to>
      <xdr:col>21</xdr:col>
      <xdr:colOff>1</xdr:colOff>
      <xdr:row>26</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10581</xdr:colOff>
      <xdr:row>29</xdr:row>
      <xdr:rowOff>0</xdr:rowOff>
    </xdr:from>
    <xdr:to>
      <xdr:col>8</xdr:col>
      <xdr:colOff>600074</xdr:colOff>
      <xdr:row>44</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465667</xdr:colOff>
      <xdr:row>37</xdr:row>
      <xdr:rowOff>88689</xdr:rowOff>
    </xdr:from>
    <xdr:to>
      <xdr:col>2</xdr:col>
      <xdr:colOff>3591984</xdr:colOff>
      <xdr:row>37</xdr:row>
      <xdr:rowOff>88689</xdr:rowOff>
    </xdr:to>
    <xdr:cxnSp macro="">
      <xdr:nvCxnSpPr>
        <xdr:cNvPr id="13" name="Straight Connector 12"/>
        <xdr:cNvCxnSpPr/>
      </xdr:nvCxnSpPr>
      <xdr:spPr>
        <a:xfrm>
          <a:off x="465667" y="10718589"/>
          <a:ext cx="4993217" cy="0"/>
        </a:xfrm>
        <a:prstGeom prst="line">
          <a:avLst/>
        </a:prstGeom>
        <a:ln>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352426</xdr:colOff>
      <xdr:row>36</xdr:row>
      <xdr:rowOff>8467</xdr:rowOff>
    </xdr:from>
    <xdr:to>
      <xdr:col>8</xdr:col>
      <xdr:colOff>371475</xdr:colOff>
      <xdr:row>36</xdr:row>
      <xdr:rowOff>8467</xdr:rowOff>
    </xdr:to>
    <xdr:cxnSp macro="">
      <xdr:nvCxnSpPr>
        <xdr:cNvPr id="14" name="Straight Connector 13"/>
        <xdr:cNvCxnSpPr/>
      </xdr:nvCxnSpPr>
      <xdr:spPr>
        <a:xfrm>
          <a:off x="733426" y="5171017"/>
          <a:ext cx="4286249"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325967</xdr:colOff>
      <xdr:row>34</xdr:row>
      <xdr:rowOff>31750</xdr:rowOff>
    </xdr:from>
    <xdr:to>
      <xdr:col>8</xdr:col>
      <xdr:colOff>228600</xdr:colOff>
      <xdr:row>34</xdr:row>
      <xdr:rowOff>31750</xdr:rowOff>
    </xdr:to>
    <xdr:cxnSp macro="">
      <xdr:nvCxnSpPr>
        <xdr:cNvPr id="15" name="Straight Connector 14"/>
        <xdr:cNvCxnSpPr/>
      </xdr:nvCxnSpPr>
      <xdr:spPr>
        <a:xfrm>
          <a:off x="706967" y="4813300"/>
          <a:ext cx="4169833"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10587</xdr:colOff>
      <xdr:row>29</xdr:row>
      <xdr:rowOff>10582</xdr:rowOff>
    </xdr:from>
    <xdr:to>
      <xdr:col>21</xdr:col>
      <xdr:colOff>9526</xdr:colOff>
      <xdr:row>44</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371476</xdr:colOff>
      <xdr:row>48</xdr:row>
      <xdr:rowOff>19050</xdr:rowOff>
    </xdr:from>
    <xdr:to>
      <xdr:col>9</xdr:col>
      <xdr:colOff>1</xdr:colOff>
      <xdr:row>60</xdr:row>
      <xdr:rowOff>114301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485774</xdr:colOff>
      <xdr:row>48</xdr:row>
      <xdr:rowOff>9525</xdr:rowOff>
    </xdr:from>
    <xdr:to>
      <xdr:col>20</xdr:col>
      <xdr:colOff>609599</xdr:colOff>
      <xdr:row>60</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10</xdr:col>
      <xdr:colOff>95250</xdr:colOff>
      <xdr:row>61</xdr:row>
      <xdr:rowOff>38100</xdr:rowOff>
    </xdr:from>
    <xdr:to>
      <xdr:col>10</xdr:col>
      <xdr:colOff>200025</xdr:colOff>
      <xdr:row>62</xdr:row>
      <xdr:rowOff>97894</xdr:rowOff>
    </xdr:to>
    <xdr:pic>
      <xdr:nvPicPr>
        <xdr:cNvPr id="18" name="Picture 1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134100" y="11468100"/>
          <a:ext cx="104775" cy="25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5</xdr:row>
      <xdr:rowOff>9525</xdr:rowOff>
    </xdr:from>
    <xdr:to>
      <xdr:col>1</xdr:col>
      <xdr:colOff>28574</xdr:colOff>
      <xdr:row>6</xdr:row>
      <xdr:rowOff>92071</xdr:rowOff>
    </xdr:to>
    <xdr:pic>
      <xdr:nvPicPr>
        <xdr:cNvPr id="19" name="Picture 1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962025"/>
          <a:ext cx="114299" cy="27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0.10517</cdr:x>
      <cdr:y>1</cdr:y>
    </cdr:from>
    <cdr:to>
      <cdr:x>1</cdr:x>
      <cdr:y>1</cdr:y>
    </cdr:to>
    <cdr:cxnSp macro="">
      <cdr:nvCxnSpPr>
        <cdr:cNvPr id="2" name="Straight Connector 1"/>
        <cdr:cNvCxnSpPr/>
      </cdr:nvCxnSpPr>
      <cdr:spPr>
        <a:xfrm xmlns:a="http://schemas.openxmlformats.org/drawingml/2006/main">
          <a:off x="6675966" y="6718089"/>
          <a:ext cx="5132918" cy="0"/>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1</xdr:col>
      <xdr:colOff>10583</xdr:colOff>
      <xdr:row>11</xdr:row>
      <xdr:rowOff>10582</xdr:rowOff>
    </xdr:from>
    <xdr:to>
      <xdr:col>9</xdr:col>
      <xdr:colOff>0</xdr:colOff>
      <xdr:row>26</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17</xdr:row>
      <xdr:rowOff>40217</xdr:rowOff>
    </xdr:from>
    <xdr:to>
      <xdr:col>8</xdr:col>
      <xdr:colOff>247650</xdr:colOff>
      <xdr:row>17</xdr:row>
      <xdr:rowOff>40217</xdr:rowOff>
    </xdr:to>
    <xdr:cxnSp macro="">
      <xdr:nvCxnSpPr>
        <xdr:cNvPr id="12" name="Straight Connector 11"/>
        <xdr:cNvCxnSpPr/>
      </xdr:nvCxnSpPr>
      <xdr:spPr>
        <a:xfrm>
          <a:off x="431800" y="3212042"/>
          <a:ext cx="467360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13</xdr:row>
      <xdr:rowOff>0</xdr:rowOff>
    </xdr:from>
    <xdr:to>
      <xdr:col>8</xdr:col>
      <xdr:colOff>161925</xdr:colOff>
      <xdr:row>13</xdr:row>
      <xdr:rowOff>0</xdr:rowOff>
    </xdr:to>
    <xdr:cxnSp macro="">
      <xdr:nvCxnSpPr>
        <xdr:cNvPr id="13" name="Straight Connector 12"/>
        <xdr:cNvCxnSpPr/>
      </xdr:nvCxnSpPr>
      <xdr:spPr>
        <a:xfrm>
          <a:off x="466725" y="2409825"/>
          <a:ext cx="45529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33</xdr:row>
      <xdr:rowOff>10583</xdr:rowOff>
    </xdr:from>
    <xdr:to>
      <xdr:col>8</xdr:col>
      <xdr:colOff>590550</xdr:colOff>
      <xdr:row>47</xdr:row>
      <xdr:rowOff>152401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343958</xdr:colOff>
      <xdr:row>36</xdr:row>
      <xdr:rowOff>43392</xdr:rowOff>
    </xdr:from>
    <xdr:to>
      <xdr:col>8</xdr:col>
      <xdr:colOff>228600</xdr:colOff>
      <xdr:row>36</xdr:row>
      <xdr:rowOff>43392</xdr:rowOff>
    </xdr:to>
    <xdr:cxnSp macro="">
      <xdr:nvCxnSpPr>
        <xdr:cNvPr id="19" name="Straight Connector 18"/>
        <xdr:cNvCxnSpPr/>
      </xdr:nvCxnSpPr>
      <xdr:spPr>
        <a:xfrm>
          <a:off x="724958" y="6082242"/>
          <a:ext cx="4361392"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40</xdr:row>
      <xdr:rowOff>28575</xdr:rowOff>
    </xdr:from>
    <xdr:to>
      <xdr:col>8</xdr:col>
      <xdr:colOff>247650</xdr:colOff>
      <xdr:row>40</xdr:row>
      <xdr:rowOff>28575</xdr:rowOff>
    </xdr:to>
    <xdr:cxnSp macro="">
      <xdr:nvCxnSpPr>
        <xdr:cNvPr id="20" name="Straight Connector 19"/>
        <xdr:cNvCxnSpPr/>
      </xdr:nvCxnSpPr>
      <xdr:spPr>
        <a:xfrm>
          <a:off x="676275" y="6829425"/>
          <a:ext cx="442912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485774</xdr:colOff>
      <xdr:row>33</xdr:row>
      <xdr:rowOff>9525</xdr:rowOff>
    </xdr:from>
    <xdr:to>
      <xdr:col>17</xdr:col>
      <xdr:colOff>590549</xdr:colOff>
      <xdr:row>47</xdr:row>
      <xdr:rowOff>114300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11</xdr:row>
      <xdr:rowOff>19049</xdr:rowOff>
    </xdr:from>
    <xdr:to>
      <xdr:col>17</xdr:col>
      <xdr:colOff>600074</xdr:colOff>
      <xdr:row>26</xdr:row>
      <xdr:rowOff>28574</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85726</xdr:colOff>
      <xdr:row>48</xdr:row>
      <xdr:rowOff>3702</xdr:rowOff>
    </xdr:from>
    <xdr:to>
      <xdr:col>10</xdr:col>
      <xdr:colOff>200025</xdr:colOff>
      <xdr:row>49</xdr:row>
      <xdr:rowOff>48148</xdr:rowOff>
    </xdr:to>
    <xdr:pic>
      <xdr:nvPicPr>
        <xdr:cNvPr id="14" name="Picture 1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86476" y="10862202"/>
          <a:ext cx="114299" cy="27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238126</xdr:colOff>
      <xdr:row>48</xdr:row>
      <xdr:rowOff>156102</xdr:rowOff>
    </xdr:from>
    <xdr:to>
      <xdr:col>10</xdr:col>
      <xdr:colOff>352425</xdr:colOff>
      <xdr:row>49</xdr:row>
      <xdr:rowOff>200548</xdr:rowOff>
    </xdr:to>
    <xdr:pic>
      <xdr:nvPicPr>
        <xdr:cNvPr id="15" name="Picture 1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38876" y="11014602"/>
          <a:ext cx="114299" cy="27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333375</xdr:colOff>
      <xdr:row>6</xdr:row>
      <xdr:rowOff>85725</xdr:rowOff>
    </xdr:from>
    <xdr:to>
      <xdr:col>1</xdr:col>
      <xdr:colOff>66674</xdr:colOff>
      <xdr:row>7</xdr:row>
      <xdr:rowOff>130171</xdr:rowOff>
    </xdr:to>
    <xdr:pic>
      <xdr:nvPicPr>
        <xdr:cNvPr id="16" name="Picture 1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3375" y="1571625"/>
          <a:ext cx="114299" cy="27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8</xdr:row>
      <xdr:rowOff>9525</xdr:rowOff>
    </xdr:from>
    <xdr:to>
      <xdr:col>8</xdr:col>
      <xdr:colOff>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38</xdr:row>
      <xdr:rowOff>19050</xdr:rowOff>
    </xdr:from>
    <xdr:to>
      <xdr:col>17</xdr:col>
      <xdr:colOff>1</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19050</xdr:rowOff>
    </xdr:from>
    <xdr:to>
      <xdr:col>8</xdr:col>
      <xdr:colOff>0</xdr:colOff>
      <xdr:row>34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9524</xdr:colOff>
      <xdr:row>8</xdr:row>
      <xdr:rowOff>19050</xdr:rowOff>
    </xdr:from>
    <xdr:to>
      <xdr:col>16</xdr:col>
      <xdr:colOff>609599</xdr:colOff>
      <xdr:row>20</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9524</xdr:colOff>
      <xdr:row>24</xdr:row>
      <xdr:rowOff>1</xdr:rowOff>
    </xdr:from>
    <xdr:to>
      <xdr:col>16</xdr:col>
      <xdr:colOff>609599</xdr:colOff>
      <xdr:row>33</xdr:row>
      <xdr:rowOff>190501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21</xdr:row>
      <xdr:rowOff>0</xdr:rowOff>
    </xdr:from>
    <xdr:to>
      <xdr:col>1</xdr:col>
      <xdr:colOff>104775</xdr:colOff>
      <xdr:row>21</xdr:row>
      <xdr:rowOff>250294</xdr:rowOff>
    </xdr:to>
    <xdr:pic>
      <xdr:nvPicPr>
        <xdr:cNvPr id="9"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1925" y="4552950"/>
          <a:ext cx="104775" cy="25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0</xdr:rowOff>
    </xdr:from>
    <xdr:to>
      <xdr:col>8</xdr:col>
      <xdr:colOff>9525</xdr:colOff>
      <xdr:row>50</xdr:row>
      <xdr:rowOff>38100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17</xdr:row>
      <xdr:rowOff>152400</xdr:rowOff>
    </xdr:from>
    <xdr:to>
      <xdr:col>4</xdr:col>
      <xdr:colOff>352425</xdr:colOff>
      <xdr:row>21</xdr:row>
      <xdr:rowOff>57150</xdr:rowOff>
    </xdr:to>
    <xdr:pic>
      <xdr:nvPicPr>
        <xdr:cNvPr id="2" name="Picture 1" descr="capital allocation -10"/>
        <xdr:cNvPicPr>
          <a:picLocks noChangeAspect="1" noChangeArrowheads="1"/>
        </xdr:cNvPicPr>
      </xdr:nvPicPr>
      <xdr:blipFill>
        <a:blip xmlns:r="http://schemas.openxmlformats.org/officeDocument/2006/relationships" r:embed="rId1">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276225" y="3657600"/>
          <a:ext cx="2552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28573</xdr:colOff>
      <xdr:row>7</xdr:row>
      <xdr:rowOff>0</xdr:rowOff>
    </xdr:from>
    <xdr:to>
      <xdr:col>19</xdr:col>
      <xdr:colOff>561974</xdr:colOff>
      <xdr:row>19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1060</xdr:colOff>
      <xdr:row>21</xdr:row>
      <xdr:rowOff>10583</xdr:rowOff>
    </xdr:from>
    <xdr:to>
      <xdr:col>14</xdr:col>
      <xdr:colOff>0</xdr:colOff>
      <xdr:row>34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51</xdr:row>
      <xdr:rowOff>9525</xdr:rowOff>
    </xdr:from>
    <xdr:to>
      <xdr:col>6</xdr:col>
      <xdr:colOff>9526</xdr:colOff>
      <xdr:row>62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xdr:row>
      <xdr:rowOff>9525</xdr:rowOff>
    </xdr:from>
    <xdr:to>
      <xdr:col>6</xdr:col>
      <xdr:colOff>609599</xdr:colOff>
      <xdr:row>17</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6</xdr:col>
      <xdr:colOff>0</xdr:colOff>
      <xdr:row>34</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609599</xdr:colOff>
      <xdr:row>6</xdr:row>
      <xdr:rowOff>0</xdr:rowOff>
    </xdr:from>
    <xdr:to>
      <xdr:col>13</xdr:col>
      <xdr:colOff>590549</xdr:colOff>
      <xdr:row>17</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36</xdr:row>
      <xdr:rowOff>9525</xdr:rowOff>
    </xdr:from>
    <xdr:to>
      <xdr:col>14</xdr:col>
      <xdr:colOff>95250</xdr:colOff>
      <xdr:row>48</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47625</xdr:colOff>
      <xdr:row>16</xdr:row>
      <xdr:rowOff>38100</xdr:rowOff>
    </xdr:from>
    <xdr:to>
      <xdr:col>9</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24</xdr:row>
      <xdr:rowOff>123825</xdr:rowOff>
    </xdr:from>
    <xdr:to>
      <xdr:col>8</xdr:col>
      <xdr:colOff>504825</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600075</xdr:colOff>
      <xdr:row>27</xdr:row>
      <xdr:rowOff>28575</xdr:rowOff>
    </xdr:from>
    <xdr:to>
      <xdr:col>8</xdr:col>
      <xdr:colOff>85725</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190500</xdr:colOff>
      <xdr:row>16</xdr:row>
      <xdr:rowOff>66675</xdr:rowOff>
    </xdr:from>
    <xdr:to>
      <xdr:col>7</xdr:col>
      <xdr:colOff>0</xdr:colOff>
      <xdr:row>18</xdr:row>
      <xdr:rowOff>85725</xdr:rowOff>
    </xdr:to>
    <xdr:sp macro="" textlink="">
      <xdr:nvSpPr>
        <xdr:cNvPr id="2" name="Rounded Rectangular Callout 1"/>
        <xdr:cNvSpPr/>
      </xdr:nvSpPr>
      <xdr:spPr>
        <a:xfrm>
          <a:off x="4333875" y="3000375"/>
          <a:ext cx="4972050" cy="3810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152400</xdr:colOff>
      <xdr:row>21</xdr:row>
      <xdr:rowOff>133350</xdr:rowOff>
    </xdr:from>
    <xdr:to>
      <xdr:col>2</xdr:col>
      <xdr:colOff>2867025</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23</xdr:row>
      <xdr:rowOff>152400</xdr:rowOff>
    </xdr:from>
    <xdr:to>
      <xdr:col>2</xdr:col>
      <xdr:colOff>2486025</xdr:colOff>
      <xdr:row>35</xdr:row>
      <xdr:rowOff>163830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bseindia.com/corporates/Sharehold_Searchnew.aspx?expandable=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
  <sheetViews>
    <sheetView showGridLines="0" zoomScale="90" zoomScaleNormal="90" workbookViewId="0">
      <selection sqref="A1:B1"/>
    </sheetView>
  </sheetViews>
  <sheetFormatPr defaultColWidth="9.140625" defaultRowHeight="15"/>
  <cols>
    <col min="1" max="1" width="28" style="2" customWidth="1"/>
    <col min="2" max="2" width="58.42578125" style="5" customWidth="1"/>
    <col min="3" max="4" width="9.140625" style="2"/>
    <col min="5" max="5" width="14.28515625" style="2" customWidth="1"/>
    <col min="6" max="9" width="9.140625" style="2"/>
    <col min="10" max="10" width="10.5703125" style="2" customWidth="1"/>
    <col min="11" max="11" width="9.140625" style="2"/>
    <col min="12" max="12" width="10.140625" style="2" customWidth="1"/>
    <col min="13" max="16384" width="9.140625" style="2"/>
  </cols>
  <sheetData>
    <row r="1" spans="1:13" ht="15.75">
      <c r="A1" s="367" t="s">
        <v>71</v>
      </c>
      <c r="B1" s="367"/>
      <c r="C1" s="367" t="s">
        <v>74</v>
      </c>
      <c r="D1" s="367"/>
      <c r="E1" s="367"/>
      <c r="F1" s="367"/>
      <c r="G1" s="367"/>
      <c r="H1" s="367"/>
      <c r="I1" s="367"/>
      <c r="J1" s="367"/>
      <c r="K1" s="367"/>
      <c r="L1" s="367"/>
      <c r="M1" s="367"/>
    </row>
    <row r="3" spans="1:13">
      <c r="A3" s="3" t="s">
        <v>0</v>
      </c>
      <c r="B3" s="17" t="str">
        <f>'Screener Input'!B1</f>
        <v>BRITANNIA INDUSTRIES LTD</v>
      </c>
    </row>
    <row r="4" spans="1:13">
      <c r="A4" s="3" t="s">
        <v>1</v>
      </c>
      <c r="B4" s="17" t="s">
        <v>564</v>
      </c>
    </row>
    <row r="5" spans="1:13" ht="15.75" thickBot="1">
      <c r="A5" s="3" t="s">
        <v>70</v>
      </c>
      <c r="B5" s="165">
        <f>'Screener Input'!B8</f>
        <v>5843.55</v>
      </c>
      <c r="K5" s="368"/>
      <c r="L5" s="368"/>
    </row>
    <row r="6" spans="1:13" ht="16.5" thickTop="1" thickBot="1">
      <c r="A6" s="3" t="s">
        <v>3</v>
      </c>
      <c r="B6" s="69">
        <f>'Screener Output'!L40</f>
        <v>24.01</v>
      </c>
      <c r="D6" s="362" t="s">
        <v>314</v>
      </c>
      <c r="E6" s="362"/>
      <c r="F6" s="358">
        <f>(Valuation_Table!B8-Valuation_Table!B25)/Valuation_Table!B25</f>
        <v>0.23975555752213068</v>
      </c>
      <c r="G6" s="207"/>
      <c r="I6" s="324" t="s">
        <v>230</v>
      </c>
    </row>
    <row r="7" spans="1:13" ht="15.75" thickTop="1">
      <c r="A7" s="3" t="s">
        <v>4</v>
      </c>
      <c r="B7" s="1">
        <f>'Screener Output'!B38</f>
        <v>70215.600000000006</v>
      </c>
      <c r="D7" s="229" t="s">
        <v>517</v>
      </c>
      <c r="F7" s="358">
        <f>POWER(Valuation_Table!E24/Valuation_Table!B8, 1/10)-1</f>
        <v>0.12789861067966068</v>
      </c>
      <c r="I7" s="364">
        <f>Valuation_Table!B17</f>
        <v>2.1662784053343982</v>
      </c>
    </row>
    <row r="8" spans="1:13" ht="15.75" thickBot="1">
      <c r="A8" s="3" t="s">
        <v>5</v>
      </c>
      <c r="B8" s="18">
        <f>SUM('Shareholding input'!C6:C7)</f>
        <v>0.50700000000000001</v>
      </c>
      <c r="D8" s="363" t="s">
        <v>518</v>
      </c>
      <c r="E8" s="363"/>
      <c r="F8" s="357">
        <f>Valuation_Table!C53</f>
        <v>9.6186416808810016E-2</v>
      </c>
      <c r="G8" s="357">
        <f>Valuation_Table!E55</f>
        <v>0.14125942993607876</v>
      </c>
      <c r="I8" s="365"/>
    </row>
    <row r="9" spans="1:13" ht="15.75" thickTop="1"/>
    <row r="11" spans="1:13" ht="185.25" customHeight="1">
      <c r="A11" s="3" t="s">
        <v>6</v>
      </c>
      <c r="B11" s="19" t="s">
        <v>460</v>
      </c>
    </row>
    <row r="12" spans="1:13">
      <c r="A12" s="366"/>
      <c r="B12" s="366"/>
    </row>
    <row r="13" spans="1:13">
      <c r="A13" s="77"/>
      <c r="B13" s="77"/>
    </row>
  </sheetData>
  <mergeCells count="5">
    <mergeCell ref="I7:I8"/>
    <mergeCell ref="A12:B12"/>
    <mergeCell ref="A1:B1"/>
    <mergeCell ref="C1:M1"/>
    <mergeCell ref="K5:L5"/>
  </mergeCells>
  <pageMargins left="0.70866141732283472" right="0.70866141732283472" top="0.74803149606299213" bottom="0.74803149606299213" header="0.31496062992125984" footer="0.31496062992125984"/>
  <pageSetup paperSize="9" scale="56" orientation="landscape" r:id="rId1"/>
  <headerFooter>
    <oddHeader xml:space="preserve">&amp;C
</oddHeader>
  </headerFooter>
  <ignoredErrors>
    <ignoredError sqref="F6:G8 B6 B3 B7 B5"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38"/>
  <sheetViews>
    <sheetView showGridLines="0" workbookViewId="0"/>
  </sheetViews>
  <sheetFormatPr defaultColWidth="9.140625" defaultRowHeight="14.25"/>
  <cols>
    <col min="1" max="1" width="6" style="29" customWidth="1"/>
    <col min="2" max="2" width="56.42578125" style="29" customWidth="1"/>
    <col min="3" max="7" width="11.5703125" style="29" bestFit="1" customWidth="1"/>
    <col min="8" max="16384" width="9.140625" style="29"/>
  </cols>
  <sheetData>
    <row r="1" spans="2:12">
      <c r="B1" s="404"/>
      <c r="C1" s="405"/>
      <c r="D1" s="405"/>
      <c r="E1" s="405"/>
      <c r="F1" s="405"/>
      <c r="G1" s="405"/>
    </row>
    <row r="2" spans="2:12" ht="15">
      <c r="B2" s="406" t="s">
        <v>95</v>
      </c>
      <c r="C2" s="406"/>
      <c r="D2" s="406"/>
      <c r="E2" s="406"/>
      <c r="F2" s="406"/>
      <c r="G2" s="406"/>
    </row>
    <row r="3" spans="2:12">
      <c r="B3" s="30" t="s">
        <v>91</v>
      </c>
      <c r="C3" s="31" t="s">
        <v>97</v>
      </c>
      <c r="D3" s="31" t="s">
        <v>98</v>
      </c>
      <c r="E3" s="31" t="s">
        <v>99</v>
      </c>
      <c r="F3" s="31" t="s">
        <v>100</v>
      </c>
      <c r="G3" s="31" t="s">
        <v>101</v>
      </c>
    </row>
    <row r="4" spans="2:12">
      <c r="B4" s="22" t="s">
        <v>57</v>
      </c>
      <c r="C4" s="161">
        <f>SUM('Screener Output'!L35:L35)/SUM('Screener Output'!L60:L60)</f>
        <v>0.19153217730660138</v>
      </c>
      <c r="D4" s="161">
        <f>SUM('Screener Output'!K35:K35)/SUM('Screener Output'!K60:K60)</f>
        <v>0.21273376345327619</v>
      </c>
      <c r="E4" s="161">
        <f>SUM('Screener Output'!J35:J35)/SUM('Screener Output'!J60:J60)</f>
        <v>0.23349931736940782</v>
      </c>
      <c r="F4" s="161">
        <f>SUM('Screener Output'!I35:I35)/SUM('Screener Output'!I60:I60)</f>
        <v>0.24446172473910907</v>
      </c>
      <c r="G4" s="161">
        <f>SUM('Screener Output'!H35:H35)/SUM('Screener Output'!H60:H60)</f>
        <v>0.18474825517611659</v>
      </c>
    </row>
    <row r="5" spans="2:12">
      <c r="B5" s="22" t="s">
        <v>282</v>
      </c>
      <c r="C5" s="23">
        <f>'Screener Output'!L45/'Screener Output'!L60</f>
        <v>3.8282020420892404E-2</v>
      </c>
      <c r="D5" s="23">
        <f>'Screener Output'!K45/'Screener Output'!K60</f>
        <v>2.9964060447728882E-2</v>
      </c>
      <c r="E5" s="23">
        <f>'Screener Output'!J45/'Screener Output'!J60</f>
        <v>3.7119808750134549E-2</v>
      </c>
      <c r="F5" s="23">
        <f>'Screener Output'!I45/'Screener Output'!I60</f>
        <v>5.1510664664046218E-2</v>
      </c>
      <c r="G5" s="23">
        <f>'Screener Output'!H45/'Screener Output'!H60</f>
        <v>6.9914334399290387E-2</v>
      </c>
    </row>
    <row r="6" spans="2:12">
      <c r="B6" s="22" t="s">
        <v>58</v>
      </c>
      <c r="C6" s="23">
        <f>SUM('Screener Output'!L9:L9)/SUM('Screener Output'!L10:L10)</f>
        <v>1.5986464841600743</v>
      </c>
      <c r="D6" s="23">
        <f>SUM('Screener Output'!K9:K9)/SUM('Screener Output'!K10:K10)</f>
        <v>1.8563398203592816</v>
      </c>
      <c r="E6" s="23">
        <f>SUM('Screener Output'!J9:J9)/SUM('Screener Output'!J10:J10)</f>
        <v>1.3013160208911625</v>
      </c>
      <c r="F6" s="23">
        <f>SUM('Screener Output'!I9:I9)/SUM('Screener Output'!I10:I10)</f>
        <v>0.98583579337087079</v>
      </c>
      <c r="G6" s="23">
        <f>SUM('Screener Output'!H9:H9)/SUM('Screener Output'!H10:H10)</f>
        <v>0.82860205329179848</v>
      </c>
    </row>
    <row r="7" spans="2:12">
      <c r="B7" s="22" t="s">
        <v>59</v>
      </c>
      <c r="C7" s="25">
        <f>'Screener Output'!L29/'Screener Output'!L26</f>
        <v>0.16824911060027292</v>
      </c>
      <c r="D7" s="25">
        <f>'Screener Output'!K29/'Screener Output'!K26</f>
        <v>0.15779829889033575</v>
      </c>
      <c r="E7" s="25">
        <f>'Screener Output'!J29/'Screener Output'!J26</f>
        <v>0.15942638227129657</v>
      </c>
      <c r="F7" s="25">
        <f>'Screener Output'!I29/'Screener Output'!I26</f>
        <v>0.13971383560563069</v>
      </c>
      <c r="G7" s="25">
        <f>'Screener Output'!H29/'Screener Output'!H26</f>
        <v>9.559058603644599E-2</v>
      </c>
    </row>
    <row r="8" spans="2:12">
      <c r="B8" s="22" t="s">
        <v>189</v>
      </c>
      <c r="C8" s="22">
        <f>'Screener Output'!L35</f>
        <v>1004.1399999999999</v>
      </c>
      <c r="D8" s="22">
        <f>'Screener Output'!K35</f>
        <v>884.32999999999993</v>
      </c>
      <c r="E8" s="22">
        <f>'Screener Output'!J35</f>
        <v>824.35999999999956</v>
      </c>
      <c r="F8" s="22">
        <f>'Screener Output'!I35</f>
        <v>688.48000000000025</v>
      </c>
      <c r="G8" s="22">
        <f>'Screener Output'!H35</f>
        <v>395.74000000000058</v>
      </c>
    </row>
    <row r="9" spans="2:12">
      <c r="B9" s="22" t="s">
        <v>61</v>
      </c>
      <c r="C9" s="22">
        <f>'Screener Output'!L62</f>
        <v>1248.77</v>
      </c>
      <c r="D9" s="22">
        <f>'Screener Output'!K62</f>
        <v>441.28</v>
      </c>
      <c r="E9" s="22">
        <f>'Screener Output'!J62</f>
        <v>959.23</v>
      </c>
      <c r="F9" s="22">
        <f>'Screener Output'!I62</f>
        <v>584.46</v>
      </c>
      <c r="G9" s="22">
        <f>'Screener Output'!H62</f>
        <v>671.48</v>
      </c>
    </row>
    <row r="10" spans="2:12">
      <c r="B10" s="22" t="s">
        <v>30</v>
      </c>
      <c r="C10" s="27">
        <f>'Screener Output'!L40</f>
        <v>24.01</v>
      </c>
      <c r="D10" s="27">
        <f>'Screener Output'!K40</f>
        <v>24</v>
      </c>
      <c r="E10" s="27">
        <f>'Screener Output'!J40</f>
        <v>24</v>
      </c>
      <c r="F10" s="27">
        <f>'Screener Output'!I40</f>
        <v>23.99</v>
      </c>
      <c r="G10" s="27">
        <f>'Screener Output'!H40</f>
        <v>23.99</v>
      </c>
      <c r="L10" s="164"/>
    </row>
    <row r="11" spans="2:12">
      <c r="B11" s="22" t="s">
        <v>62</v>
      </c>
      <c r="C11" s="160">
        <f>'Screener Output'!L25/'Screener Output'!L49</f>
        <v>1.9227531009962482</v>
      </c>
      <c r="D11" s="160">
        <f>'Screener Output'!K25/'Screener Output'!K49</f>
        <v>2.214258909111904</v>
      </c>
      <c r="E11" s="160">
        <f>'Screener Output'!J25/'Screener Output'!J49</f>
        <v>2.4137307886224457</v>
      </c>
      <c r="F11" s="160">
        <f>'Screener Output'!I25/'Screener Output'!I49</f>
        <v>2.8783408076525667</v>
      </c>
      <c r="G11" s="160">
        <f>'Screener Output'!H25/'Screener Output'!H49</f>
        <v>3.2428281319296932</v>
      </c>
    </row>
    <row r="12" spans="2:12">
      <c r="B12" s="22"/>
      <c r="C12" s="33"/>
      <c r="D12" s="28"/>
      <c r="E12" s="28"/>
      <c r="F12" s="28"/>
      <c r="G12" s="28"/>
      <c r="H12" s="32" t="s">
        <v>77</v>
      </c>
      <c r="I12" s="32">
        <v>0</v>
      </c>
      <c r="J12" s="32" t="s">
        <v>72</v>
      </c>
      <c r="K12" s="34">
        <f>(C23/9)*100</f>
        <v>44.444444444444443</v>
      </c>
    </row>
    <row r="13" spans="2:12">
      <c r="B13" s="22"/>
      <c r="C13" s="22"/>
      <c r="D13" s="28"/>
      <c r="E13" s="28"/>
      <c r="F13" s="28"/>
      <c r="G13" s="28"/>
      <c r="H13" s="32" t="s">
        <v>78</v>
      </c>
      <c r="I13" s="32">
        <v>30</v>
      </c>
      <c r="J13" s="32" t="s">
        <v>82</v>
      </c>
      <c r="K13" s="32">
        <v>1</v>
      </c>
    </row>
    <row r="14" spans="2:12">
      <c r="B14" s="24" t="s">
        <v>279</v>
      </c>
      <c r="C14" s="35">
        <f>--(C8&gt;0)</f>
        <v>1</v>
      </c>
      <c r="D14" s="36"/>
      <c r="E14" s="36"/>
      <c r="F14" s="36"/>
      <c r="G14" s="36"/>
      <c r="H14" s="32" t="s">
        <v>79</v>
      </c>
      <c r="I14" s="32">
        <v>40</v>
      </c>
      <c r="J14" s="32" t="s">
        <v>80</v>
      </c>
      <c r="K14" s="32">
        <f>SUM(I12:I16) - SUM(K12:K13)</f>
        <v>154.55555555555554</v>
      </c>
    </row>
    <row r="15" spans="2:12">
      <c r="B15" s="24" t="s">
        <v>130</v>
      </c>
      <c r="C15" s="35">
        <f>--(C9&gt;0)</f>
        <v>1</v>
      </c>
      <c r="D15" s="36"/>
      <c r="E15" s="36"/>
      <c r="F15" s="36"/>
      <c r="G15" s="36"/>
      <c r="H15" s="32" t="s">
        <v>80</v>
      </c>
      <c r="I15" s="32">
        <v>30</v>
      </c>
      <c r="J15" s="32"/>
      <c r="K15" s="32"/>
    </row>
    <row r="16" spans="2:12">
      <c r="B16" s="24" t="s">
        <v>131</v>
      </c>
      <c r="C16" s="37">
        <f>--(C4&gt;D4)</f>
        <v>0</v>
      </c>
      <c r="D16" s="38"/>
      <c r="E16" s="38"/>
      <c r="F16" s="38"/>
      <c r="G16" s="28"/>
      <c r="H16" s="32" t="s">
        <v>81</v>
      </c>
      <c r="I16" s="32">
        <v>100</v>
      </c>
      <c r="J16" s="32"/>
      <c r="K16" s="32"/>
    </row>
    <row r="17" spans="2:8">
      <c r="B17" s="24" t="s">
        <v>280</v>
      </c>
      <c r="C17" s="37">
        <f>--(C9&gt;C8)</f>
        <v>1</v>
      </c>
      <c r="D17" s="38"/>
      <c r="E17" s="38"/>
      <c r="F17" s="38"/>
      <c r="G17" s="28"/>
    </row>
    <row r="18" spans="2:8">
      <c r="B18" s="24" t="s">
        <v>283</v>
      </c>
      <c r="C18" s="37">
        <f>--(C5&lt;D5)</f>
        <v>0</v>
      </c>
      <c r="D18" s="38"/>
      <c r="E18" s="38"/>
      <c r="F18" s="38"/>
      <c r="G18" s="28"/>
    </row>
    <row r="19" spans="2:8">
      <c r="B19" s="24" t="s">
        <v>284</v>
      </c>
      <c r="C19" s="37">
        <f>--(C6&gt;D6)</f>
        <v>0</v>
      </c>
      <c r="D19" s="38"/>
      <c r="E19" s="38"/>
      <c r="F19" s="38"/>
      <c r="G19" s="28"/>
    </row>
    <row r="20" spans="2:8">
      <c r="B20" s="22" t="s">
        <v>132</v>
      </c>
      <c r="C20" s="37">
        <f>--(C10&lt;D10)</f>
        <v>0</v>
      </c>
      <c r="D20" s="38"/>
      <c r="E20" s="38"/>
      <c r="F20" s="38"/>
      <c r="G20" s="28"/>
    </row>
    <row r="21" spans="2:8">
      <c r="B21" s="22" t="s">
        <v>133</v>
      </c>
      <c r="C21" s="37">
        <f>--(C7&gt;D7)</f>
        <v>1</v>
      </c>
      <c r="D21" s="38"/>
      <c r="E21" s="38"/>
      <c r="F21" s="38"/>
      <c r="G21" s="28"/>
    </row>
    <row r="22" spans="2:8">
      <c r="B22" s="22" t="s">
        <v>134</v>
      </c>
      <c r="C22" s="37">
        <f>--(C11&gt;D11)</f>
        <v>0</v>
      </c>
      <c r="D22" s="38"/>
      <c r="E22" s="38"/>
      <c r="F22" s="38"/>
      <c r="G22" s="28"/>
    </row>
    <row r="23" spans="2:8" ht="15">
      <c r="B23" s="39" t="s">
        <v>56</v>
      </c>
      <c r="C23" s="40">
        <f>SUM(C14:C22)</f>
        <v>4</v>
      </c>
      <c r="D23" s="41"/>
      <c r="E23" s="41"/>
      <c r="F23" s="41"/>
      <c r="G23" s="28"/>
    </row>
    <row r="26" spans="2:8" ht="15">
      <c r="B26" s="2"/>
      <c r="C26" s="2"/>
      <c r="D26" s="2"/>
      <c r="E26" s="2"/>
      <c r="F26" s="2"/>
      <c r="G26" s="2"/>
      <c r="H26" s="2"/>
    </row>
    <row r="27" spans="2:8" ht="15">
      <c r="B27" s="2"/>
      <c r="C27" s="2"/>
      <c r="D27" s="2"/>
      <c r="E27" s="2"/>
      <c r="F27" s="2"/>
      <c r="G27" s="2"/>
      <c r="H27" s="2"/>
    </row>
    <row r="28" spans="2:8" ht="15">
      <c r="B28" s="2"/>
      <c r="C28" s="2"/>
      <c r="D28" s="2"/>
      <c r="E28" s="2"/>
      <c r="F28" s="2"/>
      <c r="G28" s="2"/>
      <c r="H28" s="2"/>
    </row>
    <row r="29" spans="2:8" ht="15">
      <c r="B29" s="2"/>
      <c r="C29" s="2"/>
      <c r="D29" s="2"/>
      <c r="E29" s="2"/>
      <c r="F29" s="2"/>
      <c r="G29" s="2"/>
      <c r="H29" s="2"/>
    </row>
    <row r="30" spans="2:8" ht="15">
      <c r="B30" s="2"/>
      <c r="C30" s="2"/>
      <c r="D30" s="2"/>
      <c r="E30" s="2"/>
      <c r="F30" s="2"/>
      <c r="G30" s="2"/>
      <c r="H30" s="2"/>
    </row>
    <row r="31" spans="2:8" ht="15">
      <c r="B31" s="2"/>
      <c r="C31" s="2"/>
      <c r="D31" s="2"/>
      <c r="E31" s="2"/>
      <c r="F31" s="2"/>
      <c r="G31" s="2"/>
      <c r="H31" s="2"/>
    </row>
    <row r="32" spans="2:8" ht="15">
      <c r="B32" s="2"/>
      <c r="C32" s="2"/>
      <c r="D32" s="2"/>
      <c r="E32" s="2"/>
      <c r="F32" s="2"/>
      <c r="G32" s="2"/>
      <c r="H32" s="2"/>
    </row>
    <row r="33" spans="2:8" ht="15">
      <c r="B33" s="2"/>
      <c r="C33" s="2"/>
      <c r="D33" s="2"/>
      <c r="E33" s="2"/>
      <c r="F33" s="2"/>
      <c r="G33" s="2"/>
      <c r="H33" s="2"/>
    </row>
    <row r="34" spans="2:8" ht="15">
      <c r="B34" s="2"/>
      <c r="C34" s="2"/>
      <c r="D34" s="2"/>
      <c r="E34" s="2"/>
      <c r="F34" s="2"/>
      <c r="G34" s="2"/>
      <c r="H34" s="2"/>
    </row>
    <row r="35" spans="2:8" ht="15">
      <c r="B35" s="407" t="s">
        <v>92</v>
      </c>
      <c r="C35" s="407"/>
      <c r="D35" s="407"/>
      <c r="E35" s="2"/>
      <c r="F35" s="2"/>
      <c r="G35" s="2"/>
      <c r="H35" s="2"/>
    </row>
    <row r="36" spans="2:8" ht="15">
      <c r="B36" s="408" t="s">
        <v>93</v>
      </c>
      <c r="C36" s="408"/>
      <c r="D36" s="408"/>
      <c r="E36" s="2"/>
      <c r="F36" s="2"/>
      <c r="G36" s="2"/>
      <c r="H36" s="2"/>
    </row>
    <row r="37" spans="2:8" ht="15">
      <c r="B37" s="409" t="s">
        <v>94</v>
      </c>
      <c r="C37" s="409"/>
      <c r="D37" s="409"/>
      <c r="E37" s="2"/>
      <c r="F37" s="2"/>
      <c r="G37" s="2"/>
      <c r="H37" s="2"/>
    </row>
    <row r="38" spans="2:8" ht="15">
      <c r="B38" s="2"/>
      <c r="C38" s="2"/>
      <c r="D38" s="2"/>
      <c r="E38" s="2"/>
      <c r="F38" s="2"/>
      <c r="G38" s="2"/>
      <c r="H38" s="2"/>
    </row>
  </sheetData>
  <mergeCells count="5">
    <mergeCell ref="B1:G1"/>
    <mergeCell ref="B2:G2"/>
    <mergeCell ref="B35:D35"/>
    <mergeCell ref="B36:D36"/>
    <mergeCell ref="B37:D37"/>
  </mergeCells>
  <pageMargins left="0.70866141732283472" right="0.70866141732283472" top="0.74803149606299213" bottom="0.74803149606299213" header="0.31496062992125984" footer="0.31496062992125984"/>
  <pageSetup paperSize="9" orientation="landscape" r:id="rId1"/>
  <ignoredErrors>
    <ignoredError sqref="K12:K1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36"/>
  <sheetViews>
    <sheetView showGridLines="0" workbookViewId="0"/>
  </sheetViews>
  <sheetFormatPr defaultColWidth="9.140625" defaultRowHeight="14.25"/>
  <cols>
    <col min="1" max="1" width="9.140625" style="29"/>
    <col min="2" max="2" width="36.140625" style="29" bestFit="1" customWidth="1"/>
    <col min="3" max="4" width="9.140625" style="29"/>
    <col min="5" max="5" width="40.42578125" style="29" bestFit="1" customWidth="1"/>
    <col min="6" max="6" width="9.140625" style="29"/>
    <col min="7" max="7" width="9.140625" style="29" customWidth="1"/>
    <col min="8" max="16384" width="9.140625" style="29"/>
  </cols>
  <sheetData>
    <row r="1" spans="2:11">
      <c r="B1" s="404"/>
      <c r="C1" s="405"/>
      <c r="D1" s="405"/>
      <c r="E1" s="405"/>
      <c r="F1" s="405"/>
    </row>
    <row r="2" spans="2:11" ht="15">
      <c r="B2" s="406" t="s">
        <v>96</v>
      </c>
      <c r="C2" s="406"/>
      <c r="D2" s="406"/>
      <c r="E2" s="406"/>
      <c r="F2" s="406"/>
    </row>
    <row r="3" spans="2:11" ht="15">
      <c r="B3" s="410" t="s">
        <v>73</v>
      </c>
      <c r="C3" s="411"/>
      <c r="D3" s="411"/>
      <c r="E3" s="411"/>
      <c r="F3" s="412"/>
    </row>
    <row r="4" spans="2:11" ht="15">
      <c r="B4" s="22" t="s">
        <v>34</v>
      </c>
      <c r="C4" s="42" t="s">
        <v>97</v>
      </c>
      <c r="D4" s="22"/>
      <c r="E4" s="22" t="s">
        <v>67</v>
      </c>
      <c r="F4" s="23">
        <f>C5/C6</f>
        <v>0.18678078154833316</v>
      </c>
      <c r="G4" s="32" t="s">
        <v>83</v>
      </c>
      <c r="I4" s="29" t="s">
        <v>82</v>
      </c>
    </row>
    <row r="5" spans="2:11">
      <c r="B5" s="22" t="s">
        <v>63</v>
      </c>
      <c r="C5" s="22">
        <f>'Screener Output'!L52</f>
        <v>979.22999999999979</v>
      </c>
      <c r="D5" s="22"/>
      <c r="E5" s="22" t="s">
        <v>281</v>
      </c>
      <c r="F5" s="23">
        <f>C8/C6</f>
        <v>0.64513310965595771</v>
      </c>
      <c r="G5" s="32" t="s">
        <v>77</v>
      </c>
      <c r="H5" s="29">
        <v>0</v>
      </c>
      <c r="I5" s="29" t="s">
        <v>72</v>
      </c>
      <c r="J5" s="224">
        <f>(C14/6)*100</f>
        <v>100</v>
      </c>
    </row>
    <row r="6" spans="2:11">
      <c r="B6" s="22" t="s">
        <v>17</v>
      </c>
      <c r="C6" s="22">
        <f>'Screener Output'!L60</f>
        <v>5242.67</v>
      </c>
      <c r="D6" s="22"/>
      <c r="E6" s="22" t="s">
        <v>68</v>
      </c>
      <c r="F6" s="23">
        <f>C9/C6</f>
        <v>0.31816231042579446</v>
      </c>
      <c r="G6" s="32" t="s">
        <v>78</v>
      </c>
      <c r="H6" s="29">
        <v>30</v>
      </c>
      <c r="I6" s="29" t="s">
        <v>82</v>
      </c>
      <c r="J6" s="29">
        <v>1</v>
      </c>
    </row>
    <row r="7" spans="2:11">
      <c r="B7" s="22" t="s">
        <v>12</v>
      </c>
      <c r="C7" s="22">
        <f>'Screener Output'!L60</f>
        <v>5242.67</v>
      </c>
      <c r="D7" s="22"/>
      <c r="E7" s="22" t="s">
        <v>285</v>
      </c>
      <c r="F7" s="23">
        <f>'Screener Output'!B38/'Screener Output'!L60</f>
        <v>13.393099317714066</v>
      </c>
      <c r="G7" s="32" t="s">
        <v>79</v>
      </c>
      <c r="H7" s="29">
        <v>20</v>
      </c>
      <c r="I7" s="29" t="s">
        <v>80</v>
      </c>
      <c r="J7" s="29">
        <f>SUM(H5:H9) - SUM(J5:J6)</f>
        <v>99</v>
      </c>
    </row>
    <row r="8" spans="2:11">
      <c r="B8" s="22" t="s">
        <v>214</v>
      </c>
      <c r="C8" s="22">
        <f>'Screener Output'!L41</f>
        <v>3382.22</v>
      </c>
      <c r="D8" s="22"/>
      <c r="E8" s="22" t="s">
        <v>69</v>
      </c>
      <c r="F8" s="23">
        <f>C11/C6</f>
        <v>1.8910192707151126</v>
      </c>
      <c r="G8" s="32" t="s">
        <v>80</v>
      </c>
      <c r="H8" s="29">
        <v>50</v>
      </c>
    </row>
    <row r="9" spans="2:11">
      <c r="B9" s="22" t="s">
        <v>64</v>
      </c>
      <c r="C9" s="22">
        <f>'Screener Output'!L29</f>
        <v>1668.0199999999998</v>
      </c>
      <c r="D9" s="22"/>
      <c r="E9" s="22"/>
      <c r="F9" s="22"/>
      <c r="G9" s="32" t="s">
        <v>81</v>
      </c>
      <c r="H9" s="29">
        <v>100</v>
      </c>
    </row>
    <row r="10" spans="2:11">
      <c r="B10" s="22" t="s">
        <v>65</v>
      </c>
      <c r="C10" s="23">
        <f>'Screener Output'!B38</f>
        <v>70215.600000000006</v>
      </c>
      <c r="D10" s="22"/>
      <c r="E10" s="22"/>
      <c r="F10" s="22"/>
      <c r="G10" s="32">
        <f>IF(SUM(C1:D1)&gt;=20,20,SUM(C1:D1))</f>
        <v>0</v>
      </c>
    </row>
    <row r="11" spans="2:11">
      <c r="B11" s="22" t="s">
        <v>18</v>
      </c>
      <c r="C11" s="22">
        <f>'Screener Output'!L26</f>
        <v>9913.99</v>
      </c>
      <c r="D11" s="22"/>
      <c r="E11" s="22"/>
      <c r="F11" s="22"/>
      <c r="G11" s="43"/>
    </row>
    <row r="12" spans="2:11">
      <c r="B12" s="22"/>
      <c r="C12" s="22"/>
      <c r="D12" s="22"/>
      <c r="E12" s="22"/>
      <c r="F12" s="22"/>
      <c r="G12" s="43"/>
    </row>
    <row r="13" spans="2:11">
      <c r="B13" s="22"/>
      <c r="C13" s="22"/>
      <c r="D13" s="22"/>
      <c r="E13" s="22"/>
      <c r="F13" s="22"/>
      <c r="G13" s="43"/>
    </row>
    <row r="14" spans="2:11">
      <c r="B14" s="26" t="s">
        <v>66</v>
      </c>
      <c r="C14" s="44">
        <f>IF((1.2*F4+1.4*F5+3.3*F6+0.6*F7+0.999*F8)&gt;=6,6,(1.2*F4+1.4*F5+3.3*F6+0.6*F7+0.999*F8))</f>
        <v>6</v>
      </c>
      <c r="D14" s="22"/>
      <c r="E14" s="22"/>
      <c r="F14" s="22"/>
      <c r="G14" s="43"/>
      <c r="H14" s="43"/>
      <c r="I14" s="43"/>
      <c r="J14" s="43"/>
      <c r="K14" s="43"/>
    </row>
    <row r="16" spans="2:11" ht="15">
      <c r="B16" s="45" t="s">
        <v>88</v>
      </c>
    </row>
    <row r="17" spans="2:3">
      <c r="B17" s="29" t="s">
        <v>86</v>
      </c>
      <c r="C17" s="29" t="s">
        <v>85</v>
      </c>
    </row>
    <row r="18" spans="2:3">
      <c r="B18" s="29" t="s">
        <v>89</v>
      </c>
      <c r="C18" s="29" t="s">
        <v>87</v>
      </c>
    </row>
    <row r="19" spans="2:3">
      <c r="B19" s="29" t="s">
        <v>90</v>
      </c>
      <c r="C19" s="29" t="s">
        <v>84</v>
      </c>
    </row>
    <row r="23" spans="2:3" ht="15">
      <c r="B23" s="2"/>
      <c r="C23" s="5"/>
    </row>
    <row r="24" spans="2:3" ht="15">
      <c r="B24" s="2"/>
      <c r="C24" s="5"/>
    </row>
    <row r="25" spans="2:3" ht="15">
      <c r="B25" s="2"/>
      <c r="C25" s="5"/>
    </row>
    <row r="26" spans="2:3" ht="15">
      <c r="B26" s="2"/>
      <c r="C26" s="5"/>
    </row>
    <row r="27" spans="2:3" ht="15">
      <c r="B27" s="2"/>
      <c r="C27" s="5"/>
    </row>
    <row r="28" spans="2:3" ht="15">
      <c r="B28" s="2"/>
      <c r="C28" s="5"/>
    </row>
    <row r="29" spans="2:3" ht="15">
      <c r="B29" s="2"/>
      <c r="C29" s="5"/>
    </row>
    <row r="30" spans="2:3" ht="15">
      <c r="B30" s="2"/>
      <c r="C30" s="5"/>
    </row>
    <row r="31" spans="2:3" ht="15">
      <c r="B31" s="2"/>
      <c r="C31" s="5"/>
    </row>
    <row r="32" spans="2:3" ht="15">
      <c r="B32" s="4" t="s">
        <v>90</v>
      </c>
      <c r="C32" s="5"/>
    </row>
    <row r="33" spans="2:3" ht="15">
      <c r="B33" s="6" t="s">
        <v>86</v>
      </c>
      <c r="C33" s="5"/>
    </row>
    <row r="34" spans="2:3" ht="15">
      <c r="B34" s="7" t="s">
        <v>89</v>
      </c>
      <c r="C34" s="5"/>
    </row>
    <row r="35" spans="2:3" ht="15">
      <c r="B35" s="2"/>
      <c r="C35" s="5"/>
    </row>
    <row r="36" spans="2:3" ht="15">
      <c r="B36" s="2"/>
      <c r="C36" s="5"/>
    </row>
  </sheetData>
  <mergeCells count="3">
    <mergeCell ref="B3:F3"/>
    <mergeCell ref="B1:F1"/>
    <mergeCell ref="B2:F2"/>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A17"/>
  <sheetViews>
    <sheetView showGridLines="0" zoomScaleNormal="100" workbookViewId="0">
      <selection activeCell="A12" sqref="A12:K12"/>
    </sheetView>
  </sheetViews>
  <sheetFormatPr defaultColWidth="14.42578125" defaultRowHeight="15" customHeight="1"/>
  <cols>
    <col min="1" max="1" width="3" style="110" customWidth="1"/>
    <col min="2" max="2" width="10.5703125" style="110" customWidth="1"/>
    <col min="3" max="3" width="10.5703125" style="97" customWidth="1"/>
    <col min="4" max="4" width="17.28515625" style="97" customWidth="1"/>
    <col min="5" max="6" width="10.5703125" style="97" customWidth="1"/>
    <col min="7" max="7" width="12.140625" style="97" customWidth="1"/>
    <col min="8" max="15" width="10.5703125" style="97" customWidth="1"/>
    <col min="16" max="16" width="12" style="97" customWidth="1"/>
    <col min="17" max="17" width="15.28515625" style="97" customWidth="1"/>
    <col min="18" max="19" width="14.42578125" style="97"/>
    <col min="20" max="20" width="15.85546875" style="97" customWidth="1"/>
    <col min="21" max="16384" width="14.42578125" style="97"/>
  </cols>
  <sheetData>
    <row r="1" spans="2:27" ht="15" customHeight="1">
      <c r="D1" s="106"/>
      <c r="E1" s="107"/>
      <c r="F1" s="108"/>
      <c r="G1" s="108"/>
      <c r="H1" s="109"/>
      <c r="I1" s="109"/>
      <c r="J1" s="108"/>
    </row>
    <row r="2" spans="2:27" ht="36">
      <c r="B2" s="96" t="s">
        <v>295</v>
      </c>
      <c r="C2" s="96" t="s">
        <v>296</v>
      </c>
      <c r="D2" s="95" t="s">
        <v>177</v>
      </c>
      <c r="E2" s="96" t="s">
        <v>178</v>
      </c>
      <c r="F2" s="96" t="s">
        <v>179</v>
      </c>
      <c r="G2" s="96" t="s">
        <v>180</v>
      </c>
      <c r="H2" s="96" t="s">
        <v>294</v>
      </c>
      <c r="I2" s="96" t="s">
        <v>181</v>
      </c>
      <c r="J2" s="96" t="s">
        <v>182</v>
      </c>
      <c r="K2" s="96" t="s">
        <v>183</v>
      </c>
      <c r="L2" s="96" t="s">
        <v>313</v>
      </c>
      <c r="M2" s="96" t="s">
        <v>42</v>
      </c>
      <c r="N2" s="96" t="s">
        <v>184</v>
      </c>
      <c r="O2" s="96" t="s">
        <v>57</v>
      </c>
    </row>
    <row r="3" spans="2:27" ht="15" customHeight="1">
      <c r="B3" s="98">
        <f>AVERAGE('Screener Output'!H76:L76)</f>
        <v>42.814306875239154</v>
      </c>
      <c r="C3" s="98">
        <f>AVERAGE('Screener Output'!H78:L78)</f>
        <v>16.766658078643147</v>
      </c>
      <c r="D3" s="96" t="s">
        <v>175</v>
      </c>
      <c r="E3" s="104">
        <f>SUM('Screener Output'!H29:L29)/SUM('Screener Output'!H26:L26)</f>
        <v>0.1470034013314841</v>
      </c>
      <c r="F3" s="101">
        <f>SUM('Screener Output'!H35:M35)/SUM('Screener Output'!H26:M26)</f>
        <v>9.2545732359829505E-2</v>
      </c>
      <c r="G3" s="104">
        <f>SUM('Screener Output'!H6:L6)/SUM('Screener Output'!H26:L26)</f>
        <v>6.1210676554545179E-2</v>
      </c>
      <c r="H3" s="104">
        <f>SUM('Screener Output'!H7:L7)/SUM('Screener Output'!H26:L26)</f>
        <v>2.1332604273165932E-2</v>
      </c>
      <c r="I3" s="99">
        <f>SUM('Screener Output'!H55:L55)/SUM('Screener Output'!H60:L60)</f>
        <v>4.082126643586622E-2</v>
      </c>
      <c r="J3" s="99">
        <f>SUM('Screener Output'!H9:L9)/SUM('Screener Output'!H10:L10)</f>
        <v>1.3322511732258129</v>
      </c>
      <c r="K3" s="98">
        <f>SUM('Screener Input'!G66:K66)/SUM('Screener Input'!G57:K58)</f>
        <v>1.7473389629354681</v>
      </c>
      <c r="L3" s="98">
        <f>SUM('Screener Output'!H45:L45)/SUM('Screener Output'!H35:L35)</f>
        <v>0.1978219933896051</v>
      </c>
      <c r="M3" s="182">
        <f>SUM('Screener Output'!H35:L35)/SUM('Screener Output'!H40:L41)</f>
        <v>0.37089440344613706</v>
      </c>
      <c r="N3" s="99">
        <f>SUM('Screener Output'!H35:L35)/SUM('Screener Output'!H42:L45)</f>
        <v>0.34554164327140002</v>
      </c>
      <c r="O3" s="99">
        <f>SUM('Screener Output'!H35:L35)/SUM('Screener Output'!H60:L60)</f>
        <v>0.212262423784706</v>
      </c>
    </row>
    <row r="4" spans="2:27" ht="15" customHeight="1">
      <c r="B4" s="98">
        <f>'Screener Output'!L76</f>
        <v>62.797919229867077</v>
      </c>
      <c r="C4" s="98">
        <f>'Screener Output'!L78</f>
        <v>18.514179731905774</v>
      </c>
      <c r="D4" s="96" t="s">
        <v>176</v>
      </c>
      <c r="E4" s="102">
        <f>'Screener Output'!L29/'Screener Output'!L26</f>
        <v>0.16824911060027292</v>
      </c>
      <c r="F4" s="101">
        <f>'Screener Output'!M35/'Screener Output'!M26</f>
        <v>0.10260032253887533</v>
      </c>
      <c r="G4" s="104">
        <f>SUM('Screener Output'!L6:L6)/SUM('Screener Output'!L26:L26)</f>
        <v>6.5845335732636401E-2</v>
      </c>
      <c r="H4" s="104">
        <f>SUM('Screener Output'!L7:L7)/SUM('Screener Output'!L26:L26)</f>
        <v>3.0724259354709862E-2</v>
      </c>
      <c r="I4" s="111">
        <f>'Screener Output'!L55/'Screener Output'!L60</f>
        <v>3.5558217473157759E-2</v>
      </c>
      <c r="J4" s="99">
        <f>SUM('Screener Output'!L9:L9)/SUM('Screener Output'!L10:L10)</f>
        <v>1.5986464841600743</v>
      </c>
      <c r="K4" s="98">
        <f>SUM('Screener Input'!K66:K66)/SUM('Screener Input'!K57:K58)</f>
        <v>1.5391415142254046</v>
      </c>
      <c r="L4" s="98">
        <f>SUM('Screener Output'!L45:L45)/SUM('Screener Output'!M35:M35)</f>
        <v>0.19188848095456634</v>
      </c>
      <c r="M4" s="182">
        <f>Dupont!H10</f>
        <v>0.30706088549510746</v>
      </c>
      <c r="N4" s="99">
        <f>SUM('Screener Output'!L35:L35)/SUM('Screener Output'!L42:L45)</f>
        <v>0.2783918734214415</v>
      </c>
      <c r="O4" s="99">
        <f>SUM('Screener Output'!L35:L35)/SUM('Screener Output'!L60:L60)</f>
        <v>0.19153217730660138</v>
      </c>
    </row>
    <row r="5" spans="2:27" ht="12.95" customHeight="1">
      <c r="B5" s="98">
        <f>MAX('Screener Output'!H76:L76)</f>
        <v>62.797919229867077</v>
      </c>
      <c r="C5" s="98">
        <f>MAX('Screener Output'!H78:L78)</f>
        <v>21.204909114616381</v>
      </c>
      <c r="D5" s="96" t="s">
        <v>292</v>
      </c>
      <c r="E5" s="102"/>
      <c r="F5" s="101"/>
      <c r="G5" s="104"/>
      <c r="H5" s="104"/>
      <c r="I5" s="111"/>
      <c r="J5" s="99"/>
      <c r="K5" s="98"/>
      <c r="L5" s="98"/>
      <c r="M5" s="99"/>
      <c r="N5" s="99"/>
      <c r="O5" s="99"/>
    </row>
    <row r="6" spans="2:27" ht="15" customHeight="1">
      <c r="D6" s="97" t="s">
        <v>293</v>
      </c>
      <c r="O6" s="112"/>
      <c r="S6" s="112"/>
      <c r="Z6" s="114"/>
    </row>
    <row r="7" spans="2:27" ht="26.25" customHeight="1">
      <c r="D7" s="95" t="s">
        <v>166</v>
      </c>
      <c r="E7" s="96" t="s">
        <v>102</v>
      </c>
      <c r="F7" s="96" t="s">
        <v>167</v>
      </c>
      <c r="G7" s="96" t="s">
        <v>168</v>
      </c>
      <c r="H7" s="96" t="s">
        <v>169</v>
      </c>
      <c r="I7" s="96" t="s">
        <v>170</v>
      </c>
      <c r="J7" s="96" t="s">
        <v>171</v>
      </c>
      <c r="K7" s="96" t="s">
        <v>172</v>
      </c>
      <c r="L7" s="96" t="s">
        <v>173</v>
      </c>
      <c r="M7" s="96" t="s">
        <v>298</v>
      </c>
      <c r="N7" s="96" t="s">
        <v>174</v>
      </c>
      <c r="S7" s="112"/>
      <c r="Z7" s="115"/>
      <c r="AA7" s="114"/>
    </row>
    <row r="8" spans="2:27" s="110" customFormat="1" ht="26.25" customHeight="1">
      <c r="D8" s="96" t="s">
        <v>175</v>
      </c>
      <c r="E8" s="98">
        <f>AVERAGE('Screener Output'!H62:L62)</f>
        <v>781.04399999999998</v>
      </c>
      <c r="F8" s="99">
        <f>SUM('Screener Output'!H65:L65)/SUM('Screener Output'!H62:L62)</f>
        <v>-0.33588888718177212</v>
      </c>
      <c r="G8" s="100">
        <f>SUM('Screener Output'!H23:L23)/SUM('Screener Output'!H62:L62)</f>
        <v>0.32436840946220702</v>
      </c>
      <c r="H8" s="99">
        <f>SUM('Screener Output'!H62:L62)/SUM('Screener Output'!H35:L35)</f>
        <v>1.02848790508421</v>
      </c>
      <c r="I8" s="101">
        <f>SUM('Screener Output'!H62:L62)/SUM('Screener Output'!H26:L26)</f>
        <v>9.268034983496469E-2</v>
      </c>
      <c r="J8" s="102">
        <f>SUM('Screener Output'!H62:L62)/SUM('Screener Output'!H60:L60)</f>
        <v>0.21830933556642906</v>
      </c>
      <c r="K8" s="103">
        <f>SUM('Screener Output'!H62:L62)/SUM('Screener Output'!H48:L48)</f>
        <v>0.56599195916391531</v>
      </c>
      <c r="L8" s="103">
        <f>SUM('Screener Output'!H62:L62)/SUM('Screener Output'!H45:L45)</f>
        <v>5.1990574327022916</v>
      </c>
      <c r="M8" s="104">
        <f>SUM('Screener Output'!H63:L63)/SUM('Screener Output'!H62:L62)</f>
        <v>0.67563159053779298</v>
      </c>
      <c r="N8" s="99">
        <f>SUM('Screener Output'!H23:L23)/SUM('Screener Output'!H63:L63)</f>
        <v>0.48009657038685011</v>
      </c>
      <c r="S8" s="112"/>
      <c r="Z8" s="115"/>
      <c r="AA8" s="114"/>
    </row>
    <row r="9" spans="2:27" s="110" customFormat="1" ht="26.25" customHeight="1">
      <c r="D9" s="96" t="s">
        <v>176</v>
      </c>
      <c r="E9" s="98">
        <f>'Screener Output'!L62</f>
        <v>1248.77</v>
      </c>
      <c r="F9" s="105">
        <f>SUM('Screener Output'!L65:L65)/SUM('Screener Output'!L62:L62)</f>
        <v>-0.18558261329147882</v>
      </c>
      <c r="G9" s="99">
        <f>SUM('Screener Output'!L23:L23)/SUM('Screener Output'!L62:L62)</f>
        <v>0.400738326513289</v>
      </c>
      <c r="H9" s="99">
        <f>SUM('Screener Output'!L62:L62)/SUM('Screener Output'!L35:L35)</f>
        <v>1.2436214073734739</v>
      </c>
      <c r="I9" s="104">
        <f>SUM('Screener Output'!L62:L62)/SUM('Screener Output'!L26:L26)</f>
        <v>0.12596038527373943</v>
      </c>
      <c r="J9" s="104">
        <f>SUM('Screener Output'!L62:L62)/SUM('Screener Output'!L60:L60)</f>
        <v>0.23819351589934135</v>
      </c>
      <c r="K9" s="104">
        <f>SUM('Screener Output'!L62:L62)/SUM('Screener Output'!L48:L48)</f>
        <v>0.76342817318155698</v>
      </c>
      <c r="L9" s="104">
        <f>SUM('Screener Output'!L62:L62)/SUM('Screener Output'!L45:L45)</f>
        <v>6.2220727453911309</v>
      </c>
      <c r="M9" s="104">
        <f>SUM('Screener Output'!L63:L63)/SUM('Screener Output'!L62:L62)</f>
        <v>0.599261673486711</v>
      </c>
      <c r="N9" s="99">
        <f>SUM('Screener Output'!L23:L23)/SUM('Screener Output'!L63:L63)</f>
        <v>0.66872010048908226</v>
      </c>
      <c r="S9" s="112"/>
      <c r="Z9" s="115"/>
      <c r="AA9" s="114"/>
    </row>
    <row r="10" spans="2:27" s="110" customFormat="1" ht="26.25" customHeight="1">
      <c r="S10" s="112"/>
      <c r="Z10" s="115"/>
      <c r="AA10" s="114"/>
    </row>
    <row r="11" spans="2:27" ht="12">
      <c r="D11" s="95" t="s">
        <v>185</v>
      </c>
      <c r="E11" s="96" t="s">
        <v>186</v>
      </c>
      <c r="F11" s="96" t="s">
        <v>187</v>
      </c>
      <c r="G11" s="96" t="s">
        <v>188</v>
      </c>
      <c r="H11" s="96" t="s">
        <v>189</v>
      </c>
      <c r="I11" s="96" t="s">
        <v>35</v>
      </c>
      <c r="J11" s="96" t="s">
        <v>37</v>
      </c>
      <c r="K11" s="96" t="s">
        <v>102</v>
      </c>
      <c r="L11" s="96" t="s">
        <v>32</v>
      </c>
      <c r="M11" s="96" t="s">
        <v>9</v>
      </c>
      <c r="N11" s="96"/>
      <c r="AA11" s="115"/>
    </row>
    <row r="12" spans="2:27" ht="12.95" customHeight="1">
      <c r="D12" s="96" t="s">
        <v>190</v>
      </c>
      <c r="E12" s="102">
        <f>POWER('Screener Output'!M25/'Screener Output'!C25,1/9)-1</f>
        <v>0.128097673658919</v>
      </c>
      <c r="F12" s="99">
        <f>('Screener Output'!L6/'Screener Output'!C6)^(1/9)-1</f>
        <v>9.4892058693979431E-2</v>
      </c>
      <c r="G12" s="99">
        <f>('Screener Output'!L7/'Screener Output'!C7)^(1/9)-1</f>
        <v>0.17024710512683505</v>
      </c>
      <c r="H12" s="102">
        <f>POWER('Screener Output'!M35/'Screener Output'!C35,1/9)-1</f>
        <v>0.24720294698205758</v>
      </c>
      <c r="I12" s="102">
        <f>('Screener Output'!M74/'Screener Output'!C74)^(1/9)-1</f>
        <v>0.23877662958659163</v>
      </c>
      <c r="J12" s="102">
        <f>('Screener Output'!L73/'Screener Output'!C73)^(1/9)-1</f>
        <v>0.18756294814527785</v>
      </c>
      <c r="K12" s="102">
        <f>('Screener Output'!L62/'Screener Output'!C62)^(1/9)-1</f>
        <v>0.19551244325963046</v>
      </c>
      <c r="L12" s="102">
        <f>('Screener Output'!L63/'Screener Output'!C62)^(1/9)-1</f>
        <v>0.12939230209663521</v>
      </c>
      <c r="M12" s="102">
        <f>('Screener Output'!L42/'Screener Output'!C42)^(1/9)-1</f>
        <v>0.18823342751723326</v>
      </c>
      <c r="N12" s="116"/>
      <c r="AA12" s="115"/>
    </row>
    <row r="13" spans="2:27" ht="12.95" customHeight="1">
      <c r="D13" s="96" t="s">
        <v>191</v>
      </c>
      <c r="E13" s="102">
        <f>POWER('Screener Output'!M25/'Screener Output'!G25,1/5)-1</f>
        <v>0.106958771903642</v>
      </c>
      <c r="F13" s="99">
        <f>('Screener Output'!L6/'Screener Output'!G6)^(1/5)-1</f>
        <v>0.11744180408979954</v>
      </c>
      <c r="G13" s="99">
        <f>('Screener Output'!L7/'Screener Output'!G7)^(1/5)-1</f>
        <v>0.19922102355315729</v>
      </c>
      <c r="H13" s="102">
        <f>POWER('Screener Output'!M35/'Screener Output'!G35,1/5)-1</f>
        <v>0.32112868386052984</v>
      </c>
      <c r="I13" s="102">
        <f>('Screener Output'!M74/'Screener Output'!G74)^(1/5)-1</f>
        <v>0.32033918485224477</v>
      </c>
      <c r="J13" s="102">
        <f>('Screener Output'!L73/'Screener Output'!G73)^(1/5)-1</f>
        <v>0.43588204387578577</v>
      </c>
      <c r="K13" s="102">
        <f>('Screener Output'!L62/'Screener Output'!G62)^(1/5)-1</f>
        <v>0.31316953732388653</v>
      </c>
      <c r="L13" s="102">
        <f>('Screener Output'!L63/'Screener Output'!G63)^(1/5)-1</f>
        <v>0.50105807227290544</v>
      </c>
      <c r="M13" s="102">
        <f>('Screener Output'!L42/'Screener Output'!G42)^(1/5)-1</f>
        <v>0.4371611652066385</v>
      </c>
      <c r="N13" s="117"/>
      <c r="P13" s="115"/>
    </row>
    <row r="14" spans="2:27" ht="23.25" customHeight="1"/>
    <row r="15" spans="2:27" ht="12.95" customHeight="1"/>
    <row r="16" spans="2:27" ht="12.95" customHeight="1">
      <c r="D16" s="106"/>
      <c r="E16" s="112"/>
      <c r="F16" s="108"/>
      <c r="G16" s="108"/>
      <c r="H16" s="112"/>
      <c r="I16" s="109"/>
      <c r="J16" s="109"/>
      <c r="K16" s="108"/>
      <c r="L16" s="113"/>
      <c r="M16" s="113"/>
      <c r="N16" s="113"/>
    </row>
    <row r="17" spans="6:11" ht="15" customHeight="1">
      <c r="F17" s="113"/>
      <c r="G17" s="113"/>
      <c r="H17" s="113"/>
      <c r="I17" s="113"/>
      <c r="J17" s="113"/>
      <c r="K17" s="113"/>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ignoredErrors>
    <ignoredError sqref="K3" formulaRange="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D15" sqref="D15"/>
    </sheetView>
  </sheetViews>
  <sheetFormatPr defaultRowHeight="15"/>
  <cols>
    <col min="1" max="1" width="25.5703125" customWidth="1"/>
    <col min="2" max="2" width="5.5703125" bestFit="1" customWidth="1"/>
    <col min="3" max="3" width="24.5703125" bestFit="1" customWidth="1"/>
    <col min="4" max="4" width="5" bestFit="1" customWidth="1"/>
    <col min="5" max="24" width="5.140625" bestFit="1" customWidth="1"/>
  </cols>
  <sheetData>
    <row r="1" spans="1:24">
      <c r="A1" s="418" t="s">
        <v>34</v>
      </c>
      <c r="B1" s="418"/>
      <c r="C1" s="55" t="s">
        <v>28</v>
      </c>
      <c r="D1" s="55">
        <v>0</v>
      </c>
      <c r="E1" s="55">
        <v>1</v>
      </c>
      <c r="F1" s="55">
        <v>2</v>
      </c>
      <c r="G1" s="55">
        <v>3</v>
      </c>
      <c r="H1" s="55">
        <v>4</v>
      </c>
      <c r="I1" s="55">
        <v>5</v>
      </c>
      <c r="J1" s="55">
        <v>6</v>
      </c>
      <c r="K1" s="55">
        <v>7</v>
      </c>
      <c r="L1" s="55">
        <v>8</v>
      </c>
      <c r="M1" s="55">
        <v>9</v>
      </c>
      <c r="N1" s="55">
        <v>10</v>
      </c>
      <c r="O1" s="55">
        <v>11</v>
      </c>
      <c r="P1" s="55">
        <v>12</v>
      </c>
      <c r="Q1" s="55">
        <v>13</v>
      </c>
      <c r="R1" s="55">
        <v>14</v>
      </c>
      <c r="S1" s="55">
        <v>15</v>
      </c>
      <c r="T1" s="55">
        <v>16</v>
      </c>
      <c r="U1" s="55">
        <v>17</v>
      </c>
      <c r="V1" s="55">
        <v>18</v>
      </c>
      <c r="W1" s="55">
        <v>19</v>
      </c>
      <c r="X1" s="55">
        <v>20</v>
      </c>
    </row>
    <row r="2" spans="1:24">
      <c r="A2" s="56" t="s">
        <v>116</v>
      </c>
      <c r="B2" s="65">
        <v>0.25</v>
      </c>
      <c r="C2" s="57" t="s">
        <v>110</v>
      </c>
      <c r="D2" s="57">
        <v>1</v>
      </c>
      <c r="E2" s="57">
        <f>D2+B2</f>
        <v>1.25</v>
      </c>
      <c r="F2" s="57">
        <f>E2</f>
        <v>1.25</v>
      </c>
      <c r="G2" s="57">
        <f t="shared" ref="G2:X2" si="0">F2</f>
        <v>1.25</v>
      </c>
      <c r="H2" s="57">
        <f t="shared" si="0"/>
        <v>1.25</v>
      </c>
      <c r="I2" s="57">
        <f t="shared" si="0"/>
        <v>1.25</v>
      </c>
      <c r="J2" s="57">
        <f t="shared" si="0"/>
        <v>1.25</v>
      </c>
      <c r="K2" s="57">
        <f t="shared" si="0"/>
        <v>1.25</v>
      </c>
      <c r="L2" s="57">
        <f t="shared" si="0"/>
        <v>1.25</v>
      </c>
      <c r="M2" s="57">
        <f t="shared" si="0"/>
        <v>1.25</v>
      </c>
      <c r="N2" s="57">
        <f t="shared" si="0"/>
        <v>1.25</v>
      </c>
      <c r="O2" s="57">
        <f t="shared" si="0"/>
        <v>1.25</v>
      </c>
      <c r="P2" s="57">
        <f t="shared" si="0"/>
        <v>1.25</v>
      </c>
      <c r="Q2" s="57">
        <f t="shared" si="0"/>
        <v>1.25</v>
      </c>
      <c r="R2" s="57">
        <f t="shared" si="0"/>
        <v>1.25</v>
      </c>
      <c r="S2" s="57">
        <f t="shared" si="0"/>
        <v>1.25</v>
      </c>
      <c r="T2" s="57">
        <f t="shared" si="0"/>
        <v>1.25</v>
      </c>
      <c r="U2" s="57">
        <f t="shared" si="0"/>
        <v>1.25</v>
      </c>
      <c r="V2" s="57">
        <f t="shared" si="0"/>
        <v>1.25</v>
      </c>
      <c r="W2" s="57">
        <f t="shared" si="0"/>
        <v>1.25</v>
      </c>
      <c r="X2" s="57">
        <f t="shared" si="0"/>
        <v>1.25</v>
      </c>
    </row>
    <row r="3" spans="1:24">
      <c r="A3" s="56" t="s">
        <v>117</v>
      </c>
      <c r="B3" s="67">
        <v>25</v>
      </c>
      <c r="C3" s="57" t="s">
        <v>32</v>
      </c>
      <c r="D3" s="58">
        <f>B3</f>
        <v>25</v>
      </c>
      <c r="E3" s="58">
        <f>D3*E2</f>
        <v>31.25</v>
      </c>
      <c r="F3" s="58">
        <f>E3*F2</f>
        <v>39.0625</v>
      </c>
      <c r="G3" s="58">
        <f t="shared" ref="G3:X3" si="1">F3*G2</f>
        <v>48.828125</v>
      </c>
      <c r="H3" s="58">
        <f t="shared" si="1"/>
        <v>61.03515625</v>
      </c>
      <c r="I3" s="58">
        <f t="shared" si="1"/>
        <v>76.2939453125</v>
      </c>
      <c r="J3" s="58">
        <f t="shared" si="1"/>
        <v>95.367431640625</v>
      </c>
      <c r="K3" s="58">
        <f t="shared" si="1"/>
        <v>119.20928955078125</v>
      </c>
      <c r="L3" s="58">
        <f t="shared" si="1"/>
        <v>149.01161193847656</v>
      </c>
      <c r="M3" s="58">
        <f t="shared" si="1"/>
        <v>186.2645149230957</v>
      </c>
      <c r="N3" s="58">
        <f t="shared" si="1"/>
        <v>232.83064365386963</v>
      </c>
      <c r="O3" s="58">
        <f t="shared" si="1"/>
        <v>291.03830456733704</v>
      </c>
      <c r="P3" s="58">
        <f t="shared" si="1"/>
        <v>363.7978807091713</v>
      </c>
      <c r="Q3" s="58">
        <f t="shared" si="1"/>
        <v>454.74735088646412</v>
      </c>
      <c r="R3" s="58">
        <f t="shared" si="1"/>
        <v>568.43418860808015</v>
      </c>
      <c r="S3" s="58">
        <f>R3*S2</f>
        <v>710.54273576010019</v>
      </c>
      <c r="T3" s="58">
        <f t="shared" si="1"/>
        <v>888.17841970012523</v>
      </c>
      <c r="U3" s="58">
        <f t="shared" si="1"/>
        <v>1110.2230246251565</v>
      </c>
      <c r="V3" s="58">
        <f t="shared" si="1"/>
        <v>1387.7787807814457</v>
      </c>
      <c r="W3" s="58">
        <f t="shared" si="1"/>
        <v>1734.7234759768071</v>
      </c>
      <c r="X3" s="58">
        <f t="shared" si="1"/>
        <v>2168.4043449710089</v>
      </c>
    </row>
    <row r="4" spans="1:24">
      <c r="A4" s="63" t="s">
        <v>36</v>
      </c>
      <c r="B4" s="64">
        <f>Valuation_Chart!B5</f>
        <v>5843.55</v>
      </c>
      <c r="C4" s="57" t="s">
        <v>41</v>
      </c>
      <c r="D4" s="59">
        <f>1+B5</f>
        <v>1.0900000000000001</v>
      </c>
      <c r="E4" s="59">
        <f>D4</f>
        <v>1.0900000000000001</v>
      </c>
      <c r="F4" s="59">
        <f t="shared" ref="F4:X4" si="2">E4</f>
        <v>1.0900000000000001</v>
      </c>
      <c r="G4" s="59">
        <f t="shared" si="2"/>
        <v>1.0900000000000001</v>
      </c>
      <c r="H4" s="59">
        <f t="shared" si="2"/>
        <v>1.0900000000000001</v>
      </c>
      <c r="I4" s="59">
        <f t="shared" si="2"/>
        <v>1.0900000000000001</v>
      </c>
      <c r="J4" s="59">
        <f t="shared" si="2"/>
        <v>1.0900000000000001</v>
      </c>
      <c r="K4" s="59">
        <f t="shared" si="2"/>
        <v>1.0900000000000001</v>
      </c>
      <c r="L4" s="59">
        <f t="shared" si="2"/>
        <v>1.0900000000000001</v>
      </c>
      <c r="M4" s="59">
        <f t="shared" si="2"/>
        <v>1.0900000000000001</v>
      </c>
      <c r="N4" s="59">
        <f t="shared" si="2"/>
        <v>1.0900000000000001</v>
      </c>
      <c r="O4" s="59">
        <f t="shared" si="2"/>
        <v>1.0900000000000001</v>
      </c>
      <c r="P4" s="59">
        <f t="shared" si="2"/>
        <v>1.0900000000000001</v>
      </c>
      <c r="Q4" s="59">
        <f t="shared" si="2"/>
        <v>1.0900000000000001</v>
      </c>
      <c r="R4" s="59">
        <f t="shared" si="2"/>
        <v>1.0900000000000001</v>
      </c>
      <c r="S4" s="59">
        <f t="shared" si="2"/>
        <v>1.0900000000000001</v>
      </c>
      <c r="T4" s="59">
        <f t="shared" si="2"/>
        <v>1.0900000000000001</v>
      </c>
      <c r="U4" s="59">
        <f t="shared" si="2"/>
        <v>1.0900000000000001</v>
      </c>
      <c r="V4" s="59">
        <f t="shared" si="2"/>
        <v>1.0900000000000001</v>
      </c>
      <c r="W4" s="59">
        <f t="shared" si="2"/>
        <v>1.0900000000000001</v>
      </c>
      <c r="X4" s="59">
        <f t="shared" si="2"/>
        <v>1.0900000000000001</v>
      </c>
    </row>
    <row r="5" spans="1:24">
      <c r="A5" s="56" t="s">
        <v>41</v>
      </c>
      <c r="B5" s="65">
        <v>0.09</v>
      </c>
      <c r="C5" s="57" t="s">
        <v>111</v>
      </c>
      <c r="D5" s="58">
        <f>D3</f>
        <v>25</v>
      </c>
      <c r="E5" s="58">
        <f>E3/E4^E1</f>
        <v>28.669724770642201</v>
      </c>
      <c r="F5" s="58">
        <f t="shared" ref="F5:X5" si="3">F3/F4^F1</f>
        <v>32.878124736974996</v>
      </c>
      <c r="G5" s="58">
        <f t="shared" si="3"/>
        <v>37.70427148735665</v>
      </c>
      <c r="H5" s="58">
        <f t="shared" si="3"/>
        <v>43.238843448803493</v>
      </c>
      <c r="I5" s="58">
        <f t="shared" si="3"/>
        <v>49.585829643123269</v>
      </c>
      <c r="J5" s="58">
        <f t="shared" si="3"/>
        <v>56.864483535691818</v>
      </c>
      <c r="K5" s="58">
        <f t="shared" si="3"/>
        <v>65.211563687719973</v>
      </c>
      <c r="L5" s="58">
        <f t="shared" si="3"/>
        <v>74.783903311605471</v>
      </c>
      <c r="M5" s="58">
        <f t="shared" si="3"/>
        <v>85.761357008721859</v>
      </c>
      <c r="N5" s="58">
        <f t="shared" si="3"/>
        <v>98.350180055873679</v>
      </c>
      <c r="O5" s="58">
        <f t="shared" si="3"/>
        <v>112.7869037338001</v>
      </c>
      <c r="P5" s="58">
        <f t="shared" si="3"/>
        <v>129.34277951123866</v>
      </c>
      <c r="Q5" s="58">
        <f t="shared" si="3"/>
        <v>148.32887558628283</v>
      </c>
      <c r="R5" s="58">
        <f t="shared" si="3"/>
        <v>170.10192154390231</v>
      </c>
      <c r="S5" s="58">
        <f t="shared" si="3"/>
        <v>195.0710109448421</v>
      </c>
      <c r="T5" s="58">
        <f t="shared" si="3"/>
        <v>223.70528778078221</v>
      </c>
      <c r="U5" s="58">
        <f t="shared" si="3"/>
        <v>256.54276121649337</v>
      </c>
      <c r="V5" s="58">
        <f t="shared" si="3"/>
        <v>294.20041423909788</v>
      </c>
      <c r="W5" s="58">
        <f t="shared" si="3"/>
        <v>337.3857961457544</v>
      </c>
      <c r="X5" s="58">
        <f t="shared" si="3"/>
        <v>386.91031668091102</v>
      </c>
    </row>
    <row r="6" spans="1:24">
      <c r="A6" s="63" t="s">
        <v>112</v>
      </c>
      <c r="B6" s="64">
        <f>MIN(D9:X9)</f>
        <v>0</v>
      </c>
      <c r="C6" s="57" t="s">
        <v>113</v>
      </c>
      <c r="D6" s="58">
        <f>SUM($D$5:D5)</f>
        <v>25</v>
      </c>
      <c r="E6" s="58">
        <f>SUM($D$5:E5)</f>
        <v>53.669724770642205</v>
      </c>
      <c r="F6" s="58">
        <f>SUM($D$5:F5)</f>
        <v>86.547849507617201</v>
      </c>
      <c r="G6" s="58">
        <f>SUM($D$5:G5)</f>
        <v>124.25212099497385</v>
      </c>
      <c r="H6" s="58">
        <f>SUM($D$5:H5)</f>
        <v>167.49096444377733</v>
      </c>
      <c r="I6" s="58">
        <f>SUM($D$5:I5)</f>
        <v>217.07679408690061</v>
      </c>
      <c r="J6" s="58">
        <f>SUM($D$5:J5)</f>
        <v>273.94127762259245</v>
      </c>
      <c r="K6" s="58">
        <f>SUM($D$5:K5)</f>
        <v>339.1528413103124</v>
      </c>
      <c r="L6" s="58">
        <f>SUM($D$5:L5)</f>
        <v>413.93674462191785</v>
      </c>
      <c r="M6" s="58">
        <f>SUM($D$5:M5)</f>
        <v>499.69810163063971</v>
      </c>
      <c r="N6" s="58">
        <f>SUM($D$5:N5)</f>
        <v>598.04828168651341</v>
      </c>
      <c r="O6" s="58">
        <f>SUM($D$5:O5)</f>
        <v>710.83518542031356</v>
      </c>
      <c r="P6" s="58">
        <f>SUM($D$5:P5)</f>
        <v>840.1779649315522</v>
      </c>
      <c r="Q6" s="58">
        <f>SUM($D$5:Q5)</f>
        <v>988.50684051783503</v>
      </c>
      <c r="R6" s="58">
        <f>SUM($D$5:R5)</f>
        <v>1158.6087620617373</v>
      </c>
      <c r="S6" s="58">
        <f>SUM($D$5:S5)</f>
        <v>1353.6797730065794</v>
      </c>
      <c r="T6" s="58">
        <f>SUM($D$5:T5)</f>
        <v>1577.3850607873615</v>
      </c>
      <c r="U6" s="58">
        <f>SUM($D$5:U5)</f>
        <v>1833.9278220038548</v>
      </c>
      <c r="V6" s="58">
        <f>SUM($D$5:V5)</f>
        <v>2128.1282362429529</v>
      </c>
      <c r="W6" s="58">
        <f>SUM($D$5:W5)</f>
        <v>2465.5140323887072</v>
      </c>
      <c r="X6" s="58">
        <f>SUM($D$5:X5)</f>
        <v>2852.4243490696181</v>
      </c>
    </row>
    <row r="7" spans="1:24">
      <c r="A7" s="414"/>
      <c r="B7" s="415"/>
      <c r="C7" s="57" t="s">
        <v>114</v>
      </c>
      <c r="D7" s="58">
        <f>B3/B5</f>
        <v>277.77777777777777</v>
      </c>
      <c r="E7" s="58">
        <f>(B3/B5)/(1+B5)^E1</f>
        <v>254.84199796126398</v>
      </c>
      <c r="F7" s="58">
        <f>(B3/B5)/(1+B5)^F1</f>
        <v>233.79999812959997</v>
      </c>
      <c r="G7" s="58">
        <f>(B3/B5)/(1+B5)^G1</f>
        <v>214.49541112807336</v>
      </c>
      <c r="H7" s="58">
        <f>(B3/B5)/(1+B5)^H1</f>
        <v>196.78478085144346</v>
      </c>
      <c r="I7" s="58">
        <f>(B3/B5)/(1+B5)^I1</f>
        <v>180.53649619398479</v>
      </c>
      <c r="J7" s="58">
        <f>(B3/B5)/(1+B5)^J1</f>
        <v>165.62981302200438</v>
      </c>
      <c r="K7" s="58">
        <f>(B3/B5)/(1+B5)^K1</f>
        <v>151.95395690092147</v>
      </c>
      <c r="L7" s="58">
        <f>(B3/B5)/(1+B5)^L1</f>
        <v>139.40729990910225</v>
      </c>
      <c r="M7" s="58">
        <f>(B3/B5)/(1+B5)^M1</f>
        <v>127.89660542119471</v>
      </c>
      <c r="N7" s="58">
        <f>(B3/B5)/(1+B5)^N1</f>
        <v>117.33633524880247</v>
      </c>
      <c r="O7" s="58">
        <f>(B3/B5)/(1+B5)^O1</f>
        <v>107.64801398972705</v>
      </c>
      <c r="P7" s="58">
        <f>(B3/B5)/(1+B5)^P1</f>
        <v>98.759645862134903</v>
      </c>
      <c r="Q7" s="58">
        <f>(B3/B5)/(1+B5)^Q1</f>
        <v>90.605179690032003</v>
      </c>
      <c r="R7" s="58">
        <f>(B3/B5)/(1+B5)^R1</f>
        <v>83.12401806424954</v>
      </c>
      <c r="S7" s="58">
        <f>(B3/B5)/(1+B5)^S1</f>
        <v>76.260567031421601</v>
      </c>
      <c r="T7" s="58">
        <f>(B3/B5)/(1+B5)^T1</f>
        <v>69.963822964606962</v>
      </c>
      <c r="U7" s="58">
        <f>(B3/B5)/(1+B5)^U1</f>
        <v>64.186993545510987</v>
      </c>
      <c r="V7" s="58">
        <f>(B3/B5)/(1+B5)^V1</f>
        <v>58.887150041753188</v>
      </c>
      <c r="W7" s="58">
        <f>(B3/B5)/(1+B5)^W1</f>
        <v>54.024908295186407</v>
      </c>
      <c r="X7" s="58">
        <f>(B3/B5)/(1+B5)^X1</f>
        <v>49.564136050629735</v>
      </c>
    </row>
    <row r="8" spans="1:24">
      <c r="A8" s="416"/>
      <c r="B8" s="417"/>
      <c r="C8" s="57" t="s">
        <v>115</v>
      </c>
      <c r="D8" s="58">
        <f t="shared" ref="D8:X8" si="4">D7+D6</f>
        <v>302.77777777777777</v>
      </c>
      <c r="E8" s="58">
        <f t="shared" si="4"/>
        <v>308.51172273190616</v>
      </c>
      <c r="F8" s="58">
        <f t="shared" si="4"/>
        <v>320.34784763721717</v>
      </c>
      <c r="G8" s="58">
        <f t="shared" si="4"/>
        <v>338.74753212304722</v>
      </c>
      <c r="H8" s="58">
        <f t="shared" si="4"/>
        <v>364.27574529522076</v>
      </c>
      <c r="I8" s="58">
        <f t="shared" si="4"/>
        <v>397.61329028088539</v>
      </c>
      <c r="J8" s="58">
        <f t="shared" si="4"/>
        <v>439.57109064459684</v>
      </c>
      <c r="K8" s="58">
        <f t="shared" si="4"/>
        <v>491.10679821123387</v>
      </c>
      <c r="L8" s="58">
        <f t="shared" si="4"/>
        <v>553.34404453102013</v>
      </c>
      <c r="M8" s="58">
        <f t="shared" si="4"/>
        <v>627.59470705183446</v>
      </c>
      <c r="N8" s="58">
        <f t="shared" si="4"/>
        <v>715.38461693531588</v>
      </c>
      <c r="O8" s="58">
        <f t="shared" si="4"/>
        <v>818.48319941004058</v>
      </c>
      <c r="P8" s="58">
        <f t="shared" si="4"/>
        <v>938.9376107936871</v>
      </c>
      <c r="Q8" s="58">
        <f t="shared" si="4"/>
        <v>1079.1120202078671</v>
      </c>
      <c r="R8" s="58">
        <f t="shared" si="4"/>
        <v>1241.7327801259869</v>
      </c>
      <c r="S8" s="58">
        <f t="shared" si="4"/>
        <v>1429.9403400380011</v>
      </c>
      <c r="T8" s="58">
        <f t="shared" si="4"/>
        <v>1647.3488837519685</v>
      </c>
      <c r="U8" s="58">
        <f t="shared" si="4"/>
        <v>1898.1148155493659</v>
      </c>
      <c r="V8" s="58">
        <f t="shared" si="4"/>
        <v>2187.015386284706</v>
      </c>
      <c r="W8" s="58">
        <f t="shared" si="4"/>
        <v>2519.5389406838935</v>
      </c>
      <c r="X8" s="58">
        <f t="shared" si="4"/>
        <v>2901.9884851202478</v>
      </c>
    </row>
    <row r="9" spans="1:24" ht="15" customHeight="1">
      <c r="A9" s="61"/>
      <c r="B9" s="62"/>
      <c r="C9" s="60"/>
      <c r="D9" s="57" t="str">
        <f>IF(D8&gt;B4,1*D1,"No")</f>
        <v>No</v>
      </c>
      <c r="E9" s="57" t="str">
        <f>IF(E8&gt;B4,E1*1,"No")</f>
        <v>No</v>
      </c>
      <c r="F9" s="57" t="str">
        <f>IF(F8&gt;B4,F1*1,"No")</f>
        <v>No</v>
      </c>
      <c r="G9" s="57" t="str">
        <f>IF(G8&gt;B4,G1*1,"No")</f>
        <v>No</v>
      </c>
      <c r="H9" s="57" t="str">
        <f>IF(H8&gt;B4,H1*1,"No")</f>
        <v>No</v>
      </c>
      <c r="I9" s="57" t="str">
        <f>IF(I8&gt;B4,I1*1,"No")</f>
        <v>No</v>
      </c>
      <c r="J9" s="57" t="str">
        <f>IF(J8&gt;B4,J1*1,"No")</f>
        <v>No</v>
      </c>
      <c r="K9" s="57" t="str">
        <f>IF(K8&gt;B4,1*K1,"No")</f>
        <v>No</v>
      </c>
      <c r="L9" s="57" t="str">
        <f>IF(L8&gt;B4,L1*1,"No")</f>
        <v>No</v>
      </c>
      <c r="M9" s="57" t="str">
        <f>IF(M8&gt;B4,M1*1,"No")</f>
        <v>No</v>
      </c>
      <c r="N9" s="57" t="str">
        <f>IF(N8&gt;B4,N1*1,"No")</f>
        <v>No</v>
      </c>
      <c r="O9" s="57" t="str">
        <f>IF(O8&gt;B4,O1*1,"No")</f>
        <v>No</v>
      </c>
      <c r="P9" s="57" t="str">
        <f>IF(P8&gt;B4,P1*1,"No")</f>
        <v>No</v>
      </c>
      <c r="Q9" s="57" t="str">
        <f>IF(Q8&gt;B4,Q1*1,"No")</f>
        <v>No</v>
      </c>
      <c r="R9" s="57" t="str">
        <f>IF(R8&gt;B4,1*R1,"No")</f>
        <v>No</v>
      </c>
      <c r="S9" s="57" t="str">
        <f>IF(S8&gt;B4,S1*1,"No")</f>
        <v>No</v>
      </c>
      <c r="T9" s="57" t="str">
        <f>IF(T8&gt;B4,T1*1,"No")</f>
        <v>No</v>
      </c>
      <c r="U9" s="57" t="str">
        <f>IF(U8&gt;B4,U1*1,"No")</f>
        <v>No</v>
      </c>
      <c r="V9" s="57" t="str">
        <f>IF(V8&gt;B4,V1*1,"No")</f>
        <v>No</v>
      </c>
      <c r="W9" s="57" t="str">
        <f>IF(W8&gt;B4,W1*1,"No")</f>
        <v>No</v>
      </c>
      <c r="X9" s="57" t="str">
        <f>IF(X8&gt;B4,X1*1,"No")</f>
        <v>No</v>
      </c>
    </row>
    <row r="10" spans="1:24">
      <c r="C10" s="54"/>
    </row>
    <row r="11" spans="1:24">
      <c r="A11" s="413" t="s">
        <v>118</v>
      </c>
      <c r="B11" s="413"/>
      <c r="C11" s="413"/>
      <c r="D11" s="413"/>
      <c r="E11" s="413"/>
      <c r="F11" s="413"/>
    </row>
    <row r="12" spans="1:24">
      <c r="A12" s="66" t="s">
        <v>119</v>
      </c>
      <c r="B12" s="68" t="e">
        <f>(#REF!/Valuation_Chart!B6)*10^7</f>
        <v>#REF!</v>
      </c>
      <c r="C12" s="70" t="s">
        <v>126</v>
      </c>
    </row>
    <row r="13" spans="1:24" ht="15.75" thickBot="1">
      <c r="A13" s="424" t="s">
        <v>124</v>
      </c>
      <c r="B13" s="424"/>
      <c r="C13" s="424"/>
    </row>
    <row r="14" spans="1:24">
      <c r="A14" s="419" t="s">
        <v>125</v>
      </c>
      <c r="B14" s="420"/>
      <c r="C14" s="420"/>
      <c r="D14" s="420"/>
      <c r="E14" s="420"/>
      <c r="F14" s="420"/>
      <c r="G14" s="420"/>
      <c r="H14" s="420"/>
      <c r="I14" s="420"/>
      <c r="J14" s="420"/>
      <c r="K14" s="420"/>
      <c r="L14" s="420"/>
      <c r="M14" s="420"/>
      <c r="N14" s="420"/>
      <c r="O14" s="420"/>
      <c r="P14" s="420"/>
      <c r="Q14" s="420"/>
      <c r="R14" s="420"/>
      <c r="S14" s="420"/>
      <c r="T14" s="420"/>
      <c r="U14" s="420"/>
      <c r="V14" s="420"/>
      <c r="W14" s="420"/>
      <c r="X14" s="421"/>
    </row>
    <row r="15" spans="1:24">
      <c r="A15" s="63" t="s">
        <v>60</v>
      </c>
      <c r="B15" s="75" t="e">
        <f>#REF!</f>
        <v>#REF!</v>
      </c>
      <c r="C15" s="71"/>
      <c r="D15" s="71"/>
      <c r="E15" s="71"/>
      <c r="F15" s="71"/>
      <c r="G15" s="71"/>
      <c r="H15" s="71"/>
      <c r="I15" s="71"/>
      <c r="J15" s="71"/>
      <c r="K15" s="71"/>
      <c r="L15" s="71"/>
      <c r="M15" s="71"/>
      <c r="N15" s="71"/>
      <c r="O15" s="71"/>
      <c r="P15" s="71"/>
      <c r="Q15" s="71"/>
      <c r="R15" s="71"/>
      <c r="S15" s="71"/>
      <c r="T15" s="71"/>
      <c r="U15" s="71"/>
      <c r="V15" s="71"/>
      <c r="W15" s="71"/>
      <c r="X15" s="72"/>
    </row>
    <row r="16" spans="1:24">
      <c r="A16" s="63" t="s">
        <v>122</v>
      </c>
      <c r="B16" s="75" t="e">
        <f>#REF!</f>
        <v>#REF!</v>
      </c>
      <c r="C16" s="71"/>
      <c r="D16" s="71"/>
      <c r="E16" s="71"/>
      <c r="F16" s="71"/>
      <c r="G16" s="71"/>
      <c r="H16" s="71"/>
      <c r="I16" s="71"/>
      <c r="J16" s="71"/>
      <c r="K16" s="71"/>
      <c r="L16" s="71"/>
      <c r="M16" s="71"/>
      <c r="N16" s="71"/>
      <c r="O16" s="71"/>
      <c r="P16" s="71"/>
      <c r="Q16" s="71"/>
      <c r="R16" s="71"/>
      <c r="S16" s="71"/>
      <c r="T16" s="71"/>
      <c r="U16" s="71"/>
      <c r="V16" s="71"/>
      <c r="W16" s="71"/>
      <c r="X16" s="72"/>
    </row>
    <row r="17" spans="1:24">
      <c r="A17" s="63" t="s">
        <v>123</v>
      </c>
      <c r="B17" s="75" t="e">
        <f>MAX(#REF!,#REF!)</f>
        <v>#REF!</v>
      </c>
      <c r="C17" s="422"/>
      <c r="D17" s="422"/>
      <c r="E17" s="422"/>
      <c r="F17" s="422"/>
      <c r="G17" s="422"/>
      <c r="H17" s="422"/>
      <c r="I17" s="422"/>
      <c r="J17" s="422"/>
      <c r="K17" s="422"/>
      <c r="L17" s="422"/>
      <c r="M17" s="422"/>
      <c r="N17" s="422"/>
      <c r="O17" s="422"/>
      <c r="P17" s="422"/>
      <c r="Q17" s="422"/>
      <c r="R17" s="422"/>
      <c r="S17" s="422"/>
      <c r="T17" s="422"/>
      <c r="U17" s="422"/>
      <c r="V17" s="422"/>
      <c r="W17" s="422"/>
      <c r="X17" s="423"/>
    </row>
    <row r="18" spans="1:24" ht="15.75" thickBot="1">
      <c r="A18" s="63" t="s">
        <v>121</v>
      </c>
      <c r="B18" s="75" t="e">
        <f>B15+B16+B17</f>
        <v>#REF!</v>
      </c>
      <c r="C18" s="73"/>
      <c r="D18" s="73"/>
      <c r="E18" s="73"/>
      <c r="F18" s="73"/>
      <c r="G18" s="73"/>
      <c r="H18" s="73"/>
      <c r="I18" s="73"/>
      <c r="J18" s="73"/>
      <c r="K18" s="73"/>
      <c r="L18" s="73"/>
      <c r="M18" s="73"/>
      <c r="N18" s="73"/>
      <c r="O18" s="73"/>
      <c r="P18" s="73"/>
      <c r="Q18" s="73"/>
      <c r="R18" s="73"/>
      <c r="S18" s="73"/>
      <c r="T18" s="73"/>
      <c r="U18" s="73"/>
      <c r="V18" s="73"/>
      <c r="W18" s="73"/>
      <c r="X18" s="74"/>
    </row>
  </sheetData>
  <mergeCells count="6">
    <mergeCell ref="A11:F11"/>
    <mergeCell ref="A7:B8"/>
    <mergeCell ref="A1:B1"/>
    <mergeCell ref="A14:X14"/>
    <mergeCell ref="C17:X17"/>
    <mergeCell ref="A13:C13"/>
  </mergeCells>
  <conditionalFormatting sqref="D8:X8">
    <cfRule type="cellIs" dxfId="1"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O205"/>
  <sheetViews>
    <sheetView topLeftCell="A7" workbookViewId="0">
      <selection activeCell="A12" sqref="A12:K12"/>
    </sheetView>
  </sheetViews>
  <sheetFormatPr defaultRowHeight="15"/>
  <cols>
    <col min="1" max="1" width="30" bestFit="1" customWidth="1"/>
    <col min="3" max="5" width="10.5703125" bestFit="1" customWidth="1"/>
    <col min="6" max="11" width="11.5703125" bestFit="1" customWidth="1"/>
    <col min="12" max="12" width="11" customWidth="1"/>
  </cols>
  <sheetData>
    <row r="1" spans="1:14">
      <c r="A1" s="118" t="str">
        <f>'Screener Input'!B1</f>
        <v>BRITANNIA INDUSTRIES LTD</v>
      </c>
      <c r="B1" s="119"/>
      <c r="C1" s="119"/>
      <c r="D1" s="119"/>
      <c r="E1" s="119"/>
      <c r="F1" s="119"/>
      <c r="G1" s="119"/>
      <c r="H1" s="119"/>
      <c r="I1" s="119"/>
      <c r="J1" s="119"/>
      <c r="K1" s="119"/>
      <c r="L1" s="119"/>
      <c r="M1" s="119"/>
      <c r="N1" s="119"/>
    </row>
    <row r="2" spans="1:14">
      <c r="A2" s="118"/>
      <c r="B2" s="119"/>
      <c r="C2" s="119"/>
      <c r="D2" s="119"/>
      <c r="E2" s="119"/>
      <c r="F2" s="119"/>
      <c r="G2" s="119"/>
      <c r="H2" s="119"/>
      <c r="I2" s="119"/>
      <c r="J2" s="119"/>
      <c r="K2" s="119"/>
      <c r="L2" s="119"/>
      <c r="M2" s="119"/>
      <c r="N2" s="119"/>
    </row>
    <row r="3" spans="1:14">
      <c r="A3" s="428" t="s">
        <v>193</v>
      </c>
      <c r="B3" s="428"/>
      <c r="C3" s="428"/>
      <c r="D3" s="428"/>
      <c r="E3" s="428"/>
      <c r="F3" s="428"/>
      <c r="G3" s="428"/>
      <c r="H3" s="428"/>
      <c r="I3" s="428"/>
      <c r="J3" s="428"/>
      <c r="K3" s="120"/>
      <c r="L3" s="121"/>
      <c r="M3" s="121"/>
      <c r="N3" s="121"/>
    </row>
    <row r="4" spans="1:14">
      <c r="A4" s="122" t="str">
        <f>'Screener Input'!A1</f>
        <v>COMPANY NAME</v>
      </c>
      <c r="B4" s="174"/>
      <c r="C4" s="174">
        <f>EOMONTH('Screener Input'!B$16,-1)+1</f>
        <v>39873</v>
      </c>
      <c r="D4" s="174">
        <f>EOMONTH('Screener Input'!C$16,-1)+1</f>
        <v>40238</v>
      </c>
      <c r="E4" s="174">
        <f>EOMONTH('Screener Input'!D$16,-1)+1</f>
        <v>40603</v>
      </c>
      <c r="F4" s="174">
        <f>EOMONTH('Screener Input'!E$16,-1)+1</f>
        <v>40969</v>
      </c>
      <c r="G4" s="174">
        <f>EOMONTH('Screener Input'!F$16,-1)+1</f>
        <v>41334</v>
      </c>
      <c r="H4" s="174">
        <f>EOMONTH('Screener Input'!G$16,-1)+1</f>
        <v>41699</v>
      </c>
      <c r="I4" s="174">
        <f>EOMONTH('Screener Input'!H$16,-1)+1</f>
        <v>42064</v>
      </c>
      <c r="J4" s="174">
        <f>EOMONTH('Screener Input'!I$16,-1)+1</f>
        <v>42430</v>
      </c>
      <c r="K4" s="174">
        <f>EOMONTH('Screener Input'!J$16,-1)+1</f>
        <v>42795</v>
      </c>
      <c r="L4" s="174">
        <f>EOMONTH('Screener Input'!K$16,-1)+1</f>
        <v>43160</v>
      </c>
      <c r="M4" s="174"/>
      <c r="N4" s="174"/>
    </row>
    <row r="5" spans="1:14">
      <c r="A5" s="123" t="s">
        <v>194</v>
      </c>
      <c r="B5" s="124"/>
      <c r="C5" s="124"/>
      <c r="D5" s="124"/>
      <c r="E5" s="124"/>
      <c r="F5" s="124"/>
      <c r="G5" s="124"/>
      <c r="H5" s="124"/>
      <c r="I5" s="124"/>
      <c r="J5" s="124"/>
      <c r="K5" s="124"/>
      <c r="L5" s="121"/>
      <c r="M5" s="121"/>
      <c r="N5" s="121"/>
    </row>
    <row r="6" spans="1:14" s="219" customFormat="1">
      <c r="A6" s="320" t="s">
        <v>195</v>
      </c>
      <c r="B6" s="321"/>
      <c r="C6" s="322">
        <f>'Screener Output'!C54</f>
        <v>288.69</v>
      </c>
      <c r="D6" s="322">
        <f>'Screener Output'!D54</f>
        <v>304.20999999999998</v>
      </c>
      <c r="E6" s="322">
        <f>'Screener Output'!E54</f>
        <v>346.95</v>
      </c>
      <c r="F6" s="322">
        <f>'Screener Output'!F54</f>
        <v>431.76</v>
      </c>
      <c r="G6" s="322">
        <f>'Screener Output'!G54</f>
        <v>374.67</v>
      </c>
      <c r="H6" s="322">
        <f>'Screener Output'!H54</f>
        <v>420.27</v>
      </c>
      <c r="I6" s="322">
        <f>'Screener Output'!I54</f>
        <v>404.04</v>
      </c>
      <c r="J6" s="322">
        <f>'Screener Output'!J54</f>
        <v>440.65</v>
      </c>
      <c r="K6" s="322">
        <f>'Screener Output'!K54</f>
        <v>661.45</v>
      </c>
      <c r="L6" s="322">
        <f>'Screener Output'!L54</f>
        <v>652.79</v>
      </c>
      <c r="M6" s="321"/>
      <c r="N6" s="321"/>
    </row>
    <row r="7" spans="1:14" s="235" customFormat="1">
      <c r="A7" s="125" t="s">
        <v>196</v>
      </c>
      <c r="B7" s="126"/>
      <c r="C7" s="264">
        <f t="shared" ref="C7:L7" si="0">C53</f>
        <v>74</v>
      </c>
      <c r="D7" s="264">
        <f t="shared" si="0"/>
        <v>73.27</v>
      </c>
      <c r="E7" s="264">
        <f t="shared" si="0"/>
        <v>80.959999999999994</v>
      </c>
      <c r="F7" s="264">
        <f t="shared" si="0"/>
        <v>113.01</v>
      </c>
      <c r="G7" s="264">
        <f t="shared" si="0"/>
        <v>122.81</v>
      </c>
      <c r="H7" s="264">
        <f t="shared" si="0"/>
        <v>108.7</v>
      </c>
      <c r="I7" s="264">
        <f t="shared" si="0"/>
        <v>135.81</v>
      </c>
      <c r="J7" s="264">
        <f t="shared" si="0"/>
        <v>170.61</v>
      </c>
      <c r="K7" s="264">
        <f t="shared" si="0"/>
        <v>179.16</v>
      </c>
      <c r="L7" s="264">
        <f t="shared" si="0"/>
        <v>304.60000000000002</v>
      </c>
      <c r="M7" s="126"/>
      <c r="N7" s="126"/>
    </row>
    <row r="8" spans="1:14">
      <c r="A8" s="125" t="s">
        <v>219</v>
      </c>
      <c r="B8" s="126"/>
      <c r="C8" s="264">
        <f t="shared" ref="C8:L8" si="1">C55</f>
        <v>68.84</v>
      </c>
      <c r="D8" s="264">
        <f t="shared" si="1"/>
        <v>42.75</v>
      </c>
      <c r="E8" s="264">
        <f t="shared" si="1"/>
        <v>76.88</v>
      </c>
      <c r="F8" s="264">
        <f t="shared" si="1"/>
        <v>61.33</v>
      </c>
      <c r="G8" s="264">
        <f t="shared" si="1"/>
        <v>102.93</v>
      </c>
      <c r="H8" s="264">
        <f t="shared" si="1"/>
        <v>109.07</v>
      </c>
      <c r="I8" s="264">
        <f t="shared" si="1"/>
        <v>226.33</v>
      </c>
      <c r="J8" s="264">
        <f t="shared" si="1"/>
        <v>87.65</v>
      </c>
      <c r="K8" s="264">
        <f t="shared" si="1"/>
        <v>120.76</v>
      </c>
      <c r="L8" s="264">
        <f t="shared" si="1"/>
        <v>186.42</v>
      </c>
      <c r="M8" s="126"/>
      <c r="N8" s="126"/>
    </row>
    <row r="9" spans="1:14">
      <c r="A9" s="125" t="s">
        <v>27</v>
      </c>
      <c r="B9" s="126"/>
      <c r="C9" s="264">
        <f t="shared" ref="C9:L10" si="2">C47</f>
        <v>653.16</v>
      </c>
      <c r="D9" s="264">
        <f t="shared" si="2"/>
        <v>663.18</v>
      </c>
      <c r="E9" s="264">
        <f t="shared" si="2"/>
        <v>737.46</v>
      </c>
      <c r="F9" s="264">
        <f t="shared" si="2"/>
        <v>883.21</v>
      </c>
      <c r="G9" s="264">
        <f t="shared" si="2"/>
        <v>918.24</v>
      </c>
      <c r="H9" s="264">
        <f t="shared" si="2"/>
        <v>989.5</v>
      </c>
      <c r="I9" s="264">
        <f t="shared" si="2"/>
        <v>1405.93</v>
      </c>
      <c r="J9" s="264">
        <f t="shared" si="2"/>
        <v>1701.77</v>
      </c>
      <c r="K9" s="264">
        <f t="shared" si="2"/>
        <v>2480.0700000000002</v>
      </c>
      <c r="L9" s="264">
        <f t="shared" si="2"/>
        <v>2614.9699999999998</v>
      </c>
      <c r="M9" s="126"/>
      <c r="N9" s="126"/>
    </row>
    <row r="10" spans="1:14">
      <c r="A10" s="125" t="s">
        <v>16</v>
      </c>
      <c r="B10" s="126"/>
      <c r="C10" s="264">
        <f t="shared" si="2"/>
        <v>511.12</v>
      </c>
      <c r="D10" s="264">
        <f t="shared" si="2"/>
        <v>599.36</v>
      </c>
      <c r="E10" s="264">
        <f t="shared" si="2"/>
        <v>699.72</v>
      </c>
      <c r="F10" s="264">
        <f t="shared" si="2"/>
        <v>853.99</v>
      </c>
      <c r="G10" s="264">
        <f t="shared" si="2"/>
        <v>974.96</v>
      </c>
      <c r="H10" s="264">
        <f t="shared" si="2"/>
        <v>1194.18</v>
      </c>
      <c r="I10" s="264">
        <f t="shared" si="2"/>
        <v>1426.13</v>
      </c>
      <c r="J10" s="264">
        <f t="shared" si="2"/>
        <v>1307.73</v>
      </c>
      <c r="K10" s="264">
        <f t="shared" si="2"/>
        <v>1336</v>
      </c>
      <c r="L10" s="264">
        <f t="shared" si="2"/>
        <v>1635.74</v>
      </c>
      <c r="M10" s="126"/>
      <c r="N10" s="126"/>
    </row>
    <row r="11" spans="1:14">
      <c r="A11" s="125" t="s">
        <v>197</v>
      </c>
      <c r="B11" s="126"/>
      <c r="C11" s="264">
        <f t="shared" ref="C11:L11" si="3">C9-C10</f>
        <v>142.03999999999996</v>
      </c>
      <c r="D11" s="264">
        <f t="shared" si="3"/>
        <v>63.819999999999936</v>
      </c>
      <c r="E11" s="264">
        <f t="shared" si="3"/>
        <v>37.740000000000009</v>
      </c>
      <c r="F11" s="264">
        <f t="shared" si="3"/>
        <v>29.220000000000027</v>
      </c>
      <c r="G11" s="264">
        <f t="shared" si="3"/>
        <v>-56.720000000000027</v>
      </c>
      <c r="H11" s="264">
        <f t="shared" si="3"/>
        <v>-204.68000000000006</v>
      </c>
      <c r="I11" s="264">
        <f t="shared" si="3"/>
        <v>-20.200000000000045</v>
      </c>
      <c r="J11" s="264">
        <f t="shared" si="3"/>
        <v>394.03999999999996</v>
      </c>
      <c r="K11" s="264">
        <f t="shared" si="3"/>
        <v>1144.0700000000002</v>
      </c>
      <c r="L11" s="264">
        <f t="shared" si="3"/>
        <v>979.22999999999979</v>
      </c>
      <c r="M11" s="126"/>
      <c r="N11" s="126"/>
    </row>
    <row r="12" spans="1:14">
      <c r="A12" s="429"/>
      <c r="B12" s="429"/>
      <c r="C12" s="429"/>
      <c r="D12" s="429"/>
      <c r="E12" s="429"/>
      <c r="F12" s="429"/>
      <c r="G12" s="429"/>
      <c r="H12" s="429"/>
      <c r="I12" s="429"/>
      <c r="J12" s="429"/>
      <c r="K12" s="429"/>
      <c r="L12" s="121"/>
      <c r="M12" s="121"/>
      <c r="N12" s="121"/>
    </row>
    <row r="13" spans="1:14">
      <c r="A13" s="428" t="s">
        <v>198</v>
      </c>
      <c r="B13" s="428"/>
      <c r="C13" s="428"/>
      <c r="D13" s="428"/>
      <c r="E13" s="428"/>
      <c r="F13" s="428"/>
      <c r="G13" s="428"/>
      <c r="H13" s="428"/>
      <c r="I13" s="428"/>
      <c r="J13" s="428"/>
      <c r="K13" s="127"/>
      <c r="L13" s="121"/>
      <c r="M13" s="121"/>
      <c r="N13" s="121"/>
    </row>
    <row r="14" spans="1:14">
      <c r="A14" s="128" t="s">
        <v>199</v>
      </c>
      <c r="B14" s="174"/>
      <c r="C14" s="174">
        <f t="shared" ref="C14:L14" si="4">C4</f>
        <v>39873</v>
      </c>
      <c r="D14" s="174">
        <f t="shared" si="4"/>
        <v>40238</v>
      </c>
      <c r="E14" s="174">
        <f t="shared" si="4"/>
        <v>40603</v>
      </c>
      <c r="F14" s="174">
        <f t="shared" si="4"/>
        <v>40969</v>
      </c>
      <c r="G14" s="174">
        <f t="shared" si="4"/>
        <v>41334</v>
      </c>
      <c r="H14" s="174">
        <f t="shared" si="4"/>
        <v>41699</v>
      </c>
      <c r="I14" s="174">
        <f t="shared" si="4"/>
        <v>42064</v>
      </c>
      <c r="J14" s="174">
        <f t="shared" si="4"/>
        <v>42430</v>
      </c>
      <c r="K14" s="174">
        <f t="shared" si="4"/>
        <v>42795</v>
      </c>
      <c r="L14" s="174">
        <f t="shared" si="4"/>
        <v>43160</v>
      </c>
      <c r="M14" s="174"/>
      <c r="N14" s="174"/>
    </row>
    <row r="15" spans="1:14">
      <c r="A15" s="129" t="s">
        <v>21</v>
      </c>
      <c r="B15" s="130"/>
      <c r="C15" s="130">
        <f>'Screener Input'!B18</f>
        <v>2138.69</v>
      </c>
      <c r="D15" s="130">
        <f>'Screener Input'!C18</f>
        <v>2438.7399999999998</v>
      </c>
      <c r="E15" s="130">
        <f>'Screener Input'!D18</f>
        <v>3043.29</v>
      </c>
      <c r="F15" s="130">
        <f>'Screener Input'!E18</f>
        <v>3546.8</v>
      </c>
      <c r="G15" s="130">
        <f>'Screener Input'!F18</f>
        <v>3869.02</v>
      </c>
      <c r="H15" s="130">
        <f>'Screener Input'!G18</f>
        <v>4182.53</v>
      </c>
      <c r="I15" s="130">
        <f>'Screener Input'!H18</f>
        <v>4722.21</v>
      </c>
      <c r="J15" s="130">
        <f>'Screener Input'!I18</f>
        <v>5016.99</v>
      </c>
      <c r="K15" s="130">
        <f>'Screener Input'!J18</f>
        <v>5642.88</v>
      </c>
      <c r="L15" s="130">
        <f>'Screener Input'!K18</f>
        <v>6100.8</v>
      </c>
      <c r="M15" s="130"/>
      <c r="N15" s="130"/>
    </row>
    <row r="16" spans="1:14">
      <c r="A16" s="129" t="s">
        <v>200</v>
      </c>
      <c r="B16" s="130"/>
      <c r="C16" s="130">
        <f>'Screener Input'!B22</f>
        <v>158.71</v>
      </c>
      <c r="D16" s="130">
        <f>'Screener Input'!C22</f>
        <v>164.51</v>
      </c>
      <c r="E16" s="130">
        <f>'Screener Input'!D22</f>
        <v>177.49</v>
      </c>
      <c r="F16" s="130">
        <f>'Screener Input'!E22</f>
        <v>211.15</v>
      </c>
      <c r="G16" s="130">
        <f>'Screener Input'!F22</f>
        <v>226.75</v>
      </c>
      <c r="H16" s="130">
        <f>'Screener Input'!G22</f>
        <v>262.66000000000003</v>
      </c>
      <c r="I16" s="130">
        <f>'Screener Input'!H22</f>
        <v>294.44</v>
      </c>
      <c r="J16" s="130">
        <f>'Screener Input'!I22</f>
        <v>341.36</v>
      </c>
      <c r="K16" s="130">
        <f>'Screener Input'!J22</f>
        <v>352.61</v>
      </c>
      <c r="L16" s="130">
        <f>'Screener Input'!K22</f>
        <v>401.6</v>
      </c>
      <c r="M16" s="130"/>
      <c r="N16" s="130"/>
    </row>
    <row r="17" spans="1:15">
      <c r="A17" s="129" t="s">
        <v>201</v>
      </c>
      <c r="B17" s="130"/>
      <c r="C17" s="130">
        <f>'Screener Input'!B23</f>
        <v>499.79</v>
      </c>
      <c r="D17" s="130">
        <f>'Screener Input'!C23</f>
        <v>602.91</v>
      </c>
      <c r="E17" s="130">
        <f>'Screener Input'!D23</f>
        <v>663.96</v>
      </c>
      <c r="F17" s="130">
        <f>'Screener Input'!E23</f>
        <v>786.52</v>
      </c>
      <c r="G17" s="130">
        <f>'Screener Input'!F23</f>
        <v>920.63</v>
      </c>
      <c r="H17" s="130">
        <f>'Screener Input'!G23</f>
        <v>1030.8900000000001</v>
      </c>
      <c r="I17" s="130">
        <f>'Screener Input'!H23</f>
        <v>1129.07</v>
      </c>
      <c r="J17" s="130">
        <f>'Screener Input'!I23</f>
        <v>956.77</v>
      </c>
      <c r="K17" s="130">
        <f>'Screener Input'!J23</f>
        <v>915.01</v>
      </c>
      <c r="L17" s="130">
        <f>'Screener Input'!K23</f>
        <v>953.48</v>
      </c>
      <c r="M17" s="130"/>
      <c r="N17" s="130"/>
    </row>
    <row r="18" spans="1:15">
      <c r="A18" s="129" t="s">
        <v>202</v>
      </c>
      <c r="B18" s="130"/>
      <c r="C18" s="130"/>
      <c r="D18" s="130"/>
      <c r="E18" s="130"/>
      <c r="F18" s="130"/>
      <c r="G18" s="130"/>
      <c r="H18" s="130"/>
      <c r="I18" s="130"/>
      <c r="J18" s="130"/>
      <c r="K18" s="130"/>
      <c r="L18" s="130"/>
      <c r="M18" s="130"/>
      <c r="N18" s="130"/>
    </row>
    <row r="19" spans="1:15">
      <c r="A19" s="129" t="s">
        <v>203</v>
      </c>
      <c r="B19" s="130"/>
      <c r="C19" s="130"/>
      <c r="D19" s="130"/>
      <c r="E19" s="130"/>
      <c r="F19" s="130"/>
      <c r="G19" s="130"/>
      <c r="H19" s="130"/>
      <c r="I19" s="130"/>
      <c r="J19" s="130"/>
      <c r="K19" s="130"/>
      <c r="L19" s="130"/>
      <c r="M19" s="130"/>
      <c r="N19" s="130"/>
    </row>
    <row r="20" spans="1:15">
      <c r="A20" s="129" t="s">
        <v>204</v>
      </c>
      <c r="B20" s="130"/>
      <c r="C20" s="130">
        <f>'Screener Input'!B20</f>
        <v>51.48</v>
      </c>
      <c r="D20" s="130">
        <f>'Screener Input'!C20</f>
        <v>45.47</v>
      </c>
      <c r="E20" s="130">
        <f>'Screener Input'!D20</f>
        <v>56.54</v>
      </c>
      <c r="F20" s="130">
        <f>'Screener Input'!E20</f>
        <v>72.87</v>
      </c>
      <c r="G20" s="130">
        <f>'Screener Input'!F20</f>
        <v>91.01</v>
      </c>
      <c r="H20" s="130">
        <f>'Screener Input'!G20</f>
        <v>110.72</v>
      </c>
      <c r="I20" s="130">
        <f>'Screener Input'!H20</f>
        <v>110.96</v>
      </c>
      <c r="J20" s="130">
        <f>'Screener Input'!I20</f>
        <v>95.16</v>
      </c>
      <c r="K20" s="130">
        <f>'Screener Input'!J20</f>
        <v>104.28</v>
      </c>
      <c r="L20" s="130">
        <f>'Screener Input'!K20</f>
        <v>128.83000000000001</v>
      </c>
      <c r="M20" s="130"/>
      <c r="N20" s="130"/>
    </row>
    <row r="21" spans="1:15">
      <c r="A21" s="129" t="s">
        <v>205</v>
      </c>
      <c r="B21" s="130"/>
      <c r="C21" s="130">
        <f>'Screener Input'!B24</f>
        <v>122.77</v>
      </c>
      <c r="D21" s="130">
        <f>'Screener Input'!C24</f>
        <v>134.4</v>
      </c>
      <c r="E21" s="130">
        <f>'Screener Input'!D24</f>
        <v>127.21</v>
      </c>
      <c r="F21" s="130">
        <f>'Screener Input'!E24</f>
        <v>177.97</v>
      </c>
      <c r="G21" s="130">
        <f>'Screener Input'!F24</f>
        <v>197.36</v>
      </c>
      <c r="H21" s="130">
        <f>'Screener Input'!G24</f>
        <v>200.27</v>
      </c>
      <c r="I21" s="130">
        <f>'Screener Input'!H24</f>
        <v>226.41</v>
      </c>
      <c r="J21" s="130">
        <f>'Screener Input'!I24</f>
        <v>266.68</v>
      </c>
      <c r="K21" s="130">
        <f>'Screener Input'!J24</f>
        <v>305.39999999999998</v>
      </c>
      <c r="L21" s="130">
        <f>'Screener Input'!K24</f>
        <v>333.74</v>
      </c>
      <c r="M21" s="130"/>
      <c r="N21" s="130"/>
    </row>
    <row r="22" spans="1:15">
      <c r="A22" s="129" t="s">
        <v>206</v>
      </c>
      <c r="B22" s="130"/>
      <c r="C22" s="130">
        <f>'Screener Output'!L8</f>
        <v>186.42</v>
      </c>
      <c r="D22" s="130"/>
      <c r="E22" s="130"/>
      <c r="F22" s="130"/>
      <c r="G22" s="131"/>
      <c r="H22" s="131"/>
      <c r="I22" s="131"/>
      <c r="J22" s="131"/>
      <c r="K22" s="129"/>
      <c r="L22" s="132"/>
      <c r="M22" s="132"/>
      <c r="N22" s="132"/>
    </row>
    <row r="23" spans="1:15">
      <c r="A23" s="133" t="s">
        <v>120</v>
      </c>
      <c r="B23" s="130"/>
      <c r="C23" s="130"/>
      <c r="D23" s="130">
        <f t="shared" ref="D23:L23" si="5">(D50-C50)+(D51-C51)+D30</f>
        <v>90.919999999999987</v>
      </c>
      <c r="E23" s="130">
        <f t="shared" si="5"/>
        <v>73.12</v>
      </c>
      <c r="F23" s="130">
        <f t="shared" si="5"/>
        <v>279.77</v>
      </c>
      <c r="G23" s="130">
        <f t="shared" si="5"/>
        <v>221.6</v>
      </c>
      <c r="H23" s="130">
        <f t="shared" si="5"/>
        <v>153.76000000000008</v>
      </c>
      <c r="I23" s="130">
        <f t="shared" si="5"/>
        <v>82.240000000000009</v>
      </c>
      <c r="J23" s="130">
        <f t="shared" si="5"/>
        <v>261.27999999999997</v>
      </c>
      <c r="K23" s="130">
        <f t="shared" si="5"/>
        <v>269.02</v>
      </c>
      <c r="L23" s="130">
        <f t="shared" si="5"/>
        <v>500.42999999999989</v>
      </c>
      <c r="M23" s="130"/>
      <c r="N23" s="130"/>
    </row>
    <row r="24" spans="1:15" ht="18">
      <c r="A24" s="134" t="str">
        <f>'Screener Input'!A1</f>
        <v>COMPANY NAME</v>
      </c>
      <c r="B24" s="174"/>
      <c r="C24" s="174">
        <f t="shared" ref="C24:L24" si="6">C14</f>
        <v>39873</v>
      </c>
      <c r="D24" s="174">
        <f t="shared" si="6"/>
        <v>40238</v>
      </c>
      <c r="E24" s="174">
        <f t="shared" si="6"/>
        <v>40603</v>
      </c>
      <c r="F24" s="174">
        <f t="shared" si="6"/>
        <v>40969</v>
      </c>
      <c r="G24" s="174">
        <f t="shared" si="6"/>
        <v>41334</v>
      </c>
      <c r="H24" s="174">
        <f t="shared" si="6"/>
        <v>41699</v>
      </c>
      <c r="I24" s="174">
        <f t="shared" si="6"/>
        <v>42064</v>
      </c>
      <c r="J24" s="174">
        <f t="shared" si="6"/>
        <v>42430</v>
      </c>
      <c r="K24" s="174">
        <f t="shared" si="6"/>
        <v>42795</v>
      </c>
      <c r="L24" s="174">
        <f t="shared" si="6"/>
        <v>43160</v>
      </c>
      <c r="M24" s="174" t="s">
        <v>392</v>
      </c>
      <c r="N24" s="174" t="s">
        <v>393</v>
      </c>
    </row>
    <row r="25" spans="1:15">
      <c r="A25" s="135" t="s">
        <v>20</v>
      </c>
      <c r="B25" s="135"/>
      <c r="C25" s="214">
        <f>'Screener Input'!B17+'Screener Input'!B25</f>
        <v>3503.95</v>
      </c>
      <c r="D25" s="214">
        <f>'Screener Input'!C17+'Screener Input'!C25</f>
        <v>3831.1499999999996</v>
      </c>
      <c r="E25" s="214">
        <f>'Screener Input'!D17+'Screener Input'!D25</f>
        <v>4668.3900000000003</v>
      </c>
      <c r="F25" s="214">
        <f>'Screener Input'!E17+'Screener Input'!E25</f>
        <v>5544.51</v>
      </c>
      <c r="G25" s="214">
        <f>'Screener Input'!F17+'Screener Input'!F25</f>
        <v>6237.65</v>
      </c>
      <c r="H25" s="214">
        <f>'Screener Input'!G17+'Screener Input'!G25</f>
        <v>6946.3</v>
      </c>
      <c r="I25" s="214">
        <f>'Screener Input'!H17+'Screener Input'!H25</f>
        <v>8106.3</v>
      </c>
      <c r="J25" s="214">
        <f>'Screener Input'!I17+'Screener Input'!I25</f>
        <v>8521.58</v>
      </c>
      <c r="K25" s="214">
        <f>'Screener Input'!J17+'Screener Input'!J25</f>
        <v>9204.630000000001</v>
      </c>
      <c r="L25" s="214">
        <f>'Screener Input'!K17+'Screener Input'!K25</f>
        <v>10080.36</v>
      </c>
      <c r="M25" s="214">
        <f>SUM('Screener Input'!H42:K42)+SUM('Screener Input'!H44:K44)</f>
        <v>10367.6</v>
      </c>
      <c r="N25" s="214">
        <f>SUM('Screener Input'!D42:G42)+SUM('Screener Input'!D44:G44)</f>
        <v>9324.49</v>
      </c>
    </row>
    <row r="26" spans="1:15" s="219" customFormat="1" ht="14.25" customHeight="1">
      <c r="A26" s="140" t="s">
        <v>186</v>
      </c>
      <c r="B26" s="140"/>
      <c r="C26" s="318">
        <f>'Screener Input'!B17</f>
        <v>3421.23</v>
      </c>
      <c r="D26" s="318">
        <f>'Screener Input'!C17</f>
        <v>3772.91</v>
      </c>
      <c r="E26" s="318">
        <f>'Screener Input'!D17</f>
        <v>4609.38</v>
      </c>
      <c r="F26" s="318">
        <f>'Screener Input'!E17</f>
        <v>5485.37</v>
      </c>
      <c r="G26" s="318">
        <f>'Screener Input'!F17</f>
        <v>6185.41</v>
      </c>
      <c r="H26" s="318">
        <f>'Screener Input'!G17</f>
        <v>6912.71</v>
      </c>
      <c r="I26" s="318">
        <f>'Screener Input'!H17</f>
        <v>7858.42</v>
      </c>
      <c r="J26" s="318">
        <f>'Screener Input'!I17</f>
        <v>8397.23</v>
      </c>
      <c r="K26" s="318">
        <f>'Screener Input'!J17</f>
        <v>9054.09</v>
      </c>
      <c r="L26" s="318">
        <f>'Screener Input'!K17</f>
        <v>9913.99</v>
      </c>
      <c r="M26" s="318">
        <f>SUM('Screener Input'!H42:K42)</f>
        <v>10194.120000000001</v>
      </c>
      <c r="N26" s="318">
        <f>SUM('Screener Input'!D42:G42)</f>
        <v>9177.02</v>
      </c>
    </row>
    <row r="27" spans="1:15">
      <c r="A27" s="135" t="str">
        <f t="shared" ref="A27:L27" si="7">A15</f>
        <v>Raw Materials</v>
      </c>
      <c r="B27" s="135"/>
      <c r="C27" s="214">
        <f t="shared" si="7"/>
        <v>2138.69</v>
      </c>
      <c r="D27" s="214">
        <f t="shared" si="7"/>
        <v>2438.7399999999998</v>
      </c>
      <c r="E27" s="214">
        <f t="shared" si="7"/>
        <v>3043.29</v>
      </c>
      <c r="F27" s="214">
        <f t="shared" si="7"/>
        <v>3546.8</v>
      </c>
      <c r="G27" s="214">
        <f t="shared" si="7"/>
        <v>3869.02</v>
      </c>
      <c r="H27" s="214">
        <f t="shared" si="7"/>
        <v>4182.53</v>
      </c>
      <c r="I27" s="214">
        <f t="shared" si="7"/>
        <v>4722.21</v>
      </c>
      <c r="J27" s="214">
        <f t="shared" si="7"/>
        <v>5016.99</v>
      </c>
      <c r="K27" s="214">
        <f t="shared" si="7"/>
        <v>5642.88</v>
      </c>
      <c r="L27" s="214">
        <f t="shared" si="7"/>
        <v>6100.8</v>
      </c>
      <c r="M27" s="214"/>
      <c r="N27" s="214"/>
    </row>
    <row r="28" spans="1:15">
      <c r="A28" s="135" t="s">
        <v>207</v>
      </c>
      <c r="B28" s="135"/>
      <c r="C28" s="214">
        <f t="shared" ref="C28:L28" si="8">C26-C27</f>
        <v>1282.54</v>
      </c>
      <c r="D28" s="214">
        <f t="shared" si="8"/>
        <v>1334.17</v>
      </c>
      <c r="E28" s="214">
        <f t="shared" si="8"/>
        <v>1566.0900000000001</v>
      </c>
      <c r="F28" s="214">
        <f t="shared" si="8"/>
        <v>1938.5699999999997</v>
      </c>
      <c r="G28" s="214">
        <f t="shared" si="8"/>
        <v>2316.39</v>
      </c>
      <c r="H28" s="214">
        <f t="shared" si="8"/>
        <v>2730.1800000000003</v>
      </c>
      <c r="I28" s="214">
        <f t="shared" si="8"/>
        <v>3136.21</v>
      </c>
      <c r="J28" s="214">
        <f t="shared" si="8"/>
        <v>3380.24</v>
      </c>
      <c r="K28" s="214">
        <f t="shared" si="8"/>
        <v>3411.21</v>
      </c>
      <c r="L28" s="214">
        <f t="shared" si="8"/>
        <v>3813.1899999999996</v>
      </c>
      <c r="M28" s="214"/>
      <c r="N28" s="214"/>
    </row>
    <row r="29" spans="1:15" s="235" customFormat="1">
      <c r="A29" s="137" t="s">
        <v>64</v>
      </c>
      <c r="B29" s="137"/>
      <c r="C29" s="216">
        <f>'Screener Input'!B17-'Screener Input'!B18-'Screener Input'!B20-'Screener Input'!B21-'Screener Input'!B22-'Screener Input'!B23-'Screener Input'!B24+'Screener Input'!B25+'Screener Input'!B19</f>
        <v>294.62999999999988</v>
      </c>
      <c r="D29" s="216">
        <f>'Screener Input'!C17-'Screener Input'!C18-'Screener Input'!C20-'Screener Input'!C21-'Screener Input'!C22-'Screener Input'!C23-'Screener Input'!C24+'Screener Input'!C25+'Screener Input'!C19</f>
        <v>190.24000000000009</v>
      </c>
      <c r="E29" s="216">
        <f>'Screener Input'!D17-'Screener Input'!D18-'Screener Input'!D20-'Screener Input'!D21-'Screener Input'!D22-'Screener Input'!D23-'Screener Input'!D24+'Screener Input'!D25+'Screener Input'!D19</f>
        <v>295.69000000000028</v>
      </c>
      <c r="F29" s="216">
        <f>'Screener Input'!E17-'Screener Input'!E18-'Screener Input'!E20-'Screener Input'!E21-'Screener Input'!E22-'Screener Input'!E23-'Screener Input'!E24+'Screener Input'!E25+'Screener Input'!E19</f>
        <v>370.00999999999965</v>
      </c>
      <c r="G29" s="216">
        <f>'Screener Input'!F17-'Screener Input'!F18-'Screener Input'!F20-'Screener Input'!F21-'Screener Input'!F22-'Screener Input'!F23-'Screener Input'!F24+'Screener Input'!F25+'Screener Input'!F19</f>
        <v>472.8799999999996</v>
      </c>
      <c r="H29" s="216">
        <f>'Screener Input'!G17-'Screener Input'!G18-'Screener Input'!G20-'Screener Input'!G21-'Screener Input'!G22-'Screener Input'!G23-'Screener Input'!G24+'Screener Input'!G25+'Screener Input'!G19</f>
        <v>660.79000000000053</v>
      </c>
      <c r="I29" s="216">
        <f>'Screener Input'!H17-'Screener Input'!H18-'Screener Input'!H20-'Screener Input'!H21-'Screener Input'!H22-'Screener Input'!H23-'Screener Input'!H24+'Screener Input'!H25+'Screener Input'!H19</f>
        <v>1097.9300000000003</v>
      </c>
      <c r="J29" s="216">
        <f>'Screener Input'!I17-'Screener Input'!I18-'Screener Input'!I20-'Screener Input'!I21-'Screener Input'!I22-'Screener Input'!I23-'Screener Input'!I24+'Screener Input'!I25+'Screener Input'!I19</f>
        <v>1338.7399999999996</v>
      </c>
      <c r="K29" s="216">
        <f>'Screener Input'!J17-'Screener Input'!J18-'Screener Input'!J20-'Screener Input'!J21-'Screener Input'!J22-'Screener Input'!J23-'Screener Input'!J24+'Screener Input'!J25+'Screener Input'!J19</f>
        <v>1428.72</v>
      </c>
      <c r="L29" s="216">
        <f>'Screener Input'!K17-'Screener Input'!K18-'Screener Input'!K20-'Screener Input'!K21-'Screener Input'!K22-'Screener Input'!K23-'Screener Input'!K24+'Screener Input'!K25+'Screener Input'!K19</f>
        <v>1668.0199999999998</v>
      </c>
      <c r="M29" s="216">
        <f>SUM('Screener Input'!H50:K50)+SUM('Screener Input'!H44:K44)</f>
        <v>1735.32</v>
      </c>
      <c r="N29" s="216">
        <f>SUM('Screener Input'!D50:G50)</f>
        <v>1289.6999999999998</v>
      </c>
      <c r="O29" s="319"/>
    </row>
    <row r="30" spans="1:15">
      <c r="A30" s="135" t="s">
        <v>208</v>
      </c>
      <c r="B30" s="135"/>
      <c r="C30" s="214">
        <f>'Screener Input'!B26</f>
        <v>65.91</v>
      </c>
      <c r="D30" s="214">
        <f>'Screener Input'!C26</f>
        <v>58.23</v>
      </c>
      <c r="E30" s="214">
        <f>'Screener Input'!D26</f>
        <v>64.91</v>
      </c>
      <c r="F30" s="214">
        <f>'Screener Input'!E26</f>
        <v>61.83</v>
      </c>
      <c r="G30" s="214">
        <f>'Screener Input'!F26</f>
        <v>73.150000000000006</v>
      </c>
      <c r="H30" s="214">
        <f>'Screener Input'!G26</f>
        <v>83.18</v>
      </c>
      <c r="I30" s="214">
        <f>'Screener Input'!H26</f>
        <v>144.47999999999999</v>
      </c>
      <c r="J30" s="214">
        <f>'Screener Input'!I26</f>
        <v>113.41</v>
      </c>
      <c r="K30" s="214">
        <f>'Screener Input'!J26</f>
        <v>119.27</v>
      </c>
      <c r="L30" s="214">
        <f>'Screener Input'!K26</f>
        <v>142.07</v>
      </c>
      <c r="M30" s="214">
        <f>SUM('Screener Input'!H45:K45)</f>
        <v>144.51999999999998</v>
      </c>
      <c r="N30" s="214"/>
    </row>
    <row r="31" spans="1:15">
      <c r="A31" s="135" t="s">
        <v>209</v>
      </c>
      <c r="B31" s="135"/>
      <c r="C31" s="361">
        <f t="shared" ref="C31:M31" si="9">C29-C30</f>
        <v>228.71999999999989</v>
      </c>
      <c r="D31" s="361">
        <f t="shared" si="9"/>
        <v>132.0100000000001</v>
      </c>
      <c r="E31" s="361">
        <f t="shared" si="9"/>
        <v>230.78000000000029</v>
      </c>
      <c r="F31" s="361">
        <f t="shared" si="9"/>
        <v>308.17999999999967</v>
      </c>
      <c r="G31" s="361">
        <f t="shared" si="9"/>
        <v>399.72999999999956</v>
      </c>
      <c r="H31" s="361">
        <f t="shared" si="9"/>
        <v>577.61000000000058</v>
      </c>
      <c r="I31" s="361">
        <f t="shared" si="9"/>
        <v>953.45000000000027</v>
      </c>
      <c r="J31" s="361">
        <f t="shared" si="9"/>
        <v>1225.3299999999995</v>
      </c>
      <c r="K31" s="361">
        <f t="shared" si="9"/>
        <v>1309.45</v>
      </c>
      <c r="L31" s="361">
        <f t="shared" si="9"/>
        <v>1525.9499999999998</v>
      </c>
      <c r="M31" s="361">
        <f t="shared" si="9"/>
        <v>1590.8</v>
      </c>
      <c r="N31" s="214"/>
    </row>
    <row r="32" spans="1:15">
      <c r="A32" s="135" t="s">
        <v>24</v>
      </c>
      <c r="B32" s="135"/>
      <c r="C32" s="214">
        <f>'Screener Input'!B27</f>
        <v>32.6</v>
      </c>
      <c r="D32" s="214">
        <f>'Screener Input'!C27</f>
        <v>23.45</v>
      </c>
      <c r="E32" s="214">
        <f>'Screener Input'!D27</f>
        <v>43.63</v>
      </c>
      <c r="F32" s="214">
        <f>'Screener Input'!E27</f>
        <v>41.6</v>
      </c>
      <c r="G32" s="214">
        <f>'Screener Input'!F27</f>
        <v>41.3</v>
      </c>
      <c r="H32" s="214">
        <f>'Screener Input'!G27</f>
        <v>8.2899999999999991</v>
      </c>
      <c r="I32" s="214">
        <f>'Screener Input'!H27</f>
        <v>3.86</v>
      </c>
      <c r="J32" s="214">
        <f>'Screener Input'!I27</f>
        <v>4.87</v>
      </c>
      <c r="K32" s="214">
        <f>'Screener Input'!J27</f>
        <v>5.45</v>
      </c>
      <c r="L32" s="214">
        <f>'Screener Input'!K27</f>
        <v>7.59</v>
      </c>
      <c r="M32" s="214">
        <f>SUM('Screener Input'!H46:K46)</f>
        <v>8.76</v>
      </c>
      <c r="N32" s="214"/>
    </row>
    <row r="33" spans="1:14">
      <c r="A33" s="135" t="s">
        <v>210</v>
      </c>
      <c r="B33" s="135"/>
      <c r="C33" s="214">
        <f t="shared" ref="C33:L33" si="10">C31-C32</f>
        <v>196.11999999999989</v>
      </c>
      <c r="D33" s="214">
        <f t="shared" si="10"/>
        <v>108.5600000000001</v>
      </c>
      <c r="E33" s="214">
        <f t="shared" si="10"/>
        <v>187.15000000000029</v>
      </c>
      <c r="F33" s="214">
        <f t="shared" si="10"/>
        <v>266.57999999999964</v>
      </c>
      <c r="G33" s="214">
        <f t="shared" si="10"/>
        <v>358.42999999999955</v>
      </c>
      <c r="H33" s="214">
        <f t="shared" si="10"/>
        <v>569.32000000000062</v>
      </c>
      <c r="I33" s="214">
        <f t="shared" si="10"/>
        <v>949.59000000000026</v>
      </c>
      <c r="J33" s="214">
        <f t="shared" si="10"/>
        <v>1220.4599999999996</v>
      </c>
      <c r="K33" s="214">
        <f t="shared" si="10"/>
        <v>1304</v>
      </c>
      <c r="L33" s="214">
        <f t="shared" si="10"/>
        <v>1518.36</v>
      </c>
      <c r="M33" s="214"/>
      <c r="N33" s="214"/>
    </row>
    <row r="34" spans="1:14">
      <c r="A34" s="135" t="s">
        <v>26</v>
      </c>
      <c r="B34" s="135"/>
      <c r="C34" s="214">
        <f>'Screener Input'!B29</f>
        <v>52.88</v>
      </c>
      <c r="D34" s="214">
        <f>'Screener Input'!C29</f>
        <v>5.46</v>
      </c>
      <c r="E34" s="214">
        <f>'Screener Input'!D29</f>
        <v>52.94</v>
      </c>
      <c r="F34" s="214">
        <f>'Screener Input'!E29</f>
        <v>66.849999999999994</v>
      </c>
      <c r="G34" s="214">
        <f>'Screener Input'!F29</f>
        <v>98.55</v>
      </c>
      <c r="H34" s="214">
        <f>'Screener Input'!G29</f>
        <v>173.58</v>
      </c>
      <c r="I34" s="214">
        <f>'Screener Input'!H29</f>
        <v>261.11</v>
      </c>
      <c r="J34" s="214">
        <f>'Screener Input'!I29</f>
        <v>396.1</v>
      </c>
      <c r="K34" s="214">
        <f>'Screener Input'!J29</f>
        <v>419.67</v>
      </c>
      <c r="L34" s="214">
        <f>'Screener Input'!K29</f>
        <v>514.22</v>
      </c>
      <c r="M34" s="214">
        <f>SUM('Screener Input'!H48:K48)</f>
        <v>536.12</v>
      </c>
      <c r="N34" s="214"/>
    </row>
    <row r="35" spans="1:14">
      <c r="A35" s="135" t="s">
        <v>189</v>
      </c>
      <c r="B35" s="135"/>
      <c r="C35" s="214">
        <f t="shared" ref="C35:L35" si="11">C33-C34</f>
        <v>143.2399999999999</v>
      </c>
      <c r="D35" s="214">
        <f t="shared" si="11"/>
        <v>103.10000000000011</v>
      </c>
      <c r="E35" s="214">
        <f t="shared" si="11"/>
        <v>134.21000000000029</v>
      </c>
      <c r="F35" s="214">
        <f t="shared" si="11"/>
        <v>199.72999999999965</v>
      </c>
      <c r="G35" s="214">
        <f t="shared" si="11"/>
        <v>259.87999999999954</v>
      </c>
      <c r="H35" s="214">
        <f t="shared" si="11"/>
        <v>395.74000000000058</v>
      </c>
      <c r="I35" s="214">
        <f t="shared" si="11"/>
        <v>688.48000000000025</v>
      </c>
      <c r="J35" s="214">
        <f t="shared" si="11"/>
        <v>824.35999999999956</v>
      </c>
      <c r="K35" s="214">
        <f t="shared" si="11"/>
        <v>884.32999999999993</v>
      </c>
      <c r="L35" s="214">
        <f t="shared" si="11"/>
        <v>1004.1399999999999</v>
      </c>
      <c r="M35" s="214">
        <f>SUM('Screener Input'!H49:K49)</f>
        <v>1045.9199999999998</v>
      </c>
      <c r="N35" s="214">
        <f>SUM('Screener Input'!D49:G49)</f>
        <v>881.52</v>
      </c>
    </row>
    <row r="36" spans="1:14">
      <c r="A36" s="135" t="s">
        <v>211</v>
      </c>
      <c r="B36" s="135"/>
      <c r="C36" s="214">
        <f>'Screener Input'!B31</f>
        <v>95.56</v>
      </c>
      <c r="D36" s="214">
        <f>'Screener Input'!C31</f>
        <v>59.73</v>
      </c>
      <c r="E36" s="214">
        <f>'Screener Input'!D31</f>
        <v>77.64</v>
      </c>
      <c r="F36" s="214">
        <f>'Screener Input'!E31</f>
        <v>101.53</v>
      </c>
      <c r="G36" s="214">
        <f>'Screener Input'!F31</f>
        <v>101.62</v>
      </c>
      <c r="H36" s="214">
        <f>'Screener Input'!G31</f>
        <v>143.94</v>
      </c>
      <c r="I36" s="214">
        <f>'Screener Input'!H31</f>
        <v>191.92</v>
      </c>
      <c r="J36" s="214">
        <f>'Screener Input'!I31</f>
        <v>240</v>
      </c>
      <c r="K36" s="214">
        <f>'Screener Input'!J31</f>
        <v>264</v>
      </c>
      <c r="L36" s="214">
        <f>'Screener Input'!K31</f>
        <v>300.13</v>
      </c>
      <c r="M36" s="214"/>
      <c r="N36" s="214"/>
    </row>
    <row r="37" spans="1:14">
      <c r="A37" s="135" t="s">
        <v>4</v>
      </c>
      <c r="C37" s="214">
        <f>'Screener Input'!B90*'Screener Input'!B93</f>
        <v>3598.4027179328145</v>
      </c>
      <c r="D37" s="214">
        <f>'Screener Input'!C90*'Screener Input'!C93</f>
        <v>3922.628244263537</v>
      </c>
      <c r="E37" s="214">
        <f>'Screener Input'!D90*'Screener Input'!D93</f>
        <v>4493.9597006463118</v>
      </c>
      <c r="F37" s="214">
        <f>'Screener Input'!E90*'Screener Input'!E93</f>
        <v>6880.6357083337507</v>
      </c>
      <c r="G37" s="214">
        <f>'Screener Input'!F90*'Screener Input'!F93</f>
        <v>6438.0787362525007</v>
      </c>
      <c r="H37" s="214">
        <f>'Screener Input'!G90*'Screener Input'!G93</f>
        <v>10432.69249121326</v>
      </c>
      <c r="I37" s="214">
        <f>'Screener Input'!H90*'Screener Input'!H93</f>
        <v>26402.444387700001</v>
      </c>
      <c r="J37" s="214">
        <f>'Screener Input'!I90*'Screener Input'!I93</f>
        <v>33059.493687427384</v>
      </c>
      <c r="K37" s="214">
        <f>'Screener Input'!J90*'Screener Input'!J93</f>
        <v>41085.942196128941</v>
      </c>
      <c r="L37" s="214">
        <f>'Screener Input'!K90*'Screener Input'!K93</f>
        <v>63063.554428209405</v>
      </c>
      <c r="M37" s="214"/>
      <c r="N37" s="214"/>
    </row>
    <row r="38" spans="1:14">
      <c r="A38" s="136" t="s">
        <v>212</v>
      </c>
      <c r="B38" s="184">
        <f>'Screener Input'!B9</f>
        <v>70215.600000000006</v>
      </c>
      <c r="C38" s="430"/>
      <c r="D38" s="431"/>
      <c r="E38" s="431"/>
      <c r="F38" s="431"/>
      <c r="G38" s="431"/>
      <c r="H38" s="431"/>
      <c r="I38" s="431"/>
      <c r="J38" s="431"/>
      <c r="K38" s="432"/>
      <c r="L38" s="217">
        <f>L35+L34+L32+L30</f>
        <v>1668.0199999999998</v>
      </c>
      <c r="M38" s="121"/>
      <c r="N38" s="121"/>
    </row>
    <row r="39" spans="1:14">
      <c r="A39" s="136" t="s">
        <v>311</v>
      </c>
      <c r="C39" s="180"/>
      <c r="D39" s="180"/>
      <c r="E39" s="180"/>
      <c r="F39" s="180"/>
      <c r="G39" s="180"/>
      <c r="H39" s="180"/>
      <c r="I39" s="180"/>
      <c r="J39" s="180"/>
      <c r="K39" s="180"/>
      <c r="L39" s="121"/>
      <c r="N39" s="121"/>
    </row>
    <row r="40" spans="1:14">
      <c r="A40" s="137" t="s">
        <v>213</v>
      </c>
      <c r="B40" s="138"/>
      <c r="C40" s="214">
        <f>'Screener Input'!B57</f>
        <v>23.89</v>
      </c>
      <c r="D40" s="214">
        <f>'Screener Input'!C57</f>
        <v>23.89</v>
      </c>
      <c r="E40" s="214">
        <f>'Screener Input'!D57</f>
        <v>23.89</v>
      </c>
      <c r="F40" s="214">
        <f>'Screener Input'!E57</f>
        <v>23.89</v>
      </c>
      <c r="G40" s="214">
        <f>'Screener Input'!F57</f>
        <v>23.91</v>
      </c>
      <c r="H40" s="214">
        <f>'Screener Input'!G57</f>
        <v>23.99</v>
      </c>
      <c r="I40" s="214">
        <f>'Screener Input'!H57</f>
        <v>23.99</v>
      </c>
      <c r="J40" s="214">
        <f>'Screener Input'!I57</f>
        <v>24</v>
      </c>
      <c r="K40" s="214">
        <f>'Screener Input'!J57</f>
        <v>24</v>
      </c>
      <c r="L40" s="214">
        <f>'Screener Input'!K57</f>
        <v>24.01</v>
      </c>
      <c r="M40" s="214"/>
      <c r="N40" s="214"/>
    </row>
    <row r="41" spans="1:14">
      <c r="A41" s="137" t="s">
        <v>214</v>
      </c>
      <c r="B41" s="137"/>
      <c r="C41" s="216">
        <f>'Screener Input'!B58</f>
        <v>697.48</v>
      </c>
      <c r="D41" s="216">
        <f>'Screener Input'!C58</f>
        <v>258.91000000000003</v>
      </c>
      <c r="E41" s="216">
        <f>'Screener Input'!D58</f>
        <v>302.14</v>
      </c>
      <c r="F41" s="216">
        <f>'Screener Input'!E58</f>
        <v>385.28</v>
      </c>
      <c r="G41" s="216">
        <f>'Screener Input'!F58</f>
        <v>531.66999999999996</v>
      </c>
      <c r="H41" s="216">
        <f>'Screener Input'!G58</f>
        <v>774.12</v>
      </c>
      <c r="I41" s="216">
        <f>'Screener Input'!H58</f>
        <v>1221.1199999999999</v>
      </c>
      <c r="J41" s="216">
        <f>'Screener Input'!I58</f>
        <v>2067.6799999999998</v>
      </c>
      <c r="K41" s="216">
        <f>'Screener Input'!J58</f>
        <v>2672.42</v>
      </c>
      <c r="L41" s="216">
        <f>'Screener Input'!K58</f>
        <v>3382.22</v>
      </c>
      <c r="M41" s="216"/>
      <c r="N41" s="216"/>
    </row>
    <row r="42" spans="1:14">
      <c r="A42" s="137" t="s">
        <v>9</v>
      </c>
      <c r="B42" s="135"/>
      <c r="C42" s="214">
        <f t="shared" ref="C42:L42" si="12">C41+C40</f>
        <v>721.37</v>
      </c>
      <c r="D42" s="214">
        <f t="shared" si="12"/>
        <v>282.8</v>
      </c>
      <c r="E42" s="214">
        <f t="shared" si="12"/>
        <v>326.02999999999997</v>
      </c>
      <c r="F42" s="214">
        <f t="shared" si="12"/>
        <v>409.16999999999996</v>
      </c>
      <c r="G42" s="214">
        <f t="shared" si="12"/>
        <v>555.57999999999993</v>
      </c>
      <c r="H42" s="214">
        <f t="shared" si="12"/>
        <v>798.11</v>
      </c>
      <c r="I42" s="214">
        <f t="shared" si="12"/>
        <v>1245.1099999999999</v>
      </c>
      <c r="J42" s="214">
        <f t="shared" si="12"/>
        <v>2091.6799999999998</v>
      </c>
      <c r="K42" s="214">
        <f t="shared" si="12"/>
        <v>2696.42</v>
      </c>
      <c r="L42" s="214">
        <f t="shared" si="12"/>
        <v>3406.23</v>
      </c>
      <c r="M42" s="214"/>
      <c r="N42" s="214"/>
    </row>
    <row r="43" spans="1:14">
      <c r="A43" s="139" t="s">
        <v>10</v>
      </c>
      <c r="B43" s="140"/>
      <c r="C43" s="214"/>
      <c r="D43" s="214"/>
      <c r="E43" s="214"/>
      <c r="F43" s="214"/>
      <c r="G43" s="214"/>
      <c r="H43" s="214"/>
      <c r="I43" s="214"/>
      <c r="J43" s="214"/>
      <c r="K43" s="214"/>
      <c r="L43" s="217"/>
      <c r="M43" s="217"/>
      <c r="N43" s="217"/>
    </row>
    <row r="44" spans="1:14">
      <c r="A44" s="139" t="s">
        <v>11</v>
      </c>
      <c r="B44" s="140"/>
      <c r="C44" s="214"/>
      <c r="D44" s="214"/>
      <c r="E44" s="214"/>
      <c r="F44" s="214"/>
      <c r="G44" s="214"/>
      <c r="H44" s="214"/>
      <c r="I44" s="214"/>
      <c r="J44" s="214"/>
      <c r="K44" s="214"/>
      <c r="L44" s="217"/>
      <c r="M44" s="217"/>
      <c r="N44" s="217"/>
    </row>
    <row r="45" spans="1:14">
      <c r="A45" s="139" t="s">
        <v>215</v>
      </c>
      <c r="B45" s="137"/>
      <c r="C45" s="216">
        <f>'Screener Input'!B59</f>
        <v>274.82</v>
      </c>
      <c r="D45" s="216">
        <f>'Screener Input'!C59</f>
        <v>656.96</v>
      </c>
      <c r="E45" s="216">
        <f>'Screener Input'!D59</f>
        <v>617.92999999999995</v>
      </c>
      <c r="F45" s="216">
        <f>'Screener Input'!E59</f>
        <v>604.21</v>
      </c>
      <c r="G45" s="216">
        <f>'Screener Input'!F59</f>
        <v>380</v>
      </c>
      <c r="H45" s="216">
        <f>'Screener Input'!G59</f>
        <v>149.76</v>
      </c>
      <c r="I45" s="216">
        <f>'Screener Input'!H59</f>
        <v>145.07</v>
      </c>
      <c r="J45" s="216">
        <f>'Screener Input'!I59</f>
        <v>131.05000000000001</v>
      </c>
      <c r="K45" s="216">
        <f>'Screener Input'!J59</f>
        <v>124.56</v>
      </c>
      <c r="L45" s="216">
        <f>'Screener Input'!K59</f>
        <v>200.7</v>
      </c>
      <c r="M45" s="216"/>
      <c r="N45" s="216"/>
    </row>
    <row r="46" spans="1:14">
      <c r="A46" s="139" t="s">
        <v>216</v>
      </c>
      <c r="B46" s="137"/>
      <c r="C46" s="216">
        <f>'Screener Input'!B60</f>
        <v>511.12</v>
      </c>
      <c r="D46" s="216">
        <f>'Screener Input'!C60</f>
        <v>599.36</v>
      </c>
      <c r="E46" s="216">
        <f>'Screener Input'!D60</f>
        <v>699.72</v>
      </c>
      <c r="F46" s="216">
        <f>'Screener Input'!E60</f>
        <v>853.99</v>
      </c>
      <c r="G46" s="216">
        <f>'Screener Input'!F60</f>
        <v>974.96</v>
      </c>
      <c r="H46" s="216">
        <f>'Screener Input'!G60</f>
        <v>1194.18</v>
      </c>
      <c r="I46" s="216">
        <f>'Screener Input'!H60</f>
        <v>1426.13</v>
      </c>
      <c r="J46" s="216">
        <f>'Screener Input'!I60</f>
        <v>1307.73</v>
      </c>
      <c r="K46" s="216">
        <f>'Screener Input'!J60</f>
        <v>1336</v>
      </c>
      <c r="L46" s="216">
        <f>'Screener Input'!K60</f>
        <v>1635.74</v>
      </c>
      <c r="M46" s="216"/>
      <c r="N46" s="216"/>
    </row>
    <row r="47" spans="1:14">
      <c r="A47" s="139" t="s">
        <v>217</v>
      </c>
      <c r="B47" s="137"/>
      <c r="C47" s="216">
        <f>'Screener Input'!B65</f>
        <v>653.16</v>
      </c>
      <c r="D47" s="216">
        <f>'Screener Input'!C65</f>
        <v>663.18</v>
      </c>
      <c r="E47" s="216">
        <f>'Screener Input'!D65</f>
        <v>737.46</v>
      </c>
      <c r="F47" s="216">
        <f>'Screener Input'!E65</f>
        <v>883.21</v>
      </c>
      <c r="G47" s="216">
        <f>'Screener Input'!F65</f>
        <v>918.24</v>
      </c>
      <c r="H47" s="216">
        <f>'Screener Input'!G65</f>
        <v>989.5</v>
      </c>
      <c r="I47" s="216">
        <f>'Screener Input'!H65</f>
        <v>1405.93</v>
      </c>
      <c r="J47" s="216">
        <f>'Screener Input'!I65</f>
        <v>1701.77</v>
      </c>
      <c r="K47" s="216">
        <f>'Screener Input'!J65</f>
        <v>2480.0700000000002</v>
      </c>
      <c r="L47" s="216">
        <f>'Screener Input'!K65</f>
        <v>2614.9699999999998</v>
      </c>
      <c r="M47" s="216"/>
      <c r="N47" s="216"/>
    </row>
    <row r="48" spans="1:14">
      <c r="A48" s="139" t="s">
        <v>16</v>
      </c>
      <c r="B48" s="137"/>
      <c r="C48" s="359">
        <f>'Screener Input'!B60</f>
        <v>511.12</v>
      </c>
      <c r="D48" s="359">
        <f>'Screener Input'!C60</f>
        <v>599.36</v>
      </c>
      <c r="E48" s="359">
        <f>'Screener Input'!D60</f>
        <v>699.72</v>
      </c>
      <c r="F48" s="359">
        <f>'Screener Input'!E60</f>
        <v>853.99</v>
      </c>
      <c r="G48" s="359">
        <f>'Screener Input'!F60</f>
        <v>974.96</v>
      </c>
      <c r="H48" s="359">
        <f>'Screener Input'!G60</f>
        <v>1194.18</v>
      </c>
      <c r="I48" s="359">
        <f>'Screener Input'!H60</f>
        <v>1426.13</v>
      </c>
      <c r="J48" s="359">
        <f>'Screener Input'!I60</f>
        <v>1307.73</v>
      </c>
      <c r="K48" s="359">
        <f>'Screener Input'!J60</f>
        <v>1336</v>
      </c>
      <c r="L48" s="359">
        <f>'Screener Input'!K60</f>
        <v>1635.74</v>
      </c>
      <c r="M48" s="216"/>
      <c r="N48" s="216"/>
    </row>
    <row r="49" spans="1:14">
      <c r="A49" s="139" t="s">
        <v>17</v>
      </c>
      <c r="B49" s="137"/>
      <c r="C49" s="216">
        <f>'Screener Input'!B66</f>
        <v>1507.31</v>
      </c>
      <c r="D49" s="216">
        <f>'Screener Input'!C66</f>
        <v>1539.12</v>
      </c>
      <c r="E49" s="216">
        <f>'Screener Input'!D66</f>
        <v>1643.68</v>
      </c>
      <c r="F49" s="216">
        <f>'Screener Input'!E66</f>
        <v>1867.37</v>
      </c>
      <c r="G49" s="216">
        <f>'Screener Input'!F66</f>
        <v>1910.54</v>
      </c>
      <c r="H49" s="216">
        <f>'Screener Input'!G66</f>
        <v>2142.0500000000002</v>
      </c>
      <c r="I49" s="216">
        <f>'Screener Input'!H66</f>
        <v>2816.31</v>
      </c>
      <c r="J49" s="216">
        <f>'Screener Input'!I66</f>
        <v>3530.46</v>
      </c>
      <c r="K49" s="216">
        <f>'Screener Input'!J66</f>
        <v>4156.9799999999996</v>
      </c>
      <c r="L49" s="216">
        <f>'Screener Input'!K66</f>
        <v>5242.67</v>
      </c>
      <c r="M49" s="216"/>
      <c r="N49" s="216"/>
    </row>
    <row r="50" spans="1:14">
      <c r="A50" s="247" t="s">
        <v>218</v>
      </c>
      <c r="B50" s="247"/>
      <c r="C50" s="248">
        <f>'Screener Input'!B62</f>
        <v>470.51</v>
      </c>
      <c r="D50" s="248">
        <f>'Screener Input'!C62</f>
        <v>499.34</v>
      </c>
      <c r="E50" s="248">
        <f>'Screener Input'!D62</f>
        <v>504.89</v>
      </c>
      <c r="F50" s="248">
        <f>'Screener Input'!E62</f>
        <v>624.39</v>
      </c>
      <c r="G50" s="248">
        <f>'Screener Input'!F62</f>
        <v>736.8</v>
      </c>
      <c r="H50" s="248">
        <f>'Screener Input'!G62</f>
        <v>847.59</v>
      </c>
      <c r="I50" s="248">
        <f>'Screener Input'!H62</f>
        <v>844.07</v>
      </c>
      <c r="J50" s="248">
        <f>'Screener Input'!I62</f>
        <v>950.24</v>
      </c>
      <c r="K50" s="248">
        <f>'Screener Input'!J62</f>
        <v>1159.99</v>
      </c>
      <c r="L50" s="248">
        <f>'Screener Input'!K62</f>
        <v>1345.6</v>
      </c>
      <c r="M50" s="214"/>
      <c r="N50" s="214"/>
    </row>
    <row r="51" spans="1:14">
      <c r="A51" s="135" t="s">
        <v>14</v>
      </c>
      <c r="B51" s="135"/>
      <c r="C51" s="214">
        <f>'Screener Input'!B63</f>
        <v>6.3</v>
      </c>
      <c r="D51" s="214">
        <f>'Screener Input'!C63</f>
        <v>10.16</v>
      </c>
      <c r="E51" s="214">
        <f>'Screener Input'!D63</f>
        <v>12.82</v>
      </c>
      <c r="F51" s="214">
        <f>'Screener Input'!E63</f>
        <v>111.26</v>
      </c>
      <c r="G51" s="214">
        <f>'Screener Input'!F63</f>
        <v>147.30000000000001</v>
      </c>
      <c r="H51" s="214">
        <f>'Screener Input'!G63</f>
        <v>107.09</v>
      </c>
      <c r="I51" s="214">
        <f>'Screener Input'!H63</f>
        <v>48.37</v>
      </c>
      <c r="J51" s="214">
        <f>'Screener Input'!I63</f>
        <v>90.07</v>
      </c>
      <c r="K51" s="214">
        <f>'Screener Input'!J63</f>
        <v>30.07</v>
      </c>
      <c r="L51" s="214">
        <f>'Screener Input'!K63</f>
        <v>202.82</v>
      </c>
      <c r="M51" s="214"/>
      <c r="N51" s="214"/>
    </row>
    <row r="52" spans="1:14">
      <c r="A52" s="139" t="s">
        <v>63</v>
      </c>
      <c r="B52" s="137"/>
      <c r="C52" s="216">
        <f>'Screener Input'!B65-'Screener Input'!B60</f>
        <v>142.03999999999996</v>
      </c>
      <c r="D52" s="216">
        <f>'Screener Input'!C65-'Screener Input'!C60</f>
        <v>63.819999999999936</v>
      </c>
      <c r="E52" s="216">
        <f>'Screener Input'!D65-'Screener Input'!D60</f>
        <v>37.740000000000009</v>
      </c>
      <c r="F52" s="216">
        <f>'Screener Input'!E65-'Screener Input'!E60</f>
        <v>29.220000000000027</v>
      </c>
      <c r="G52" s="216">
        <f>'Screener Input'!F65-'Screener Input'!F60</f>
        <v>-56.720000000000027</v>
      </c>
      <c r="H52" s="216">
        <f>'Screener Input'!G65-'Screener Input'!G60</f>
        <v>-204.68000000000006</v>
      </c>
      <c r="I52" s="216">
        <f>'Screener Input'!H65-'Screener Input'!H60</f>
        <v>-20.200000000000045</v>
      </c>
      <c r="J52" s="216">
        <f>'Screener Input'!I65-'Screener Input'!I60</f>
        <v>394.03999999999996</v>
      </c>
      <c r="K52" s="216">
        <f>'Screener Input'!J65-'Screener Input'!J60</f>
        <v>1144.0700000000002</v>
      </c>
      <c r="L52" s="216">
        <f>'Screener Input'!K65-'Screener Input'!K60</f>
        <v>979.22999999999979</v>
      </c>
      <c r="M52" s="216"/>
      <c r="N52" s="216"/>
    </row>
    <row r="53" spans="1:14">
      <c r="A53" s="137" t="s">
        <v>196</v>
      </c>
      <c r="B53" s="137"/>
      <c r="C53" s="216">
        <f>'Screener Input'!B67</f>
        <v>74</v>
      </c>
      <c r="D53" s="216">
        <f>'Screener Input'!C67</f>
        <v>73.27</v>
      </c>
      <c r="E53" s="216">
        <f>'Screener Input'!D67</f>
        <v>80.959999999999994</v>
      </c>
      <c r="F53" s="216">
        <f>'Screener Input'!E67</f>
        <v>113.01</v>
      </c>
      <c r="G53" s="216">
        <f>'Screener Input'!F67</f>
        <v>122.81</v>
      </c>
      <c r="H53" s="216">
        <f>'Screener Input'!G67</f>
        <v>108.7</v>
      </c>
      <c r="I53" s="216">
        <f>'Screener Input'!H67</f>
        <v>135.81</v>
      </c>
      <c r="J53" s="216">
        <f>'Screener Input'!I67</f>
        <v>170.61</v>
      </c>
      <c r="K53" s="216">
        <f>'Screener Input'!J67</f>
        <v>179.16</v>
      </c>
      <c r="L53" s="216">
        <f>'Screener Input'!K67</f>
        <v>304.60000000000002</v>
      </c>
      <c r="M53" s="216"/>
      <c r="N53" s="216"/>
    </row>
    <row r="54" spans="1:14">
      <c r="A54" s="137" t="s">
        <v>195</v>
      </c>
      <c r="B54" s="137"/>
      <c r="C54" s="216">
        <f>'Screener Input'!B68</f>
        <v>288.69</v>
      </c>
      <c r="D54" s="216">
        <f>'Screener Input'!C68</f>
        <v>304.20999999999998</v>
      </c>
      <c r="E54" s="216">
        <f>'Screener Input'!D68</f>
        <v>346.95</v>
      </c>
      <c r="F54" s="216">
        <f>'Screener Input'!E68</f>
        <v>431.76</v>
      </c>
      <c r="G54" s="216">
        <f>'Screener Input'!F68</f>
        <v>374.67</v>
      </c>
      <c r="H54" s="216">
        <f>'Screener Input'!G68</f>
        <v>420.27</v>
      </c>
      <c r="I54" s="216">
        <f>'Screener Input'!H68</f>
        <v>404.04</v>
      </c>
      <c r="J54" s="216">
        <f>'Screener Input'!I68</f>
        <v>440.65</v>
      </c>
      <c r="K54" s="216">
        <f>'Screener Input'!J68</f>
        <v>661.45</v>
      </c>
      <c r="L54" s="216">
        <f>'Screener Input'!K68</f>
        <v>652.79</v>
      </c>
      <c r="M54" s="216"/>
      <c r="N54" s="216"/>
    </row>
    <row r="55" spans="1:14">
      <c r="A55" s="137" t="s">
        <v>219</v>
      </c>
      <c r="B55" s="137"/>
      <c r="C55" s="216">
        <f>'Screener Input'!B69</f>
        <v>68.84</v>
      </c>
      <c r="D55" s="216">
        <f>'Screener Input'!C69</f>
        <v>42.75</v>
      </c>
      <c r="E55" s="216">
        <f>'Screener Input'!D69</f>
        <v>76.88</v>
      </c>
      <c r="F55" s="216">
        <f>'Screener Input'!E69</f>
        <v>61.33</v>
      </c>
      <c r="G55" s="216">
        <f>'Screener Input'!F69</f>
        <v>102.93</v>
      </c>
      <c r="H55" s="216">
        <f>'Screener Input'!G69</f>
        <v>109.07</v>
      </c>
      <c r="I55" s="216">
        <f>'Screener Input'!H69</f>
        <v>226.33</v>
      </c>
      <c r="J55" s="216">
        <f>'Screener Input'!I69</f>
        <v>87.65</v>
      </c>
      <c r="K55" s="216">
        <f>'Screener Input'!J69</f>
        <v>120.76</v>
      </c>
      <c r="L55" s="216">
        <f>'Screener Input'!K69</f>
        <v>186.42</v>
      </c>
      <c r="M55" s="216"/>
      <c r="N55" s="216"/>
    </row>
    <row r="56" spans="1:14">
      <c r="A56" s="135" t="s">
        <v>220</v>
      </c>
      <c r="B56" s="140"/>
      <c r="C56" s="214"/>
      <c r="D56" s="214"/>
      <c r="E56" s="214"/>
      <c r="F56" s="214"/>
      <c r="G56" s="214"/>
      <c r="H56" s="214"/>
      <c r="I56" s="214"/>
      <c r="J56" s="214"/>
      <c r="K56" s="214"/>
      <c r="L56" s="217"/>
      <c r="M56" s="217"/>
      <c r="N56" s="217"/>
    </row>
    <row r="57" spans="1:14">
      <c r="A57" s="139" t="s">
        <v>221</v>
      </c>
      <c r="B57" s="135"/>
      <c r="C57" s="214">
        <f t="shared" ref="C57:L57" si="13">C42+C45</f>
        <v>996.19</v>
      </c>
      <c r="D57" s="214">
        <f t="shared" si="13"/>
        <v>939.76</v>
      </c>
      <c r="E57" s="214">
        <f t="shared" si="13"/>
        <v>943.95999999999992</v>
      </c>
      <c r="F57" s="214">
        <f t="shared" si="13"/>
        <v>1013.38</v>
      </c>
      <c r="G57" s="214">
        <f t="shared" si="13"/>
        <v>935.57999999999993</v>
      </c>
      <c r="H57" s="214">
        <f t="shared" si="13"/>
        <v>947.87</v>
      </c>
      <c r="I57" s="214">
        <f t="shared" si="13"/>
        <v>1390.1799999999998</v>
      </c>
      <c r="J57" s="214">
        <f t="shared" si="13"/>
        <v>2222.73</v>
      </c>
      <c r="K57" s="214">
        <f t="shared" si="13"/>
        <v>2820.98</v>
      </c>
      <c r="L57" s="214">
        <f t="shared" si="13"/>
        <v>3606.93</v>
      </c>
      <c r="M57" s="214"/>
      <c r="N57" s="214"/>
    </row>
    <row r="58" spans="1:14">
      <c r="A58" s="139" t="s">
        <v>222</v>
      </c>
      <c r="B58" s="135"/>
      <c r="C58" s="214">
        <f t="shared" ref="C58:L58" si="14">C49-C48</f>
        <v>996.18999999999994</v>
      </c>
      <c r="D58" s="214">
        <f t="shared" si="14"/>
        <v>939.75999999999988</v>
      </c>
      <c r="E58" s="214">
        <f t="shared" si="14"/>
        <v>943.96</v>
      </c>
      <c r="F58" s="214">
        <f t="shared" si="14"/>
        <v>1013.3799999999999</v>
      </c>
      <c r="G58" s="214">
        <f t="shared" si="14"/>
        <v>935.57999999999993</v>
      </c>
      <c r="H58" s="214">
        <f t="shared" si="14"/>
        <v>947.87000000000012</v>
      </c>
      <c r="I58" s="214">
        <f t="shared" si="14"/>
        <v>1390.1799999999998</v>
      </c>
      <c r="J58" s="214">
        <f t="shared" si="14"/>
        <v>2222.73</v>
      </c>
      <c r="K58" s="214">
        <f t="shared" si="14"/>
        <v>2820.9799999999996</v>
      </c>
      <c r="L58" s="214">
        <f t="shared" si="14"/>
        <v>3606.9300000000003</v>
      </c>
      <c r="M58" s="214"/>
      <c r="N58" s="214"/>
    </row>
    <row r="59" spans="1:14">
      <c r="A59" s="139" t="s">
        <v>223</v>
      </c>
      <c r="B59" s="135"/>
      <c r="C59" s="214">
        <f>'Screener Input'!B59+'Screener Input'!B60</f>
        <v>785.94</v>
      </c>
      <c r="D59" s="214">
        <f>'Screener Input'!C59+'Screener Input'!C60</f>
        <v>1256.3200000000002</v>
      </c>
      <c r="E59" s="214">
        <f>'Screener Input'!D59+'Screener Input'!D60</f>
        <v>1317.65</v>
      </c>
      <c r="F59" s="214">
        <f>'Screener Input'!E59+'Screener Input'!E60</f>
        <v>1458.2</v>
      </c>
      <c r="G59" s="214">
        <f>'Screener Input'!F59+'Screener Input'!F60</f>
        <v>1354.96</v>
      </c>
      <c r="H59" s="214">
        <f>'Screener Input'!G59+'Screener Input'!G60</f>
        <v>1343.94</v>
      </c>
      <c r="I59" s="214">
        <f>'Screener Input'!H59+'Screener Input'!H60</f>
        <v>1571.2</v>
      </c>
      <c r="J59" s="214">
        <f>'Screener Input'!I59+'Screener Input'!I60</f>
        <v>1438.78</v>
      </c>
      <c r="K59" s="214">
        <f>'Screener Input'!J59+'Screener Input'!J60</f>
        <v>1460.56</v>
      </c>
      <c r="L59" s="214">
        <f>'Screener Input'!K59+'Screener Input'!K60</f>
        <v>1836.44</v>
      </c>
      <c r="M59" s="214"/>
      <c r="N59" s="214"/>
    </row>
    <row r="60" spans="1:14">
      <c r="A60" s="140" t="s">
        <v>17</v>
      </c>
      <c r="B60" s="141"/>
      <c r="C60" s="360">
        <f>'Screener Input'!B66</f>
        <v>1507.31</v>
      </c>
      <c r="D60" s="360">
        <f>'Screener Input'!C66</f>
        <v>1539.12</v>
      </c>
      <c r="E60" s="360">
        <f>'Screener Input'!D66</f>
        <v>1643.68</v>
      </c>
      <c r="F60" s="360">
        <f>'Screener Input'!E66</f>
        <v>1867.37</v>
      </c>
      <c r="G60" s="360">
        <f>'Screener Input'!F66</f>
        <v>1910.54</v>
      </c>
      <c r="H60" s="360">
        <f>'Screener Input'!G66</f>
        <v>2142.0500000000002</v>
      </c>
      <c r="I60" s="360">
        <f>'Screener Input'!H66</f>
        <v>2816.31</v>
      </c>
      <c r="J60" s="360">
        <f>'Screener Input'!I66</f>
        <v>3530.46</v>
      </c>
      <c r="K60" s="360">
        <f>'Screener Input'!J66</f>
        <v>4156.9799999999996</v>
      </c>
      <c r="L60" s="360">
        <f>'Screener Input'!K66</f>
        <v>5242.67</v>
      </c>
      <c r="M60" s="218"/>
      <c r="N60" s="218"/>
    </row>
    <row r="61" spans="1:14">
      <c r="A61" s="327"/>
      <c r="B61" s="327"/>
      <c r="C61" s="327"/>
      <c r="D61" s="327"/>
      <c r="E61" s="327"/>
      <c r="F61" s="327"/>
      <c r="G61" s="327"/>
      <c r="H61" s="327"/>
      <c r="I61" s="327"/>
      <c r="J61" s="327"/>
      <c r="K61" s="327"/>
      <c r="L61" s="121"/>
      <c r="M61" s="121"/>
      <c r="N61" s="121"/>
    </row>
    <row r="62" spans="1:14">
      <c r="A62" s="137" t="s">
        <v>61</v>
      </c>
      <c r="B62" s="135"/>
      <c r="C62" s="214">
        <f>'Screener Input'!B82</f>
        <v>250.32</v>
      </c>
      <c r="D62" s="214">
        <f>'Screener Input'!C82</f>
        <v>237.74</v>
      </c>
      <c r="E62" s="214">
        <f>'Screener Input'!D82</f>
        <v>296.45999999999998</v>
      </c>
      <c r="F62" s="214">
        <f>'Screener Input'!E82</f>
        <v>246.12</v>
      </c>
      <c r="G62" s="214">
        <f>'Screener Input'!F82</f>
        <v>319.8</v>
      </c>
      <c r="H62" s="214">
        <f>'Screener Input'!G82</f>
        <v>671.48</v>
      </c>
      <c r="I62" s="214">
        <f>'Screener Input'!H82</f>
        <v>584.46</v>
      </c>
      <c r="J62" s="214">
        <f>'Screener Input'!I82</f>
        <v>959.23</v>
      </c>
      <c r="K62" s="214">
        <f>'Screener Input'!J82</f>
        <v>441.28</v>
      </c>
      <c r="L62" s="214">
        <f>'Screener Input'!K82</f>
        <v>1248.77</v>
      </c>
      <c r="M62" s="135"/>
      <c r="N62" s="135"/>
    </row>
    <row r="63" spans="1:14">
      <c r="A63" s="137" t="s">
        <v>29</v>
      </c>
      <c r="B63" s="138"/>
      <c r="C63" s="214"/>
      <c r="D63" s="214">
        <f t="shared" ref="D63:L63" si="15">D62-D23</f>
        <v>146.82000000000002</v>
      </c>
      <c r="E63" s="214">
        <f t="shared" si="15"/>
        <v>223.33999999999997</v>
      </c>
      <c r="F63" s="214">
        <f t="shared" si="15"/>
        <v>-33.649999999999977</v>
      </c>
      <c r="G63" s="214">
        <f t="shared" si="15"/>
        <v>98.200000000000017</v>
      </c>
      <c r="H63" s="214">
        <f t="shared" si="15"/>
        <v>517.71999999999991</v>
      </c>
      <c r="I63" s="214">
        <f t="shared" si="15"/>
        <v>502.22</v>
      </c>
      <c r="J63" s="214">
        <f t="shared" si="15"/>
        <v>697.95</v>
      </c>
      <c r="K63" s="214">
        <f t="shared" si="15"/>
        <v>172.26</v>
      </c>
      <c r="L63" s="214">
        <f t="shared" si="15"/>
        <v>748.34000000000015</v>
      </c>
      <c r="M63" s="138"/>
      <c r="N63" s="138"/>
    </row>
    <row r="64" spans="1:14">
      <c r="A64" s="137" t="s">
        <v>224</v>
      </c>
      <c r="B64" s="142"/>
      <c r="C64" s="214">
        <f>'Screener Input'!B83</f>
        <v>-6.02</v>
      </c>
      <c r="D64" s="214">
        <f>'Screener Input'!C83</f>
        <v>-36.68</v>
      </c>
      <c r="E64" s="214">
        <f>'Screener Input'!D83</f>
        <v>-117.85</v>
      </c>
      <c r="F64" s="214">
        <f>'Screener Input'!E83</f>
        <v>-64.78</v>
      </c>
      <c r="G64" s="214">
        <f>'Screener Input'!F83</f>
        <v>28.18</v>
      </c>
      <c r="H64" s="214">
        <f>'Screener Input'!G83</f>
        <v>-245.64</v>
      </c>
      <c r="I64" s="214">
        <f>'Screener Input'!H83</f>
        <v>-450.3</v>
      </c>
      <c r="J64" s="214">
        <f>'Screener Input'!I83</f>
        <v>-705.2</v>
      </c>
      <c r="K64" s="214">
        <f>'Screener Input'!J83</f>
        <v>-149.85</v>
      </c>
      <c r="L64" s="214">
        <f>'Screener Input'!K83</f>
        <v>-956.26</v>
      </c>
      <c r="M64" s="142"/>
      <c r="N64" s="142"/>
    </row>
    <row r="65" spans="1:14">
      <c r="A65" s="137" t="s">
        <v>225</v>
      </c>
      <c r="B65" s="142"/>
      <c r="C65" s="214">
        <f>'Screener Input'!B84</f>
        <v>-112.69</v>
      </c>
      <c r="D65" s="214">
        <f>'Screener Input'!C84</f>
        <v>-222.89</v>
      </c>
      <c r="E65" s="214">
        <f>'Screener Input'!D84</f>
        <v>-165.8</v>
      </c>
      <c r="F65" s="214">
        <f>'Screener Input'!E84</f>
        <v>-168.41</v>
      </c>
      <c r="G65" s="214">
        <f>'Screener Input'!F84</f>
        <v>-378.15</v>
      </c>
      <c r="H65" s="214">
        <f>'Screener Input'!G84</f>
        <v>-357.34</v>
      </c>
      <c r="I65" s="214">
        <f>'Screener Input'!H84</f>
        <v>-181.37</v>
      </c>
      <c r="J65" s="214">
        <f>'Screener Input'!I84</f>
        <v>-246.18</v>
      </c>
      <c r="K65" s="214">
        <f>'Screener Input'!J84</f>
        <v>-295.08</v>
      </c>
      <c r="L65" s="214">
        <f>'Screener Input'!K84</f>
        <v>-231.75</v>
      </c>
      <c r="M65" s="142"/>
      <c r="N65" s="142"/>
    </row>
    <row r="66" spans="1:14">
      <c r="A66" s="137" t="s">
        <v>226</v>
      </c>
      <c r="B66" s="143"/>
      <c r="C66" s="312">
        <f t="shared" ref="C66:L66" si="16">C34/C33</f>
        <v>0.26963083826228856</v>
      </c>
      <c r="D66" s="312">
        <f t="shared" si="16"/>
        <v>5.0294767870302091E-2</v>
      </c>
      <c r="E66" s="312">
        <f t="shared" si="16"/>
        <v>0.28287469943895227</v>
      </c>
      <c r="F66" s="312">
        <f t="shared" si="16"/>
        <v>0.25076899992497592</v>
      </c>
      <c r="G66" s="312">
        <f t="shared" si="16"/>
        <v>0.2749490835030553</v>
      </c>
      <c r="H66" s="312">
        <f t="shared" si="16"/>
        <v>0.30489004426333138</v>
      </c>
      <c r="I66" s="312">
        <f t="shared" si="16"/>
        <v>0.27497130340462722</v>
      </c>
      <c r="J66" s="312">
        <f t="shared" si="16"/>
        <v>0.32454975992658519</v>
      </c>
      <c r="K66" s="312">
        <f t="shared" si="16"/>
        <v>0.32183282208588959</v>
      </c>
      <c r="L66" s="312">
        <f t="shared" si="16"/>
        <v>0.33866803656576838</v>
      </c>
      <c r="M66" s="143"/>
      <c r="N66" s="143"/>
    </row>
    <row r="67" spans="1:14">
      <c r="A67" s="137" t="s">
        <v>227</v>
      </c>
      <c r="B67" s="138"/>
      <c r="C67" s="214">
        <f t="shared" ref="C67:L67" si="17">C31*(1-C66)</f>
        <v>167.05003467264928</v>
      </c>
      <c r="D67" s="214">
        <f t="shared" si="17"/>
        <v>125.37058769344152</v>
      </c>
      <c r="E67" s="214">
        <f t="shared" si="17"/>
        <v>165.49817686347879</v>
      </c>
      <c r="F67" s="214">
        <f t="shared" si="17"/>
        <v>230.89800960312067</v>
      </c>
      <c r="G67" s="214">
        <f t="shared" si="17"/>
        <v>289.82460285132339</v>
      </c>
      <c r="H67" s="214">
        <f t="shared" si="17"/>
        <v>401.50246153305761</v>
      </c>
      <c r="I67" s="214">
        <f t="shared" si="17"/>
        <v>691.27861076885836</v>
      </c>
      <c r="J67" s="214">
        <f t="shared" si="17"/>
        <v>827.649442669157</v>
      </c>
      <c r="K67" s="214">
        <f t="shared" si="17"/>
        <v>888.0260111196319</v>
      </c>
      <c r="L67" s="214">
        <f t="shared" si="17"/>
        <v>1009.1595096024656</v>
      </c>
      <c r="M67" s="138"/>
      <c r="N67" s="138"/>
    </row>
    <row r="68" spans="1:14">
      <c r="A68" s="427"/>
      <c r="B68" s="427"/>
      <c r="C68" s="427"/>
      <c r="D68" s="427"/>
      <c r="E68" s="427"/>
      <c r="F68" s="427"/>
      <c r="G68" s="427"/>
      <c r="H68" s="427"/>
      <c r="I68" s="427"/>
      <c r="J68" s="427"/>
      <c r="K68" s="427"/>
      <c r="L68" s="121"/>
      <c r="M68" s="121"/>
      <c r="N68" s="121"/>
    </row>
    <row r="69" spans="1:14">
      <c r="A69" s="144" t="s">
        <v>228</v>
      </c>
      <c r="C69" s="145"/>
      <c r="D69" s="313">
        <f t="shared" ref="D69:L69" si="18">D37+C36</f>
        <v>4018.1882442635369</v>
      </c>
      <c r="E69" s="313">
        <f t="shared" si="18"/>
        <v>4553.6897006463114</v>
      </c>
      <c r="F69" s="313">
        <f t="shared" si="18"/>
        <v>6958.275708333751</v>
      </c>
      <c r="G69" s="313">
        <f t="shared" si="18"/>
        <v>6539.6087362525004</v>
      </c>
      <c r="H69" s="313">
        <f t="shared" si="18"/>
        <v>10534.312491213261</v>
      </c>
      <c r="I69" s="313">
        <f t="shared" si="18"/>
        <v>26546.3843877</v>
      </c>
      <c r="J69" s="313">
        <f t="shared" si="18"/>
        <v>33251.413687427383</v>
      </c>
      <c r="K69" s="313">
        <f t="shared" si="18"/>
        <v>41325.942196128941</v>
      </c>
      <c r="L69" s="313">
        <f t="shared" si="18"/>
        <v>63327.554428209405</v>
      </c>
      <c r="M69" s="145"/>
      <c r="N69" s="145"/>
    </row>
    <row r="70" spans="1:14">
      <c r="A70" s="129" t="s">
        <v>229</v>
      </c>
      <c r="B70" s="145"/>
      <c r="C70" s="314">
        <f t="shared" ref="C70:L70" si="19">C35-C36</f>
        <v>47.679999999999893</v>
      </c>
      <c r="D70" s="314">
        <f t="shared" si="19"/>
        <v>43.370000000000111</v>
      </c>
      <c r="E70" s="314">
        <f t="shared" si="19"/>
        <v>56.570000000000292</v>
      </c>
      <c r="F70" s="314">
        <f t="shared" si="19"/>
        <v>98.199999999999648</v>
      </c>
      <c r="G70" s="314">
        <f t="shared" si="19"/>
        <v>158.25999999999954</v>
      </c>
      <c r="H70" s="314">
        <f t="shared" si="19"/>
        <v>251.80000000000058</v>
      </c>
      <c r="I70" s="314">
        <f t="shared" si="19"/>
        <v>496.56000000000029</v>
      </c>
      <c r="J70" s="314">
        <f t="shared" si="19"/>
        <v>584.35999999999956</v>
      </c>
      <c r="K70" s="314">
        <f t="shared" si="19"/>
        <v>620.32999999999993</v>
      </c>
      <c r="L70" s="314">
        <f t="shared" si="19"/>
        <v>704.00999999999988</v>
      </c>
      <c r="M70" s="145"/>
      <c r="N70" s="145"/>
    </row>
    <row r="71" spans="1:14">
      <c r="A71" s="205"/>
      <c r="B71" s="205"/>
      <c r="C71" s="205"/>
      <c r="D71" s="205"/>
      <c r="E71" s="205"/>
      <c r="F71" s="205"/>
      <c r="G71" s="205"/>
      <c r="H71" s="205"/>
      <c r="I71" s="205"/>
      <c r="J71" s="205"/>
      <c r="K71" s="205"/>
      <c r="L71" s="121"/>
      <c r="M71" s="121"/>
      <c r="N71" s="121"/>
    </row>
    <row r="72" spans="1:14">
      <c r="A72" s="146" t="s">
        <v>286</v>
      </c>
      <c r="B72" s="162"/>
      <c r="C72" s="162">
        <f>'Screener Input'!B90</f>
        <v>301.24555600000002</v>
      </c>
      <c r="D72" s="162">
        <f>'Screener Input'!C90</f>
        <v>328.38857100000001</v>
      </c>
      <c r="E72" s="162">
        <f>'Screener Input'!D90</f>
        <v>376.21842099999998</v>
      </c>
      <c r="F72" s="162">
        <f>'Screener Input'!E90</f>
        <v>576.02250000000004</v>
      </c>
      <c r="G72" s="162">
        <f>'Screener Input'!F90</f>
        <v>538.63499999999999</v>
      </c>
      <c r="H72" s="162">
        <f>'Screener Input'!G90</f>
        <v>869.92894699999999</v>
      </c>
      <c r="I72" s="162">
        <f>'Screener Input'!H90</f>
        <v>2201.5650000000001</v>
      </c>
      <c r="J72" s="162">
        <f>'Screener Input'!I90</f>
        <v>2755.5131580000002</v>
      </c>
      <c r="K72" s="162">
        <f>'Screener Input'!J90</f>
        <v>3423.8052630000002</v>
      </c>
      <c r="L72" s="162">
        <f>'Screener Input'!K90</f>
        <v>5252.7071429999996</v>
      </c>
      <c r="M72" s="162"/>
      <c r="N72" s="162"/>
    </row>
    <row r="73" spans="1:14">
      <c r="A73" s="146" t="s">
        <v>37</v>
      </c>
      <c r="B73" s="162"/>
      <c r="C73" s="162">
        <f>SUM('Screener Input'!B57:B58)/'Screener Input'!B93</f>
        <v>60.390546519084026</v>
      </c>
      <c r="D73" s="162">
        <f>SUM('Screener Input'!C57:C58)/'Screener Input'!C93</f>
        <v>23.675016365522495</v>
      </c>
      <c r="E73" s="162">
        <f>SUM('Screener Input'!D57:D58)/'Screener Input'!D93</f>
        <v>27.294079157182807</v>
      </c>
      <c r="F73" s="162">
        <f>SUM('Screener Input'!E57:E58)/'Screener Input'!E93</f>
        <v>34.254266075957702</v>
      </c>
      <c r="G73" s="162">
        <f>SUM('Screener Input'!F57:F58)/'Screener Input'!F93</f>
        <v>46.482008928364124</v>
      </c>
      <c r="H73" s="162">
        <f>SUM('Screener Input'!G57:G58)/'Screener Input'!G93</f>
        <v>66.550316945978267</v>
      </c>
      <c r="I73" s="162">
        <f>SUM('Screener Input'!H57:H58)/'Screener Input'!H93</f>
        <v>103.82336411347683</v>
      </c>
      <c r="J73" s="162">
        <f>SUM('Screener Input'!I57:I58)/'Screener Input'!I93</f>
        <v>174.34180380437505</v>
      </c>
      <c r="K73" s="162">
        <f>SUM('Screener Input'!J57:J58)/'Screener Input'!J93</f>
        <v>224.70014057821191</v>
      </c>
      <c r="L73" s="162">
        <f>SUM('Screener Input'!K57:K58)/'Screener Input'!K93</f>
        <v>283.71265803085663</v>
      </c>
      <c r="M73" s="162"/>
      <c r="N73" s="162"/>
    </row>
    <row r="74" spans="1:14">
      <c r="A74" s="146" t="s">
        <v>35</v>
      </c>
      <c r="B74" s="147"/>
      <c r="C74" s="147">
        <f>('Screener Input'!B30/'Screener Input'!B93)</f>
        <v>12.681370152225414</v>
      </c>
      <c r="D74" s="147">
        <f>('Screener Input'!C30/'Screener Input'!C93)</f>
        <v>8.6378648818762773</v>
      </c>
      <c r="E74" s="147">
        <f>('Screener Input'!D30/'Screener Input'!D93)</f>
        <v>11.247307102927676</v>
      </c>
      <c r="F74" s="147">
        <f>('Screener Input'!E30/'Screener Input'!E93)</f>
        <v>16.705620635572892</v>
      </c>
      <c r="G74" s="147">
        <f>('Screener Input'!F30/'Screener Input'!F93)</f>
        <v>21.710791095630679</v>
      </c>
      <c r="H74" s="147">
        <f>('Screener Input'!G30/'Screener Input'!G93)</f>
        <v>32.966217444453157</v>
      </c>
      <c r="I74" s="147">
        <f>('Screener Input'!H30/'Screener Input'!H93)</f>
        <v>57.422172710125757</v>
      </c>
      <c r="J74" s="147">
        <f>('Screener Input'!I30/'Screener Input'!I93)</f>
        <v>68.728851727325207</v>
      </c>
      <c r="K74" s="147">
        <f>('Screener Input'!J30/'Screener Input'!J93)</f>
        <v>73.70533275128173</v>
      </c>
      <c r="L74" s="147">
        <f>('Screener Input'!K30/'Screener Input'!K93)</f>
        <v>83.64460490757439</v>
      </c>
      <c r="M74" s="183">
        <f>SUM('Screener Input'!H49:K49)/'Screener Input'!K93</f>
        <v>87.117060001125438</v>
      </c>
      <c r="N74" s="147">
        <f>SUM('Screener Input'!D49:G49)/'Screener Input'!K93</f>
        <v>73.423809404344595</v>
      </c>
    </row>
    <row r="75" spans="1:14">
      <c r="A75" s="146" t="s">
        <v>33</v>
      </c>
      <c r="B75" s="147"/>
      <c r="C75" s="147">
        <f>'Screener Input'!B31/'Screener Input'!B93</f>
        <v>7.9999454168646738</v>
      </c>
      <c r="D75" s="147">
        <f>'Screener Input'!C31/'Screener Input'!C93</f>
        <v>5.0003844678665432</v>
      </c>
      <c r="E75" s="147">
        <f>'Screener Input'!D31/'Screener Input'!D93</f>
        <v>6.4997463600394854</v>
      </c>
      <c r="F75" s="147">
        <f>'Screener Input'!E31/'Screener Input'!E93</f>
        <v>8.4997327142556536</v>
      </c>
      <c r="G75" s="147">
        <f>'Screener Input'!F31/'Screener Input'!F93</f>
        <v>8.5019290602620021</v>
      </c>
      <c r="H75" s="147">
        <f>'Screener Input'!G31/'Screener Input'!G93</f>
        <v>12.002421497292492</v>
      </c>
      <c r="I75" s="147">
        <f>'Screener Input'!H31/'Screener Input'!H93</f>
        <v>16.003228663056657</v>
      </c>
      <c r="J75" s="147">
        <f>'Screener Input'!I31/'Screener Input'!I93</f>
        <v>20.004031645877962</v>
      </c>
      <c r="K75" s="147">
        <f>'Screener Input'!J31/'Screener Input'!J93</f>
        <v>21.999850584348113</v>
      </c>
      <c r="L75" s="147">
        <f>'Screener Input'!K31/'Screener Input'!K93</f>
        <v>24.998511566981968</v>
      </c>
      <c r="M75" s="147"/>
      <c r="N75" s="147"/>
    </row>
    <row r="76" spans="1:14">
      <c r="A76" s="146" t="s">
        <v>38</v>
      </c>
      <c r="B76" s="147"/>
      <c r="C76" s="147">
        <f>'Screener Input'!B90/('Screener Input'!B30/'Screener Input'!B93)</f>
        <v>23.754969091185732</v>
      </c>
      <c r="D76" s="147">
        <f>'Screener Input'!C90/('Screener Input'!C30/'Screener Input'!C93)</f>
        <v>38.017331307070521</v>
      </c>
      <c r="E76" s="147">
        <f>'Screener Input'!D90/('Screener Input'!D30/'Screener Input'!D93)</f>
        <v>33.449644217687471</v>
      </c>
      <c r="F76" s="147">
        <f>'Screener Input'!E90/('Screener Input'!E30/'Screener Input'!E93)</f>
        <v>34.480760252236287</v>
      </c>
      <c r="G76" s="147">
        <f>'Screener Input'!F90/('Screener Input'!F30/'Screener Input'!F93)</f>
        <v>24.809551970144511</v>
      </c>
      <c r="H76" s="147">
        <f>'Screener Input'!G90/('Screener Input'!G30/'Screener Input'!G93)</f>
        <v>26.388497511605561</v>
      </c>
      <c r="I76" s="147">
        <f>'Screener Input'!H90/('Screener Input'!H30/'Screener Input'!H93)</f>
        <v>38.339980813923098</v>
      </c>
      <c r="J76" s="147">
        <f>'Screener Input'!I90/('Screener Input'!I30/'Screener Input'!I93)</f>
        <v>40.092524300161756</v>
      </c>
      <c r="K76" s="147">
        <f>'Screener Input'!J90/('Screener Input'!J30/'Screener Input'!J93)</f>
        <v>46.452612520638276</v>
      </c>
      <c r="L76" s="147">
        <f>'Screener Input'!K90/('Screener Input'!K30/'Screener Input'!K93)</f>
        <v>62.797919229867077</v>
      </c>
      <c r="M76" s="147"/>
      <c r="N76" s="147"/>
    </row>
    <row r="77" spans="1:14">
      <c r="A77" s="146" t="s">
        <v>230</v>
      </c>
      <c r="B77" s="146"/>
      <c r="C77" s="147"/>
      <c r="D77" s="147">
        <f>D76/(((('Screener Input'!C30/'Screener Input'!C93) - ('Screener Input'!B30/'Screener Input'!B93))/('Screener Input'!B30/'Screener Input'!B93))*100)</f>
        <v>-1.1923116659202992</v>
      </c>
      <c r="E77" s="147">
        <f>E76/(((('Screener Input'!D30/'Screener Input'!D93) - ('Screener Input'!C30/'Screener Input'!C93))/('Screener Input'!C30/'Screener Input'!C93))*100)</f>
        <v>1.1072615625219751</v>
      </c>
      <c r="F77" s="147">
        <f>F76/(((('Screener Input'!E30/'Screener Input'!E93) - ('Screener Input'!D30/'Screener Input'!D93))/('Screener Input'!D30/'Screener Input'!D93))*100)</f>
        <v>0.71050462268219994</v>
      </c>
      <c r="G77" s="147">
        <f>G76/(((('Screener Input'!F30/'Screener Input'!F93) - ('Screener Input'!E30/'Screener Input'!E93))/('Screener Input'!E30/'Screener Input'!E93))*100)</f>
        <v>0.82806163478192329</v>
      </c>
      <c r="H77" s="147">
        <f>H76/(((('Screener Input'!G30/'Screener Input'!G93) - ('Screener Input'!F30/'Screener Input'!F93))/('Screener Input'!F30/'Screener Input'!F93))*100)</f>
        <v>0.5090123990389539</v>
      </c>
      <c r="I77" s="147">
        <f>I76/(((('Screener Input'!H30/'Screener Input'!H93) - ('Screener Input'!G30/'Screener Input'!G93))/('Screener Input'!G30/'Screener Input'!G93))*100)</f>
        <v>0.51681650976114102</v>
      </c>
      <c r="J77" s="147">
        <f>J76/(((('Screener Input'!I30/'Screener Input'!I93) - ('Screener Input'!H30/'Screener Input'!H93))/('Screener Input'!H30/'Screener Input'!H93))*100)</f>
        <v>2.0361415153350961</v>
      </c>
      <c r="K77" s="147">
        <f>K76/(((('Screener Input'!J30/'Screener Input'!J93) - ('Screener Input'!I30/'Screener Input'!I93))/('Screener Input'!I30/'Screener Input'!I93))*100)</f>
        <v>6.4154463825113748</v>
      </c>
      <c r="L77" s="147">
        <f>L76/(((('Screener Input'!K30/'Screener Input'!K93) - ('Screener Input'!J30/'Screener Input'!J93))/('Screener Input'!J30/'Screener Input'!J93))*100)</f>
        <v>4.6568214051720958</v>
      </c>
      <c r="M77" s="147"/>
      <c r="N77" s="147"/>
    </row>
    <row r="78" spans="1:14">
      <c r="A78" s="137" t="s">
        <v>231</v>
      </c>
      <c r="C78" s="148">
        <f t="shared" ref="C78:L78" si="20">C37/C42</f>
        <v>4.9882899454271934</v>
      </c>
      <c r="D78" s="148">
        <f t="shared" si="20"/>
        <v>13.870679788767811</v>
      </c>
      <c r="E78" s="148">
        <f t="shared" si="20"/>
        <v>13.783884000387426</v>
      </c>
      <c r="F78" s="148">
        <f t="shared" si="20"/>
        <v>16.81608062256214</v>
      </c>
      <c r="G78" s="148">
        <f t="shared" si="20"/>
        <v>11.588031851853021</v>
      </c>
      <c r="H78" s="148">
        <f t="shared" si="20"/>
        <v>13.071747617763542</v>
      </c>
      <c r="I78" s="148">
        <f t="shared" si="20"/>
        <v>21.204909114616381</v>
      </c>
      <c r="J78" s="148">
        <f t="shared" si="20"/>
        <v>15.805234876954117</v>
      </c>
      <c r="K78" s="148">
        <f t="shared" si="20"/>
        <v>15.237219051975931</v>
      </c>
      <c r="L78" s="148">
        <f t="shared" si="20"/>
        <v>18.514179731905774</v>
      </c>
      <c r="M78" s="148"/>
      <c r="N78" s="148"/>
    </row>
    <row r="79" spans="1:14">
      <c r="A79" s="140" t="s">
        <v>232</v>
      </c>
      <c r="B79" s="138"/>
      <c r="C79" s="138">
        <f t="shared" ref="C79:L79" si="21">C37/C62</f>
        <v>14.375210602160493</v>
      </c>
      <c r="D79" s="138">
        <f t="shared" si="21"/>
        <v>16.499656112827193</v>
      </c>
      <c r="E79" s="138">
        <f t="shared" si="21"/>
        <v>15.158738786501761</v>
      </c>
      <c r="F79" s="138">
        <f t="shared" si="21"/>
        <v>27.956426573759753</v>
      </c>
      <c r="G79" s="138">
        <f t="shared" si="21"/>
        <v>20.131578287218577</v>
      </c>
      <c r="H79" s="138">
        <f t="shared" si="21"/>
        <v>15.53686258892783</v>
      </c>
      <c r="I79" s="138">
        <f t="shared" si="21"/>
        <v>45.174082721999795</v>
      </c>
      <c r="J79" s="138">
        <f t="shared" si="21"/>
        <v>34.464616085221877</v>
      </c>
      <c r="K79" s="138">
        <f t="shared" si="21"/>
        <v>93.106286702612721</v>
      </c>
      <c r="L79" s="138">
        <f t="shared" si="21"/>
        <v>50.500536070060463</v>
      </c>
      <c r="M79" s="138"/>
      <c r="N79" s="138"/>
    </row>
    <row r="80" spans="1:14">
      <c r="A80" s="140" t="s">
        <v>233</v>
      </c>
      <c r="B80" s="138"/>
      <c r="C80" s="138"/>
      <c r="D80" s="138">
        <f t="shared" ref="D80:L80" si="22">D37/D63</f>
        <v>26.717260892681765</v>
      </c>
      <c r="E80" s="138">
        <f t="shared" si="22"/>
        <v>20.12160696985006</v>
      </c>
      <c r="F80" s="138">
        <f t="shared" si="22"/>
        <v>-204.47654408124086</v>
      </c>
      <c r="G80" s="138">
        <f t="shared" si="22"/>
        <v>65.560883261227076</v>
      </c>
      <c r="H80" s="138">
        <f t="shared" si="22"/>
        <v>20.151225548970991</v>
      </c>
      <c r="I80" s="138">
        <f t="shared" si="22"/>
        <v>52.571471442196646</v>
      </c>
      <c r="J80" s="138">
        <f t="shared" si="22"/>
        <v>47.366564492338107</v>
      </c>
      <c r="K80" s="138">
        <f t="shared" si="22"/>
        <v>238.51121674288251</v>
      </c>
      <c r="L80" s="138">
        <f t="shared" si="22"/>
        <v>84.271259625583809</v>
      </c>
      <c r="M80" s="138"/>
      <c r="N80" s="138"/>
    </row>
    <row r="81" spans="1:14">
      <c r="A81" s="140" t="s">
        <v>234</v>
      </c>
      <c r="B81" s="138"/>
      <c r="C81" s="138">
        <f t="shared" ref="C81:L81" si="23">C37/C26</f>
        <v>1.0517862634002433</v>
      </c>
      <c r="D81" s="138">
        <f t="shared" si="23"/>
        <v>1.0396824319327884</v>
      </c>
      <c r="E81" s="138">
        <f t="shared" si="23"/>
        <v>0.97495969103139934</v>
      </c>
      <c r="F81" s="138">
        <f t="shared" si="23"/>
        <v>1.2543612752346243</v>
      </c>
      <c r="G81" s="138">
        <f t="shared" si="23"/>
        <v>1.0408491492483927</v>
      </c>
      <c r="H81" s="138">
        <f t="shared" si="23"/>
        <v>1.5092044207283772</v>
      </c>
      <c r="I81" s="138">
        <f t="shared" si="23"/>
        <v>3.3597649893617292</v>
      </c>
      <c r="J81" s="138">
        <f t="shared" si="23"/>
        <v>3.9369522672866393</v>
      </c>
      <c r="K81" s="138">
        <f t="shared" si="23"/>
        <v>4.5378323162381795</v>
      </c>
      <c r="L81" s="138">
        <f t="shared" si="23"/>
        <v>6.3610669799151909</v>
      </c>
      <c r="M81" s="138"/>
      <c r="N81" s="138"/>
    </row>
    <row r="82" spans="1:14">
      <c r="A82" s="140" t="s">
        <v>235</v>
      </c>
      <c r="B82" s="138"/>
      <c r="C82" s="138">
        <f t="shared" ref="C82:L82" si="24">(C37-C45+C8)/C29</f>
        <v>11.514179540212524</v>
      </c>
      <c r="D82" s="138">
        <f t="shared" si="24"/>
        <v>17.390760325186793</v>
      </c>
      <c r="E82" s="138">
        <f t="shared" si="24"/>
        <v>13.368425380115351</v>
      </c>
      <c r="F82" s="138">
        <f t="shared" si="24"/>
        <v>17.128606546671055</v>
      </c>
      <c r="G82" s="138">
        <f t="shared" si="24"/>
        <v>13.028693825605876</v>
      </c>
      <c r="H82" s="138">
        <f t="shared" si="24"/>
        <v>15.72663401566799</v>
      </c>
      <c r="I82" s="138">
        <f t="shared" si="24"/>
        <v>24.121487151002338</v>
      </c>
      <c r="J82" s="138">
        <f t="shared" si="24"/>
        <v>24.662065589604698</v>
      </c>
      <c r="K82" s="138">
        <f t="shared" si="24"/>
        <v>28.754509068347154</v>
      </c>
      <c r="L82" s="138">
        <f t="shared" si="24"/>
        <v>37.798871972883667</v>
      </c>
      <c r="M82" s="138"/>
      <c r="N82" s="138"/>
    </row>
    <row r="83" spans="1:14">
      <c r="A83" s="135" t="s">
        <v>236</v>
      </c>
      <c r="B83" s="149"/>
      <c r="C83" s="149">
        <f t="shared" ref="C83:L83" si="25">C36/C37</f>
        <v>2.6556227162616377E-2</v>
      </c>
      <c r="D83" s="149">
        <f t="shared" si="25"/>
        <v>1.5227035620148131E-2</v>
      </c>
      <c r="E83" s="149">
        <f t="shared" si="25"/>
        <v>1.7276523416272286E-2</v>
      </c>
      <c r="F83" s="149">
        <f t="shared" si="25"/>
        <v>1.4755904004193679E-2</v>
      </c>
      <c r="G83" s="149">
        <f t="shared" si="25"/>
        <v>1.5784212055031704E-2</v>
      </c>
      <c r="H83" s="149">
        <f t="shared" si="25"/>
        <v>1.3797013582182239E-2</v>
      </c>
      <c r="I83" s="149">
        <f t="shared" si="25"/>
        <v>7.269023927550018E-3</v>
      </c>
      <c r="J83" s="149">
        <f t="shared" si="25"/>
        <v>7.2596393117560854E-3</v>
      </c>
      <c r="K83" s="149">
        <f t="shared" si="25"/>
        <v>6.4255554549476467E-3</v>
      </c>
      <c r="L83" s="149">
        <f t="shared" si="25"/>
        <v>4.7591672039618924E-3</v>
      </c>
      <c r="M83" s="149"/>
      <c r="N83" s="149"/>
    </row>
    <row r="84" spans="1:14">
      <c r="A84" s="150" t="s">
        <v>237</v>
      </c>
      <c r="B84" s="151"/>
      <c r="C84" s="152">
        <f t="shared" ref="C84:L84" si="26">C37+C8-C45</f>
        <v>3392.4227179328145</v>
      </c>
      <c r="D84" s="152">
        <f t="shared" si="26"/>
        <v>3308.418244263537</v>
      </c>
      <c r="E84" s="152">
        <f t="shared" si="26"/>
        <v>3952.9097006463121</v>
      </c>
      <c r="F84" s="152">
        <f t="shared" si="26"/>
        <v>6337.7557083337506</v>
      </c>
      <c r="G84" s="152">
        <f t="shared" si="26"/>
        <v>6161.008736252501</v>
      </c>
      <c r="H84" s="152">
        <f t="shared" si="26"/>
        <v>10392.002491213259</v>
      </c>
      <c r="I84" s="152">
        <f t="shared" si="26"/>
        <v>26483.704387700003</v>
      </c>
      <c r="J84" s="152">
        <f t="shared" si="26"/>
        <v>33016.093687427383</v>
      </c>
      <c r="K84" s="152">
        <f t="shared" si="26"/>
        <v>41082.142196128945</v>
      </c>
      <c r="L84" s="152">
        <f t="shared" si="26"/>
        <v>63049.274428209406</v>
      </c>
      <c r="M84" s="152"/>
      <c r="N84" s="152"/>
    </row>
    <row r="85" spans="1:14">
      <c r="A85" s="427"/>
      <c r="B85" s="427"/>
      <c r="C85" s="427"/>
      <c r="D85" s="427"/>
      <c r="E85" s="427"/>
      <c r="F85" s="427"/>
      <c r="G85" s="427"/>
      <c r="H85" s="427"/>
      <c r="I85" s="427"/>
      <c r="J85" s="427"/>
      <c r="K85" s="427"/>
      <c r="L85" s="121" t="s">
        <v>238</v>
      </c>
      <c r="M85" s="121"/>
      <c r="N85" s="121"/>
    </row>
    <row r="86" spans="1:14">
      <c r="A86" s="135" t="s">
        <v>239</v>
      </c>
      <c r="B86" s="138"/>
      <c r="C86" s="138">
        <f t="shared" ref="C86:K86" si="27">C52/C60</f>
        <v>9.4234099156775955E-2</v>
      </c>
      <c r="D86" s="138">
        <f t="shared" si="27"/>
        <v>4.1465252871770844E-2</v>
      </c>
      <c r="E86" s="138">
        <f t="shared" si="27"/>
        <v>2.2960673610435127E-2</v>
      </c>
      <c r="F86" s="138">
        <f t="shared" si="27"/>
        <v>1.5647675607940593E-2</v>
      </c>
      <c r="G86" s="138">
        <f t="shared" si="27"/>
        <v>-2.9687941629068237E-2</v>
      </c>
      <c r="H86" s="138">
        <f t="shared" si="27"/>
        <v>-9.5553325085782334E-2</v>
      </c>
      <c r="I86" s="138">
        <f t="shared" si="27"/>
        <v>-7.1725058676069204E-3</v>
      </c>
      <c r="J86" s="138">
        <f t="shared" si="27"/>
        <v>0.11161151804580705</v>
      </c>
      <c r="K86" s="138">
        <f t="shared" si="27"/>
        <v>0.27521662360656057</v>
      </c>
      <c r="L86" s="135">
        <v>1.2</v>
      </c>
      <c r="M86" s="135"/>
      <c r="N86" s="135"/>
    </row>
    <row r="87" spans="1:14">
      <c r="A87" s="135" t="s">
        <v>240</v>
      </c>
      <c r="B87" s="138"/>
      <c r="C87" s="138">
        <f t="shared" ref="C87:K87" si="28">C70/C60</f>
        <v>3.1632510896895727E-2</v>
      </c>
      <c r="D87" s="138">
        <f t="shared" si="28"/>
        <v>2.817843962783936E-2</v>
      </c>
      <c r="E87" s="138">
        <f t="shared" si="28"/>
        <v>3.4416674778545882E-2</v>
      </c>
      <c r="F87" s="138">
        <f t="shared" si="28"/>
        <v>5.2587328702934956E-2</v>
      </c>
      <c r="G87" s="138">
        <f t="shared" si="28"/>
        <v>8.2835219362064935E-2</v>
      </c>
      <c r="H87" s="138">
        <f t="shared" si="28"/>
        <v>0.11755094418897812</v>
      </c>
      <c r="I87" s="138">
        <f t="shared" si="28"/>
        <v>0.17631581750588546</v>
      </c>
      <c r="J87" s="138">
        <f t="shared" si="28"/>
        <v>0.16551950737297677</v>
      </c>
      <c r="K87" s="138">
        <f t="shared" si="28"/>
        <v>0.14922612088583539</v>
      </c>
      <c r="L87" s="135">
        <v>1.4</v>
      </c>
      <c r="M87" s="135"/>
      <c r="N87" s="135"/>
    </row>
    <row r="88" spans="1:14">
      <c r="A88" s="135" t="s">
        <v>241</v>
      </c>
      <c r="B88" s="138"/>
      <c r="C88" s="138">
        <f t="shared" ref="C88:K88" si="29">C31/C60</f>
        <v>0.15174051787621651</v>
      </c>
      <c r="D88" s="138">
        <f t="shared" si="29"/>
        <v>8.5769790529653389E-2</v>
      </c>
      <c r="E88" s="138">
        <f t="shared" si="29"/>
        <v>0.14040445828871817</v>
      </c>
      <c r="F88" s="138">
        <f t="shared" si="29"/>
        <v>0.1650342460251582</v>
      </c>
      <c r="G88" s="138">
        <f t="shared" si="29"/>
        <v>0.20922357029949626</v>
      </c>
      <c r="H88" s="138">
        <f t="shared" si="29"/>
        <v>0.26965290259331037</v>
      </c>
      <c r="I88" s="138">
        <f t="shared" si="29"/>
        <v>0.33854582769652497</v>
      </c>
      <c r="J88" s="138">
        <f t="shared" si="29"/>
        <v>0.34707375242886179</v>
      </c>
      <c r="K88" s="138">
        <f t="shared" si="29"/>
        <v>0.31500031272702783</v>
      </c>
      <c r="L88" s="135">
        <v>3.3</v>
      </c>
      <c r="M88" s="135"/>
      <c r="N88" s="135"/>
    </row>
    <row r="89" spans="1:14">
      <c r="A89" s="135" t="s">
        <v>242</v>
      </c>
      <c r="B89" s="138"/>
      <c r="C89" s="138">
        <f t="shared" ref="C89:L89" si="30">C37/C59</f>
        <v>4.5784700078031584</v>
      </c>
      <c r="D89" s="138">
        <f t="shared" si="30"/>
        <v>3.1223161648811897</v>
      </c>
      <c r="E89" s="138">
        <f t="shared" si="30"/>
        <v>3.4105868027521051</v>
      </c>
      <c r="F89" s="138">
        <f t="shared" si="30"/>
        <v>4.7185816131763483</v>
      </c>
      <c r="G89" s="138">
        <f t="shared" si="30"/>
        <v>4.7514898862346495</v>
      </c>
      <c r="H89" s="138">
        <f t="shared" si="30"/>
        <v>7.762766560421789</v>
      </c>
      <c r="I89" s="138">
        <f t="shared" si="30"/>
        <v>16.803999737589105</v>
      </c>
      <c r="J89" s="138">
        <f t="shared" si="30"/>
        <v>22.977448732556322</v>
      </c>
      <c r="K89" s="138">
        <f t="shared" si="30"/>
        <v>28.130266607416978</v>
      </c>
      <c r="L89" s="138">
        <f t="shared" si="30"/>
        <v>34.34011153547592</v>
      </c>
      <c r="M89" s="138"/>
      <c r="N89" s="138"/>
    </row>
    <row r="90" spans="1:14">
      <c r="A90" s="135" t="s">
        <v>243</v>
      </c>
      <c r="B90" s="138"/>
      <c r="C90" s="138">
        <f t="shared" ref="C90:K90" si="31">C26/C60</f>
        <v>2.2697587092237166</v>
      </c>
      <c r="D90" s="138">
        <f t="shared" si="31"/>
        <v>2.4513423254846924</v>
      </c>
      <c r="E90" s="138">
        <f t="shared" si="31"/>
        <v>2.8043049742042245</v>
      </c>
      <c r="F90" s="138">
        <f t="shared" si="31"/>
        <v>2.937484269319953</v>
      </c>
      <c r="G90" s="138">
        <f t="shared" si="31"/>
        <v>3.2375192353994158</v>
      </c>
      <c r="H90" s="138">
        <f t="shared" si="31"/>
        <v>3.2271468919959849</v>
      </c>
      <c r="I90" s="138">
        <f t="shared" si="31"/>
        <v>2.7903249287187846</v>
      </c>
      <c r="J90" s="138">
        <f t="shared" si="31"/>
        <v>2.3785087495680446</v>
      </c>
      <c r="K90" s="138">
        <f t="shared" si="31"/>
        <v>2.1780451192933334</v>
      </c>
      <c r="L90" s="135">
        <v>1</v>
      </c>
      <c r="M90" s="135"/>
      <c r="N90" s="135"/>
    </row>
    <row r="91" spans="1:14">
      <c r="A91" s="137"/>
      <c r="B91" s="138"/>
      <c r="C91" s="138"/>
      <c r="D91" s="138"/>
      <c r="E91" s="138"/>
      <c r="F91" s="138"/>
      <c r="G91" s="138"/>
      <c r="H91" s="138"/>
      <c r="I91" s="138"/>
      <c r="J91" s="138"/>
      <c r="K91" s="138"/>
      <c r="L91" s="138"/>
      <c r="M91" s="138"/>
      <c r="N91" s="138"/>
    </row>
    <row r="92" spans="1:14">
      <c r="A92" s="121" t="s">
        <v>344</v>
      </c>
      <c r="B92" s="121"/>
      <c r="C92" s="215">
        <f>SUM('Screener Output'!C35:C35)/SUM('Screener Output'!C40:C41)</f>
        <v>0.198566616299541</v>
      </c>
      <c r="D92" s="215">
        <f>SUM('Screener Output'!D35:D35)/SUM('Screener Output'!D40:D41)</f>
        <v>0.36456859971711492</v>
      </c>
      <c r="E92" s="215">
        <f>SUM('Screener Output'!E35:E35)/SUM('Screener Output'!E40:E41)</f>
        <v>0.41164923473300097</v>
      </c>
      <c r="F92" s="215">
        <f>SUM('Screener Output'!F35:F35)/SUM('Screener Output'!F40:F41)</f>
        <v>0.48813451621575304</v>
      </c>
      <c r="G92" s="215">
        <f>SUM('Screener Output'!G35:G35)/SUM('Screener Output'!G40:G41)</f>
        <v>0.46776341840958924</v>
      </c>
      <c r="H92" s="215">
        <f>SUM('Screener Output'!H35:H35)/SUM('Screener Output'!H40:H41)</f>
        <v>0.49584643720790439</v>
      </c>
      <c r="I92" s="215">
        <f>SUM('Screener Output'!I35:I35)/SUM('Screener Output'!I40:I41)</f>
        <v>0.55294712916931055</v>
      </c>
      <c r="J92" s="215">
        <f>SUM('Screener Output'!J35:J35)/SUM('Screener Output'!J40:J41)</f>
        <v>0.39411382238200854</v>
      </c>
      <c r="K92" s="215">
        <f>SUM('Screener Output'!K35:K35)/SUM('Screener Output'!K40:K41)</f>
        <v>0.32796448624472446</v>
      </c>
      <c r="L92" s="215">
        <f>SUM('Screener Output'!L35:L35)/SUM('Screener Output'!L40:L41)</f>
        <v>0.29479512540257113</v>
      </c>
      <c r="M92" s="215"/>
      <c r="N92" s="215"/>
    </row>
    <row r="93" spans="1:14">
      <c r="A93" s="121" t="s">
        <v>532</v>
      </c>
      <c r="B93" s="121"/>
      <c r="C93" s="215">
        <f>C31/(C60-C48)</f>
        <v>0.22959475602043777</v>
      </c>
      <c r="D93" s="215">
        <f t="shared" ref="D93:L93" si="32">D31/(D60-D48)</f>
        <v>0.14047203541329714</v>
      </c>
      <c r="E93" s="215">
        <f t="shared" si="32"/>
        <v>0.24448069833467548</v>
      </c>
      <c r="F93" s="215">
        <f t="shared" si="32"/>
        <v>0.30411099488839299</v>
      </c>
      <c r="G93" s="215">
        <f t="shared" si="32"/>
        <v>0.42725368220782789</v>
      </c>
      <c r="H93" s="215">
        <f t="shared" si="32"/>
        <v>0.60937681327608273</v>
      </c>
      <c r="I93" s="215">
        <f t="shared" si="32"/>
        <v>0.68584643715202376</v>
      </c>
      <c r="J93" s="215">
        <f t="shared" si="32"/>
        <v>0.55127253422592915</v>
      </c>
      <c r="K93" s="215">
        <f t="shared" si="32"/>
        <v>0.46418265992669222</v>
      </c>
      <c r="L93" s="215">
        <f t="shared" si="32"/>
        <v>0.42306060832896664</v>
      </c>
      <c r="M93" s="215">
        <f>M31/(L60-L48)</f>
        <v>0.44103988710620939</v>
      </c>
      <c r="N93" s="215"/>
    </row>
    <row r="94" spans="1:14">
      <c r="A94" s="219" t="s">
        <v>464</v>
      </c>
      <c r="B94" s="121"/>
      <c r="C94" s="237">
        <f>C4</f>
        <v>39873</v>
      </c>
      <c r="D94" s="237">
        <f t="shared" ref="D94:L94" si="33">D4</f>
        <v>40238</v>
      </c>
      <c r="E94" s="237">
        <f t="shared" si="33"/>
        <v>40603</v>
      </c>
      <c r="F94" s="237">
        <f t="shared" si="33"/>
        <v>40969</v>
      </c>
      <c r="G94" s="237">
        <f t="shared" si="33"/>
        <v>41334</v>
      </c>
      <c r="H94" s="237">
        <f t="shared" si="33"/>
        <v>41699</v>
      </c>
      <c r="I94" s="237">
        <f t="shared" si="33"/>
        <v>42064</v>
      </c>
      <c r="J94" s="237">
        <f t="shared" si="33"/>
        <v>42430</v>
      </c>
      <c r="K94" s="237">
        <f t="shared" si="33"/>
        <v>42795</v>
      </c>
      <c r="L94" s="237">
        <f t="shared" si="33"/>
        <v>43160</v>
      </c>
      <c r="M94" s="215"/>
      <c r="N94" s="215"/>
    </row>
    <row r="95" spans="1:14">
      <c r="A95" s="121" t="s">
        <v>462</v>
      </c>
      <c r="B95" s="121"/>
      <c r="C95" s="215">
        <f>(C26-C7)/C26</f>
        <v>0.97837035218327917</v>
      </c>
      <c r="D95" s="215">
        <f t="shared" ref="D95:L95" si="34">(D26-D7)/D26</f>
        <v>0.98057997672883801</v>
      </c>
      <c r="E95" s="215">
        <f t="shared" si="34"/>
        <v>0.98243581566284399</v>
      </c>
      <c r="F95" s="215">
        <f t="shared" si="34"/>
        <v>0.97939792575523621</v>
      </c>
      <c r="G95" s="215">
        <f t="shared" si="34"/>
        <v>0.98014521268598198</v>
      </c>
      <c r="H95" s="215">
        <f t="shared" si="34"/>
        <v>0.98427534208725664</v>
      </c>
      <c r="I95" s="215">
        <f t="shared" si="34"/>
        <v>0.98271790003588499</v>
      </c>
      <c r="J95" s="215">
        <f t="shared" si="34"/>
        <v>0.97968258580508094</v>
      </c>
      <c r="K95" s="215">
        <f t="shared" si="34"/>
        <v>0.98021225766476805</v>
      </c>
      <c r="L95" s="215">
        <f t="shared" si="34"/>
        <v>0.9692757406452901</v>
      </c>
      <c r="M95" s="215"/>
      <c r="N95" s="215"/>
    </row>
    <row r="96" spans="1:14">
      <c r="A96" s="121" t="s">
        <v>463</v>
      </c>
      <c r="B96" s="121"/>
      <c r="C96" s="215">
        <f>1-C95</f>
        <v>2.1629647816720832E-2</v>
      </c>
      <c r="D96" s="215">
        <f t="shared" ref="D96:L96" si="35">1-D95</f>
        <v>1.942002327116199E-2</v>
      </c>
      <c r="E96" s="215">
        <f t="shared" si="35"/>
        <v>1.7564184337156008E-2</v>
      </c>
      <c r="F96" s="215">
        <f t="shared" si="35"/>
        <v>2.0602074244763791E-2</v>
      </c>
      <c r="G96" s="215">
        <f t="shared" si="35"/>
        <v>1.9854787314018019E-2</v>
      </c>
      <c r="H96" s="215">
        <f t="shared" si="35"/>
        <v>1.5724657912743356E-2</v>
      </c>
      <c r="I96" s="215">
        <f t="shared" si="35"/>
        <v>1.7282099964115005E-2</v>
      </c>
      <c r="J96" s="215">
        <f t="shared" si="35"/>
        <v>2.0317414194919059E-2</v>
      </c>
      <c r="K96" s="215">
        <f t="shared" si="35"/>
        <v>1.978774233523195E-2</v>
      </c>
      <c r="L96" s="215">
        <f t="shared" si="35"/>
        <v>3.0724259354709904E-2</v>
      </c>
      <c r="M96" s="215"/>
      <c r="N96" s="215"/>
    </row>
    <row r="97" spans="1:14">
      <c r="A97" s="121"/>
      <c r="B97" s="121"/>
      <c r="C97" s="215"/>
      <c r="D97" s="215"/>
      <c r="E97" s="215"/>
      <c r="F97" s="215"/>
      <c r="G97" s="215"/>
      <c r="H97" s="215"/>
      <c r="I97" s="215"/>
      <c r="J97" s="215"/>
      <c r="K97" s="215"/>
      <c r="L97" s="215"/>
      <c r="M97" s="215"/>
      <c r="N97" s="215"/>
    </row>
    <row r="98" spans="1:14">
      <c r="A98" s="121"/>
      <c r="B98" s="121"/>
      <c r="C98" s="215"/>
      <c r="D98" s="215"/>
      <c r="E98" s="215"/>
      <c r="F98" s="215"/>
      <c r="G98" s="215"/>
      <c r="H98" s="215"/>
      <c r="I98" s="215"/>
      <c r="J98" s="215"/>
      <c r="K98" s="215"/>
      <c r="L98" s="215"/>
      <c r="M98" s="215"/>
      <c r="N98" s="215"/>
    </row>
    <row r="99" spans="1:14">
      <c r="A99" s="219" t="s">
        <v>457</v>
      </c>
      <c r="B99" s="121"/>
      <c r="C99" s="237">
        <f t="shared" ref="C99:L99" si="36">C4</f>
        <v>39873</v>
      </c>
      <c r="D99" s="237">
        <f t="shared" si="36"/>
        <v>40238</v>
      </c>
      <c r="E99" s="237">
        <f t="shared" si="36"/>
        <v>40603</v>
      </c>
      <c r="F99" s="237">
        <f t="shared" si="36"/>
        <v>40969</v>
      </c>
      <c r="G99" s="237">
        <f t="shared" si="36"/>
        <v>41334</v>
      </c>
      <c r="H99" s="237">
        <f t="shared" si="36"/>
        <v>41699</v>
      </c>
      <c r="I99" s="237">
        <f t="shared" si="36"/>
        <v>42064</v>
      </c>
      <c r="J99" s="237">
        <f t="shared" si="36"/>
        <v>42430</v>
      </c>
      <c r="K99" s="237">
        <f t="shared" si="36"/>
        <v>42795</v>
      </c>
      <c r="L99" s="237">
        <f t="shared" si="36"/>
        <v>43160</v>
      </c>
      <c r="M99" s="215"/>
      <c r="N99" s="215"/>
    </row>
    <row r="100" spans="1:14">
      <c r="A100" s="121" t="s">
        <v>213</v>
      </c>
      <c r="B100" s="121"/>
      <c r="C100" s="215">
        <f t="shared" ref="C100:L100" si="37">C42/(C10+C42+C45)</f>
        <v>0.47858104835767029</v>
      </c>
      <c r="D100" s="215">
        <f t="shared" si="37"/>
        <v>0.18374135869847705</v>
      </c>
      <c r="E100" s="215">
        <f t="shared" si="37"/>
        <v>0.19835369414971285</v>
      </c>
      <c r="F100" s="215">
        <f t="shared" si="37"/>
        <v>0.21911565463727059</v>
      </c>
      <c r="G100" s="215">
        <f t="shared" si="37"/>
        <v>0.29079736618966362</v>
      </c>
      <c r="H100" s="215">
        <f t="shared" si="37"/>
        <v>0.37259167619803457</v>
      </c>
      <c r="I100" s="215">
        <f t="shared" si="37"/>
        <v>0.44210687033742729</v>
      </c>
      <c r="J100" s="215">
        <f t="shared" si="37"/>
        <v>0.59246670405556212</v>
      </c>
      <c r="K100" s="215">
        <f t="shared" si="37"/>
        <v>0.64864877868067683</v>
      </c>
      <c r="L100" s="215">
        <f t="shared" si="37"/>
        <v>0.64971283716121742</v>
      </c>
      <c r="M100" s="215"/>
      <c r="N100" s="215"/>
    </row>
    <row r="101" spans="1:14">
      <c r="A101" s="121" t="s">
        <v>453</v>
      </c>
      <c r="B101" s="121"/>
      <c r="C101" s="215">
        <f t="shared" ref="C101:L101" si="38">C10/(C10+C42+C45)</f>
        <v>0.3390941478527974</v>
      </c>
      <c r="D101" s="215">
        <f t="shared" si="38"/>
        <v>0.38941732938302404</v>
      </c>
      <c r="E101" s="215">
        <f t="shared" si="38"/>
        <v>0.42570329991239175</v>
      </c>
      <c r="F101" s="215">
        <f t="shared" si="38"/>
        <v>0.45732233033624836</v>
      </c>
      <c r="G101" s="215">
        <f t="shared" si="38"/>
        <v>0.51030598678907535</v>
      </c>
      <c r="H101" s="215">
        <f t="shared" si="38"/>
        <v>0.55749398940267503</v>
      </c>
      <c r="I101" s="215">
        <f t="shared" si="38"/>
        <v>0.50638246499852646</v>
      </c>
      <c r="J101" s="215">
        <f t="shared" si="38"/>
        <v>0.37041348719430328</v>
      </c>
      <c r="K101" s="215">
        <f t="shared" si="38"/>
        <v>0.32138716087159425</v>
      </c>
      <c r="L101" s="215">
        <f t="shared" si="38"/>
        <v>0.31200514241789012</v>
      </c>
      <c r="M101" s="215"/>
      <c r="N101" s="215"/>
    </row>
    <row r="102" spans="1:14">
      <c r="A102" s="121" t="s">
        <v>454</v>
      </c>
      <c r="B102" s="121"/>
      <c r="C102" s="215">
        <f t="shared" ref="C102:L102" si="39">C45/(C10+C42+C45)</f>
        <v>0.18232480378953234</v>
      </c>
      <c r="D102" s="215">
        <f t="shared" si="39"/>
        <v>0.42684131191849889</v>
      </c>
      <c r="E102" s="215">
        <f t="shared" si="39"/>
        <v>0.37594300593789548</v>
      </c>
      <c r="F102" s="215">
        <f t="shared" si="39"/>
        <v>0.32356201502648113</v>
      </c>
      <c r="G102" s="215">
        <f t="shared" si="39"/>
        <v>0.198896647021261</v>
      </c>
      <c r="H102" s="215">
        <f t="shared" si="39"/>
        <v>6.9914334399290387E-2</v>
      </c>
      <c r="I102" s="215">
        <f t="shared" si="39"/>
        <v>5.1510664664046218E-2</v>
      </c>
      <c r="J102" s="215">
        <f t="shared" si="39"/>
        <v>3.7119808750134549E-2</v>
      </c>
      <c r="K102" s="215">
        <f t="shared" si="39"/>
        <v>2.9964060447728879E-2</v>
      </c>
      <c r="L102" s="215">
        <f t="shared" si="39"/>
        <v>3.8282020420892404E-2</v>
      </c>
      <c r="M102" s="215"/>
      <c r="N102" s="215"/>
    </row>
    <row r="103" spans="1:14">
      <c r="A103" s="121"/>
      <c r="B103" s="121"/>
      <c r="C103" s="215"/>
      <c r="D103" s="215"/>
      <c r="E103" s="215"/>
      <c r="F103" s="215"/>
      <c r="G103" s="215"/>
      <c r="H103" s="215"/>
      <c r="I103" s="215"/>
      <c r="J103" s="215"/>
      <c r="K103" s="215"/>
      <c r="L103" s="215"/>
      <c r="M103" s="215"/>
      <c r="N103" s="215"/>
    </row>
    <row r="104" spans="1:14">
      <c r="A104" s="121"/>
      <c r="B104" s="121"/>
      <c r="C104" s="215"/>
      <c r="D104" s="215"/>
      <c r="E104" s="215"/>
      <c r="F104" s="215"/>
      <c r="G104" s="215"/>
      <c r="H104" s="215"/>
      <c r="I104" s="215"/>
      <c r="J104" s="215"/>
      <c r="K104" s="215"/>
      <c r="L104" s="215"/>
      <c r="M104" s="215"/>
      <c r="N104" s="215"/>
    </row>
    <row r="105" spans="1:14">
      <c r="A105" s="121"/>
      <c r="B105" s="121"/>
      <c r="C105" s="237"/>
      <c r="D105" s="237">
        <f t="shared" ref="D105:L105" si="40">D4</f>
        <v>40238</v>
      </c>
      <c r="E105" s="237">
        <f t="shared" si="40"/>
        <v>40603</v>
      </c>
      <c r="F105" s="237">
        <f t="shared" si="40"/>
        <v>40969</v>
      </c>
      <c r="G105" s="237">
        <f t="shared" si="40"/>
        <v>41334</v>
      </c>
      <c r="H105" s="237">
        <f t="shared" si="40"/>
        <v>41699</v>
      </c>
      <c r="I105" s="237">
        <f t="shared" si="40"/>
        <v>42064</v>
      </c>
      <c r="J105" s="237">
        <f t="shared" si="40"/>
        <v>42430</v>
      </c>
      <c r="K105" s="237">
        <f t="shared" si="40"/>
        <v>42795</v>
      </c>
      <c r="L105" s="237">
        <f t="shared" si="40"/>
        <v>43160</v>
      </c>
      <c r="M105" s="215"/>
      <c r="N105" s="215"/>
    </row>
    <row r="106" spans="1:14">
      <c r="A106" s="265" t="s">
        <v>426</v>
      </c>
      <c r="B106" s="121"/>
      <c r="C106" s="215"/>
      <c r="D106" s="240">
        <f t="shared" ref="D106:L106" si="41">D11-C11</f>
        <v>-78.220000000000027</v>
      </c>
      <c r="E106" s="240">
        <f t="shared" si="41"/>
        <v>-26.079999999999927</v>
      </c>
      <c r="F106" s="240">
        <f t="shared" si="41"/>
        <v>-8.5199999999999818</v>
      </c>
      <c r="G106" s="240">
        <f t="shared" si="41"/>
        <v>-85.940000000000055</v>
      </c>
      <c r="H106" s="240">
        <f t="shared" si="41"/>
        <v>-147.96000000000004</v>
      </c>
      <c r="I106" s="240">
        <f t="shared" si="41"/>
        <v>184.48000000000002</v>
      </c>
      <c r="J106" s="240">
        <f t="shared" si="41"/>
        <v>414.24</v>
      </c>
      <c r="K106" s="240">
        <f t="shared" si="41"/>
        <v>750.0300000000002</v>
      </c>
      <c r="L106" s="240">
        <f t="shared" si="41"/>
        <v>-164.84000000000037</v>
      </c>
      <c r="M106" s="215"/>
      <c r="N106" s="215"/>
    </row>
    <row r="107" spans="1:14">
      <c r="A107" s="265" t="s">
        <v>345</v>
      </c>
      <c r="B107" s="121"/>
      <c r="C107" s="215"/>
      <c r="D107" s="240">
        <f t="shared" ref="D107:L107" si="42">C35</f>
        <v>143.2399999999999</v>
      </c>
      <c r="E107" s="240">
        <f t="shared" si="42"/>
        <v>103.10000000000011</v>
      </c>
      <c r="F107" s="240">
        <f t="shared" si="42"/>
        <v>134.21000000000029</v>
      </c>
      <c r="G107" s="240">
        <f t="shared" si="42"/>
        <v>199.72999999999965</v>
      </c>
      <c r="H107" s="240">
        <f t="shared" si="42"/>
        <v>259.87999999999954</v>
      </c>
      <c r="I107" s="240">
        <f t="shared" si="42"/>
        <v>395.74000000000058</v>
      </c>
      <c r="J107" s="240">
        <f t="shared" si="42"/>
        <v>688.48000000000025</v>
      </c>
      <c r="K107" s="240">
        <f t="shared" si="42"/>
        <v>824.35999999999956</v>
      </c>
      <c r="L107" s="240">
        <f t="shared" si="42"/>
        <v>884.32999999999993</v>
      </c>
      <c r="M107" s="215"/>
      <c r="N107" s="215"/>
    </row>
    <row r="108" spans="1:14">
      <c r="B108" s="121"/>
      <c r="C108" s="215"/>
      <c r="E108" s="240"/>
      <c r="F108" s="240"/>
      <c r="G108" s="240"/>
      <c r="H108" s="240"/>
      <c r="I108" s="240"/>
      <c r="J108" s="240"/>
      <c r="K108" s="240"/>
      <c r="L108" s="240"/>
      <c r="M108" s="215"/>
      <c r="N108" s="215"/>
    </row>
    <row r="109" spans="1:14">
      <c r="A109" s="265"/>
      <c r="B109" s="121"/>
      <c r="C109" s="215"/>
      <c r="D109" s="240"/>
      <c r="E109" s="240"/>
      <c r="F109" s="240"/>
      <c r="G109" s="240"/>
      <c r="H109" s="240"/>
      <c r="I109" s="240"/>
      <c r="J109" s="240"/>
      <c r="K109" s="240"/>
      <c r="L109" s="240"/>
      <c r="M109" s="215"/>
      <c r="N109" s="215"/>
    </row>
    <row r="110" spans="1:14">
      <c r="A110" s="121"/>
      <c r="B110" s="121"/>
      <c r="C110" s="215"/>
      <c r="D110" s="215"/>
      <c r="E110" s="215"/>
      <c r="F110" s="215"/>
      <c r="G110" s="215"/>
      <c r="H110" s="215"/>
      <c r="I110" s="215"/>
      <c r="J110" s="215"/>
      <c r="K110" s="215"/>
      <c r="L110" s="215"/>
      <c r="M110" s="215"/>
      <c r="N110" s="215"/>
    </row>
    <row r="111" spans="1:14">
      <c r="A111" s="121"/>
      <c r="B111" s="121"/>
      <c r="C111" s="237">
        <f t="shared" ref="C111:L111" si="43">C4</f>
        <v>39873</v>
      </c>
      <c r="D111" s="237">
        <f t="shared" si="43"/>
        <v>40238</v>
      </c>
      <c r="E111" s="237">
        <f t="shared" si="43"/>
        <v>40603</v>
      </c>
      <c r="F111" s="237">
        <f t="shared" si="43"/>
        <v>40969</v>
      </c>
      <c r="G111" s="237">
        <f t="shared" si="43"/>
        <v>41334</v>
      </c>
      <c r="H111" s="237">
        <f t="shared" si="43"/>
        <v>41699</v>
      </c>
      <c r="I111" s="237">
        <f t="shared" si="43"/>
        <v>42064</v>
      </c>
      <c r="J111" s="237">
        <f t="shared" si="43"/>
        <v>42430</v>
      </c>
      <c r="K111" s="237">
        <f t="shared" si="43"/>
        <v>42795</v>
      </c>
      <c r="L111" s="237">
        <f t="shared" si="43"/>
        <v>43160</v>
      </c>
      <c r="M111" s="215"/>
      <c r="N111" s="215"/>
    </row>
    <row r="112" spans="1:14">
      <c r="A112" s="121" t="s">
        <v>421</v>
      </c>
      <c r="B112" s="121"/>
      <c r="C112" s="240">
        <f t="shared" ref="C112:L112" si="44">(C7/C26)*365</f>
        <v>7.8948214531031242</v>
      </c>
      <c r="D112" s="240">
        <f t="shared" si="44"/>
        <v>7.0883084939741465</v>
      </c>
      <c r="E112" s="240">
        <f t="shared" si="44"/>
        <v>6.4109272830619286</v>
      </c>
      <c r="F112" s="240">
        <f t="shared" si="44"/>
        <v>7.5197570993387872</v>
      </c>
      <c r="G112" s="240">
        <f t="shared" si="44"/>
        <v>7.2469973696165653</v>
      </c>
      <c r="H112" s="240">
        <f t="shared" si="44"/>
        <v>5.7395001381513184</v>
      </c>
      <c r="I112" s="240">
        <f t="shared" si="44"/>
        <v>6.3079664869019476</v>
      </c>
      <c r="J112" s="240">
        <f t="shared" si="44"/>
        <v>7.4158561811454504</v>
      </c>
      <c r="K112" s="240">
        <f t="shared" si="44"/>
        <v>7.2225259523596517</v>
      </c>
      <c r="L112" s="240">
        <f t="shared" si="44"/>
        <v>11.2143546644691</v>
      </c>
      <c r="M112" s="215"/>
      <c r="N112" s="215"/>
    </row>
    <row r="113" spans="1:14">
      <c r="A113" s="121" t="s">
        <v>422</v>
      </c>
      <c r="B113" s="121"/>
      <c r="C113" s="255">
        <f>C27/C54</f>
        <v>7.4082579930028754</v>
      </c>
      <c r="D113" s="255">
        <f t="shared" ref="D113:L113" si="45">D27/AVERAGE(C54:D54)</f>
        <v>8.226480013493001</v>
      </c>
      <c r="E113" s="255">
        <f t="shared" si="45"/>
        <v>9.3472879169482166</v>
      </c>
      <c r="F113" s="255">
        <f t="shared" si="45"/>
        <v>9.1094245611331566</v>
      </c>
      <c r="G113" s="255">
        <f t="shared" si="45"/>
        <v>9.5954267574370977</v>
      </c>
      <c r="H113" s="255">
        <f t="shared" si="45"/>
        <v>10.522882230105415</v>
      </c>
      <c r="I113" s="255">
        <f t="shared" si="45"/>
        <v>11.457364341085272</v>
      </c>
      <c r="J113" s="255">
        <f t="shared" si="45"/>
        <v>11.878890480531318</v>
      </c>
      <c r="K113" s="255">
        <f t="shared" si="45"/>
        <v>10.240232283821795</v>
      </c>
      <c r="L113" s="255">
        <f t="shared" si="45"/>
        <v>9.2841490138787446</v>
      </c>
      <c r="M113" s="215"/>
      <c r="N113" s="215"/>
    </row>
    <row r="114" spans="1:14">
      <c r="A114" s="265" t="s">
        <v>180</v>
      </c>
      <c r="B114" s="121"/>
      <c r="C114" s="215">
        <f>C6/C26</f>
        <v>8.4381932813637206E-2</v>
      </c>
      <c r="D114" s="215">
        <f t="shared" ref="D114:L114" si="46">D6/D26</f>
        <v>8.0630070688142569E-2</v>
      </c>
      <c r="E114" s="215">
        <f t="shared" si="46"/>
        <v>7.5270426825299705E-2</v>
      </c>
      <c r="F114" s="215">
        <f t="shared" si="46"/>
        <v>7.8711189947077403E-2</v>
      </c>
      <c r="G114" s="215">
        <f t="shared" si="46"/>
        <v>6.0573187549410636E-2</v>
      </c>
      <c r="H114" s="215">
        <f t="shared" si="46"/>
        <v>6.0796706356841236E-2</v>
      </c>
      <c r="I114" s="215">
        <f t="shared" si="46"/>
        <v>5.1414915466467814E-2</v>
      </c>
      <c r="J114" s="215">
        <f t="shared" si="46"/>
        <v>5.2475637799607726E-2</v>
      </c>
      <c r="K114" s="215">
        <f t="shared" si="46"/>
        <v>7.3055381601022304E-2</v>
      </c>
      <c r="L114" s="215">
        <f t="shared" si="46"/>
        <v>6.5845335732636401E-2</v>
      </c>
      <c r="M114" s="215"/>
      <c r="N114" s="215"/>
    </row>
    <row r="115" spans="1:14">
      <c r="A115" s="121"/>
      <c r="B115" s="121"/>
      <c r="C115" s="215"/>
      <c r="D115" s="215"/>
      <c r="E115" s="215"/>
      <c r="F115" s="215"/>
      <c r="G115" s="215"/>
      <c r="H115" s="215"/>
      <c r="I115" s="215"/>
      <c r="J115" s="215"/>
      <c r="K115" s="215"/>
      <c r="L115" s="215"/>
      <c r="M115" s="215"/>
      <c r="N115" s="215"/>
    </row>
    <row r="116" spans="1:14">
      <c r="A116" s="121"/>
      <c r="B116" s="121"/>
      <c r="C116" s="237">
        <f t="shared" ref="C116:L116" si="47">C4</f>
        <v>39873</v>
      </c>
      <c r="D116" s="237">
        <f t="shared" si="47"/>
        <v>40238</v>
      </c>
      <c r="E116" s="237">
        <f t="shared" si="47"/>
        <v>40603</v>
      </c>
      <c r="F116" s="237">
        <f t="shared" si="47"/>
        <v>40969</v>
      </c>
      <c r="G116" s="237">
        <f t="shared" si="47"/>
        <v>41334</v>
      </c>
      <c r="H116" s="237">
        <f t="shared" si="47"/>
        <v>41699</v>
      </c>
      <c r="I116" s="237">
        <f t="shared" si="47"/>
        <v>42064</v>
      </c>
      <c r="J116" s="237">
        <f t="shared" si="47"/>
        <v>42430</v>
      </c>
      <c r="K116" s="237">
        <f t="shared" si="47"/>
        <v>42795</v>
      </c>
      <c r="L116" s="237">
        <f t="shared" si="47"/>
        <v>43160</v>
      </c>
      <c r="M116" s="215" t="s">
        <v>461</v>
      </c>
      <c r="N116" s="215"/>
    </row>
    <row r="117" spans="1:14">
      <c r="A117" s="121" t="s">
        <v>313</v>
      </c>
      <c r="B117" s="121"/>
      <c r="C117" s="255">
        <f t="shared" ref="C117:L117" si="48">C45/C35</f>
        <v>1.9185981569394037</v>
      </c>
      <c r="D117" s="255">
        <f t="shared" si="48"/>
        <v>6.3720659553831167</v>
      </c>
      <c r="E117" s="255">
        <f t="shared" si="48"/>
        <v>4.6042023694210465</v>
      </c>
      <c r="F117" s="255">
        <f t="shared" si="48"/>
        <v>3.0251339308065943</v>
      </c>
      <c r="G117" s="255">
        <f t="shared" si="48"/>
        <v>1.4622133292288775</v>
      </c>
      <c r="H117" s="255">
        <f t="shared" si="48"/>
        <v>0.3784302825087173</v>
      </c>
      <c r="I117" s="255">
        <f t="shared" si="48"/>
        <v>0.21071055077852652</v>
      </c>
      <c r="J117" s="255">
        <f t="shared" si="48"/>
        <v>0.15897180843320888</v>
      </c>
      <c r="K117" s="255">
        <f t="shared" si="48"/>
        <v>0.1408523967297276</v>
      </c>
      <c r="L117" s="255">
        <f t="shared" si="48"/>
        <v>0.19987252773517639</v>
      </c>
      <c r="M117" s="255">
        <f>L45/M35</f>
        <v>0.19188848095456634</v>
      </c>
      <c r="N117" s="215"/>
    </row>
    <row r="118" spans="1:14">
      <c r="A118" s="121" t="s">
        <v>169</v>
      </c>
      <c r="B118" s="121"/>
      <c r="C118" s="255">
        <f t="shared" ref="C118:L118" si="49">C62/C35</f>
        <v>1.7475565484501547</v>
      </c>
      <c r="D118" s="255">
        <f t="shared" si="49"/>
        <v>2.3059165858389887</v>
      </c>
      <c r="E118" s="255">
        <f t="shared" si="49"/>
        <v>2.2089263095149345</v>
      </c>
      <c r="F118" s="255">
        <f t="shared" si="49"/>
        <v>1.2322635558003325</v>
      </c>
      <c r="G118" s="255">
        <f t="shared" si="49"/>
        <v>1.2305679544405133</v>
      </c>
      <c r="H118" s="255">
        <f t="shared" si="49"/>
        <v>1.6967706069641659</v>
      </c>
      <c r="I118" s="255">
        <f t="shared" si="49"/>
        <v>0.84891354868696234</v>
      </c>
      <c r="J118" s="255">
        <f t="shared" si="49"/>
        <v>1.1636057062448451</v>
      </c>
      <c r="K118" s="255">
        <f t="shared" si="49"/>
        <v>0.49899924236427579</v>
      </c>
      <c r="L118" s="255">
        <f t="shared" si="49"/>
        <v>1.2436214073734739</v>
      </c>
      <c r="M118" s="255">
        <f>L62/M35</f>
        <v>1.1939440875019123</v>
      </c>
      <c r="N118" s="215"/>
    </row>
    <row r="119" spans="1:14">
      <c r="A119" s="121" t="s">
        <v>411</v>
      </c>
      <c r="B119" s="121"/>
      <c r="C119" s="215">
        <f t="shared" ref="C119:L119" si="50">C35/C11</f>
        <v>1.008448324415657</v>
      </c>
      <c r="D119" s="215">
        <f t="shared" si="50"/>
        <v>1.6154810404262019</v>
      </c>
      <c r="E119" s="215">
        <f t="shared" si="50"/>
        <v>3.5561738208797102</v>
      </c>
      <c r="F119" s="215">
        <f t="shared" si="50"/>
        <v>6.8353867214236637</v>
      </c>
      <c r="G119" s="215">
        <f t="shared" si="50"/>
        <v>-4.5818053596614847</v>
      </c>
      <c r="H119" s="215">
        <f t="shared" si="50"/>
        <v>-1.9334571037717434</v>
      </c>
      <c r="I119" s="215">
        <f t="shared" si="50"/>
        <v>-34.083168316831618</v>
      </c>
      <c r="J119" s="215">
        <f t="shared" si="50"/>
        <v>2.0920718708760524</v>
      </c>
      <c r="K119" s="215">
        <f t="shared" si="50"/>
        <v>0.77296843724597253</v>
      </c>
      <c r="L119" s="215">
        <f t="shared" si="50"/>
        <v>1.0254383546255732</v>
      </c>
      <c r="M119" s="215">
        <f>M35/L11</f>
        <v>1.0681045311111792</v>
      </c>
      <c r="N119" s="215"/>
    </row>
    <row r="120" spans="1:14">
      <c r="A120" s="121" t="s">
        <v>412</v>
      </c>
      <c r="B120" s="121"/>
      <c r="C120" s="250">
        <f>C26/C50</f>
        <v>7.2713226073834774</v>
      </c>
      <c r="D120" s="250">
        <f t="shared" ref="D120:L120" si="51">D26/AVERAGE(C50:D50)</f>
        <v>7.7803990307779554</v>
      </c>
      <c r="E120" s="250">
        <f t="shared" si="51"/>
        <v>9.1799289007498288</v>
      </c>
      <c r="F120" s="250">
        <f t="shared" si="51"/>
        <v>9.7148094361008788</v>
      </c>
      <c r="G120" s="250">
        <f t="shared" si="51"/>
        <v>9.0882389673741351</v>
      </c>
      <c r="H120" s="250">
        <f t="shared" si="51"/>
        <v>8.7260207398430953</v>
      </c>
      <c r="I120" s="250">
        <f t="shared" si="51"/>
        <v>9.2907794710521028</v>
      </c>
      <c r="J120" s="250">
        <f t="shared" si="51"/>
        <v>9.3598430594490356</v>
      </c>
      <c r="K120" s="250">
        <f t="shared" si="51"/>
        <v>8.5811404444065342</v>
      </c>
      <c r="L120" s="250">
        <f t="shared" si="51"/>
        <v>7.9134974197693948</v>
      </c>
      <c r="M120" s="255">
        <f>M26/AVERAGE(K50:L50)</f>
        <v>8.1371014411775278</v>
      </c>
      <c r="N120" s="215"/>
    </row>
    <row r="121" spans="1:14">
      <c r="A121" s="121" t="s">
        <v>427</v>
      </c>
      <c r="B121" s="121"/>
      <c r="C121" s="250">
        <f t="shared" ref="C121:L121" si="52">C10/C9</f>
        <v>0.78253414171106628</v>
      </c>
      <c r="D121" s="250">
        <f t="shared" si="52"/>
        <v>0.90376669984016411</v>
      </c>
      <c r="E121" s="250">
        <f t="shared" si="52"/>
        <v>0.94882434301521434</v>
      </c>
      <c r="F121" s="250">
        <f t="shared" si="52"/>
        <v>0.96691613546042277</v>
      </c>
      <c r="G121" s="250">
        <f t="shared" si="52"/>
        <v>1.0617703432653773</v>
      </c>
      <c r="H121" s="250">
        <f t="shared" si="52"/>
        <v>1.2068519454269835</v>
      </c>
      <c r="I121" s="250">
        <f t="shared" si="52"/>
        <v>1.0143677138975624</v>
      </c>
      <c r="J121" s="250">
        <f t="shared" si="52"/>
        <v>0.76845284615429821</v>
      </c>
      <c r="K121" s="250">
        <f t="shared" si="52"/>
        <v>0.53869447233344214</v>
      </c>
      <c r="L121" s="250">
        <f t="shared" si="52"/>
        <v>0.62552916477053278</v>
      </c>
      <c r="M121" s="215"/>
      <c r="N121" s="215"/>
    </row>
    <row r="122" spans="1:14">
      <c r="A122" s="121"/>
      <c r="B122" s="121"/>
      <c r="C122" s="215"/>
      <c r="D122" s="215"/>
      <c r="E122" s="215"/>
      <c r="F122" s="215"/>
      <c r="G122" s="215"/>
      <c r="H122" s="215"/>
      <c r="I122" s="215"/>
      <c r="J122" s="215"/>
      <c r="K122" s="215"/>
      <c r="L122" s="215"/>
      <c r="M122" s="215"/>
      <c r="N122" s="215"/>
    </row>
    <row r="123" spans="1:14">
      <c r="A123" s="121"/>
      <c r="B123" s="121"/>
      <c r="C123" s="215"/>
      <c r="D123" s="215"/>
      <c r="E123" s="215"/>
      <c r="F123" s="215"/>
      <c r="G123" s="215"/>
      <c r="H123" s="215"/>
      <c r="I123" s="215"/>
      <c r="J123" s="215"/>
      <c r="K123" s="215"/>
      <c r="L123" s="215"/>
      <c r="M123" s="215"/>
      <c r="N123" s="215"/>
    </row>
    <row r="124" spans="1:14">
      <c r="A124" s="121"/>
      <c r="B124" s="121"/>
      <c r="C124" s="215"/>
      <c r="D124" s="215"/>
      <c r="E124" s="215"/>
      <c r="F124" s="215"/>
      <c r="G124" s="215"/>
      <c r="H124" s="215"/>
      <c r="I124" s="215"/>
      <c r="J124" s="215"/>
      <c r="K124" s="215"/>
      <c r="L124" s="215"/>
      <c r="M124" s="215"/>
      <c r="N124" s="215"/>
    </row>
    <row r="125" spans="1:14">
      <c r="A125" s="219" t="s">
        <v>408</v>
      </c>
      <c r="B125" s="121"/>
      <c r="C125" s="231">
        <f t="shared" ref="C125:L125" si="53">C4</f>
        <v>39873</v>
      </c>
      <c r="D125" s="231">
        <f t="shared" si="53"/>
        <v>40238</v>
      </c>
      <c r="E125" s="231">
        <f t="shared" si="53"/>
        <v>40603</v>
      </c>
      <c r="F125" s="231">
        <f t="shared" si="53"/>
        <v>40969</v>
      </c>
      <c r="G125" s="231">
        <f t="shared" si="53"/>
        <v>41334</v>
      </c>
      <c r="H125" s="231">
        <f t="shared" si="53"/>
        <v>41699</v>
      </c>
      <c r="I125" s="231">
        <f t="shared" si="53"/>
        <v>42064</v>
      </c>
      <c r="J125" s="231">
        <f t="shared" si="53"/>
        <v>42430</v>
      </c>
      <c r="K125" s="231">
        <f t="shared" si="53"/>
        <v>42795</v>
      </c>
      <c r="L125" s="231">
        <f t="shared" si="53"/>
        <v>43160</v>
      </c>
      <c r="M125" s="341" t="s">
        <v>461</v>
      </c>
      <c r="N125" s="121"/>
    </row>
    <row r="126" spans="1:14">
      <c r="A126" s="121" t="s">
        <v>450</v>
      </c>
      <c r="B126" s="121"/>
      <c r="C126" s="215">
        <f t="shared" ref="C126:M126" si="54">C29/C26</f>
        <v>8.6118150489736117E-2</v>
      </c>
      <c r="D126" s="215">
        <f t="shared" si="54"/>
        <v>5.0422618085244571E-2</v>
      </c>
      <c r="E126" s="215">
        <f t="shared" si="54"/>
        <v>6.4149625329220042E-2</v>
      </c>
      <c r="F126" s="215">
        <f t="shared" si="54"/>
        <v>6.745397302278601E-2</v>
      </c>
      <c r="G126" s="215">
        <f t="shared" si="54"/>
        <v>7.6450873911349387E-2</v>
      </c>
      <c r="H126" s="215">
        <f t="shared" si="54"/>
        <v>9.559058603644599E-2</v>
      </c>
      <c r="I126" s="215">
        <f t="shared" si="54"/>
        <v>0.13971383560563069</v>
      </c>
      <c r="J126" s="215">
        <f t="shared" si="54"/>
        <v>0.15942638227129657</v>
      </c>
      <c r="K126" s="215">
        <f t="shared" si="54"/>
        <v>0.15779829889033575</v>
      </c>
      <c r="L126" s="215">
        <f t="shared" si="54"/>
        <v>0.16824911060027292</v>
      </c>
      <c r="M126" s="215">
        <f t="shared" si="54"/>
        <v>0.17022754293651632</v>
      </c>
      <c r="N126" s="121"/>
    </row>
    <row r="127" spans="1:14">
      <c r="A127" s="121" t="s">
        <v>405</v>
      </c>
      <c r="B127" s="121"/>
      <c r="C127" s="244">
        <f t="shared" ref="C127:M127" si="55">C35/C25</f>
        <v>4.087957876111243E-2</v>
      </c>
      <c r="D127" s="244">
        <f t="shared" si="55"/>
        <v>2.6910979731934306E-2</v>
      </c>
      <c r="E127" s="244">
        <f t="shared" si="55"/>
        <v>2.8748669241430189E-2</v>
      </c>
      <c r="F127" s="244">
        <f t="shared" si="55"/>
        <v>3.6023020970293071E-2</v>
      </c>
      <c r="G127" s="252">
        <f t="shared" si="55"/>
        <v>4.166312633764311E-2</v>
      </c>
      <c r="H127" s="252">
        <f t="shared" si="55"/>
        <v>5.6971337258684564E-2</v>
      </c>
      <c r="I127" s="252">
        <f t="shared" si="55"/>
        <v>8.4931473051823914E-2</v>
      </c>
      <c r="J127" s="252">
        <f t="shared" si="55"/>
        <v>9.6737928881733146E-2</v>
      </c>
      <c r="K127" s="252">
        <f t="shared" si="55"/>
        <v>9.6074475562841724E-2</v>
      </c>
      <c r="L127" s="252">
        <f t="shared" si="55"/>
        <v>9.9613505866853941E-2</v>
      </c>
      <c r="M127" s="252">
        <f t="shared" si="55"/>
        <v>0.10088352174080788</v>
      </c>
      <c r="N127" s="121"/>
    </row>
    <row r="128" spans="1:14">
      <c r="A128" s="121"/>
      <c r="B128" s="121"/>
      <c r="C128" s="244"/>
      <c r="D128" s="244"/>
      <c r="E128" s="244"/>
      <c r="F128" s="244"/>
      <c r="G128" s="244"/>
      <c r="H128" s="244"/>
      <c r="I128" s="244"/>
      <c r="J128" s="244"/>
      <c r="K128" s="244"/>
      <c r="L128" s="244"/>
      <c r="M128" s="121"/>
      <c r="N128" s="121"/>
    </row>
    <row r="129" spans="1:14">
      <c r="A129" s="219" t="s">
        <v>207</v>
      </c>
      <c r="B129" s="121"/>
      <c r="C129" s="237">
        <f>C125</f>
        <v>39873</v>
      </c>
      <c r="D129" s="237">
        <f t="shared" ref="D129:L129" si="56">D125</f>
        <v>40238</v>
      </c>
      <c r="E129" s="237">
        <f t="shared" si="56"/>
        <v>40603</v>
      </c>
      <c r="F129" s="237">
        <f t="shared" si="56"/>
        <v>40969</v>
      </c>
      <c r="G129" s="237">
        <f t="shared" si="56"/>
        <v>41334</v>
      </c>
      <c r="H129" s="237">
        <f t="shared" si="56"/>
        <v>41699</v>
      </c>
      <c r="I129" s="237">
        <f t="shared" si="56"/>
        <v>42064</v>
      </c>
      <c r="J129" s="237">
        <f t="shared" si="56"/>
        <v>42430</v>
      </c>
      <c r="K129" s="237">
        <f t="shared" si="56"/>
        <v>42795</v>
      </c>
      <c r="L129" s="237">
        <f t="shared" si="56"/>
        <v>43160</v>
      </c>
      <c r="M129" s="121" t="s">
        <v>461</v>
      </c>
      <c r="N129" s="121"/>
    </row>
    <row r="130" spans="1:14">
      <c r="A130" s="121" t="s">
        <v>25</v>
      </c>
      <c r="B130" s="121"/>
      <c r="C130" s="215">
        <f>C30/C29</f>
        <v>0.22370430709703704</v>
      </c>
      <c r="D130" s="215">
        <f t="shared" ref="D130:L130" si="57">D30/D29</f>
        <v>0.30608704793944475</v>
      </c>
      <c r="E130" s="215">
        <f t="shared" si="57"/>
        <v>0.21952044370793714</v>
      </c>
      <c r="F130" s="215">
        <f t="shared" si="57"/>
        <v>0.16710359179481651</v>
      </c>
      <c r="G130" s="215">
        <f t="shared" si="57"/>
        <v>0.15469040771443088</v>
      </c>
      <c r="H130" s="215">
        <f t="shared" si="57"/>
        <v>0.12587962892900911</v>
      </c>
      <c r="I130" s="215">
        <f t="shared" si="57"/>
        <v>0.13159308881258364</v>
      </c>
      <c r="J130" s="215">
        <f t="shared" si="57"/>
        <v>8.4713984791669805E-2</v>
      </c>
      <c r="K130" s="215">
        <f t="shared" si="57"/>
        <v>8.3480318046923116E-2</v>
      </c>
      <c r="L130" s="215">
        <f t="shared" si="57"/>
        <v>8.5172839654200791E-2</v>
      </c>
      <c r="M130" s="215">
        <f>M30/M29</f>
        <v>8.3281469700112937E-2</v>
      </c>
      <c r="N130" s="121"/>
    </row>
    <row r="131" spans="1:14">
      <c r="A131" s="121" t="s">
        <v>24</v>
      </c>
      <c r="B131" s="121"/>
      <c r="C131" s="215">
        <f>C32/C29</f>
        <v>0.11064725248616915</v>
      </c>
      <c r="D131" s="215">
        <f t="shared" ref="D131:L131" si="58">D32/D29</f>
        <v>0.12326534903280061</v>
      </c>
      <c r="E131" s="215">
        <f t="shared" si="58"/>
        <v>0.14755318069599907</v>
      </c>
      <c r="F131" s="215">
        <f t="shared" si="58"/>
        <v>0.11242939380016767</v>
      </c>
      <c r="G131" s="215">
        <f t="shared" si="58"/>
        <v>8.7337167991879613E-2</v>
      </c>
      <c r="H131" s="215">
        <f t="shared" si="58"/>
        <v>1.2545589370299176E-2</v>
      </c>
      <c r="I131" s="215">
        <f t="shared" si="58"/>
        <v>3.515706830125781E-3</v>
      </c>
      <c r="J131" s="215">
        <f t="shared" si="58"/>
        <v>3.6377489280965698E-3</v>
      </c>
      <c r="K131" s="215">
        <f t="shared" si="58"/>
        <v>3.8146032812587491E-3</v>
      </c>
      <c r="L131" s="215">
        <f t="shared" si="58"/>
        <v>4.5503051522164011E-3</v>
      </c>
      <c r="M131" s="215">
        <f>M32/M29</f>
        <v>5.0480603001175576E-3</v>
      </c>
      <c r="N131" s="121"/>
    </row>
    <row r="132" spans="1:14">
      <c r="A132" s="121" t="s">
        <v>406</v>
      </c>
      <c r="B132" s="121"/>
      <c r="C132" s="215">
        <f>C34/C29</f>
        <v>0.17947934697756515</v>
      </c>
      <c r="D132" s="215">
        <f t="shared" ref="D132:L132" si="59">D34/D29</f>
        <v>2.8700588730025216E-2</v>
      </c>
      <c r="E132" s="215">
        <f t="shared" si="59"/>
        <v>0.17903885826372196</v>
      </c>
      <c r="F132" s="215">
        <f t="shared" si="59"/>
        <v>0.18067079268127903</v>
      </c>
      <c r="G132" s="215">
        <f t="shared" si="59"/>
        <v>0.20840382338013891</v>
      </c>
      <c r="H132" s="215">
        <f t="shared" si="59"/>
        <v>0.26268557332889403</v>
      </c>
      <c r="I132" s="215">
        <f t="shared" si="59"/>
        <v>0.23782026176532198</v>
      </c>
      <c r="J132" s="215">
        <f t="shared" si="59"/>
        <v>0.29587522595873744</v>
      </c>
      <c r="K132" s="215">
        <f t="shared" si="59"/>
        <v>0.29373845120107511</v>
      </c>
      <c r="L132" s="215">
        <f t="shared" si="59"/>
        <v>0.30828167527967298</v>
      </c>
      <c r="M132" s="215">
        <f>M34/M29</f>
        <v>0.30894590046792525</v>
      </c>
      <c r="N132" s="121"/>
    </row>
    <row r="133" spans="1:14">
      <c r="A133" s="121" t="s">
        <v>407</v>
      </c>
      <c r="B133" s="121"/>
      <c r="C133" s="215">
        <f>C35/C29</f>
        <v>0.48616909343922871</v>
      </c>
      <c r="D133" s="215">
        <f t="shared" ref="D133:L133" si="60">D35/D29</f>
        <v>0.54194701429772951</v>
      </c>
      <c r="E133" s="215">
        <f t="shared" si="60"/>
        <v>0.45388751733234184</v>
      </c>
      <c r="F133" s="215">
        <f t="shared" si="60"/>
        <v>0.53979622172373676</v>
      </c>
      <c r="G133" s="215">
        <f t="shared" si="60"/>
        <v>0.54956860091355053</v>
      </c>
      <c r="H133" s="215">
        <f t="shared" si="60"/>
        <v>0.59888920837179782</v>
      </c>
      <c r="I133" s="215">
        <f t="shared" si="60"/>
        <v>0.62707094259196861</v>
      </c>
      <c r="J133" s="215">
        <f t="shared" si="60"/>
        <v>0.61577304032149616</v>
      </c>
      <c r="K133" s="215">
        <f t="shared" si="60"/>
        <v>0.61896662747074294</v>
      </c>
      <c r="L133" s="215">
        <f t="shared" si="60"/>
        <v>0.60199517991390994</v>
      </c>
      <c r="M133" s="215">
        <f>M35/M29</f>
        <v>0.60272456953184417</v>
      </c>
      <c r="N133" s="121"/>
    </row>
    <row r="134" spans="1:14">
      <c r="A134" s="121" t="s">
        <v>64</v>
      </c>
      <c r="B134" s="121"/>
      <c r="C134" s="215">
        <f>SUM(C130:C133)</f>
        <v>1</v>
      </c>
      <c r="D134" s="215">
        <f t="shared" ref="D134:M134" si="61">SUM(D130:D133)</f>
        <v>1</v>
      </c>
      <c r="E134" s="215">
        <f t="shared" si="61"/>
        <v>1</v>
      </c>
      <c r="F134" s="215">
        <f t="shared" si="61"/>
        <v>1</v>
      </c>
      <c r="G134" s="215">
        <f t="shared" si="61"/>
        <v>1</v>
      </c>
      <c r="H134" s="215">
        <f t="shared" si="61"/>
        <v>1</v>
      </c>
      <c r="I134" s="215">
        <f t="shared" si="61"/>
        <v>1</v>
      </c>
      <c r="J134" s="215">
        <f t="shared" si="61"/>
        <v>1</v>
      </c>
      <c r="K134" s="215">
        <f t="shared" si="61"/>
        <v>0.99999999999999989</v>
      </c>
      <c r="L134" s="215">
        <f t="shared" si="61"/>
        <v>1</v>
      </c>
      <c r="M134" s="215">
        <f t="shared" si="61"/>
        <v>0.99999999999999989</v>
      </c>
      <c r="N134" s="121"/>
    </row>
    <row r="135" spans="1:14">
      <c r="A135" s="121"/>
      <c r="B135" s="121"/>
      <c r="C135" s="121"/>
      <c r="D135" s="121"/>
      <c r="E135" s="121"/>
      <c r="F135" s="121"/>
      <c r="G135" s="121"/>
      <c r="H135" s="121"/>
      <c r="I135" s="121"/>
      <c r="J135" s="121"/>
      <c r="K135" s="121"/>
      <c r="L135" s="121"/>
      <c r="M135" s="121"/>
      <c r="N135" s="121"/>
    </row>
    <row r="136" spans="1:14">
      <c r="A136" s="121"/>
      <c r="B136" s="121"/>
      <c r="C136" s="121"/>
      <c r="D136" s="121"/>
      <c r="E136" s="121"/>
      <c r="F136" s="121"/>
      <c r="G136" s="121"/>
      <c r="H136" s="121"/>
      <c r="I136" s="121"/>
      <c r="J136" s="121"/>
      <c r="K136" s="121"/>
      <c r="L136" s="121"/>
      <c r="M136" s="121"/>
      <c r="N136" s="121"/>
    </row>
    <row r="137" spans="1:14">
      <c r="A137" s="219" t="s">
        <v>399</v>
      </c>
      <c r="B137" s="121"/>
      <c r="C137" s="231">
        <f t="shared" ref="C137:L137" si="62">C4</f>
        <v>39873</v>
      </c>
      <c r="D137" s="231">
        <f t="shared" si="62"/>
        <v>40238</v>
      </c>
      <c r="E137" s="231">
        <f t="shared" si="62"/>
        <v>40603</v>
      </c>
      <c r="F137" s="231">
        <f t="shared" si="62"/>
        <v>40969</v>
      </c>
      <c r="G137" s="231">
        <f t="shared" si="62"/>
        <v>41334</v>
      </c>
      <c r="H137" s="231">
        <f t="shared" si="62"/>
        <v>41699</v>
      </c>
      <c r="I137" s="231">
        <f t="shared" si="62"/>
        <v>42064</v>
      </c>
      <c r="J137" s="231">
        <f t="shared" si="62"/>
        <v>42430</v>
      </c>
      <c r="K137" s="231">
        <f t="shared" si="62"/>
        <v>42795</v>
      </c>
      <c r="L137" s="231">
        <f t="shared" si="62"/>
        <v>43160</v>
      </c>
      <c r="M137" s="121" t="s">
        <v>461</v>
      </c>
      <c r="N137" s="121"/>
    </row>
    <row r="138" spans="1:14" ht="39">
      <c r="A138" s="249" t="s">
        <v>400</v>
      </c>
      <c r="B138" s="121"/>
      <c r="C138" s="250">
        <f>C26/C50</f>
        <v>7.2713226073834774</v>
      </c>
      <c r="D138" s="250">
        <f t="shared" ref="D138:L138" si="63">D26/AVERAGE(C50:D50)</f>
        <v>7.7803990307779554</v>
      </c>
      <c r="E138" s="250">
        <f t="shared" si="63"/>
        <v>9.1799289007498288</v>
      </c>
      <c r="F138" s="250">
        <f t="shared" si="63"/>
        <v>9.7148094361008788</v>
      </c>
      <c r="G138" s="250">
        <f t="shared" si="63"/>
        <v>9.0882389673741351</v>
      </c>
      <c r="H138" s="250">
        <f t="shared" si="63"/>
        <v>8.7260207398430953</v>
      </c>
      <c r="I138" s="250">
        <f t="shared" si="63"/>
        <v>9.2907794710521028</v>
      </c>
      <c r="J138" s="250">
        <f t="shared" si="63"/>
        <v>9.3598430594490356</v>
      </c>
      <c r="K138" s="250">
        <f t="shared" si="63"/>
        <v>8.5811404444065342</v>
      </c>
      <c r="L138" s="250">
        <f t="shared" si="63"/>
        <v>7.9134974197693948</v>
      </c>
      <c r="M138" s="326">
        <f>M26/AVERAGE(K50:L50)</f>
        <v>8.1371014411775278</v>
      </c>
      <c r="N138" s="121"/>
    </row>
    <row r="139" spans="1:14">
      <c r="A139" s="251" t="s">
        <v>401</v>
      </c>
      <c r="B139" s="121"/>
      <c r="C139" s="215">
        <f t="shared" ref="C139:L139" si="64">C35/C26</f>
        <v>4.1867983152258079E-2</v>
      </c>
      <c r="D139" s="215">
        <f t="shared" si="64"/>
        <v>2.7326387324372994E-2</v>
      </c>
      <c r="E139" s="215">
        <f t="shared" si="64"/>
        <v>2.9116714178479598E-2</v>
      </c>
      <c r="F139" s="215">
        <f t="shared" si="64"/>
        <v>3.6411399777954753E-2</v>
      </c>
      <c r="G139" s="215">
        <f t="shared" si="64"/>
        <v>4.2014999814078538E-2</v>
      </c>
      <c r="H139" s="215">
        <f t="shared" si="64"/>
        <v>5.7248170399163363E-2</v>
      </c>
      <c r="I139" s="215">
        <f t="shared" si="64"/>
        <v>8.7610486586362168E-2</v>
      </c>
      <c r="J139" s="215">
        <f t="shared" si="64"/>
        <v>9.8170468118653362E-2</v>
      </c>
      <c r="K139" s="215">
        <f t="shared" si="64"/>
        <v>9.7671880884771398E-2</v>
      </c>
      <c r="L139" s="215">
        <f t="shared" si="64"/>
        <v>0.10128515360616663</v>
      </c>
      <c r="M139" s="215"/>
      <c r="N139" s="121"/>
    </row>
    <row r="140" spans="1:14" ht="26.25">
      <c r="A140" s="249" t="s">
        <v>402</v>
      </c>
      <c r="B140" s="121"/>
      <c r="C140" s="215">
        <f t="shared" ref="C140:L140" si="65">C36/C35</f>
        <v>0.66713208600949503</v>
      </c>
      <c r="D140" s="215">
        <f t="shared" si="65"/>
        <v>0.57934044616876756</v>
      </c>
      <c r="E140" s="215">
        <f t="shared" si="65"/>
        <v>0.57849638626033706</v>
      </c>
      <c r="F140" s="215">
        <f t="shared" si="65"/>
        <v>0.50833625394282367</v>
      </c>
      <c r="G140" s="215">
        <f t="shared" si="65"/>
        <v>0.39102662767431196</v>
      </c>
      <c r="H140" s="215">
        <f t="shared" si="65"/>
        <v>0.36372365694647946</v>
      </c>
      <c r="I140" s="215">
        <f t="shared" si="65"/>
        <v>0.27875900534510795</v>
      </c>
      <c r="J140" s="215">
        <f t="shared" si="65"/>
        <v>0.29113494104517457</v>
      </c>
      <c r="K140" s="215">
        <f t="shared" si="65"/>
        <v>0.29853109133468275</v>
      </c>
      <c r="L140" s="215">
        <f t="shared" si="65"/>
        <v>0.29889258469934477</v>
      </c>
      <c r="M140" s="121"/>
      <c r="N140" s="121"/>
    </row>
    <row r="141" spans="1:14" ht="26.25">
      <c r="A141" s="249" t="s">
        <v>403</v>
      </c>
      <c r="B141" s="121"/>
      <c r="C141" s="215">
        <f t="shared" ref="C141:L141" si="66">C30/C50</f>
        <v>0.14008203863892371</v>
      </c>
      <c r="D141" s="215">
        <f t="shared" si="66"/>
        <v>0.11661393038811231</v>
      </c>
      <c r="E141" s="215">
        <f t="shared" si="66"/>
        <v>0.12856265721246213</v>
      </c>
      <c r="F141" s="215">
        <f t="shared" si="66"/>
        <v>9.9024648056503142E-2</v>
      </c>
      <c r="G141" s="215">
        <f t="shared" si="66"/>
        <v>9.9280673181324663E-2</v>
      </c>
      <c r="H141" s="215">
        <f t="shared" si="66"/>
        <v>9.8137070989511438E-2</v>
      </c>
      <c r="I141" s="215">
        <f t="shared" si="66"/>
        <v>0.17117063750636793</v>
      </c>
      <c r="J141" s="215">
        <f t="shared" si="66"/>
        <v>0.11934879609361845</v>
      </c>
      <c r="K141" s="215">
        <f t="shared" si="66"/>
        <v>0.10281985189527496</v>
      </c>
      <c r="L141" s="215">
        <f t="shared" si="66"/>
        <v>0.10558115338882283</v>
      </c>
      <c r="M141" s="121"/>
      <c r="N141" s="121"/>
    </row>
    <row r="142" spans="1:14">
      <c r="A142" s="249" t="s">
        <v>399</v>
      </c>
      <c r="B142" s="121"/>
      <c r="C142" s="215"/>
      <c r="D142" s="215"/>
      <c r="E142" s="252">
        <f t="shared" ref="E142" si="67">AVERAGE(C138:E138)*AVERAGE(C139:E139)*(1-AVERAGE(C140:E140))-AVERAGE(C141:E141)</f>
        <v>-2.474525080189767E-2</v>
      </c>
      <c r="F142" s="252">
        <f t="shared" ref="F142" si="68">AVERAGE(D138:F138)*AVERAGE(D139:F139)*(1-AVERAGE(D140:F140))-AVERAGE(D141:F141)</f>
        <v>7.6279086613136454E-3</v>
      </c>
      <c r="G142" s="252">
        <f t="shared" ref="G142:K142" si="69">AVERAGE(E138:G138)*AVERAGE(E139:G139)*(1-AVERAGE(E140:G140))-AVERAGE(E141:G141)</f>
        <v>6.0699361516716219E-2</v>
      </c>
      <c r="H142" s="252">
        <f t="shared" si="69"/>
        <v>0.14145855188269518</v>
      </c>
      <c r="I142" s="252">
        <f t="shared" si="69"/>
        <v>0.24605215893165205</v>
      </c>
      <c r="J142" s="252">
        <f t="shared" si="69"/>
        <v>0.3796443785544481</v>
      </c>
      <c r="K142" s="252">
        <f t="shared" si="69"/>
        <v>0.47827422081693771</v>
      </c>
      <c r="L142" s="252">
        <f>AVERAGE(J138:L138)*AVERAGE(J139:L139)*(1-AVERAGE(J140:L140))-AVERAGE(J141:L141)</f>
        <v>0.49150028915503041</v>
      </c>
      <c r="M142" s="121"/>
      <c r="N142" s="121"/>
    </row>
    <row r="143" spans="1:14">
      <c r="A143" s="249"/>
      <c r="B143" s="121"/>
      <c r="C143" s="215"/>
      <c r="D143" s="215"/>
      <c r="E143" s="215"/>
      <c r="F143" s="215"/>
      <c r="G143" s="215"/>
      <c r="H143" s="215"/>
      <c r="I143" s="215"/>
      <c r="J143" s="215"/>
      <c r="K143" s="215"/>
      <c r="L143" s="215"/>
      <c r="M143" s="121"/>
      <c r="N143" s="121"/>
    </row>
    <row r="144" spans="1:14">
      <c r="A144" s="249"/>
      <c r="B144" s="121"/>
      <c r="C144" s="215"/>
      <c r="D144" s="215"/>
      <c r="E144" s="215"/>
      <c r="F144" s="215"/>
      <c r="G144" s="215"/>
      <c r="H144" s="215"/>
      <c r="I144" s="215"/>
      <c r="J144" s="215"/>
      <c r="K144" s="215"/>
      <c r="L144" s="215"/>
      <c r="M144" s="121"/>
      <c r="N144" s="121"/>
    </row>
    <row r="145" spans="1:14">
      <c r="A145" s="249"/>
      <c r="B145" s="121"/>
      <c r="C145" s="215"/>
      <c r="D145" s="215"/>
      <c r="E145" s="215"/>
      <c r="F145" s="215"/>
      <c r="G145" s="215"/>
      <c r="H145" s="215"/>
      <c r="I145" s="215"/>
      <c r="J145" s="215"/>
      <c r="K145" s="215"/>
      <c r="L145" s="215"/>
      <c r="M145" s="121"/>
      <c r="N145" s="121"/>
    </row>
    <row r="146" spans="1:14">
      <c r="A146" s="249"/>
      <c r="B146" s="121"/>
      <c r="C146" s="215"/>
      <c r="D146" s="215"/>
      <c r="E146" s="215"/>
      <c r="F146" s="215"/>
      <c r="G146" s="215"/>
      <c r="H146" s="215"/>
      <c r="I146" s="215"/>
      <c r="J146" s="215"/>
      <c r="K146" s="215"/>
      <c r="L146" s="215"/>
      <c r="M146" s="121"/>
      <c r="N146" s="121"/>
    </row>
    <row r="147" spans="1:14">
      <c r="A147" s="249"/>
      <c r="B147" s="121"/>
      <c r="C147" s="215"/>
      <c r="D147" s="215"/>
      <c r="E147" s="215"/>
      <c r="F147" s="215"/>
      <c r="G147" s="215"/>
      <c r="H147" s="215"/>
      <c r="I147" s="215"/>
      <c r="J147" s="215"/>
      <c r="K147" s="215"/>
      <c r="L147" s="215"/>
      <c r="M147" s="121"/>
      <c r="N147" s="121"/>
    </row>
    <row r="148" spans="1:14">
      <c r="A148" s="249"/>
      <c r="B148" s="121"/>
      <c r="C148" s="215"/>
      <c r="D148" s="215"/>
      <c r="E148" s="215"/>
      <c r="F148" s="215"/>
      <c r="G148" s="215"/>
      <c r="H148" s="215"/>
      <c r="I148" s="215"/>
      <c r="J148" s="215"/>
      <c r="K148" s="215"/>
      <c r="L148" s="215"/>
      <c r="M148" s="121"/>
      <c r="N148" s="121"/>
    </row>
    <row r="149" spans="1:14">
      <c r="A149" s="249"/>
      <c r="B149" s="121"/>
      <c r="C149" s="215"/>
      <c r="D149" s="215"/>
      <c r="E149" s="215"/>
      <c r="F149" s="215"/>
      <c r="G149" s="215"/>
      <c r="H149" s="215"/>
      <c r="I149" s="215"/>
      <c r="J149" s="215"/>
      <c r="K149" s="215"/>
      <c r="L149" s="215"/>
      <c r="M149" s="121"/>
      <c r="N149" s="121"/>
    </row>
    <row r="150" spans="1:14">
      <c r="A150" s="249"/>
      <c r="B150" s="121"/>
      <c r="C150" s="215"/>
      <c r="D150" s="215"/>
      <c r="E150" s="215"/>
      <c r="F150" s="215"/>
      <c r="G150" s="215"/>
      <c r="H150" s="215"/>
      <c r="I150" s="215"/>
      <c r="J150" s="215"/>
      <c r="K150" s="215"/>
      <c r="L150" s="215"/>
      <c r="M150" s="121"/>
      <c r="N150" s="121"/>
    </row>
    <row r="151" spans="1:14">
      <c r="A151" s="249"/>
      <c r="B151" s="121"/>
      <c r="C151" s="215"/>
      <c r="D151" s="215"/>
      <c r="E151" s="215"/>
      <c r="F151" s="215"/>
      <c r="G151" s="215"/>
      <c r="H151" s="215"/>
      <c r="I151" s="215"/>
      <c r="J151" s="215"/>
      <c r="K151" s="215"/>
      <c r="L151" s="215"/>
      <c r="M151" s="121"/>
      <c r="N151" s="121"/>
    </row>
    <row r="152" spans="1:14">
      <c r="A152" s="249"/>
      <c r="B152" s="121"/>
      <c r="C152" s="215"/>
      <c r="D152" s="215"/>
      <c r="E152" s="215"/>
      <c r="F152" s="215"/>
      <c r="G152" s="215"/>
      <c r="H152" s="215"/>
      <c r="I152" s="215"/>
      <c r="J152" s="215"/>
      <c r="K152" s="215"/>
      <c r="L152" s="215"/>
      <c r="M152" s="121"/>
      <c r="N152" s="121"/>
    </row>
    <row r="153" spans="1:14">
      <c r="A153" s="121"/>
      <c r="B153" s="121"/>
      <c r="C153" s="121"/>
      <c r="D153" s="121"/>
      <c r="E153" s="121"/>
      <c r="F153" s="121"/>
      <c r="G153" s="121"/>
      <c r="H153" s="121"/>
      <c r="I153" s="121"/>
      <c r="J153" s="121"/>
      <c r="K153" s="121"/>
      <c r="L153" s="121"/>
      <c r="M153" s="121"/>
      <c r="N153" s="121"/>
    </row>
    <row r="155" spans="1:14">
      <c r="A155" s="219" t="s">
        <v>315</v>
      </c>
      <c r="C155" s="230">
        <f t="shared" ref="C155:L155" si="70">C4</f>
        <v>39873</v>
      </c>
      <c r="D155" s="230">
        <f t="shared" si="70"/>
        <v>40238</v>
      </c>
      <c r="E155" s="230">
        <f t="shared" si="70"/>
        <v>40603</v>
      </c>
      <c r="F155" s="230">
        <f t="shared" si="70"/>
        <v>40969</v>
      </c>
      <c r="G155" s="230">
        <f t="shared" si="70"/>
        <v>41334</v>
      </c>
      <c r="H155" s="230">
        <f t="shared" si="70"/>
        <v>41699</v>
      </c>
      <c r="I155" s="230">
        <f t="shared" si="70"/>
        <v>42064</v>
      </c>
      <c r="J155" s="230">
        <f t="shared" si="70"/>
        <v>42430</v>
      </c>
      <c r="K155" s="230">
        <f t="shared" si="70"/>
        <v>42795</v>
      </c>
      <c r="L155" s="230">
        <f t="shared" si="70"/>
        <v>43160</v>
      </c>
      <c r="M155" s="230"/>
      <c r="N155" s="230"/>
    </row>
    <row r="156" spans="1:14">
      <c r="A156" s="121" t="s">
        <v>346</v>
      </c>
      <c r="C156" s="220">
        <f>'Screener Input'!B62</f>
        <v>470.51</v>
      </c>
      <c r="D156" s="220">
        <f>'Screener Input'!C62</f>
        <v>499.34</v>
      </c>
      <c r="E156" s="220">
        <f>'Screener Input'!D62</f>
        <v>504.89</v>
      </c>
      <c r="F156" s="220">
        <f>'Screener Input'!E62</f>
        <v>624.39</v>
      </c>
      <c r="G156" s="220">
        <f>'Screener Input'!F62</f>
        <v>736.8</v>
      </c>
      <c r="H156" s="220">
        <f>'Screener Input'!G62</f>
        <v>847.59</v>
      </c>
      <c r="I156" s="220">
        <f>'Screener Input'!H62</f>
        <v>844.07</v>
      </c>
      <c r="J156" s="220">
        <f>'Screener Input'!I62</f>
        <v>950.24</v>
      </c>
      <c r="K156" s="220">
        <f>'Screener Input'!J62</f>
        <v>1159.99</v>
      </c>
      <c r="L156" s="220">
        <f>'Screener Input'!K62</f>
        <v>1345.6</v>
      </c>
      <c r="M156" s="220"/>
      <c r="N156" s="220"/>
    </row>
    <row r="157" spans="1:14">
      <c r="A157" s="121" t="s">
        <v>346</v>
      </c>
      <c r="B157" s="121"/>
      <c r="C157" s="215">
        <f>'Screener Input'!B62/'Screener Input'!B66</f>
        <v>0.31215211204065524</v>
      </c>
      <c r="D157" s="215">
        <f>'Screener Input'!C62/'Screener Input'!C66</f>
        <v>0.32443214304277768</v>
      </c>
      <c r="E157" s="215">
        <f>'Screener Input'!D62/'Screener Input'!D66</f>
        <v>0.3071704954735715</v>
      </c>
      <c r="F157" s="215">
        <f>'Screener Input'!E62/'Screener Input'!E66</f>
        <v>0.33436865752368305</v>
      </c>
      <c r="G157" s="215">
        <f>'Screener Input'!F62/'Screener Input'!F66</f>
        <v>0.38565013032964501</v>
      </c>
      <c r="H157" s="215">
        <f>'Screener Input'!G62/'Screener Input'!G66</f>
        <v>0.39569104362643259</v>
      </c>
      <c r="I157" s="215">
        <f>'Screener Input'!H62/'Screener Input'!H66</f>
        <v>0.29970777364707724</v>
      </c>
      <c r="J157" s="215">
        <f>'Screener Input'!I62/'Screener Input'!I66</f>
        <v>0.26915472771253607</v>
      </c>
      <c r="K157" s="215">
        <f>'Screener Input'!J62/'Screener Input'!J66</f>
        <v>0.27904632690077896</v>
      </c>
      <c r="L157" s="215">
        <f>'Screener Input'!K62/'Screener Input'!K66</f>
        <v>0.25666311249802104</v>
      </c>
      <c r="M157" s="215"/>
      <c r="N157" s="215"/>
    </row>
    <row r="158" spans="1:14">
      <c r="A158" s="121" t="s">
        <v>347</v>
      </c>
      <c r="B158" s="121"/>
      <c r="C158" s="215">
        <f>'Screener Input'!B64/'Screener Input'!B66</f>
        <v>0.25034000968612957</v>
      </c>
      <c r="D158" s="215">
        <f>'Screener Input'!C64/'Screener Input'!C66</f>
        <v>0.23808410000519778</v>
      </c>
      <c r="E158" s="215">
        <f>'Screener Input'!D64/'Screener Input'!D66</f>
        <v>0.23636595931081475</v>
      </c>
      <c r="F158" s="215">
        <f>'Screener Input'!E64/'Screener Input'!E66</f>
        <v>0.13308021441920992</v>
      </c>
      <c r="G158" s="215">
        <f>'Screener Input'!F64/'Screener Input'!F66</f>
        <v>5.6633203178159057E-2</v>
      </c>
      <c r="H158" s="215">
        <f>'Screener Input'!G64/'Screener Input'!G66</f>
        <v>9.2374127588058158E-2</v>
      </c>
      <c r="I158" s="215">
        <f>'Screener Input'!H64/'Screener Input'!H66</f>
        <v>0.18390731134001587</v>
      </c>
      <c r="J158" s="215">
        <f>'Screener Input'!I64/'Screener Input'!I66</f>
        <v>0.22330801085410965</v>
      </c>
      <c r="K158" s="215">
        <f>'Screener Input'!J64/'Screener Input'!J66</f>
        <v>0.11711627190893391</v>
      </c>
      <c r="L158" s="215">
        <f>'Screener Input'!K64/'Screener Input'!K66</f>
        <v>0.20586456900777655</v>
      </c>
      <c r="M158" s="215"/>
      <c r="N158" s="215"/>
    </row>
    <row r="159" spans="1:14">
      <c r="A159" s="121" t="s">
        <v>350</v>
      </c>
      <c r="B159" s="121"/>
      <c r="C159" s="215">
        <f>'Screener Input'!B68/'Screener Input'!B66</f>
        <v>0.19152662690488353</v>
      </c>
      <c r="D159" s="215">
        <f>'Screener Input'!C68/'Screener Input'!C66</f>
        <v>0.19765190498466656</v>
      </c>
      <c r="E159" s="215">
        <f>'Screener Input'!D68/'Screener Input'!D66</f>
        <v>0.2110812323566631</v>
      </c>
      <c r="F159" s="215">
        <f>'Screener Input'!E68/'Screener Input'!E66</f>
        <v>0.2312128822889947</v>
      </c>
      <c r="G159" s="215">
        <f>'Screener Input'!F68/'Screener Input'!F66</f>
        <v>0.19610685984067333</v>
      </c>
      <c r="H159" s="215">
        <f>'Screener Input'!G68/'Screener Input'!G66</f>
        <v>0.19619990196307274</v>
      </c>
      <c r="I159" s="215">
        <f>'Screener Input'!H68/'Screener Input'!H66</f>
        <v>0.14346432033405415</v>
      </c>
      <c r="J159" s="215">
        <f>'Screener Input'!I68/'Screener Input'!I66</f>
        <v>0.12481376364553061</v>
      </c>
      <c r="K159" s="215">
        <f>'Screener Input'!J68/'Screener Input'!J66</f>
        <v>0.15911791733421862</v>
      </c>
      <c r="L159" s="215">
        <f>'Screener Input'!K68/'Screener Input'!K66</f>
        <v>0.12451479875712183</v>
      </c>
      <c r="M159" s="215"/>
      <c r="N159" s="215"/>
    </row>
    <row r="160" spans="1:14">
      <c r="A160" s="121" t="s">
        <v>351</v>
      </c>
      <c r="B160" s="121"/>
      <c r="C160" s="215">
        <f>'Screener Input'!B67/'Screener Input'!B66</f>
        <v>4.9094081509443978E-2</v>
      </c>
      <c r="D160" s="215">
        <f>'Screener Input'!C67/'Screener Input'!C66</f>
        <v>4.7605125006497218E-2</v>
      </c>
      <c r="E160" s="215">
        <f>'Screener Input'!D67/'Screener Input'!D66</f>
        <v>4.9255329504526421E-2</v>
      </c>
      <c r="F160" s="215">
        <f>'Screener Input'!E67/'Screener Input'!E66</f>
        <v>6.0518269009355412E-2</v>
      </c>
      <c r="G160" s="215">
        <f>'Screener Input'!F67/'Screener Input'!F66</f>
        <v>6.4280255843897544E-2</v>
      </c>
      <c r="H160" s="215">
        <f>'Screener Input'!G67/'Screener Input'!G66</f>
        <v>5.0745780910809737E-2</v>
      </c>
      <c r="I160" s="215">
        <f>'Screener Input'!H67/'Screener Input'!H66</f>
        <v>4.8222674350479888E-2</v>
      </c>
      <c r="J160" s="215">
        <f>'Screener Input'!I67/'Screener Input'!I66</f>
        <v>4.8325147431212932E-2</v>
      </c>
      <c r="K160" s="215">
        <f>'Screener Input'!J67/'Screener Input'!J66</f>
        <v>4.3098595615085958E-2</v>
      </c>
      <c r="L160" s="215">
        <f>'Screener Input'!K67/'Screener Input'!K66</f>
        <v>5.8100166518205425E-2</v>
      </c>
      <c r="M160" s="215"/>
      <c r="N160" s="215"/>
    </row>
    <row r="161" spans="1:14">
      <c r="A161" s="121" t="s">
        <v>352</v>
      </c>
      <c r="B161" s="121"/>
      <c r="C161" s="215">
        <f>'Screener Input'!B69/'Screener Input'!B66</f>
        <v>4.5670764474461133E-2</v>
      </c>
      <c r="D161" s="215">
        <f>'Screener Input'!C69/'Screener Input'!C66</f>
        <v>2.7775612038047716E-2</v>
      </c>
      <c r="E161" s="215">
        <f>'Screener Input'!D69/'Screener Input'!D66</f>
        <v>4.6773094519614519E-2</v>
      </c>
      <c r="F161" s="215">
        <f>'Screener Input'!E69/'Screener Input'!E66</f>
        <v>3.284298237628322E-2</v>
      </c>
      <c r="G161" s="215">
        <f>'Screener Input'!F69/'Screener Input'!F66</f>
        <v>5.3874820731311571E-2</v>
      </c>
      <c r="H161" s="215">
        <f>'Screener Input'!G69/'Screener Input'!G66</f>
        <v>5.0918512639760972E-2</v>
      </c>
      <c r="I161" s="215">
        <f>'Screener Input'!H69/'Screener Input'!H66</f>
        <v>8.0364022426508447E-2</v>
      </c>
      <c r="J161" s="215">
        <f>'Screener Input'!I69/'Screener Input'!I66</f>
        <v>2.482679310911326E-2</v>
      </c>
      <c r="K161" s="215">
        <f>'Screener Input'!J69/'Screener Input'!J66</f>
        <v>2.9049935289561176E-2</v>
      </c>
      <c r="L161" s="215">
        <f>'Screener Input'!K69/'Screener Input'!K66</f>
        <v>3.5558217473157759E-2</v>
      </c>
      <c r="M161" s="215"/>
      <c r="N161" s="215"/>
    </row>
    <row r="162" spans="1:14">
      <c r="A162" s="121" t="s">
        <v>348</v>
      </c>
      <c r="B162" s="121"/>
      <c r="C162" s="215">
        <f>('Screener Input'!B66-'Screener Input'!B62-'Screener Input'!B64-'Screener Input'!B68-'Screener Input'!B67-'Screener Input'!B69)/'Screener Input'!B66</f>
        <v>0.1512164053844266</v>
      </c>
      <c r="D162" s="215">
        <f>('Screener Input'!C66-'Screener Input'!C62-'Screener Input'!C64-'Screener Input'!C68-'Screener Input'!C67-'Screener Input'!C69)/'Screener Input'!C66</f>
        <v>0.16445111492281303</v>
      </c>
      <c r="E162" s="215">
        <f>('Screener Input'!D66-'Screener Input'!D62-'Screener Input'!D64-'Screener Input'!D68-'Screener Input'!D67-'Screener Input'!D69)/'Screener Input'!D66</f>
        <v>0.14935388883480968</v>
      </c>
      <c r="F162" s="215">
        <f>('Screener Input'!E66-'Screener Input'!E62-'Screener Input'!E64-'Screener Input'!E68-'Screener Input'!E67-'Screener Input'!E69)/'Screener Input'!E66</f>
        <v>0.2079769943824738</v>
      </c>
      <c r="G162" s="215">
        <f>('Screener Input'!F66-'Screener Input'!F62-'Screener Input'!F64-'Screener Input'!F68-'Screener Input'!F67-'Screener Input'!F69)/'Screener Input'!F66</f>
        <v>0.24345473007631346</v>
      </c>
      <c r="H162" s="215">
        <f>('Screener Input'!G66-'Screener Input'!G62-'Screener Input'!G64-'Screener Input'!G68-'Screener Input'!G67-'Screener Input'!G69)/'Screener Input'!G66</f>
        <v>0.21407063327186579</v>
      </c>
      <c r="I162" s="215">
        <f>('Screener Input'!H66-'Screener Input'!H62-'Screener Input'!H64-'Screener Input'!H68-'Screener Input'!H67-'Screener Input'!H69)/'Screener Input'!H66</f>
        <v>0.24433389790186441</v>
      </c>
      <c r="J162" s="215">
        <f>('Screener Input'!I66-'Screener Input'!I62-'Screener Input'!I64-'Screener Input'!I68-'Screener Input'!I67-'Screener Input'!I69)/'Screener Input'!I66</f>
        <v>0.30957155724749746</v>
      </c>
      <c r="K162" s="215">
        <f>('Screener Input'!J66-'Screener Input'!J62-'Screener Input'!J64-'Screener Input'!J68-'Screener Input'!J67-'Screener Input'!J69)/'Screener Input'!J66</f>
        <v>0.37257095295142145</v>
      </c>
      <c r="L162" s="215">
        <f>('Screener Input'!K66-'Screener Input'!K62-'Screener Input'!K64-'Screener Input'!K68-'Screener Input'!K67-'Screener Input'!K69)/'Screener Input'!K66</f>
        <v>0.31929913574571733</v>
      </c>
      <c r="M162" s="215"/>
      <c r="N162" s="215"/>
    </row>
    <row r="164" spans="1:14">
      <c r="A164" s="221" t="s">
        <v>353</v>
      </c>
      <c r="C164" s="230">
        <f t="shared" ref="C164:L164" si="71">C4</f>
        <v>39873</v>
      </c>
      <c r="D164" s="230">
        <f t="shared" si="71"/>
        <v>40238</v>
      </c>
      <c r="E164" s="230">
        <f t="shared" si="71"/>
        <v>40603</v>
      </c>
      <c r="F164" s="230">
        <f t="shared" si="71"/>
        <v>40969</v>
      </c>
      <c r="G164" s="230">
        <f t="shared" si="71"/>
        <v>41334</v>
      </c>
      <c r="H164" s="230">
        <f t="shared" si="71"/>
        <v>41699</v>
      </c>
      <c r="I164" s="230">
        <f t="shared" si="71"/>
        <v>42064</v>
      </c>
      <c r="J164" s="230">
        <f t="shared" si="71"/>
        <v>42430</v>
      </c>
      <c r="K164" s="230">
        <f t="shared" si="71"/>
        <v>42795</v>
      </c>
      <c r="L164" s="230">
        <f t="shared" si="71"/>
        <v>43160</v>
      </c>
      <c r="M164" s="230"/>
      <c r="N164" s="230"/>
    </row>
    <row r="165" spans="1:14">
      <c r="A165" s="121" t="s">
        <v>354</v>
      </c>
      <c r="C165" s="222">
        <f>SUM('Screener Input'!B57:B58)/'Screener Input'!B61</f>
        <v>0.47858104835767029</v>
      </c>
      <c r="D165" s="222">
        <f>SUM('Screener Input'!C57:C58)/'Screener Input'!C61</f>
        <v>0.18374135869847708</v>
      </c>
      <c r="E165" s="222">
        <f>SUM('Screener Input'!D57:D58)/'Screener Input'!D61</f>
        <v>0.19835369414971282</v>
      </c>
      <c r="F165" s="222">
        <f>SUM('Screener Input'!E57:E58)/'Screener Input'!E61</f>
        <v>0.21911565463727059</v>
      </c>
      <c r="G165" s="222">
        <f>SUM('Screener Input'!F57:F58)/'Screener Input'!F61</f>
        <v>0.29079736618966362</v>
      </c>
      <c r="H165" s="222">
        <f>SUM('Screener Input'!G57:G58)/'Screener Input'!G61</f>
        <v>0.37259167619803457</v>
      </c>
      <c r="I165" s="222">
        <f>SUM('Screener Input'!H57:H58)/'Screener Input'!H61</f>
        <v>0.44210687033742729</v>
      </c>
      <c r="J165" s="222">
        <f>SUM('Screener Input'!I57:I58)/'Screener Input'!I61</f>
        <v>0.59246670405556212</v>
      </c>
      <c r="K165" s="222">
        <f>SUM('Screener Input'!J57:J58)/'Screener Input'!J61</f>
        <v>0.64864877868067694</v>
      </c>
      <c r="L165" s="222">
        <f>SUM('Screener Input'!K57:K58)/'Screener Input'!K61</f>
        <v>0.64971283716121742</v>
      </c>
      <c r="M165" s="222"/>
      <c r="N165" s="222"/>
    </row>
    <row r="166" spans="1:14">
      <c r="A166" s="121" t="s">
        <v>348</v>
      </c>
      <c r="C166" s="223">
        <f>1-C165</f>
        <v>0.52141895164232976</v>
      </c>
      <c r="D166" s="223">
        <f t="shared" ref="D166:L166" si="72">1-D165</f>
        <v>0.81625864130152292</v>
      </c>
      <c r="E166" s="223">
        <f t="shared" si="72"/>
        <v>0.80164630585028718</v>
      </c>
      <c r="F166" s="223">
        <f t="shared" si="72"/>
        <v>0.78088434536272944</v>
      </c>
      <c r="G166" s="223">
        <f t="shared" si="72"/>
        <v>0.70920263381033632</v>
      </c>
      <c r="H166" s="223">
        <f t="shared" si="72"/>
        <v>0.62740832380196543</v>
      </c>
      <c r="I166" s="223">
        <f t="shared" si="72"/>
        <v>0.55789312966257265</v>
      </c>
      <c r="J166" s="223">
        <f t="shared" si="72"/>
        <v>0.40753329594443788</v>
      </c>
      <c r="K166" s="223">
        <f t="shared" si="72"/>
        <v>0.35135122131932306</v>
      </c>
      <c r="L166" s="223">
        <f t="shared" si="72"/>
        <v>0.35028716283878258</v>
      </c>
      <c r="M166" s="223"/>
      <c r="N166" s="223"/>
    </row>
    <row r="170" spans="1:14">
      <c r="A170" s="221" t="s">
        <v>357</v>
      </c>
      <c r="C170" s="230">
        <f t="shared" ref="C170:L170" si="73">C4</f>
        <v>39873</v>
      </c>
      <c r="D170" s="230">
        <f t="shared" si="73"/>
        <v>40238</v>
      </c>
      <c r="E170" s="230">
        <f t="shared" si="73"/>
        <v>40603</v>
      </c>
      <c r="F170" s="230">
        <f t="shared" si="73"/>
        <v>40969</v>
      </c>
      <c r="G170" s="230">
        <f t="shared" si="73"/>
        <v>41334</v>
      </c>
      <c r="H170" s="230">
        <f t="shared" si="73"/>
        <v>41699</v>
      </c>
      <c r="I170" s="230">
        <f t="shared" si="73"/>
        <v>42064</v>
      </c>
      <c r="J170" s="230">
        <f t="shared" si="73"/>
        <v>42430</v>
      </c>
      <c r="K170" s="230">
        <f t="shared" si="73"/>
        <v>42795</v>
      </c>
      <c r="L170" s="230">
        <f t="shared" si="73"/>
        <v>43160</v>
      </c>
      <c r="M170" s="230"/>
      <c r="N170" s="230"/>
    </row>
    <row r="171" spans="1:14">
      <c r="A171" s="121" t="s">
        <v>349</v>
      </c>
      <c r="B171" s="121"/>
      <c r="C171" s="215">
        <f>IF(('Screener Input'!B18-'Screener Input'!B19)/('Screener Input'!B$17+'Screener Input'!B$25)&lt;0, 0, ('Screener Input'!B18-'Screener Input'!B19)/('Screener Input'!B$17+'Screener Input'!B$25))</f>
        <v>0.60476604974386061</v>
      </c>
      <c r="D171" s="215">
        <f>IF(('Screener Input'!C18-'Screener Input'!C19)/('Screener Input'!C$17+'Screener Input'!C$25)&lt;0, 0, ('Screener Input'!C18-'Screener Input'!C19)/('Screener Input'!C$17+'Screener Input'!C$25))</f>
        <v>0.62944285658353238</v>
      </c>
      <c r="E171" s="215">
        <f>IF(('Screener Input'!D18-'Screener Input'!D19)/('Screener Input'!D$17+'Screener Input'!D$25)&lt;0, 0, ('Screener Input'!D18-'Screener Input'!D19)/('Screener Input'!D$17+'Screener Input'!D$25))</f>
        <v>0.64853407705868615</v>
      </c>
      <c r="F171" s="215">
        <f>IF(('Screener Input'!E18-'Screener Input'!E19)/('Screener Input'!E$17+'Screener Input'!E$25)&lt;0, 0, ('Screener Input'!E18-'Screener Input'!E19)/('Screener Input'!E$17+'Screener Input'!E$25))</f>
        <v>0.63716541227268053</v>
      </c>
      <c r="G171" s="215">
        <f>IF(('Screener Input'!F18-'Screener Input'!F19)/('Screener Input'!F$17+'Screener Input'!F$25)&lt;0, 0, ('Screener Input'!F18-'Screener Input'!F19)/('Screener Input'!F$17+'Screener Input'!F$25))</f>
        <v>0.61903922150168733</v>
      </c>
      <c r="H171" s="215">
        <f>IF(('Screener Input'!G18-'Screener Input'!G19)/('Screener Input'!G$17+'Screener Input'!G$25)&lt;0, 0, ('Screener Input'!G18-'Screener Input'!G19)/('Screener Input'!G$17+'Screener Input'!G$25))</f>
        <v>0.60046643536846944</v>
      </c>
      <c r="I171" s="215">
        <f>IF(('Screener Input'!H18-'Screener Input'!H19)/('Screener Input'!H$17+'Screener Input'!H$25)&lt;0, 0, ('Screener Input'!H18-'Screener Input'!H19)/('Screener Input'!H$17+'Screener Input'!H$25))</f>
        <v>0.57878563586346421</v>
      </c>
      <c r="J171" s="215">
        <f>IF(('Screener Input'!I18-'Screener Input'!I19)/('Screener Input'!I$17+'Screener Input'!I$25)&lt;0, 0, ('Screener Input'!I18-'Screener Input'!I19)/('Screener Input'!I$17+'Screener Input'!I$25))</f>
        <v>0.5882383313892493</v>
      </c>
      <c r="K171" s="215">
        <f>IF(('Screener Input'!J18-'Screener Input'!J19)/('Screener Input'!J$17+'Screener Input'!J$25)&lt;0, 0, ('Screener Input'!J18-'Screener Input'!J19)/('Screener Input'!J$17+'Screener Input'!J$25))</f>
        <v>0.60715965769400826</v>
      </c>
      <c r="L171" s="215">
        <f>IF(('Screener Input'!K18-'Screener Input'!K19)/('Screener Input'!K$17+'Screener Input'!K$25)&lt;0, 0, ('Screener Input'!K18-'Screener Input'!K19)/('Screener Input'!K$17+'Screener Input'!K$25))</f>
        <v>0.60584145804316514</v>
      </c>
      <c r="M171" s="215"/>
      <c r="N171" s="215"/>
    </row>
    <row r="172" spans="1:14">
      <c r="A172" s="154" t="s">
        <v>257</v>
      </c>
      <c r="B172" s="121"/>
      <c r="C172" s="215">
        <f>IF(('Screener Input'!B20)/('Screener Input'!B$17+'Screener Input'!B$25)&lt;0, 0, ('Screener Input'!B20)/('Screener Input'!B$17+'Screener Input'!B$25))</f>
        <v>1.4691990467900512E-2</v>
      </c>
      <c r="D172" s="215">
        <f>IF(('Screener Input'!C20)/('Screener Input'!C$17+'Screener Input'!C$25)&lt;0, 0, ('Screener Input'!C20)/('Screener Input'!C$17+'Screener Input'!C$25))</f>
        <v>1.1868499014656175E-2</v>
      </c>
      <c r="E172" s="215">
        <f>IF(('Screener Input'!D20)/('Screener Input'!D$17+'Screener Input'!D$25)&lt;0, 0, ('Screener Input'!D20)/('Screener Input'!D$17+'Screener Input'!D$25))</f>
        <v>1.2111241777143724E-2</v>
      </c>
      <c r="F172" s="215">
        <f>IF(('Screener Input'!E20)/('Screener Input'!E$17+'Screener Input'!E$25)&lt;0, 0, ('Screener Input'!E20)/('Screener Input'!E$17+'Screener Input'!E$25))</f>
        <v>1.3142730376534626E-2</v>
      </c>
      <c r="G172" s="215">
        <f>IF(('Screener Input'!F20)/('Screener Input'!F$17+'Screener Input'!F$25)&lt;0, 0, ('Screener Input'!F20)/('Screener Input'!F$17+'Screener Input'!F$25))</f>
        <v>1.4590430691045507E-2</v>
      </c>
      <c r="H172" s="215">
        <f>IF(('Screener Input'!G20)/('Screener Input'!G$17+'Screener Input'!G$25)&lt;0, 0, ('Screener Input'!G20)/('Screener Input'!G$17+'Screener Input'!G$25))</f>
        <v>1.593942098671235E-2</v>
      </c>
      <c r="I172" s="215">
        <f>IF(('Screener Input'!H20)/('Screener Input'!H$17+'Screener Input'!H$25)&lt;0, 0, ('Screener Input'!H20)/('Screener Input'!H$17+'Screener Input'!H$25))</f>
        <v>1.3688119117229808E-2</v>
      </c>
      <c r="J172" s="215">
        <f>IF(('Screener Input'!I20)/('Screener Input'!I$17+'Screener Input'!I$25)&lt;0, 0, ('Screener Input'!I20)/('Screener Input'!I$17+'Screener Input'!I$25))</f>
        <v>1.1166943219449913E-2</v>
      </c>
      <c r="K172" s="215">
        <f>IF(('Screener Input'!J20)/('Screener Input'!J$17+'Screener Input'!J$25)&lt;0, 0, ('Screener Input'!J20)/('Screener Input'!J$17+'Screener Input'!J$25))</f>
        <v>1.1329081125477069E-2</v>
      </c>
      <c r="L172" s="215">
        <f>IF(('Screener Input'!K20)/('Screener Input'!K$17+'Screener Input'!K$25)&lt;0, 0, ('Screener Input'!K20)/('Screener Input'!K$17+'Screener Input'!K$25))</f>
        <v>1.2780297529056503E-2</v>
      </c>
      <c r="M172" s="215"/>
      <c r="N172" s="215"/>
    </row>
    <row r="173" spans="1:14">
      <c r="A173" s="154" t="s">
        <v>258</v>
      </c>
      <c r="B173" s="121"/>
      <c r="C173" s="215">
        <f>IF(('Screener Input'!B21)/('Screener Input'!B$17+'Screener Input'!B$25)&lt;0, 0, ('Screener Input'!B21)/('Screener Input'!B$17+'Screener Input'!B$25))</f>
        <v>7.3488491559525679E-2</v>
      </c>
      <c r="D173" s="215">
        <f>IF(('Screener Input'!C21)/('Screener Input'!C$17+'Screener Input'!C$25)&lt;0, 0, ('Screener Input'!C21)/('Screener Input'!C$17+'Screener Input'!C$25))</f>
        <v>7.3641073829006962E-2</v>
      </c>
      <c r="E173" s="215">
        <f>IF(('Screener Input'!D21)/('Screener Input'!D$17+'Screener Input'!D$25)&lt;0, 0, ('Screener Input'!D21)/('Screener Input'!D$17+'Screener Input'!D$25))</f>
        <v>6.8522552743022741E-2</v>
      </c>
      <c r="F173" s="215">
        <f>IF(('Screener Input'!E21)/('Screener Input'!E$17+'Screener Input'!E$25)&lt;0, 0, ('Screener Input'!E21)/('Screener Input'!E$17+'Screener Input'!E$25))</f>
        <v>7.0920604345559843E-2</v>
      </c>
      <c r="G173" s="215">
        <f>IF(('Screener Input'!F21)/('Screener Input'!F$17+'Screener Input'!F$25)&lt;0, 0, ('Screener Input'!F21)/('Screener Input'!F$17+'Screener Input'!F$25))</f>
        <v>7.4975351294157264E-2</v>
      </c>
      <c r="H173" s="215">
        <f>IF(('Screener Input'!G21)/('Screener Input'!G$17+'Screener Input'!G$25)&lt;0, 0, ('Screener Input'!G21)/('Screener Input'!G$17+'Screener Input'!G$25))</f>
        <v>7.341318399723594E-2</v>
      </c>
      <c r="I173" s="215">
        <f>IF(('Screener Input'!H21)/('Screener Input'!H$17+'Screener Input'!H$25)&lt;0, 0, ('Screener Input'!H21)/('Screener Input'!H$17+'Screener Input'!H$25))</f>
        <v>6.8549153127814164E-2</v>
      </c>
      <c r="J173" s="215">
        <f>IF(('Screener Input'!I21)/('Screener Input'!I$17+'Screener Input'!I$25)&lt;0, 0, ('Screener Input'!I21)/('Screener Input'!I$17+'Screener Input'!I$25))</f>
        <v>5.986565871587194E-2</v>
      </c>
      <c r="K173" s="215">
        <f>IF(('Screener Input'!J21)/('Screener Input'!J$17+'Screener Input'!J$25)&lt;0, 0, ('Screener Input'!J21)/('Screener Input'!J$17+'Screener Input'!J$25))</f>
        <v>5.5399293616364802E-2</v>
      </c>
      <c r="L173" s="215">
        <f>IF(('Screener Input'!K21)/('Screener Input'!K$17+'Screener Input'!K$25)&lt;0, 0, ('Screener Input'!K21)/('Screener Input'!K$17+'Screener Input'!K$25))</f>
        <v>4.8370296298941698E-2</v>
      </c>
      <c r="M173" s="215"/>
      <c r="N173" s="215"/>
    </row>
    <row r="174" spans="1:14">
      <c r="A174" s="154" t="s">
        <v>22</v>
      </c>
      <c r="B174" s="121"/>
      <c r="C174" s="215">
        <f>IF(('Screener Input'!B22)/('Screener Input'!B$17+'Screener Input'!B$25)&lt;0, 0, ('Screener Input'!B22)/('Screener Input'!B$17+'Screener Input'!B$25))</f>
        <v>4.5294596098688626E-2</v>
      </c>
      <c r="D174" s="215">
        <f>IF(('Screener Input'!C22)/('Screener Input'!C$17+'Screener Input'!C$25)&lt;0, 0, ('Screener Input'!C22)/('Screener Input'!C$17+'Screener Input'!C$25))</f>
        <v>4.2940109366639265E-2</v>
      </c>
      <c r="E174" s="215">
        <f>IF(('Screener Input'!D22)/('Screener Input'!D$17+'Screener Input'!D$25)&lt;0, 0, ('Screener Input'!D22)/('Screener Input'!D$17+'Screener Input'!D$25))</f>
        <v>3.8019531358776795E-2</v>
      </c>
      <c r="F174" s="215">
        <f>IF(('Screener Input'!E22)/('Screener Input'!E$17+'Screener Input'!E$25)&lt;0, 0, ('Screener Input'!E22)/('Screener Input'!E$17+'Screener Input'!E$25))</f>
        <v>3.8082716056062664E-2</v>
      </c>
      <c r="G174" s="215">
        <f>IF(('Screener Input'!F22)/('Screener Input'!F$17+'Screener Input'!F$25)&lt;0, 0, ('Screener Input'!F22)/('Screener Input'!F$17+'Screener Input'!F$25))</f>
        <v>3.6351831218487736E-2</v>
      </c>
      <c r="H174" s="215">
        <f>IF(('Screener Input'!G22)/('Screener Input'!G$17+'Screener Input'!G$25)&lt;0, 0, ('Screener Input'!G22)/('Screener Input'!G$17+'Screener Input'!G$25))</f>
        <v>3.781293638339836E-2</v>
      </c>
      <c r="I174" s="215">
        <f>IF(('Screener Input'!H22)/('Screener Input'!H$17+'Screener Input'!H$25)&lt;0, 0, ('Screener Input'!H22)/('Screener Input'!H$17+'Screener Input'!H$25))</f>
        <v>3.6322366554408299E-2</v>
      </c>
      <c r="J174" s="215">
        <f>IF(('Screener Input'!I22)/('Screener Input'!I$17+'Screener Input'!I$25)&lt;0, 0, ('Screener Input'!I22)/('Screener Input'!I$17+'Screener Input'!I$25))</f>
        <v>4.0058299047829163E-2</v>
      </c>
      <c r="K174" s="215">
        <f>IF(('Screener Input'!J22)/('Screener Input'!J$17+'Screener Input'!J$25)&lt;0, 0, ('Screener Input'!J22)/('Screener Input'!J$17+'Screener Input'!J$25))</f>
        <v>3.8307895048470167E-2</v>
      </c>
      <c r="L174" s="215">
        <f>IF(('Screener Input'!K22)/('Screener Input'!K$17+'Screener Input'!K$25)&lt;0, 0, ('Screener Input'!K22)/('Screener Input'!K$17+'Screener Input'!K$25))</f>
        <v>3.9839846989591643E-2</v>
      </c>
      <c r="M174" s="215"/>
      <c r="N174" s="215"/>
    </row>
    <row r="175" spans="1:14">
      <c r="A175" s="154" t="s">
        <v>259</v>
      </c>
      <c r="B175" s="121"/>
      <c r="C175" s="215">
        <f>IF(('Screener Input'!B23)/('Screener Input'!B$17+'Screener Input'!B$25)&lt;0, 0, ('Screener Input'!B23)/('Screener Input'!B$17+'Screener Input'!B$25))</f>
        <v>0.1426361677535353</v>
      </c>
      <c r="D175" s="215">
        <f>IF(('Screener Input'!C23)/('Screener Input'!C$17+'Screener Input'!C$25)&lt;0, 0, ('Screener Input'!C23)/('Screener Input'!C$17+'Screener Input'!C$25))</f>
        <v>0.15737050232958774</v>
      </c>
      <c r="E175" s="215">
        <f>IF(('Screener Input'!D23)/('Screener Input'!D$17+'Screener Input'!D$25)&lt;0, 0, ('Screener Input'!D23)/('Screener Input'!D$17+'Screener Input'!D$25))</f>
        <v>0.14222462133626368</v>
      </c>
      <c r="F175" s="215">
        <f>IF(('Screener Input'!E23)/('Screener Input'!E$17+'Screener Input'!E$25)&lt;0, 0, ('Screener Input'!E23)/('Screener Input'!E$17+'Screener Input'!E$25))</f>
        <v>0.14185563737823539</v>
      </c>
      <c r="G175" s="215">
        <f>IF(('Screener Input'!F23)/('Screener Input'!F$17+'Screener Input'!F$25)&lt;0, 0, ('Screener Input'!F23)/('Screener Input'!F$17+'Screener Input'!F$25))</f>
        <v>0.14759244266670943</v>
      </c>
      <c r="H175" s="215">
        <f>IF(('Screener Input'!G23)/('Screener Input'!G$17+'Screener Input'!G$25)&lt;0, 0, ('Screener Input'!G23)/('Screener Input'!G$17+'Screener Input'!G$25))</f>
        <v>0.1484085052473979</v>
      </c>
      <c r="I175" s="215">
        <f>IF(('Screener Input'!H23)/('Screener Input'!H$17+'Screener Input'!H$25)&lt;0, 0, ('Screener Input'!H23)/('Screener Input'!H$17+'Screener Input'!H$25))</f>
        <v>0.13928302678163895</v>
      </c>
      <c r="J175" s="215">
        <f>IF(('Screener Input'!I23)/('Screener Input'!I$17+'Screener Input'!I$25)&lt;0, 0, ('Screener Input'!I23)/('Screener Input'!I$17+'Screener Input'!I$25))</f>
        <v>0.11227612719706909</v>
      </c>
      <c r="K175" s="215">
        <f>IF(('Screener Input'!J23)/('Screener Input'!J$17+'Screener Input'!J$25)&lt;0, 0, ('Screener Input'!J23)/('Screener Input'!J$17+'Screener Input'!J$25))</f>
        <v>9.9407580750122487E-2</v>
      </c>
      <c r="L175" s="215">
        <f>IF(('Screener Input'!K23)/('Screener Input'!K$17+'Screener Input'!K$25)&lt;0, 0, ('Screener Input'!K23)/('Screener Input'!K$17+'Screener Input'!K$25))</f>
        <v>9.4587891702280477E-2</v>
      </c>
      <c r="M175" s="215"/>
      <c r="N175" s="215"/>
    </row>
    <row r="176" spans="1:14">
      <c r="A176" s="154" t="s">
        <v>260</v>
      </c>
      <c r="B176" s="121"/>
      <c r="C176" s="215">
        <f>IF(('Screener Input'!B24)/('Screener Input'!B$17+'Screener Input'!B$25)&lt;0, 0, ('Screener Input'!B24)/('Screener Input'!B$17+'Screener Input'!B$25))</f>
        <v>3.5037600422380459E-2</v>
      </c>
      <c r="D176" s="215">
        <f>IF(('Screener Input'!C24)/('Screener Input'!C$17+'Screener Input'!C$25)&lt;0, 0, ('Screener Input'!C24)/('Screener Input'!C$17+'Screener Input'!C$25))</f>
        <v>3.5080850397400262E-2</v>
      </c>
      <c r="E176" s="215">
        <f>IF(('Screener Input'!D24)/('Screener Input'!D$17+'Screener Input'!D$25)&lt;0, 0, ('Screener Input'!D24)/('Screener Input'!D$17+'Screener Input'!D$25))</f>
        <v>2.7249222965519158E-2</v>
      </c>
      <c r="F176" s="215">
        <f>IF(('Screener Input'!E24)/('Screener Input'!E$17+'Screener Input'!E$25)&lt;0, 0, ('Screener Input'!E24)/('Screener Input'!E$17+'Screener Input'!E$25))</f>
        <v>3.2098418074816351E-2</v>
      </c>
      <c r="G176" s="215">
        <f>IF(('Screener Input'!F24)/('Screener Input'!F$17+'Screener Input'!F$25)&lt;0, 0, ('Screener Input'!F24)/('Screener Input'!F$17+'Screener Input'!F$25))</f>
        <v>3.1640120878856627E-2</v>
      </c>
      <c r="H176" s="215">
        <f>IF(('Screener Input'!G24)/('Screener Input'!G$17+'Screener Input'!G$25)&lt;0, 0, ('Screener Input'!G24)/('Screener Input'!G$17+'Screener Input'!G$25))</f>
        <v>2.8831176309690051E-2</v>
      </c>
      <c r="I176" s="215">
        <f>IF(('Screener Input'!H24)/('Screener Input'!H$17+'Screener Input'!H$25)&lt;0, 0, ('Screener Input'!H24)/('Screener Input'!H$17+'Screener Input'!H$25))</f>
        <v>2.7930128418637356E-2</v>
      </c>
      <c r="J176" s="215">
        <f>IF(('Screener Input'!I24)/('Screener Input'!I$17+'Screener Input'!I$25)&lt;0, 0, ('Screener Input'!I24)/('Screener Input'!I$17+'Screener Input'!I$25))</f>
        <v>3.1294666012640852E-2</v>
      </c>
      <c r="K176" s="215">
        <f>IF(('Screener Input'!J24)/('Screener Input'!J$17+'Screener Input'!J$25)&lt;0, 0, ('Screener Input'!J24)/('Screener Input'!J$17+'Screener Input'!J$25))</f>
        <v>3.3178954504417879E-2</v>
      </c>
      <c r="L176" s="215">
        <f>IF(('Screener Input'!K24)/('Screener Input'!K$17+'Screener Input'!K$25)&lt;0, 0, ('Screener Input'!K24)/('Screener Input'!K$17+'Screener Input'!K$25))</f>
        <v>3.3107944557535643E-2</v>
      </c>
      <c r="M176" s="215"/>
      <c r="N176" s="215"/>
    </row>
    <row r="177" spans="1:14">
      <c r="A177" s="158" t="s">
        <v>25</v>
      </c>
      <c r="B177" s="121"/>
      <c r="C177" s="215">
        <f>IF(('Screener Input'!B26)/('Screener Input'!B$17+'Screener Input'!B$25)&lt;0, 0, ('Screener Input'!B26)/('Screener Input'!B$17+'Screener Input'!B$25))</f>
        <v>1.8810199917236262E-2</v>
      </c>
      <c r="D177" s="215">
        <f>IF(('Screener Input'!C26)/('Screener Input'!C$17+'Screener Input'!C$25)&lt;0, 0, ('Screener Input'!C26)/('Screener Input'!C$17+'Screener Input'!C$25))</f>
        <v>1.5199091656552212E-2</v>
      </c>
      <c r="E177" s="215">
        <f>IF(('Screener Input'!D26)/('Screener Input'!D$17+'Screener Input'!D$25)&lt;0, 0, ('Screener Input'!D26)/('Screener Input'!D$17+'Screener Input'!D$25))</f>
        <v>1.3904151109911552E-2</v>
      </c>
      <c r="F177" s="215">
        <f>IF(('Screener Input'!E26)/('Screener Input'!E$17+'Screener Input'!E$25)&lt;0, 0, ('Screener Input'!E26)/('Screener Input'!E$17+'Screener Input'!E$25))</f>
        <v>1.1151571554564785E-2</v>
      </c>
      <c r="G177" s="215">
        <f>IF(('Screener Input'!F26)/('Screener Input'!F$17+'Screener Input'!F$25)&lt;0, 0, ('Screener Input'!F26)/('Screener Input'!F$17+'Screener Input'!F$25))</f>
        <v>1.172717289363783E-2</v>
      </c>
      <c r="H177" s="215">
        <f>IF(('Screener Input'!G26)/('Screener Input'!G$17+'Screener Input'!G$25)&lt;0, 0, ('Screener Input'!G26)/('Screener Input'!G$17+'Screener Input'!G$25))</f>
        <v>1.1974720354721219E-2</v>
      </c>
      <c r="I177" s="215">
        <f>IF(('Screener Input'!H26)/('Screener Input'!H$17+'Screener Input'!H$25)&lt;0, 0, ('Screener Input'!H26)/('Screener Input'!H$17+'Screener Input'!H$25))</f>
        <v>1.7823174567928646E-2</v>
      </c>
      <c r="J177" s="215">
        <f>IF(('Screener Input'!I26)/('Screener Input'!I$17+'Screener Input'!I$25)&lt;0, 0, ('Screener Input'!I26)/('Screener Input'!I$17+'Screener Input'!I$25))</f>
        <v>1.3308564843608815E-2</v>
      </c>
      <c r="K177" s="215">
        <f>IF(('Screener Input'!J26)/('Screener Input'!J$17+'Screener Input'!J$25)&lt;0, 0, ('Screener Input'!J26)/('Screener Input'!J$17+'Screener Input'!J$25))</f>
        <v>1.2957609377020042E-2</v>
      </c>
      <c r="L177" s="215">
        <f>IF(('Screener Input'!K26)/('Screener Input'!K$17+'Screener Input'!K$25)&lt;0, 0, ('Screener Input'!K26)/('Screener Input'!K$17+'Screener Input'!K$25))</f>
        <v>1.4093742683793037E-2</v>
      </c>
      <c r="M177" s="215"/>
      <c r="N177" s="215"/>
    </row>
    <row r="178" spans="1:14">
      <c r="A178" s="158" t="s">
        <v>24</v>
      </c>
      <c r="B178" s="121"/>
      <c r="C178" s="215">
        <f>IF(('Screener Input'!B27)/('Screener Input'!B$17+'Screener Input'!B$25)&lt;0, 0, ('Screener Input'!B27)/('Screener Input'!B$17+'Screener Input'!B$25))</f>
        <v>9.303785727536068E-3</v>
      </c>
      <c r="D178" s="215">
        <f>IF(('Screener Input'!C27)/('Screener Input'!C$17+'Screener Input'!C$25)&lt;0, 0, ('Screener Input'!C27)/('Screener Input'!C$17+'Screener Input'!C$25))</f>
        <v>6.1208775432963995E-3</v>
      </c>
      <c r="E178" s="215">
        <f>IF(('Screener Input'!D27)/('Screener Input'!D$17+'Screener Input'!D$25)&lt;0, 0, ('Screener Input'!D27)/('Screener Input'!D$17+'Screener Input'!D$25))</f>
        <v>9.345834431142213E-3</v>
      </c>
      <c r="F178" s="215">
        <f>IF(('Screener Input'!E27)/('Screener Input'!E$17+'Screener Input'!E$25)&lt;0, 0, ('Screener Input'!E27)/('Screener Input'!E$17+'Screener Input'!E$25))</f>
        <v>7.5029173001762107E-3</v>
      </c>
      <c r="G178" s="215">
        <f>IF(('Screener Input'!F27)/('Screener Input'!F$17+'Screener Input'!F$25)&lt;0, 0, ('Screener Input'!F27)/('Screener Input'!F$17+'Screener Input'!F$25))</f>
        <v>6.6210832605227933E-3</v>
      </c>
      <c r="H178" s="215">
        <f>IF(('Screener Input'!G27)/('Screener Input'!G$17+'Screener Input'!G$25)&lt;0, 0, ('Screener Input'!G27)/('Screener Input'!G$17+'Screener Input'!G$25))</f>
        <v>1.1934411125347306E-3</v>
      </c>
      <c r="I178" s="215">
        <f>IF(('Screener Input'!H27)/('Screener Input'!H$17+'Screener Input'!H$25)&lt;0, 0, ('Screener Input'!H27)/('Screener Input'!H$17+'Screener Input'!H$25))</f>
        <v>4.7617285321293311E-4</v>
      </c>
      <c r="J178" s="215">
        <f>IF(('Screener Input'!I27)/('Screener Input'!I$17+'Screener Input'!I$25)&lt;0, 0, ('Screener Input'!I27)/('Screener Input'!I$17+'Screener Input'!I$25))</f>
        <v>5.7149026354267642E-4</v>
      </c>
      <c r="K178" s="215">
        <f>IF(('Screener Input'!J27)/('Screener Input'!J$17+'Screener Input'!J$25)&lt;0, 0, ('Screener Input'!J27)/('Screener Input'!J$17+'Screener Input'!J$25))</f>
        <v>5.920933269452438E-4</v>
      </c>
      <c r="L178" s="215">
        <f>IF(('Screener Input'!K27)/('Screener Input'!K$17+'Screener Input'!K$25)&lt;0, 0, ('Screener Input'!K27)/('Screener Input'!K$17+'Screener Input'!K$25))</f>
        <v>7.5294929942978223E-4</v>
      </c>
      <c r="M178" s="215"/>
      <c r="N178" s="215"/>
    </row>
    <row r="179" spans="1:14">
      <c r="A179" s="158" t="s">
        <v>26</v>
      </c>
      <c r="B179" s="121"/>
      <c r="C179" s="215">
        <f>IF(('Screener Input'!B29)/('Screener Input'!B$17+'Screener Input'!B$25)&lt;0, 0, ('Screener Input'!B29)/('Screener Input'!B$17+'Screener Input'!B$25))</f>
        <v>1.5091539548224149E-2</v>
      </c>
      <c r="D179" s="215">
        <f>IF(('Screener Input'!C29)/('Screener Input'!C$17+'Screener Input'!C$25)&lt;0, 0, ('Screener Input'!C29)/('Screener Input'!C$17+'Screener Input'!C$25))</f>
        <v>1.4251595473943855E-3</v>
      </c>
      <c r="E179" s="215">
        <f>IF(('Screener Input'!D29)/('Screener Input'!D$17+'Screener Input'!D$25)&lt;0, 0, ('Screener Input'!D29)/('Screener Input'!D$17+'Screener Input'!D$25))</f>
        <v>1.13400979781038E-2</v>
      </c>
      <c r="F179" s="215">
        <f>IF(('Screener Input'!E29)/('Screener Input'!E$17+'Screener Input'!E$25)&lt;0, 0, ('Screener Input'!E29)/('Screener Input'!E$17+'Screener Input'!E$25))</f>
        <v>1.2056971671076432E-2</v>
      </c>
      <c r="G179" s="215">
        <f>IF(('Screener Input'!F29)/('Screener Input'!F$17+'Screener Input'!F$25)&lt;0, 0, ('Screener Input'!F29)/('Screener Input'!F$17+'Screener Input'!F$25))</f>
        <v>1.579921925725233E-2</v>
      </c>
      <c r="H179" s="215">
        <f>IF(('Screener Input'!G29)/('Screener Input'!G$17+'Screener Input'!G$25)&lt;0, 0, ('Screener Input'!G29)/('Screener Input'!G$17+'Screener Input'!G$25))</f>
        <v>2.4988842981155435E-2</v>
      </c>
      <c r="I179" s="215">
        <f>IF(('Screener Input'!H29)/('Screener Input'!H$17+'Screener Input'!H$25)&lt;0, 0, ('Screener Input'!H29)/('Screener Input'!H$17+'Screener Input'!H$25))</f>
        <v>3.2210749663841708E-2</v>
      </c>
      <c r="J179" s="215">
        <f>IF(('Screener Input'!I29)/('Screener Input'!I$17+'Screener Input'!I$25)&lt;0, 0, ('Screener Input'!I29)/('Screener Input'!I$17+'Screener Input'!I$25))</f>
        <v>4.648199042900495E-2</v>
      </c>
      <c r="K179" s="215">
        <f>IF(('Screener Input'!J29)/('Screener Input'!J$17+'Screener Input'!J$25)&lt;0, 0, ('Screener Input'!J29)/('Screener Input'!J$17+'Screener Input'!J$25))</f>
        <v>4.5593358994332193E-2</v>
      </c>
      <c r="L179" s="215">
        <f>IF(('Screener Input'!K29)/('Screener Input'!K$17+'Screener Input'!K$25)&lt;0, 0, ('Screener Input'!K29)/('Screener Input'!K$17+'Screener Input'!K$25))</f>
        <v>5.1012067029352126E-2</v>
      </c>
      <c r="M179" s="215"/>
      <c r="N179" s="215"/>
    </row>
    <row r="180" spans="1:14">
      <c r="A180" s="158" t="s">
        <v>262</v>
      </c>
      <c r="B180" s="121"/>
      <c r="C180" s="244">
        <f>1-SUM(C171:C179)</f>
        <v>4.0879578761112367E-2</v>
      </c>
      <c r="D180" s="244">
        <f t="shared" ref="D180:L180" si="74">1-SUM(D171:D179)</f>
        <v>2.6910979731934237E-2</v>
      </c>
      <c r="E180" s="244">
        <f t="shared" si="74"/>
        <v>2.8748669241430269E-2</v>
      </c>
      <c r="F180" s="244">
        <f t="shared" si="74"/>
        <v>3.6023020970293307E-2</v>
      </c>
      <c r="G180" s="244">
        <f t="shared" si="74"/>
        <v>4.1663126337643241E-2</v>
      </c>
      <c r="H180" s="244">
        <f t="shared" si="74"/>
        <v>5.697133725868464E-2</v>
      </c>
      <c r="I180" s="244">
        <f t="shared" si="74"/>
        <v>8.4931473051823914E-2</v>
      </c>
      <c r="J180" s="244">
        <f t="shared" si="74"/>
        <v>9.6737928881733382E-2</v>
      </c>
      <c r="K180" s="244">
        <f t="shared" si="74"/>
        <v>9.6074475562841988E-2</v>
      </c>
      <c r="L180" s="244">
        <f t="shared" si="74"/>
        <v>9.9613505866853913E-2</v>
      </c>
      <c r="M180" s="244"/>
      <c r="N180" s="244"/>
    </row>
    <row r="181" spans="1:14">
      <c r="A181" s="154"/>
      <c r="B181" s="121"/>
      <c r="C181" s="215">
        <f>SUM(C171:C180)</f>
        <v>1</v>
      </c>
      <c r="D181" s="215">
        <f t="shared" ref="D181:L181" si="75">SUM(D171:D180)</f>
        <v>1</v>
      </c>
      <c r="E181" s="215">
        <f t="shared" si="75"/>
        <v>1</v>
      </c>
      <c r="F181" s="215">
        <f t="shared" si="75"/>
        <v>1</v>
      </c>
      <c r="G181" s="215">
        <f t="shared" si="75"/>
        <v>1</v>
      </c>
      <c r="H181" s="215">
        <f t="shared" si="75"/>
        <v>1</v>
      </c>
      <c r="I181" s="215">
        <f t="shared" si="75"/>
        <v>1</v>
      </c>
      <c r="J181" s="215">
        <f t="shared" si="75"/>
        <v>1</v>
      </c>
      <c r="K181" s="215">
        <f t="shared" si="75"/>
        <v>1</v>
      </c>
      <c r="L181" s="215">
        <f t="shared" si="75"/>
        <v>1</v>
      </c>
      <c r="M181" s="215"/>
      <c r="N181" s="215"/>
    </row>
    <row r="182" spans="1:14">
      <c r="A182" s="154"/>
      <c r="B182" s="121"/>
      <c r="C182" s="215"/>
      <c r="D182" s="215"/>
      <c r="E182" s="215"/>
      <c r="F182" s="215"/>
      <c r="G182" s="215"/>
      <c r="H182" s="215"/>
      <c r="I182" s="215"/>
      <c r="J182" s="215"/>
      <c r="K182" s="215"/>
      <c r="L182" s="215"/>
      <c r="M182" s="215"/>
      <c r="N182" s="215"/>
    </row>
    <row r="183" spans="1:14">
      <c r="A183" s="221" t="s">
        <v>363</v>
      </c>
      <c r="B183" s="121"/>
      <c r="C183" s="237">
        <f t="shared" ref="C183:L183" si="76">C4</f>
        <v>39873</v>
      </c>
      <c r="D183" s="237">
        <f t="shared" si="76"/>
        <v>40238</v>
      </c>
      <c r="E183" s="237">
        <f t="shared" si="76"/>
        <v>40603</v>
      </c>
      <c r="F183" s="237">
        <f t="shared" si="76"/>
        <v>40969</v>
      </c>
      <c r="G183" s="237">
        <f t="shared" si="76"/>
        <v>41334</v>
      </c>
      <c r="H183" s="237">
        <f t="shared" si="76"/>
        <v>41699</v>
      </c>
      <c r="I183" s="237">
        <f t="shared" si="76"/>
        <v>42064</v>
      </c>
      <c r="J183" s="237">
        <f t="shared" si="76"/>
        <v>42430</v>
      </c>
      <c r="K183" s="237">
        <f t="shared" si="76"/>
        <v>42795</v>
      </c>
      <c r="L183" s="237">
        <f t="shared" si="76"/>
        <v>43160</v>
      </c>
      <c r="M183" s="237"/>
      <c r="N183" s="237"/>
    </row>
    <row r="184" spans="1:14">
      <c r="A184" s="233" t="s">
        <v>186</v>
      </c>
      <c r="B184" s="121"/>
      <c r="C184" s="237"/>
      <c r="D184" s="242">
        <f>('Screener Input'!C17+'Screener Input'!C25)</f>
        <v>3831.1499999999996</v>
      </c>
      <c r="E184" s="242">
        <f>('Screener Input'!D17+'Screener Input'!D25)</f>
        <v>4668.3900000000003</v>
      </c>
      <c r="F184" s="242">
        <f>('Screener Input'!E17+'Screener Input'!E25)</f>
        <v>5544.51</v>
      </c>
      <c r="G184" s="242">
        <f>('Screener Input'!F17+'Screener Input'!F25)</f>
        <v>6237.65</v>
      </c>
      <c r="H184" s="242">
        <f>('Screener Input'!G17+'Screener Input'!G25)</f>
        <v>6946.3</v>
      </c>
      <c r="I184" s="242">
        <f>('Screener Input'!H17+'Screener Input'!H25)</f>
        <v>8106.3</v>
      </c>
      <c r="J184" s="242">
        <f>('Screener Input'!I17+'Screener Input'!I25)</f>
        <v>8521.58</v>
      </c>
      <c r="K184" s="242">
        <f>('Screener Input'!J17+'Screener Input'!J25)</f>
        <v>9204.630000000001</v>
      </c>
      <c r="L184" s="242">
        <f>('Screener Input'!K17+'Screener Input'!K25)</f>
        <v>10080.36</v>
      </c>
      <c r="M184" s="242"/>
      <c r="N184" s="242"/>
    </row>
    <row r="185" spans="1:14" s="235" customFormat="1">
      <c r="A185" s="233" t="s">
        <v>384</v>
      </c>
      <c r="B185" s="233"/>
      <c r="C185" s="234"/>
      <c r="D185" s="234">
        <f>('Screener Input'!C17+'Screener Input'!C25)/('Screener Input'!B17+'Screener Input'!B25)-1</f>
        <v>9.3380327915637995E-2</v>
      </c>
      <c r="E185" s="234">
        <f>('Screener Input'!D17+'Screener Input'!D25)/('Screener Input'!C17+'Screener Input'!C25)-1</f>
        <v>0.21853490466309089</v>
      </c>
      <c r="F185" s="234">
        <f>('Screener Input'!E17+'Screener Input'!E25)/('Screener Input'!D17+'Screener Input'!D25)-1</f>
        <v>0.18767069589301655</v>
      </c>
      <c r="G185" s="234">
        <f>('Screener Input'!F17+'Screener Input'!F25)/('Screener Input'!E17+'Screener Input'!E25)-1</f>
        <v>0.12501375234240708</v>
      </c>
      <c r="H185" s="234">
        <f>('Screener Input'!G17+'Screener Input'!G25)/('Screener Input'!F17+'Screener Input'!F25)-1</f>
        <v>0.11360849037698495</v>
      </c>
      <c r="I185" s="234">
        <f>('Screener Input'!H17+'Screener Input'!H25)/('Screener Input'!G17+'Screener Input'!G25)-1</f>
        <v>0.16699537883477533</v>
      </c>
      <c r="J185" s="234">
        <f>('Screener Input'!I17+'Screener Input'!I25)/('Screener Input'!H17+'Screener Input'!H25)-1</f>
        <v>5.1229290798514793E-2</v>
      </c>
      <c r="K185" s="234">
        <f>('Screener Input'!J17+'Screener Input'!J25)/('Screener Input'!I17+'Screener Input'!I25)-1</f>
        <v>8.0155323308588544E-2</v>
      </c>
      <c r="L185" s="234">
        <f>('Screener Input'!K17+'Screener Input'!K25)/('Screener Input'!J17+'Screener Input'!J25)-1</f>
        <v>9.5140163157019897E-2</v>
      </c>
      <c r="M185" s="234"/>
      <c r="N185" s="234"/>
    </row>
    <row r="186" spans="1:14" s="235" customFormat="1">
      <c r="A186" s="233" t="s">
        <v>35</v>
      </c>
      <c r="B186" s="233"/>
      <c r="C186" s="234"/>
      <c r="D186" s="241">
        <f>'Screener Input'!C30/'Screener Input'!C93</f>
        <v>8.6378648818762773</v>
      </c>
      <c r="E186" s="241">
        <f>'Screener Input'!D30/'Screener Input'!D93</f>
        <v>11.247307102927676</v>
      </c>
      <c r="F186" s="241">
        <f>'Screener Input'!E30/'Screener Input'!E93</f>
        <v>16.705620635572892</v>
      </c>
      <c r="G186" s="241">
        <f>'Screener Input'!F30/'Screener Input'!F93</f>
        <v>21.710791095630679</v>
      </c>
      <c r="H186" s="241">
        <f>'Screener Input'!G30/'Screener Input'!G93</f>
        <v>32.966217444453157</v>
      </c>
      <c r="I186" s="241">
        <f>'Screener Input'!H30/'Screener Input'!H93</f>
        <v>57.422172710125757</v>
      </c>
      <c r="J186" s="241">
        <f>'Screener Input'!I30/'Screener Input'!I93</f>
        <v>68.728851727325207</v>
      </c>
      <c r="K186" s="241">
        <f>'Screener Input'!J30/'Screener Input'!J93</f>
        <v>73.70533275128173</v>
      </c>
      <c r="L186" s="241">
        <f>'Screener Input'!K30/'Screener Input'!K93</f>
        <v>83.64460490757439</v>
      </c>
      <c r="M186" s="241"/>
      <c r="N186" s="241"/>
    </row>
    <row r="187" spans="1:14" s="235" customFormat="1">
      <c r="A187" s="233" t="s">
        <v>385</v>
      </c>
      <c r="B187" s="233"/>
      <c r="C187" s="234"/>
      <c r="D187" s="234">
        <f>(('Screener Input'!C30/'Screener Input'!C93)/('Screener Input'!B30/'Screener Input'!B93))-1</f>
        <v>-0.31885397412199612</v>
      </c>
      <c r="E187" s="234">
        <f>(('Screener Input'!D30/'Screener Input'!D93)/('Screener Input'!C30/'Screener Input'!C93))-1</f>
        <v>0.30209342895910041</v>
      </c>
      <c r="F187" s="234">
        <f>(('Screener Input'!E30/'Screener Input'!E93)/('Screener Input'!D30/'Screener Input'!D93))-1</f>
        <v>0.48529959062151118</v>
      </c>
      <c r="G187" s="234">
        <f>(('Screener Input'!F30/'Screener Input'!F93)/('Screener Input'!E30/'Screener Input'!E93))-1</f>
        <v>0.29960996776137683</v>
      </c>
      <c r="H187" s="234">
        <f>(('Screener Input'!G30/'Screener Input'!G93)/('Screener Input'!F30/'Screener Input'!F93))-1</f>
        <v>0.51842543642215078</v>
      </c>
      <c r="I187" s="234">
        <f>(('Screener Input'!H30/'Screener Input'!H93)/('Screener Input'!G30/'Screener Input'!G93))-1</f>
        <v>0.74184899456178033</v>
      </c>
      <c r="J187" s="234">
        <f>(('Screener Input'!I30/'Screener Input'!I93)/('Screener Input'!H30/'Screener Input'!H93))-1</f>
        <v>0.19690440963070088</v>
      </c>
      <c r="K187" s="234">
        <f>(('Screener Input'!J30/'Screener Input'!J93)/('Screener Input'!I30/'Screener Input'!I93))-1</f>
        <v>7.2407451876254303E-2</v>
      </c>
      <c r="L187" s="234">
        <f>(('Screener Input'!K30/'Screener Input'!K93)/('Screener Input'!J30/'Screener Input'!J93))-1</f>
        <v>0.13485146576615681</v>
      </c>
      <c r="M187" s="234"/>
      <c r="N187" s="234"/>
    </row>
    <row r="188" spans="1:14" s="235" customFormat="1">
      <c r="A188" s="236"/>
      <c r="B188" s="233"/>
      <c r="C188" s="234"/>
      <c r="D188" s="234"/>
      <c r="E188" s="234"/>
      <c r="F188" s="234"/>
      <c r="G188" s="234"/>
      <c r="H188" s="234"/>
      <c r="I188" s="234"/>
      <c r="J188" s="234"/>
      <c r="K188" s="234"/>
      <c r="L188" s="234"/>
      <c r="M188" s="234"/>
      <c r="N188" s="234"/>
    </row>
    <row r="189" spans="1:14" s="235" customFormat="1">
      <c r="A189" s="221" t="s">
        <v>380</v>
      </c>
      <c r="B189" s="121"/>
      <c r="C189" s="237">
        <f>'Screener Input'!B41</f>
        <v>42460</v>
      </c>
      <c r="D189" s="237">
        <f>'Screener Input'!C41</f>
        <v>42551</v>
      </c>
      <c r="E189" s="237">
        <f>'Screener Input'!D41</f>
        <v>42643</v>
      </c>
      <c r="F189" s="237">
        <f>'Screener Input'!E41</f>
        <v>42735</v>
      </c>
      <c r="G189" s="237">
        <f>'Screener Input'!F41</f>
        <v>42825</v>
      </c>
      <c r="H189" s="237">
        <f>'Screener Input'!G41</f>
        <v>42916</v>
      </c>
      <c r="I189" s="237">
        <f>'Screener Input'!H41</f>
        <v>43008</v>
      </c>
      <c r="J189" s="237">
        <f>'Screener Input'!I41</f>
        <v>43100</v>
      </c>
      <c r="K189" s="237">
        <f>'Screener Input'!J41</f>
        <v>43190</v>
      </c>
      <c r="L189" s="237">
        <f>'Screener Input'!K41</f>
        <v>43281</v>
      </c>
      <c r="M189" s="237"/>
      <c r="N189" s="237"/>
    </row>
    <row r="190" spans="1:14" s="235" customFormat="1">
      <c r="A190" s="233" t="s">
        <v>381</v>
      </c>
      <c r="B190" s="121"/>
      <c r="C190" s="240">
        <f>('Screener Input'!B42+'Screener Input'!B44)</f>
        <v>2169.91</v>
      </c>
      <c r="D190" s="240">
        <f>('Screener Input'!C42+'Screener Input'!C44)</f>
        <v>2180.2599999999998</v>
      </c>
      <c r="E190" s="240">
        <f>('Screener Input'!D42+'Screener Input'!D44)</f>
        <v>2428.16</v>
      </c>
      <c r="F190" s="240">
        <f>('Screener Input'!E42+'Screener Input'!E44)</f>
        <v>2319.2399999999998</v>
      </c>
      <c r="G190" s="240">
        <f>('Screener Input'!F42+'Screener Input'!F44)</f>
        <v>2278.04</v>
      </c>
      <c r="H190" s="240">
        <f>('Screener Input'!G42+'Screener Input'!G44)</f>
        <v>2299.0499999999997</v>
      </c>
      <c r="I190" s="240">
        <f>('Screener Input'!H42+'Screener Input'!H44)</f>
        <v>2596.2599999999998</v>
      </c>
      <c r="J190" s="240">
        <f>('Screener Input'!I42+'Screener Input'!I44)</f>
        <v>2603.5700000000002</v>
      </c>
      <c r="K190" s="240">
        <f>('Screener Input'!J42+'Screener Input'!J44)</f>
        <v>2581.9299999999998</v>
      </c>
      <c r="L190" s="240">
        <f>('Screener Input'!K42+'Screener Input'!K44)</f>
        <v>2585.84</v>
      </c>
      <c r="M190" s="240"/>
      <c r="N190" s="240"/>
    </row>
    <row r="191" spans="1:14" s="235" customFormat="1">
      <c r="A191" s="233" t="s">
        <v>382</v>
      </c>
      <c r="B191" s="233"/>
      <c r="C191" s="234"/>
      <c r="D191" s="234"/>
      <c r="E191" s="234"/>
      <c r="F191" s="234"/>
      <c r="G191" s="234">
        <f t="shared" ref="G191:K191" si="77">G190/C190-1</f>
        <v>4.9831559834278893E-2</v>
      </c>
      <c r="H191" s="234">
        <f t="shared" si="77"/>
        <v>5.4484327557263734E-2</v>
      </c>
      <c r="I191" s="234">
        <f t="shared" si="77"/>
        <v>6.9229375329467491E-2</v>
      </c>
      <c r="J191" s="234">
        <f t="shared" si="77"/>
        <v>0.12259619530535892</v>
      </c>
      <c r="K191" s="234">
        <f t="shared" si="77"/>
        <v>0.1333997647100138</v>
      </c>
      <c r="L191" s="234">
        <f>L190/H190-1</f>
        <v>0.1247428285596226</v>
      </c>
      <c r="M191" s="234"/>
      <c r="N191" s="234"/>
    </row>
    <row r="192" spans="1:14" s="235" customFormat="1">
      <c r="A192" s="233" t="s">
        <v>345</v>
      </c>
      <c r="B192" s="233"/>
      <c r="C192" s="240">
        <f>'Screener Input'!B49</f>
        <v>198.98</v>
      </c>
      <c r="D192" s="240">
        <f>'Screener Input'!C49</f>
        <v>219.21</v>
      </c>
      <c r="E192" s="240">
        <f>'Screener Input'!D49</f>
        <v>234.05</v>
      </c>
      <c r="F192" s="240">
        <f>'Screener Input'!E49</f>
        <v>220.44</v>
      </c>
      <c r="G192" s="240">
        <f>'Screener Input'!F49</f>
        <v>210.91</v>
      </c>
      <c r="H192" s="240">
        <f>'Screener Input'!G49</f>
        <v>216.12</v>
      </c>
      <c r="I192" s="240">
        <f>'Screener Input'!H49</f>
        <v>261.02999999999997</v>
      </c>
      <c r="J192" s="240">
        <f>'Screener Input'!I49</f>
        <v>263.64999999999998</v>
      </c>
      <c r="K192" s="240">
        <f>'Screener Input'!J49</f>
        <v>263.16000000000003</v>
      </c>
      <c r="L192" s="240">
        <f>'Screener Input'!K49</f>
        <v>258.08</v>
      </c>
      <c r="M192" s="240"/>
      <c r="N192" s="240"/>
    </row>
    <row r="193" spans="1:14" s="235" customFormat="1">
      <c r="A193" s="233" t="s">
        <v>383</v>
      </c>
      <c r="B193" s="233"/>
      <c r="C193" s="234"/>
      <c r="D193" s="234"/>
      <c r="E193" s="234"/>
      <c r="F193" s="234"/>
      <c r="G193" s="234">
        <f t="shared" ref="G193:K193" si="78">G192/C192-1</f>
        <v>5.9955774449693466E-2</v>
      </c>
      <c r="H193" s="234">
        <f t="shared" si="78"/>
        <v>-1.4096072259477177E-2</v>
      </c>
      <c r="I193" s="234">
        <f t="shared" si="78"/>
        <v>0.11527451399273647</v>
      </c>
      <c r="J193" s="234">
        <f t="shared" si="78"/>
        <v>0.19601705679549974</v>
      </c>
      <c r="K193" s="234">
        <f t="shared" si="78"/>
        <v>0.24773600113792638</v>
      </c>
      <c r="L193" s="234">
        <f>L192/H192-1</f>
        <v>0.19415139737183029</v>
      </c>
      <c r="M193" s="234"/>
      <c r="N193" s="234"/>
    </row>
    <row r="194" spans="1:14" s="235" customFormat="1">
      <c r="A194" s="233"/>
      <c r="B194" s="233"/>
      <c r="C194" s="233"/>
      <c r="D194" s="233"/>
      <c r="E194" s="233"/>
      <c r="F194" s="233"/>
      <c r="G194" s="233"/>
      <c r="H194" s="233"/>
      <c r="I194" s="233"/>
      <c r="J194" s="233"/>
      <c r="K194" s="233"/>
      <c r="L194" s="233"/>
      <c r="M194" s="233"/>
      <c r="N194" s="233"/>
    </row>
    <row r="195" spans="1:14">
      <c r="A195" s="221" t="s">
        <v>358</v>
      </c>
      <c r="B195" s="121"/>
      <c r="C195" s="231">
        <f>'Screener Input'!B41</f>
        <v>42460</v>
      </c>
      <c r="D195" s="231">
        <f>'Screener Input'!C41</f>
        <v>42551</v>
      </c>
      <c r="E195" s="231">
        <f>'Screener Input'!D41</f>
        <v>42643</v>
      </c>
      <c r="F195" s="231">
        <f>'Screener Input'!E41</f>
        <v>42735</v>
      </c>
      <c r="G195" s="231">
        <f>'Screener Input'!F41</f>
        <v>42825</v>
      </c>
      <c r="H195" s="231">
        <f>'Screener Input'!G41</f>
        <v>42916</v>
      </c>
      <c r="I195" s="231">
        <f>'Screener Input'!H41</f>
        <v>43008</v>
      </c>
      <c r="J195" s="231">
        <f>'Screener Input'!I41</f>
        <v>43100</v>
      </c>
      <c r="K195" s="231">
        <f>'Screener Input'!J41</f>
        <v>43190</v>
      </c>
      <c r="L195" s="231">
        <f>'Screener Input'!K41</f>
        <v>43281</v>
      </c>
      <c r="M195" s="231"/>
      <c r="N195" s="231"/>
    </row>
    <row r="196" spans="1:14">
      <c r="A196" s="158" t="s">
        <v>265</v>
      </c>
      <c r="B196" s="121"/>
      <c r="C196" s="215">
        <f>IF('Screener Input'!B43/('Screener Input'!B42+'Screener Input'!B44)&lt;0, 0, 'Screener Input'!B43/('Screener Input'!B42+'Screener Input'!B44))</f>
        <v>0.84953753842325264</v>
      </c>
      <c r="D196" s="215">
        <f>IF('Screener Input'!C43/('Screener Input'!C42+'Screener Input'!C44)&lt;0, 0, 'Screener Input'!C43/('Screener Input'!C42+'Screener Input'!C44))</f>
        <v>0.83685890673589391</v>
      </c>
      <c r="E196" s="215">
        <f>IF('Screener Input'!D43/('Screener Input'!D42+'Screener Input'!D44)&lt;0, 0, 'Screener Input'!D43/('Screener Input'!D42+'Screener Input'!D44))</f>
        <v>0.84346995255666846</v>
      </c>
      <c r="F196" s="215">
        <f>IF('Screener Input'!E43/('Screener Input'!E42+'Screener Input'!E44)&lt;0, 0, 'Screener Input'!E43/('Screener Input'!E42+'Screener Input'!E44))</f>
        <v>0.84845035442645012</v>
      </c>
      <c r="G196" s="215">
        <f>IF('Screener Input'!F43/('Screener Input'!F42+'Screener Input'!F44)&lt;0, 0, 'Screener Input'!F43/('Screener Input'!F42+'Screener Input'!F44))</f>
        <v>0.84998068515039249</v>
      </c>
      <c r="H196" s="215">
        <f>IF('Screener Input'!G43/('Screener Input'!G42+'Screener Input'!G44)&lt;0, 0, 'Screener Input'!G43/('Screener Input'!G42+'Screener Input'!G44))</f>
        <v>0.84173462952088918</v>
      </c>
      <c r="I196" s="215">
        <f>IF('Screener Input'!H43/('Screener Input'!H42+'Screener Input'!H44)&lt;0, 0, 'Screener Input'!H43/('Screener Input'!H42+'Screener Input'!H44))</f>
        <v>0.83490867632671617</v>
      </c>
      <c r="J196" s="215">
        <f>IF('Screener Input'!I43/('Screener Input'!I42+'Screener Input'!I44)&lt;0, 0, 'Screener Input'!I43/('Screener Input'!I42+'Screener Input'!I44))</f>
        <v>0.83312528566545163</v>
      </c>
      <c r="K196" s="215">
        <f>IF('Screener Input'!J43/('Screener Input'!J42+'Screener Input'!J44)&lt;0, 0, 'Screener Input'!J43/('Screener Input'!J42+'Screener Input'!J44))</f>
        <v>0.82924014206426977</v>
      </c>
      <c r="L196" s="244">
        <f>IF('Screener Input'!K43/('Screener Input'!K42+'Screener Input'!K44)&lt;0, 0, 'Screener Input'!K43/('Screener Input'!K42+'Screener Input'!K44))</f>
        <v>0.83319153543916091</v>
      </c>
      <c r="M196" s="215"/>
      <c r="N196" s="215"/>
    </row>
    <row r="197" spans="1:14">
      <c r="A197" s="158" t="s">
        <v>25</v>
      </c>
      <c r="B197" s="121"/>
      <c r="C197" s="215">
        <f>IF('Screener Input'!B45/('Screener Input'!B42+'Screener Input'!B44)&lt;0,0, 'Screener Input'!B45/('Screener Input'!B42+'Screener Input'!B44))</f>
        <v>1.4203354056159013E-2</v>
      </c>
      <c r="D197" s="215">
        <f>IF('Screener Input'!C45/('Screener Input'!C42+'Screener Input'!C44)&lt;0,0, 'Screener Input'!C45/('Screener Input'!C42+'Screener Input'!C44))</f>
        <v>1.2778292497225103E-2</v>
      </c>
      <c r="E197" s="215">
        <f>IF('Screener Input'!D45/('Screener Input'!D42+'Screener Input'!D44)&lt;0,0, 'Screener Input'!D45/('Screener Input'!D42+'Screener Input'!D44))</f>
        <v>1.1914371375856617E-2</v>
      </c>
      <c r="F197" s="215">
        <f>IF('Screener Input'!E45/('Screener Input'!E42+'Screener Input'!E44)&lt;0,0, 'Screener Input'!E45/('Screener Input'!E42+'Screener Input'!E44))</f>
        <v>1.3051689346510065E-2</v>
      </c>
      <c r="G197" s="215">
        <f>IF('Screener Input'!F45/('Screener Input'!F42+'Screener Input'!F44)&lt;0,0, 'Screener Input'!F45/('Screener Input'!F42+'Screener Input'!F44))</f>
        <v>1.4139347860441433E-2</v>
      </c>
      <c r="H197" s="215">
        <f>IF('Screener Input'!G45/('Screener Input'!G42+'Screener Input'!G44)&lt;0,0, 'Screener Input'!G45/('Screener Input'!G42+'Screener Input'!G44))</f>
        <v>1.4436397642504513E-2</v>
      </c>
      <c r="I197" s="215">
        <f>IF('Screener Input'!H45/('Screener Input'!H42+'Screener Input'!H44)&lt;0,0, 'Screener Input'!H45/('Screener Input'!H42+'Screener Input'!H44))</f>
        <v>1.2957099828214432E-2</v>
      </c>
      <c r="J197" s="215">
        <f>IF('Screener Input'!I45/('Screener Input'!I42+'Screener Input'!I44)&lt;0,0, 'Screener Input'!I45/('Screener Input'!I42+'Screener Input'!I44))</f>
        <v>1.26326543937747E-2</v>
      </c>
      <c r="K197" s="215">
        <f>IF('Screener Input'!J45/('Screener Input'!J42+'Screener Input'!J44)&lt;0,0, 'Screener Input'!J45/('Screener Input'!J42+'Screener Input'!J44))</f>
        <v>1.6402458625911626E-2</v>
      </c>
      <c r="L197" s="244">
        <f>IF('Screener Input'!K45/('Screener Input'!K42+'Screener Input'!K44)&lt;0,0, 'Screener Input'!K45/('Screener Input'!K42+'Screener Input'!K44))</f>
        <v>1.3782755313553816E-2</v>
      </c>
      <c r="M197" s="215"/>
      <c r="N197" s="215"/>
    </row>
    <row r="198" spans="1:14">
      <c r="A198" s="158" t="s">
        <v>24</v>
      </c>
      <c r="B198" s="121"/>
      <c r="C198" s="215">
        <f>IF('Screener Input'!B46/('Screener Input'!B42+'Screener Input'!B44)&lt;0, 0, 'Screener Input'!B46/('Screener Input'!B42+'Screener Input'!B44))</f>
        <v>6.8205593780387209E-4</v>
      </c>
      <c r="D198" s="215">
        <f>IF('Screener Input'!C46/('Screener Input'!C42+'Screener Input'!C44)&lt;0, 0, 'Screener Input'!C46/('Screener Input'!C42+'Screener Input'!C44))</f>
        <v>6.8799134048232787E-4</v>
      </c>
      <c r="E198" s="215">
        <f>IF('Screener Input'!D46/('Screener Input'!D42+'Screener Input'!D44)&lt;0, 0, 'Screener Input'!D46/('Screener Input'!D42+'Screener Input'!D44))</f>
        <v>6.3010674749604647E-4</v>
      </c>
      <c r="F198" s="215">
        <f>IF('Screener Input'!E46/('Screener Input'!E42+'Screener Input'!E44)&lt;0, 0, 'Screener Input'!E46/('Screener Input'!E42+'Screener Input'!E44))</f>
        <v>4.7429330297856203E-4</v>
      </c>
      <c r="G198" s="215">
        <f>IF('Screener Input'!F46/('Screener Input'!F42+'Screener Input'!F44)&lt;0, 0, 'Screener Input'!F46/('Screener Input'!F42+'Screener Input'!F44))</f>
        <v>5.7944548822672125E-4</v>
      </c>
      <c r="H198" s="215">
        <f>IF('Screener Input'!G46/('Screener Input'!G42+'Screener Input'!G44)&lt;0, 0, 'Screener Input'!G46/('Screener Input'!G42+'Screener Input'!G44))</f>
        <v>5.5240207911963642E-4</v>
      </c>
      <c r="I198" s="215">
        <f>IF('Screener Input'!H46/('Screener Input'!H42+'Screener Input'!H44)&lt;0, 0, 'Screener Input'!H46/('Screener Input'!H42+'Screener Input'!H44))</f>
        <v>5.3923721044887645E-4</v>
      </c>
      <c r="J198" s="215">
        <f>IF('Screener Input'!I46/('Screener Input'!I42+'Screener Input'!I44)&lt;0, 0, 'Screener Input'!I46/('Screener Input'!I42+'Screener Input'!I44))</f>
        <v>9.7942440571983837E-4</v>
      </c>
      <c r="K198" s="215">
        <f>IF('Screener Input'!J46/('Screener Input'!J42+'Screener Input'!J44)&lt;0, 0, 'Screener Input'!J46/('Screener Input'!J42+'Screener Input'!J44))</f>
        <v>9.1791799157994226E-4</v>
      </c>
      <c r="L198" s="244">
        <f>IF('Screener Input'!K46/('Screener Input'!K42+'Screener Input'!K44)&lt;0, 0, 'Screener Input'!K46/('Screener Input'!K42+'Screener Input'!K44))</f>
        <v>9.4360053212882457E-4</v>
      </c>
      <c r="M198" s="215"/>
      <c r="N198" s="215"/>
    </row>
    <row r="199" spans="1:14">
      <c r="A199" s="158" t="s">
        <v>26</v>
      </c>
      <c r="B199" s="121"/>
      <c r="C199" s="215">
        <f>IF('Screener Input'!B48/('Screener Input'!B42+'Screener Input'!B44)&lt;0, 0, 'Screener Input'!B48/('Screener Input'!B42+'Screener Input'!B44))</f>
        <v>4.3877395836693686E-2</v>
      </c>
      <c r="D199" s="215">
        <f>IF('Screener Input'!C48/('Screener Input'!C42+'Screener Input'!C44)&lt;0, 0, 'Screener Input'!C48/('Screener Input'!C42+'Screener Input'!C44))</f>
        <v>4.9131754928311309E-2</v>
      </c>
      <c r="E199" s="215">
        <f>IF('Screener Input'!D48/('Screener Input'!D42+'Screener Input'!D44)&lt;0, 0, 'Screener Input'!D48/('Screener Input'!D42+'Screener Input'!D44))</f>
        <v>4.7595710332103323E-2</v>
      </c>
      <c r="F199" s="215">
        <f>IF('Screener Input'!E48/('Screener Input'!E42+'Screener Input'!E44)&lt;0, 0, 'Screener Input'!E48/('Screener Input'!E42+'Screener Input'!E44))</f>
        <v>4.297528500715752E-2</v>
      </c>
      <c r="G199" s="215">
        <f>IF('Screener Input'!F48/('Screener Input'!F42+'Screener Input'!F44)&lt;0, 0, 'Screener Input'!F48/('Screener Input'!F42+'Screener Input'!F44))</f>
        <v>4.2716545802532001E-2</v>
      </c>
      <c r="H199" s="215">
        <f>IF('Screener Input'!G48/('Screener Input'!G42+'Screener Input'!G44)&lt;0, 0, 'Screener Input'!G48/('Screener Input'!G42+'Screener Input'!G44))</f>
        <v>4.9272525608403478E-2</v>
      </c>
      <c r="I199" s="215">
        <f>IF('Screener Input'!H48/('Screener Input'!H42+'Screener Input'!H44)&lt;0, 0, 'Screener Input'!H48/('Screener Input'!H42+'Screener Input'!H44))</f>
        <v>5.1054208746427562E-2</v>
      </c>
      <c r="J199" s="215">
        <f>IF('Screener Input'!I48/('Screener Input'!I42+'Screener Input'!I44)&lt;0, 0, 'Screener Input'!I48/('Screener Input'!I42+'Screener Input'!I44))</f>
        <v>5.1997833743667343E-2</v>
      </c>
      <c r="K199" s="215">
        <f>IF('Screener Input'!J48/('Screener Input'!J42+'Screener Input'!J44)&lt;0, 0, 'Screener Input'!J48/('Screener Input'!J42+'Screener Input'!J44))</f>
        <v>5.1515726607615234E-2</v>
      </c>
      <c r="L199" s="244">
        <f>IF('Screener Input'!K48/('Screener Input'!K42+'Screener Input'!K44)&lt;0, 0, 'Screener Input'!K48/('Screener Input'!K42+'Screener Input'!K44))</f>
        <v>5.2277016366055133E-2</v>
      </c>
      <c r="M199" s="215"/>
      <c r="N199" s="215"/>
    </row>
    <row r="200" spans="1:14">
      <c r="A200" s="158" t="s">
        <v>262</v>
      </c>
      <c r="B200" s="121"/>
      <c r="C200" s="215">
        <f>1-SUM(C196:C199)</f>
        <v>9.1699655746090736E-2</v>
      </c>
      <c r="D200" s="215">
        <f t="shared" ref="D200:L200" si="79">1-SUM(D196:D199)</f>
        <v>0.10054305449808731</v>
      </c>
      <c r="E200" s="215">
        <f t="shared" si="79"/>
        <v>9.6389858987875554E-2</v>
      </c>
      <c r="F200" s="215">
        <f t="shared" si="79"/>
        <v>9.5048377916903792E-2</v>
      </c>
      <c r="G200" s="215">
        <f t="shared" si="79"/>
        <v>9.2583975698407261E-2</v>
      </c>
      <c r="H200" s="215">
        <f t="shared" si="79"/>
        <v>9.4004045149083226E-2</v>
      </c>
      <c r="I200" s="215">
        <f t="shared" si="79"/>
        <v>0.10054077788819293</v>
      </c>
      <c r="J200" s="215">
        <f t="shared" si="79"/>
        <v>0.10126480179138642</v>
      </c>
      <c r="K200" s="215">
        <f t="shared" si="79"/>
        <v>0.10192375471062343</v>
      </c>
      <c r="L200" s="244">
        <f t="shared" si="79"/>
        <v>9.9805092349101399E-2</v>
      </c>
      <c r="M200" s="215"/>
      <c r="N200" s="215"/>
    </row>
    <row r="201" spans="1:14">
      <c r="A201" s="154"/>
      <c r="B201" s="121"/>
      <c r="C201" s="121"/>
      <c r="D201" s="121"/>
      <c r="E201" s="121"/>
      <c r="F201" s="121"/>
      <c r="G201" s="121"/>
      <c r="H201" s="121"/>
      <c r="I201" s="121"/>
      <c r="J201" s="121"/>
      <c r="K201" s="121"/>
      <c r="L201" s="121"/>
      <c r="M201" s="121"/>
      <c r="N201" s="121"/>
    </row>
    <row r="202" spans="1:14">
      <c r="A202" s="158"/>
      <c r="B202" s="121"/>
      <c r="C202" s="121"/>
      <c r="D202" s="121"/>
      <c r="E202" s="121"/>
      <c r="F202" s="121"/>
      <c r="G202" s="121"/>
      <c r="H202" s="121"/>
      <c r="I202" s="121"/>
      <c r="J202" s="121"/>
      <c r="K202" s="121"/>
      <c r="L202" s="121"/>
      <c r="M202" s="121"/>
      <c r="N202" s="121"/>
    </row>
    <row r="203" spans="1:14">
      <c r="A203" s="158"/>
    </row>
    <row r="204" spans="1:14">
      <c r="A204" s="158"/>
    </row>
    <row r="205" spans="1:14">
      <c r="A205" s="158"/>
    </row>
  </sheetData>
  <mergeCells count="6">
    <mergeCell ref="A68:K68"/>
    <mergeCell ref="A85:K85"/>
    <mergeCell ref="A3:J3"/>
    <mergeCell ref="A12:K12"/>
    <mergeCell ref="A13:J13"/>
    <mergeCell ref="C38:K38"/>
  </mergeCells>
  <pageMargins left="0.7" right="0.7" top="0.75" bottom="0.75" header="0.3" footer="0.3"/>
  <pageSetup orientation="portrait" r:id="rId1"/>
  <ignoredErrors>
    <ignoredError sqref="C32:L34 C47:L47 F192:L192" formula="1"/>
    <ignoredError sqref="C73:L73 M74:N74 M26:N26 M25:N25 N29 M35:N35 M30 M32:M34" formulaRange="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M23" sqref="M23"/>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93"/>
  <sheetViews>
    <sheetView zoomScaleNormal="100" workbookViewId="0"/>
  </sheetViews>
  <sheetFormatPr defaultRowHeight="15"/>
  <cols>
    <col min="1" max="1" width="27.7109375" style="154" bestFit="1" customWidth="1"/>
    <col min="2" max="11" width="13.5703125" style="154" bestFit="1" customWidth="1"/>
    <col min="12" max="16384" width="9.140625" style="154"/>
  </cols>
  <sheetData>
    <row r="1" spans="1:11" s="153" customFormat="1">
      <c r="A1" s="153" t="s">
        <v>244</v>
      </c>
      <c r="B1" s="153" t="s">
        <v>563</v>
      </c>
      <c r="E1" s="425" t="str">
        <f>IF(B2&lt;&gt;B3, "A NEW VERSION OF THE WORKSHEET IS AVAILABLE", "")</f>
        <v/>
      </c>
      <c r="F1" s="425"/>
      <c r="G1" s="425"/>
      <c r="H1" s="425"/>
      <c r="I1" s="425"/>
      <c r="J1" s="425"/>
      <c r="K1" s="425"/>
    </row>
    <row r="2" spans="1:11">
      <c r="A2" s="153" t="s">
        <v>245</v>
      </c>
      <c r="B2" s="154">
        <v>2.1</v>
      </c>
      <c r="E2" s="426" t="s">
        <v>246</v>
      </c>
      <c r="F2" s="426"/>
      <c r="G2" s="426"/>
      <c r="H2" s="426"/>
      <c r="I2" s="426"/>
      <c r="J2" s="426"/>
      <c r="K2" s="426"/>
    </row>
    <row r="3" spans="1:11">
      <c r="A3" s="153" t="s">
        <v>247</v>
      </c>
      <c r="B3" s="154">
        <v>2.1</v>
      </c>
    </row>
    <row r="4" spans="1:11">
      <c r="A4" s="153"/>
    </row>
    <row r="5" spans="1:11">
      <c r="A5" s="153" t="s">
        <v>248</v>
      </c>
    </row>
    <row r="6" spans="1:11">
      <c r="A6" s="154" t="s">
        <v>249</v>
      </c>
      <c r="B6" s="154">
        <f>IF(B9&gt;0, B9/B8, 0)</f>
        <v>12.01591498318659</v>
      </c>
    </row>
    <row r="7" spans="1:11">
      <c r="A7" s="154" t="s">
        <v>250</v>
      </c>
      <c r="B7">
        <v>2</v>
      </c>
    </row>
    <row r="8" spans="1:11">
      <c r="A8" s="154" t="s">
        <v>251</v>
      </c>
      <c r="B8">
        <v>5843.55</v>
      </c>
    </row>
    <row r="9" spans="1:11">
      <c r="A9" s="154" t="s">
        <v>252</v>
      </c>
      <c r="B9">
        <v>70215.600000000006</v>
      </c>
    </row>
    <row r="15" spans="1:11">
      <c r="A15" s="153" t="s">
        <v>253</v>
      </c>
    </row>
    <row r="16" spans="1:11" s="157" customFormat="1">
      <c r="A16" s="155" t="s">
        <v>254</v>
      </c>
      <c r="B16" s="156">
        <v>39903</v>
      </c>
      <c r="C16" s="156">
        <v>40268</v>
      </c>
      <c r="D16" s="156">
        <v>40633</v>
      </c>
      <c r="E16" s="156">
        <v>40999</v>
      </c>
      <c r="F16" s="156">
        <v>41364</v>
      </c>
      <c r="G16" s="156">
        <v>41729</v>
      </c>
      <c r="H16" s="156">
        <v>42094</v>
      </c>
      <c r="I16" s="156">
        <v>42460</v>
      </c>
      <c r="J16" s="156">
        <v>42825</v>
      </c>
      <c r="K16" s="156">
        <v>43190</v>
      </c>
    </row>
    <row r="17" spans="1:11" s="158" customFormat="1">
      <c r="A17" s="158" t="s">
        <v>186</v>
      </c>
      <c r="B17">
        <v>3421.23</v>
      </c>
      <c r="C17">
        <v>3772.91</v>
      </c>
      <c r="D17">
        <v>4609.38</v>
      </c>
      <c r="E17">
        <v>5485.37</v>
      </c>
      <c r="F17">
        <v>6185.41</v>
      </c>
      <c r="G17">
        <v>6912.71</v>
      </c>
      <c r="H17">
        <v>7858.42</v>
      </c>
      <c r="I17">
        <v>8397.23</v>
      </c>
      <c r="J17">
        <v>9054.09</v>
      </c>
      <c r="K17">
        <v>9913.99</v>
      </c>
    </row>
    <row r="18" spans="1:11" s="158" customFormat="1">
      <c r="A18" s="154" t="s">
        <v>255</v>
      </c>
      <c r="B18">
        <v>2138.69</v>
      </c>
      <c r="C18">
        <v>2438.7399999999998</v>
      </c>
      <c r="D18">
        <v>3043.29</v>
      </c>
      <c r="E18">
        <v>3546.8</v>
      </c>
      <c r="F18">
        <v>3869.02</v>
      </c>
      <c r="G18">
        <v>4182.53</v>
      </c>
      <c r="H18">
        <v>4722.21</v>
      </c>
      <c r="I18">
        <v>5016.99</v>
      </c>
      <c r="J18">
        <v>5642.88</v>
      </c>
      <c r="K18">
        <v>6100.8</v>
      </c>
    </row>
    <row r="19" spans="1:11" s="158" customFormat="1">
      <c r="A19" s="154" t="s">
        <v>256</v>
      </c>
      <c r="B19">
        <v>19.62</v>
      </c>
      <c r="C19">
        <v>27.25</v>
      </c>
      <c r="D19">
        <v>15.68</v>
      </c>
      <c r="E19">
        <v>14.03</v>
      </c>
      <c r="F19">
        <v>7.67</v>
      </c>
      <c r="G19">
        <v>11.51</v>
      </c>
      <c r="H19">
        <v>30.4</v>
      </c>
      <c r="I19">
        <v>4.2699999999999996</v>
      </c>
      <c r="J19">
        <v>54.2</v>
      </c>
      <c r="K19">
        <v>-6.3</v>
      </c>
    </row>
    <row r="20" spans="1:11" s="158" customFormat="1">
      <c r="A20" s="154" t="s">
        <v>257</v>
      </c>
      <c r="B20">
        <v>51.48</v>
      </c>
      <c r="C20">
        <v>45.47</v>
      </c>
      <c r="D20">
        <v>56.54</v>
      </c>
      <c r="E20">
        <v>72.87</v>
      </c>
      <c r="F20">
        <v>91.01</v>
      </c>
      <c r="G20">
        <v>110.72</v>
      </c>
      <c r="H20">
        <v>110.96</v>
      </c>
      <c r="I20">
        <v>95.16</v>
      </c>
      <c r="J20">
        <v>104.28</v>
      </c>
      <c r="K20">
        <v>128.83000000000001</v>
      </c>
    </row>
    <row r="21" spans="1:11" s="158" customFormat="1">
      <c r="A21" s="154" t="s">
        <v>258</v>
      </c>
      <c r="B21">
        <v>257.5</v>
      </c>
      <c r="C21">
        <v>282.13</v>
      </c>
      <c r="D21">
        <v>319.89</v>
      </c>
      <c r="E21">
        <v>393.22</v>
      </c>
      <c r="F21">
        <v>467.67</v>
      </c>
      <c r="G21">
        <v>509.95</v>
      </c>
      <c r="H21">
        <v>555.67999999999995</v>
      </c>
      <c r="I21">
        <v>510.15</v>
      </c>
      <c r="J21">
        <v>509.93</v>
      </c>
      <c r="K21">
        <v>487.59</v>
      </c>
    </row>
    <row r="22" spans="1:11" s="158" customFormat="1">
      <c r="A22" s="154" t="s">
        <v>22</v>
      </c>
      <c r="B22">
        <v>158.71</v>
      </c>
      <c r="C22">
        <v>164.51</v>
      </c>
      <c r="D22">
        <v>177.49</v>
      </c>
      <c r="E22">
        <v>211.15</v>
      </c>
      <c r="F22">
        <v>226.75</v>
      </c>
      <c r="G22">
        <v>262.66000000000003</v>
      </c>
      <c r="H22">
        <v>294.44</v>
      </c>
      <c r="I22">
        <v>341.36</v>
      </c>
      <c r="J22">
        <v>352.61</v>
      </c>
      <c r="K22">
        <v>401.6</v>
      </c>
    </row>
    <row r="23" spans="1:11" s="158" customFormat="1">
      <c r="A23" s="154" t="s">
        <v>259</v>
      </c>
      <c r="B23">
        <v>499.79</v>
      </c>
      <c r="C23">
        <v>602.91</v>
      </c>
      <c r="D23">
        <v>663.96</v>
      </c>
      <c r="E23">
        <v>786.52</v>
      </c>
      <c r="F23">
        <v>920.63</v>
      </c>
      <c r="G23">
        <v>1030.8900000000001</v>
      </c>
      <c r="H23">
        <v>1129.07</v>
      </c>
      <c r="I23">
        <v>956.77</v>
      </c>
      <c r="J23">
        <v>915.01</v>
      </c>
      <c r="K23">
        <v>953.48</v>
      </c>
    </row>
    <row r="24" spans="1:11" s="158" customFormat="1">
      <c r="A24" s="154" t="s">
        <v>260</v>
      </c>
      <c r="B24">
        <v>122.77</v>
      </c>
      <c r="C24">
        <v>134.4</v>
      </c>
      <c r="D24">
        <v>127.21</v>
      </c>
      <c r="E24">
        <v>177.97</v>
      </c>
      <c r="F24">
        <v>197.36</v>
      </c>
      <c r="G24">
        <v>200.27</v>
      </c>
      <c r="H24">
        <v>226.41</v>
      </c>
      <c r="I24">
        <v>266.68</v>
      </c>
      <c r="J24">
        <v>305.39999999999998</v>
      </c>
      <c r="K24">
        <v>333.74</v>
      </c>
    </row>
    <row r="25" spans="1:11" s="158" customFormat="1">
      <c r="A25" s="158" t="s">
        <v>19</v>
      </c>
      <c r="B25">
        <v>82.72</v>
      </c>
      <c r="C25">
        <v>58.24</v>
      </c>
      <c r="D25">
        <v>59.01</v>
      </c>
      <c r="E25">
        <v>59.14</v>
      </c>
      <c r="F25">
        <v>52.24</v>
      </c>
      <c r="G25">
        <v>33.590000000000003</v>
      </c>
      <c r="H25">
        <v>247.88</v>
      </c>
      <c r="I25">
        <v>124.35</v>
      </c>
      <c r="J25">
        <v>150.54</v>
      </c>
      <c r="K25">
        <v>166.37</v>
      </c>
    </row>
    <row r="26" spans="1:11" s="158" customFormat="1">
      <c r="A26" s="158" t="s">
        <v>25</v>
      </c>
      <c r="B26">
        <v>65.91</v>
      </c>
      <c r="C26">
        <v>58.23</v>
      </c>
      <c r="D26">
        <v>64.91</v>
      </c>
      <c r="E26">
        <v>61.83</v>
      </c>
      <c r="F26">
        <v>73.150000000000006</v>
      </c>
      <c r="G26">
        <v>83.18</v>
      </c>
      <c r="H26">
        <v>144.47999999999999</v>
      </c>
      <c r="I26">
        <v>113.41</v>
      </c>
      <c r="J26">
        <v>119.27</v>
      </c>
      <c r="K26">
        <v>142.07</v>
      </c>
    </row>
    <row r="27" spans="1:11" s="158" customFormat="1">
      <c r="A27" s="158" t="s">
        <v>24</v>
      </c>
      <c r="B27">
        <v>32.6</v>
      </c>
      <c r="C27">
        <v>23.45</v>
      </c>
      <c r="D27">
        <v>43.63</v>
      </c>
      <c r="E27">
        <v>41.6</v>
      </c>
      <c r="F27">
        <v>41.3</v>
      </c>
      <c r="G27">
        <v>8.2899999999999991</v>
      </c>
      <c r="H27">
        <v>3.86</v>
      </c>
      <c r="I27">
        <v>4.87</v>
      </c>
      <c r="J27">
        <v>5.45</v>
      </c>
      <c r="K27">
        <v>7.59</v>
      </c>
    </row>
    <row r="28" spans="1:11" s="158" customFormat="1">
      <c r="A28" s="158" t="s">
        <v>261</v>
      </c>
      <c r="B28">
        <v>196.12</v>
      </c>
      <c r="C28">
        <v>108.56</v>
      </c>
      <c r="D28">
        <v>187.15</v>
      </c>
      <c r="E28">
        <v>266.58</v>
      </c>
      <c r="F28">
        <v>358.43</v>
      </c>
      <c r="G28">
        <v>569.32000000000005</v>
      </c>
      <c r="H28">
        <v>949.59</v>
      </c>
      <c r="I28">
        <v>1220.46</v>
      </c>
      <c r="J28">
        <v>1304</v>
      </c>
      <c r="K28">
        <v>1518.36</v>
      </c>
    </row>
    <row r="29" spans="1:11" s="158" customFormat="1">
      <c r="A29" s="158" t="s">
        <v>26</v>
      </c>
      <c r="B29">
        <v>52.88</v>
      </c>
      <c r="C29">
        <v>5.46</v>
      </c>
      <c r="D29">
        <v>52.94</v>
      </c>
      <c r="E29">
        <v>66.849999999999994</v>
      </c>
      <c r="F29">
        <v>98.55</v>
      </c>
      <c r="G29">
        <v>173.58</v>
      </c>
      <c r="H29">
        <v>261.11</v>
      </c>
      <c r="I29">
        <v>396.1</v>
      </c>
      <c r="J29">
        <v>419.67</v>
      </c>
      <c r="K29">
        <v>514.22</v>
      </c>
    </row>
    <row r="30" spans="1:11" s="158" customFormat="1">
      <c r="A30" s="158" t="s">
        <v>262</v>
      </c>
      <c r="B30">
        <v>151.47999999999999</v>
      </c>
      <c r="C30">
        <v>103.18</v>
      </c>
      <c r="D30">
        <v>134.35</v>
      </c>
      <c r="E30">
        <v>199.55</v>
      </c>
      <c r="F30">
        <v>259.5</v>
      </c>
      <c r="G30">
        <v>395.35</v>
      </c>
      <c r="H30">
        <v>688.64</v>
      </c>
      <c r="I30">
        <v>824.58</v>
      </c>
      <c r="J30">
        <v>884.47</v>
      </c>
      <c r="K30">
        <v>1004.23</v>
      </c>
    </row>
    <row r="31" spans="1:11" s="158" customFormat="1">
      <c r="A31" s="158" t="s">
        <v>263</v>
      </c>
      <c r="B31">
        <v>95.56</v>
      </c>
      <c r="C31">
        <v>59.73</v>
      </c>
      <c r="D31">
        <v>77.64</v>
      </c>
      <c r="E31">
        <v>101.53</v>
      </c>
      <c r="F31">
        <v>101.62</v>
      </c>
      <c r="G31">
        <v>143.94</v>
      </c>
      <c r="H31">
        <v>191.92</v>
      </c>
      <c r="I31">
        <v>240</v>
      </c>
      <c r="J31">
        <v>264</v>
      </c>
      <c r="K31">
        <v>300.13</v>
      </c>
    </row>
    <row r="32" spans="1:11" s="158" customFormat="1"/>
    <row r="33" spans="1:11">
      <c r="A33" s="158"/>
    </row>
    <row r="34" spans="1:11">
      <c r="A34" s="158"/>
    </row>
    <row r="35" spans="1:11">
      <c r="A35" s="158"/>
    </row>
    <row r="36" spans="1:11">
      <c r="A36" s="158"/>
    </row>
    <row r="37" spans="1:11">
      <c r="A37" s="158"/>
    </row>
    <row r="38" spans="1:11">
      <c r="A38" s="158"/>
    </row>
    <row r="39" spans="1:11">
      <c r="A39" s="158"/>
    </row>
    <row r="40" spans="1:11">
      <c r="A40" s="153" t="s">
        <v>264</v>
      </c>
    </row>
    <row r="41" spans="1:11" s="157" customFormat="1">
      <c r="A41" s="155" t="s">
        <v>254</v>
      </c>
      <c r="B41" s="156">
        <v>42460</v>
      </c>
      <c r="C41" s="156">
        <v>42551</v>
      </c>
      <c r="D41" s="156">
        <v>42643</v>
      </c>
      <c r="E41" s="156">
        <v>42735</v>
      </c>
      <c r="F41" s="156">
        <v>42825</v>
      </c>
      <c r="G41" s="156">
        <v>42916</v>
      </c>
      <c r="H41" s="156">
        <v>43008</v>
      </c>
      <c r="I41" s="156">
        <v>43100</v>
      </c>
      <c r="J41" s="156">
        <v>43190</v>
      </c>
      <c r="K41" s="156">
        <v>43281</v>
      </c>
    </row>
    <row r="42" spans="1:11" s="158" customFormat="1">
      <c r="A42" s="158" t="s">
        <v>186</v>
      </c>
      <c r="B42">
        <v>2133.6799999999998</v>
      </c>
      <c r="C42">
        <v>2140.77</v>
      </c>
      <c r="D42">
        <v>2386.9699999999998</v>
      </c>
      <c r="E42">
        <v>2281.9699999999998</v>
      </c>
      <c r="F42">
        <v>2244.38</v>
      </c>
      <c r="G42">
        <v>2263.6999999999998</v>
      </c>
      <c r="H42">
        <v>2545.29</v>
      </c>
      <c r="I42">
        <v>2567.48</v>
      </c>
      <c r="J42">
        <v>2537.52</v>
      </c>
      <c r="K42">
        <v>2543.83</v>
      </c>
    </row>
    <row r="43" spans="1:11" s="158" customFormat="1">
      <c r="A43" s="158" t="s">
        <v>265</v>
      </c>
      <c r="B43">
        <v>1843.42</v>
      </c>
      <c r="C43">
        <v>1824.57</v>
      </c>
      <c r="D43">
        <v>2048.08</v>
      </c>
      <c r="E43">
        <v>1967.76</v>
      </c>
      <c r="F43">
        <v>1936.29</v>
      </c>
      <c r="G43">
        <v>1935.19</v>
      </c>
      <c r="H43">
        <v>2167.64</v>
      </c>
      <c r="I43">
        <v>2169.1</v>
      </c>
      <c r="J43">
        <v>2141.04</v>
      </c>
      <c r="K43">
        <v>2154.5</v>
      </c>
    </row>
    <row r="44" spans="1:11" s="158" customFormat="1">
      <c r="A44" s="158" t="s">
        <v>19</v>
      </c>
      <c r="B44">
        <v>36.229999999999997</v>
      </c>
      <c r="C44">
        <v>39.49</v>
      </c>
      <c r="D44">
        <v>41.19</v>
      </c>
      <c r="E44">
        <v>37.270000000000003</v>
      </c>
      <c r="F44">
        <v>33.659999999999997</v>
      </c>
      <c r="G44">
        <v>35.35</v>
      </c>
      <c r="H44">
        <v>50.97</v>
      </c>
      <c r="I44">
        <v>36.090000000000003</v>
      </c>
      <c r="J44">
        <v>44.41</v>
      </c>
      <c r="K44">
        <v>42.01</v>
      </c>
    </row>
    <row r="45" spans="1:11" s="158" customFormat="1">
      <c r="A45" s="158" t="s">
        <v>25</v>
      </c>
      <c r="B45">
        <v>30.82</v>
      </c>
      <c r="C45">
        <v>27.86</v>
      </c>
      <c r="D45">
        <v>28.93</v>
      </c>
      <c r="E45">
        <v>30.27</v>
      </c>
      <c r="F45">
        <v>32.21</v>
      </c>
      <c r="G45">
        <v>33.19</v>
      </c>
      <c r="H45">
        <v>33.64</v>
      </c>
      <c r="I45">
        <v>32.89</v>
      </c>
      <c r="J45">
        <v>42.35</v>
      </c>
      <c r="K45">
        <v>35.64</v>
      </c>
    </row>
    <row r="46" spans="1:11" s="158" customFormat="1">
      <c r="A46" s="158" t="s">
        <v>24</v>
      </c>
      <c r="B46">
        <v>1.48</v>
      </c>
      <c r="C46">
        <v>1.5</v>
      </c>
      <c r="D46">
        <v>1.53</v>
      </c>
      <c r="E46">
        <v>1.1000000000000001</v>
      </c>
      <c r="F46">
        <v>1.32</v>
      </c>
      <c r="G46">
        <v>1.27</v>
      </c>
      <c r="H46">
        <v>1.4</v>
      </c>
      <c r="I46">
        <v>2.5499999999999998</v>
      </c>
      <c r="J46">
        <v>2.37</v>
      </c>
      <c r="K46">
        <v>2.44</v>
      </c>
    </row>
    <row r="47" spans="1:11" s="158" customFormat="1">
      <c r="A47" s="158" t="s">
        <v>261</v>
      </c>
      <c r="B47">
        <v>294.19</v>
      </c>
      <c r="C47">
        <v>326.33</v>
      </c>
      <c r="D47">
        <v>349.62</v>
      </c>
      <c r="E47">
        <v>320.11</v>
      </c>
      <c r="F47">
        <v>308.22000000000003</v>
      </c>
      <c r="G47">
        <v>329.4</v>
      </c>
      <c r="H47">
        <v>393.58</v>
      </c>
      <c r="I47">
        <v>399.03</v>
      </c>
      <c r="J47">
        <v>396.17</v>
      </c>
      <c r="K47">
        <v>393.26</v>
      </c>
    </row>
    <row r="48" spans="1:11" s="158" customFormat="1">
      <c r="A48" s="158" t="s">
        <v>26</v>
      </c>
      <c r="B48">
        <v>95.21</v>
      </c>
      <c r="C48">
        <v>107.12</v>
      </c>
      <c r="D48">
        <v>115.57</v>
      </c>
      <c r="E48">
        <v>99.67</v>
      </c>
      <c r="F48">
        <v>97.31</v>
      </c>
      <c r="G48">
        <v>113.28</v>
      </c>
      <c r="H48">
        <v>132.55000000000001</v>
      </c>
      <c r="I48">
        <v>135.38</v>
      </c>
      <c r="J48">
        <v>133.01</v>
      </c>
      <c r="K48">
        <v>135.18</v>
      </c>
    </row>
    <row r="49" spans="1:11" s="158" customFormat="1">
      <c r="A49" s="158" t="s">
        <v>262</v>
      </c>
      <c r="B49">
        <v>198.98</v>
      </c>
      <c r="C49">
        <v>219.21</v>
      </c>
      <c r="D49">
        <v>234.05</v>
      </c>
      <c r="E49">
        <v>220.44</v>
      </c>
      <c r="F49">
        <v>210.91</v>
      </c>
      <c r="G49">
        <v>216.12</v>
      </c>
      <c r="H49">
        <v>261.02999999999997</v>
      </c>
      <c r="I49">
        <v>263.64999999999998</v>
      </c>
      <c r="J49">
        <v>263.16000000000003</v>
      </c>
      <c r="K49">
        <v>258.08</v>
      </c>
    </row>
    <row r="50" spans="1:11">
      <c r="A50" s="158" t="s">
        <v>23</v>
      </c>
      <c r="B50">
        <v>290.26</v>
      </c>
      <c r="C50">
        <v>316.2</v>
      </c>
      <c r="D50">
        <v>338.89</v>
      </c>
      <c r="E50">
        <v>314.20999999999998</v>
      </c>
      <c r="F50">
        <v>308.08999999999997</v>
      </c>
      <c r="G50">
        <v>328.51</v>
      </c>
      <c r="H50">
        <v>377.65</v>
      </c>
      <c r="I50">
        <v>398.38</v>
      </c>
      <c r="J50">
        <v>396.48</v>
      </c>
      <c r="K50">
        <v>389.33</v>
      </c>
    </row>
    <row r="51" spans="1:11">
      <c r="A51" s="158"/>
    </row>
    <row r="52" spans="1:11">
      <c r="A52" s="158"/>
    </row>
    <row r="53" spans="1:11">
      <c r="A53" s="158"/>
    </row>
    <row r="54" spans="1:11">
      <c r="A54" s="158"/>
    </row>
    <row r="55" spans="1:11">
      <c r="A55" s="153" t="s">
        <v>266</v>
      </c>
    </row>
    <row r="56" spans="1:11" s="157" customFormat="1">
      <c r="A56" s="155" t="s">
        <v>254</v>
      </c>
      <c r="B56" s="156">
        <v>39903</v>
      </c>
      <c r="C56" s="156">
        <v>40268</v>
      </c>
      <c r="D56" s="156">
        <v>40633</v>
      </c>
      <c r="E56" s="156">
        <v>40999</v>
      </c>
      <c r="F56" s="156">
        <v>41364</v>
      </c>
      <c r="G56" s="156">
        <v>41729</v>
      </c>
      <c r="H56" s="156">
        <v>42094</v>
      </c>
      <c r="I56" s="156">
        <v>42460</v>
      </c>
      <c r="J56" s="156">
        <v>42825</v>
      </c>
      <c r="K56" s="156">
        <v>43190</v>
      </c>
    </row>
    <row r="57" spans="1:11">
      <c r="A57" s="158" t="s">
        <v>7</v>
      </c>
      <c r="B57">
        <v>23.89</v>
      </c>
      <c r="C57">
        <v>23.89</v>
      </c>
      <c r="D57">
        <v>23.89</v>
      </c>
      <c r="E57">
        <v>23.89</v>
      </c>
      <c r="F57">
        <v>23.91</v>
      </c>
      <c r="G57">
        <v>23.99</v>
      </c>
      <c r="H57">
        <v>23.99</v>
      </c>
      <c r="I57">
        <v>24</v>
      </c>
      <c r="J57">
        <v>24</v>
      </c>
      <c r="K57">
        <v>24.01</v>
      </c>
    </row>
    <row r="58" spans="1:11">
      <c r="A58" s="158" t="s">
        <v>8</v>
      </c>
      <c r="B58">
        <v>697.48</v>
      </c>
      <c r="C58">
        <v>258.91000000000003</v>
      </c>
      <c r="D58">
        <v>302.14</v>
      </c>
      <c r="E58">
        <v>385.28</v>
      </c>
      <c r="F58">
        <v>531.66999999999996</v>
      </c>
      <c r="G58">
        <v>774.12</v>
      </c>
      <c r="H58">
        <v>1221.1199999999999</v>
      </c>
      <c r="I58">
        <v>2067.6799999999998</v>
      </c>
      <c r="J58">
        <v>2672.42</v>
      </c>
      <c r="K58">
        <v>3382.22</v>
      </c>
    </row>
    <row r="59" spans="1:11">
      <c r="A59" s="158" t="s">
        <v>215</v>
      </c>
      <c r="B59">
        <v>274.82</v>
      </c>
      <c r="C59">
        <v>656.96</v>
      </c>
      <c r="D59">
        <v>617.92999999999995</v>
      </c>
      <c r="E59">
        <v>604.21</v>
      </c>
      <c r="F59">
        <v>380</v>
      </c>
      <c r="G59">
        <v>149.76</v>
      </c>
      <c r="H59">
        <v>145.07</v>
      </c>
      <c r="I59">
        <v>131.05000000000001</v>
      </c>
      <c r="J59">
        <v>124.56</v>
      </c>
      <c r="K59">
        <v>200.7</v>
      </c>
    </row>
    <row r="60" spans="1:11">
      <c r="A60" s="158" t="s">
        <v>216</v>
      </c>
      <c r="B60">
        <v>511.12</v>
      </c>
      <c r="C60">
        <v>599.36</v>
      </c>
      <c r="D60">
        <v>699.72</v>
      </c>
      <c r="E60">
        <v>853.99</v>
      </c>
      <c r="F60">
        <v>974.96</v>
      </c>
      <c r="G60">
        <v>1194.18</v>
      </c>
      <c r="H60">
        <v>1426.13</v>
      </c>
      <c r="I60">
        <v>1307.73</v>
      </c>
      <c r="J60">
        <v>1336</v>
      </c>
      <c r="K60">
        <v>1635.74</v>
      </c>
    </row>
    <row r="61" spans="1:11" s="153" customFormat="1">
      <c r="A61" s="153" t="s">
        <v>267</v>
      </c>
      <c r="B61">
        <v>1507.31</v>
      </c>
      <c r="C61">
        <v>1539.12</v>
      </c>
      <c r="D61">
        <v>1643.68</v>
      </c>
      <c r="E61">
        <v>1867.37</v>
      </c>
      <c r="F61">
        <v>1910.54</v>
      </c>
      <c r="G61">
        <v>2142.0500000000002</v>
      </c>
      <c r="H61">
        <v>2816.31</v>
      </c>
      <c r="I61">
        <v>3530.46</v>
      </c>
      <c r="J61">
        <v>4156.9799999999996</v>
      </c>
      <c r="K61">
        <v>5242.67</v>
      </c>
    </row>
    <row r="62" spans="1:11">
      <c r="A62" s="158" t="s">
        <v>13</v>
      </c>
      <c r="B62">
        <v>470.51</v>
      </c>
      <c r="C62">
        <v>499.34</v>
      </c>
      <c r="D62">
        <v>504.89</v>
      </c>
      <c r="E62">
        <v>624.39</v>
      </c>
      <c r="F62">
        <v>736.8</v>
      </c>
      <c r="G62">
        <v>847.59</v>
      </c>
      <c r="H62">
        <v>844.07</v>
      </c>
      <c r="I62">
        <v>950.24</v>
      </c>
      <c r="J62">
        <v>1159.99</v>
      </c>
      <c r="K62">
        <v>1345.6</v>
      </c>
    </row>
    <row r="63" spans="1:11">
      <c r="A63" s="158" t="s">
        <v>14</v>
      </c>
      <c r="B63">
        <v>6.3</v>
      </c>
      <c r="C63">
        <v>10.16</v>
      </c>
      <c r="D63">
        <v>12.82</v>
      </c>
      <c r="E63">
        <v>111.26</v>
      </c>
      <c r="F63">
        <v>147.30000000000001</v>
      </c>
      <c r="G63">
        <v>107.09</v>
      </c>
      <c r="H63">
        <v>48.37</v>
      </c>
      <c r="I63">
        <v>90.07</v>
      </c>
      <c r="J63">
        <v>30.07</v>
      </c>
      <c r="K63">
        <v>202.82</v>
      </c>
    </row>
    <row r="64" spans="1:11">
      <c r="A64" s="158" t="s">
        <v>15</v>
      </c>
      <c r="B64">
        <v>377.34</v>
      </c>
      <c r="C64">
        <v>366.44</v>
      </c>
      <c r="D64">
        <v>388.51</v>
      </c>
      <c r="E64">
        <v>248.51</v>
      </c>
      <c r="F64">
        <v>108.2</v>
      </c>
      <c r="G64">
        <v>197.87</v>
      </c>
      <c r="H64">
        <v>517.94000000000005</v>
      </c>
      <c r="I64">
        <v>788.38</v>
      </c>
      <c r="J64">
        <v>486.85</v>
      </c>
      <c r="K64">
        <v>1079.28</v>
      </c>
    </row>
    <row r="65" spans="1:11">
      <c r="A65" s="158" t="s">
        <v>268</v>
      </c>
      <c r="B65">
        <v>653.16</v>
      </c>
      <c r="C65">
        <v>663.18</v>
      </c>
      <c r="D65">
        <v>737.46</v>
      </c>
      <c r="E65">
        <v>883.21</v>
      </c>
      <c r="F65">
        <v>918.24</v>
      </c>
      <c r="G65">
        <v>989.5</v>
      </c>
      <c r="H65">
        <v>1405.93</v>
      </c>
      <c r="I65">
        <v>1701.77</v>
      </c>
      <c r="J65">
        <v>2480.0700000000002</v>
      </c>
      <c r="K65">
        <v>2614.9699999999998</v>
      </c>
    </row>
    <row r="66" spans="1:11" s="153" customFormat="1">
      <c r="A66" s="153" t="s">
        <v>267</v>
      </c>
      <c r="B66">
        <v>1507.31</v>
      </c>
      <c r="C66">
        <v>1539.12</v>
      </c>
      <c r="D66">
        <v>1643.68</v>
      </c>
      <c r="E66">
        <v>1867.37</v>
      </c>
      <c r="F66">
        <v>1910.54</v>
      </c>
      <c r="G66">
        <v>2142.0500000000002</v>
      </c>
      <c r="H66">
        <v>2816.31</v>
      </c>
      <c r="I66">
        <v>3530.46</v>
      </c>
      <c r="J66">
        <v>4156.9799999999996</v>
      </c>
      <c r="K66">
        <v>5242.67</v>
      </c>
    </row>
    <row r="67" spans="1:11" s="158" customFormat="1">
      <c r="A67" s="158" t="s">
        <v>269</v>
      </c>
      <c r="B67">
        <v>74</v>
      </c>
      <c r="C67">
        <v>73.27</v>
      </c>
      <c r="D67">
        <v>80.959999999999994</v>
      </c>
      <c r="E67">
        <v>113.01</v>
      </c>
      <c r="F67">
        <v>122.81</v>
      </c>
      <c r="G67">
        <v>108.7</v>
      </c>
      <c r="H67">
        <v>135.81</v>
      </c>
      <c r="I67">
        <v>170.61</v>
      </c>
      <c r="J67">
        <v>179.16</v>
      </c>
      <c r="K67">
        <v>304.60000000000002</v>
      </c>
    </row>
    <row r="68" spans="1:11">
      <c r="A68" s="158" t="s">
        <v>195</v>
      </c>
      <c r="B68">
        <v>288.69</v>
      </c>
      <c r="C68">
        <v>304.20999999999998</v>
      </c>
      <c r="D68">
        <v>346.95</v>
      </c>
      <c r="E68">
        <v>431.76</v>
      </c>
      <c r="F68">
        <v>374.67</v>
      </c>
      <c r="G68">
        <v>420.27</v>
      </c>
      <c r="H68">
        <v>404.04</v>
      </c>
      <c r="I68">
        <v>440.65</v>
      </c>
      <c r="J68">
        <v>661.45</v>
      </c>
      <c r="K68">
        <v>652.79</v>
      </c>
    </row>
    <row r="69" spans="1:11">
      <c r="A69" s="154" t="s">
        <v>270</v>
      </c>
      <c r="B69">
        <v>68.84</v>
      </c>
      <c r="C69">
        <v>42.75</v>
      </c>
      <c r="D69">
        <v>76.88</v>
      </c>
      <c r="E69">
        <v>61.33</v>
      </c>
      <c r="F69">
        <v>102.93</v>
      </c>
      <c r="G69">
        <v>109.07</v>
      </c>
      <c r="H69">
        <v>226.33</v>
      </c>
      <c r="I69">
        <v>87.65</v>
      </c>
      <c r="J69">
        <v>120.76</v>
      </c>
      <c r="K69">
        <v>186.42</v>
      </c>
    </row>
    <row r="70" spans="1:11">
      <c r="A70" s="154" t="s">
        <v>271</v>
      </c>
      <c r="B70">
        <v>23890163</v>
      </c>
      <c r="C70">
        <v>23890163</v>
      </c>
      <c r="D70">
        <v>119450815</v>
      </c>
      <c r="E70">
        <v>119450815</v>
      </c>
      <c r="F70">
        <v>119525815</v>
      </c>
      <c r="G70">
        <v>119925800</v>
      </c>
      <c r="H70">
        <v>119925800</v>
      </c>
      <c r="I70">
        <v>119975815</v>
      </c>
      <c r="J70">
        <v>120000815</v>
      </c>
      <c r="K70">
        <v>120059148</v>
      </c>
    </row>
    <row r="71" spans="1:11">
      <c r="A71" s="154" t="s">
        <v>272</v>
      </c>
    </row>
    <row r="72" spans="1:11">
      <c r="A72" s="154" t="s">
        <v>2</v>
      </c>
      <c r="B72">
        <v>10</v>
      </c>
      <c r="C72">
        <v>10</v>
      </c>
      <c r="D72">
        <v>2</v>
      </c>
      <c r="E72">
        <v>2</v>
      </c>
      <c r="F72">
        <v>2</v>
      </c>
      <c r="G72">
        <v>2</v>
      </c>
      <c r="H72">
        <v>2</v>
      </c>
      <c r="I72">
        <v>2</v>
      </c>
      <c r="J72">
        <v>2</v>
      </c>
      <c r="K72">
        <v>2</v>
      </c>
    </row>
    <row r="74" spans="1:11">
      <c r="A74" s="158"/>
    </row>
    <row r="75" spans="1:11">
      <c r="A75" s="158"/>
    </row>
    <row r="76" spans="1:11">
      <c r="A76" s="158"/>
    </row>
    <row r="77" spans="1:11">
      <c r="A77" s="158"/>
    </row>
    <row r="78" spans="1:11">
      <c r="A78" s="158"/>
    </row>
    <row r="79" spans="1:11">
      <c r="A79" s="158"/>
    </row>
    <row r="80" spans="1:11">
      <c r="A80" s="153" t="s">
        <v>273</v>
      </c>
    </row>
    <row r="81" spans="1:11" s="157" customFormat="1">
      <c r="A81" s="155" t="s">
        <v>254</v>
      </c>
      <c r="B81" s="156">
        <v>39903</v>
      </c>
      <c r="C81" s="156">
        <v>40268</v>
      </c>
      <c r="D81" s="156">
        <v>40633</v>
      </c>
      <c r="E81" s="156">
        <v>40999</v>
      </c>
      <c r="F81" s="156">
        <v>41364</v>
      </c>
      <c r="G81" s="156">
        <v>41729</v>
      </c>
      <c r="H81" s="156">
        <v>42094</v>
      </c>
      <c r="I81" s="156">
        <v>42460</v>
      </c>
      <c r="J81" s="156">
        <v>42825</v>
      </c>
      <c r="K81" s="156">
        <v>43190</v>
      </c>
    </row>
    <row r="82" spans="1:11" s="153" customFormat="1">
      <c r="A82" s="158" t="s">
        <v>274</v>
      </c>
      <c r="B82">
        <v>250.32</v>
      </c>
      <c r="C82">
        <v>237.74</v>
      </c>
      <c r="D82">
        <v>296.45999999999998</v>
      </c>
      <c r="E82">
        <v>246.12</v>
      </c>
      <c r="F82">
        <v>319.8</v>
      </c>
      <c r="G82">
        <v>671.48</v>
      </c>
      <c r="H82">
        <v>584.46</v>
      </c>
      <c r="I82">
        <v>959.23</v>
      </c>
      <c r="J82">
        <v>441.28</v>
      </c>
      <c r="K82">
        <v>1248.77</v>
      </c>
    </row>
    <row r="83" spans="1:11" s="158" customFormat="1">
      <c r="A83" s="158" t="s">
        <v>224</v>
      </c>
      <c r="B83">
        <v>-6.02</v>
      </c>
      <c r="C83">
        <v>-36.68</v>
      </c>
      <c r="D83">
        <v>-117.85</v>
      </c>
      <c r="E83">
        <v>-64.78</v>
      </c>
      <c r="F83">
        <v>28.18</v>
      </c>
      <c r="G83">
        <v>-245.64</v>
      </c>
      <c r="H83">
        <v>-450.3</v>
      </c>
      <c r="I83">
        <v>-705.2</v>
      </c>
      <c r="J83">
        <v>-149.85</v>
      </c>
      <c r="K83">
        <v>-956.26</v>
      </c>
    </row>
    <row r="84" spans="1:11" s="158" customFormat="1">
      <c r="A84" s="158" t="s">
        <v>225</v>
      </c>
      <c r="B84">
        <v>-112.69</v>
      </c>
      <c r="C84">
        <v>-222.89</v>
      </c>
      <c r="D84">
        <v>-165.8</v>
      </c>
      <c r="E84">
        <v>-168.41</v>
      </c>
      <c r="F84">
        <v>-378.15</v>
      </c>
      <c r="G84">
        <v>-357.34</v>
      </c>
      <c r="H84">
        <v>-181.37</v>
      </c>
      <c r="I84">
        <v>-246.18</v>
      </c>
      <c r="J84">
        <v>-295.08</v>
      </c>
      <c r="K84">
        <v>-231.75</v>
      </c>
    </row>
    <row r="85" spans="1:11" s="153" customFormat="1">
      <c r="A85" s="158" t="s">
        <v>275</v>
      </c>
      <c r="B85">
        <v>131.61000000000001</v>
      </c>
      <c r="C85">
        <v>-21.83</v>
      </c>
      <c r="D85">
        <v>12.81</v>
      </c>
      <c r="E85">
        <v>12.93</v>
      </c>
      <c r="F85">
        <v>-30.17</v>
      </c>
      <c r="G85">
        <v>68.5</v>
      </c>
      <c r="H85">
        <v>-47.21</v>
      </c>
      <c r="I85">
        <v>7.85</v>
      </c>
      <c r="J85">
        <v>-3.65</v>
      </c>
      <c r="K85">
        <v>60.76</v>
      </c>
    </row>
    <row r="86" spans="1:11">
      <c r="A86" s="158"/>
    </row>
    <row r="87" spans="1:11">
      <c r="A87" s="158"/>
    </row>
    <row r="88" spans="1:11">
      <c r="A88" s="158"/>
    </row>
    <row r="89" spans="1:11">
      <c r="A89" s="158"/>
    </row>
    <row r="90" spans="1:11" s="153" customFormat="1">
      <c r="A90" s="153" t="s">
        <v>276</v>
      </c>
      <c r="B90">
        <v>301.24555600000002</v>
      </c>
      <c r="C90">
        <v>328.38857100000001</v>
      </c>
      <c r="D90">
        <v>376.21842099999998</v>
      </c>
      <c r="E90">
        <v>576.02250000000004</v>
      </c>
      <c r="F90">
        <v>538.63499999999999</v>
      </c>
      <c r="G90">
        <v>869.92894699999999</v>
      </c>
      <c r="H90">
        <v>2201.5650000000001</v>
      </c>
      <c r="I90">
        <v>2755.5131580000002</v>
      </c>
      <c r="J90">
        <v>3423.8052630000002</v>
      </c>
      <c r="K90">
        <v>5252.7071429999996</v>
      </c>
    </row>
    <row r="92" spans="1:11" s="153" customFormat="1">
      <c r="A92" s="153" t="s">
        <v>277</v>
      </c>
    </row>
    <row r="93" spans="1:11">
      <c r="A93" s="154" t="s">
        <v>278</v>
      </c>
      <c r="B93" s="159">
        <f>IF($B7&gt;0,(B70*B72/$B7)+SUM(C71:$K71),0)/10000000</f>
        <v>11.945081500000001</v>
      </c>
      <c r="C93" s="159">
        <f>IF($B7&gt;0,(C70*C72/$B7)+SUM(D71:$K71),0)/10000000</f>
        <v>11.945081500000001</v>
      </c>
      <c r="D93" s="159">
        <f>IF($B7&gt;0,(D70*D72/$B7)+SUM(E71:$K71),0)/10000000</f>
        <v>11.945081500000001</v>
      </c>
      <c r="E93" s="159">
        <f>IF($B7&gt;0,(E70*E72/$B7)+SUM(F71:$K71),0)/10000000</f>
        <v>11.945081500000001</v>
      </c>
      <c r="F93" s="159">
        <f>IF($B7&gt;0,(F70*F72/$B7)+SUM(G71:$K71),0)/10000000</f>
        <v>11.952581500000001</v>
      </c>
      <c r="G93" s="159">
        <f>IF($B7&gt;0,(G70*G72/$B7)+SUM(H71:$K71),0)/10000000</f>
        <v>11.99258</v>
      </c>
      <c r="H93" s="159">
        <f>IF($B7&gt;0,(H70*H72/$B7)+SUM(I71:$K71),0)/10000000</f>
        <v>11.99258</v>
      </c>
      <c r="I93" s="159">
        <f>IF($B7&gt;0,(I70*I72/$B7)+SUM(J71:$K71),0)/10000000</f>
        <v>11.997581500000001</v>
      </c>
      <c r="J93" s="159">
        <f>IF($B7&gt;0,(J70*J72/$B7)+SUM(K71:$K71),0)/10000000</f>
        <v>12.0000815</v>
      </c>
      <c r="K93" s="159">
        <f>IF($B7&gt;0,(K70*K72/$B7),0)/10000000</f>
        <v>12.005914799999999</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3:H26"/>
  <sheetViews>
    <sheetView showGridLines="0" tabSelected="1" workbookViewId="0"/>
  </sheetViews>
  <sheetFormatPr defaultColWidth="9" defaultRowHeight="15"/>
  <cols>
    <col min="1" max="1" width="4.140625" style="173" customWidth="1"/>
    <col min="2" max="2" width="46.42578125" style="172" bestFit="1" customWidth="1"/>
    <col min="3" max="3" width="9" style="172"/>
    <col min="4" max="4" width="15.140625" style="172" customWidth="1"/>
    <col min="5" max="5" width="13.5703125" style="173" customWidth="1"/>
    <col min="6" max="16384" width="9" style="173"/>
  </cols>
  <sheetData>
    <row r="3" spans="2:8">
      <c r="B3" s="232" t="s">
        <v>362</v>
      </c>
    </row>
    <row r="5" spans="2:8">
      <c r="B5" s="309" t="s">
        <v>441</v>
      </c>
      <c r="C5" s="323">
        <v>43252</v>
      </c>
      <c r="D5" s="308">
        <v>43160</v>
      </c>
      <c r="E5" s="308">
        <v>42795</v>
      </c>
      <c r="F5" s="308">
        <v>42430</v>
      </c>
      <c r="G5" s="308">
        <v>42064</v>
      </c>
      <c r="H5" s="308">
        <v>41699</v>
      </c>
    </row>
    <row r="6" spans="2:8">
      <c r="B6" s="304" t="s">
        <v>526</v>
      </c>
      <c r="C6" s="306">
        <v>0.50700000000000001</v>
      </c>
      <c r="D6" s="306">
        <v>0.50700000000000001</v>
      </c>
      <c r="E6" s="306">
        <v>0.50700000000000001</v>
      </c>
      <c r="F6" s="306">
        <v>0.50700000000000001</v>
      </c>
      <c r="G6" s="306">
        <v>0.50700000000000001</v>
      </c>
      <c r="H6" s="306">
        <v>0.50700000000000001</v>
      </c>
    </row>
    <row r="7" spans="2:8">
      <c r="B7" s="304" t="s">
        <v>442</v>
      </c>
      <c r="C7" s="306"/>
      <c r="D7" s="306">
        <v>0</v>
      </c>
      <c r="E7" s="306">
        <v>0</v>
      </c>
      <c r="F7" s="306">
        <v>0</v>
      </c>
      <c r="G7" s="306">
        <v>0</v>
      </c>
      <c r="H7" s="306">
        <v>0</v>
      </c>
    </row>
    <row r="8" spans="2:8">
      <c r="B8" s="304" t="s">
        <v>192</v>
      </c>
      <c r="C8" s="306">
        <v>0.1726</v>
      </c>
      <c r="D8" s="306">
        <v>0.17050000000000001</v>
      </c>
      <c r="E8" s="306">
        <v>0.1101</v>
      </c>
      <c r="F8" s="306">
        <v>6.5100000000000005E-2</v>
      </c>
      <c r="G8" s="306">
        <v>0.191</v>
      </c>
      <c r="H8" s="306">
        <v>0.2011</v>
      </c>
    </row>
    <row r="9" spans="2:8">
      <c r="B9" s="304" t="s">
        <v>443</v>
      </c>
      <c r="C9" s="306">
        <v>5.4800000000000001E-2</v>
      </c>
      <c r="D9" s="306">
        <v>5.9700000000000003E-2</v>
      </c>
      <c r="E9" s="306">
        <v>6.7000000000000004E-2</v>
      </c>
      <c r="F9" s="306">
        <v>6.1600000000000002E-2</v>
      </c>
      <c r="G9" s="306">
        <v>5.21E-2</v>
      </c>
      <c r="H9" s="306">
        <v>3.7499999999999999E-2</v>
      </c>
    </row>
    <row r="10" spans="2:8">
      <c r="B10" s="304" t="s">
        <v>444</v>
      </c>
      <c r="C10" s="306">
        <v>2.52E-2</v>
      </c>
      <c r="D10" s="306">
        <v>2.3599999999999999E-2</v>
      </c>
      <c r="E10" s="306">
        <v>2.9000000000000001E-2</v>
      </c>
      <c r="F10" s="306"/>
      <c r="G10" s="306">
        <v>3.6999999999999998E-2</v>
      </c>
      <c r="H10" s="306">
        <v>3.2500000000000001E-2</v>
      </c>
    </row>
    <row r="11" spans="2:8">
      <c r="B11" s="304" t="s">
        <v>445</v>
      </c>
      <c r="C11" s="306">
        <v>0.1353</v>
      </c>
      <c r="D11" s="306">
        <v>0.13489999999999999</v>
      </c>
      <c r="E11" s="306">
        <v>0.1449</v>
      </c>
      <c r="F11" s="306">
        <v>0.14749999999999999</v>
      </c>
      <c r="G11" s="306">
        <v>0.13589999999999999</v>
      </c>
      <c r="H11" s="306">
        <v>0.13619999999999999</v>
      </c>
    </row>
    <row r="12" spans="2:8">
      <c r="B12" s="304" t="s">
        <v>446</v>
      </c>
      <c r="C12" s="306">
        <v>1.5699999999999999E-2</v>
      </c>
      <c r="D12" s="306">
        <v>1.5699999999999999E-2</v>
      </c>
      <c r="E12" s="306">
        <v>1.9099999999999999E-2</v>
      </c>
      <c r="F12" s="306">
        <v>2.4500000000000001E-2</v>
      </c>
      <c r="G12" s="306">
        <v>3.6299999999999999E-2</v>
      </c>
      <c r="H12" s="306">
        <v>3.85E-2</v>
      </c>
    </row>
    <row r="13" spans="2:8">
      <c r="B13" s="304" t="s">
        <v>440</v>
      </c>
      <c r="C13" s="306">
        <f t="shared" ref="C13:H13" si="0">1-SUM(C6:C12)</f>
        <v>8.9400000000000035E-2</v>
      </c>
      <c r="D13" s="306">
        <f t="shared" si="0"/>
        <v>8.8600000000000012E-2</v>
      </c>
      <c r="E13" s="306">
        <f t="shared" si="0"/>
        <v>0.12290000000000001</v>
      </c>
      <c r="F13" s="306">
        <f t="shared" si="0"/>
        <v>0.19430000000000003</v>
      </c>
      <c r="G13" s="306">
        <f t="shared" si="0"/>
        <v>4.0699999999999958E-2</v>
      </c>
      <c r="H13" s="306">
        <f t="shared" si="0"/>
        <v>4.7200000000000131E-2</v>
      </c>
    </row>
    <row r="14" spans="2:8">
      <c r="B14" s="304"/>
      <c r="C14" s="303"/>
      <c r="D14" s="303"/>
      <c r="E14" s="305"/>
      <c r="F14" s="305"/>
      <c r="G14" s="305"/>
      <c r="H14" s="305"/>
    </row>
    <row r="15" spans="2:8">
      <c r="B15" s="304"/>
      <c r="C15" s="303"/>
      <c r="D15" s="303"/>
      <c r="E15" s="305"/>
      <c r="F15" s="305"/>
      <c r="G15" s="305"/>
      <c r="H15" s="305"/>
    </row>
    <row r="16" spans="2:8">
      <c r="B16" s="304"/>
      <c r="C16" s="303"/>
      <c r="D16" s="303"/>
      <c r="E16" s="305"/>
      <c r="F16" s="305"/>
      <c r="G16" s="305"/>
      <c r="H16" s="305"/>
    </row>
    <row r="17" spans="2:8">
      <c r="B17" s="307" t="s">
        <v>267</v>
      </c>
      <c r="C17" s="306">
        <f t="shared" ref="C17:H17" si="1">SUM(C6:C16)</f>
        <v>1</v>
      </c>
      <c r="D17" s="306">
        <f t="shared" si="1"/>
        <v>1</v>
      </c>
      <c r="E17" s="305">
        <f t="shared" si="1"/>
        <v>1</v>
      </c>
      <c r="F17" s="305">
        <f t="shared" si="1"/>
        <v>1</v>
      </c>
      <c r="G17" s="305">
        <f t="shared" si="1"/>
        <v>1</v>
      </c>
      <c r="H17" s="305">
        <f t="shared" si="1"/>
        <v>1</v>
      </c>
    </row>
    <row r="20" spans="2:8">
      <c r="B20" s="304" t="s">
        <v>439</v>
      </c>
      <c r="C20" s="303"/>
      <c r="D20" s="303"/>
      <c r="E20" s="303"/>
      <c r="F20" s="303"/>
      <c r="G20" s="303"/>
      <c r="H20" s="303"/>
    </row>
    <row r="21" spans="2:8">
      <c r="B21" s="304"/>
      <c r="C21" s="303"/>
      <c r="D21" s="303"/>
      <c r="E21" s="303"/>
      <c r="F21" s="303"/>
      <c r="G21" s="303"/>
      <c r="H21" s="303"/>
    </row>
    <row r="22" spans="2:8">
      <c r="B22" s="304"/>
      <c r="C22" s="303"/>
      <c r="D22" s="303"/>
      <c r="E22" s="303"/>
      <c r="F22" s="303"/>
      <c r="G22" s="303"/>
      <c r="H22" s="303"/>
    </row>
    <row r="23" spans="2:8">
      <c r="B23" s="304"/>
      <c r="C23" s="303"/>
      <c r="D23" s="303"/>
      <c r="E23" s="303"/>
      <c r="F23" s="303"/>
      <c r="G23" s="303"/>
      <c r="H23" s="303"/>
    </row>
    <row r="24" spans="2:8">
      <c r="B24" s="304"/>
      <c r="C24" s="303"/>
      <c r="D24" s="303"/>
      <c r="E24" s="303"/>
      <c r="F24" s="303"/>
      <c r="G24" s="303"/>
      <c r="H24" s="303"/>
    </row>
    <row r="25" spans="2:8">
      <c r="B25" s="304"/>
      <c r="C25" s="303"/>
      <c r="D25" s="303"/>
      <c r="E25" s="303"/>
      <c r="F25" s="303"/>
      <c r="G25" s="303"/>
      <c r="H25" s="303"/>
    </row>
    <row r="26" spans="2:8">
      <c r="B26" s="304" t="s">
        <v>348</v>
      </c>
      <c r="C26" s="303">
        <f>SUM(C6:C7)-SUM(C21:C25)</f>
        <v>0.50700000000000001</v>
      </c>
      <c r="D26" s="303">
        <f t="shared" ref="D26:H26" si="2">SUM(D6:D7)-SUM(D21:D25)</f>
        <v>0.50700000000000001</v>
      </c>
      <c r="E26" s="303">
        <f t="shared" si="2"/>
        <v>0.50700000000000001</v>
      </c>
      <c r="F26" s="303">
        <f t="shared" si="2"/>
        <v>0.50700000000000001</v>
      </c>
      <c r="G26" s="303">
        <f t="shared" si="2"/>
        <v>0.50700000000000001</v>
      </c>
      <c r="H26" s="303">
        <f t="shared" si="2"/>
        <v>0.50700000000000001</v>
      </c>
    </row>
  </sheetData>
  <hyperlinks>
    <hyperlink ref="B3" r:id="rId1"/>
  </hyperlinks>
  <pageMargins left="0.7" right="0.7" top="0.75" bottom="0.75" header="0.3" footer="0.3"/>
  <ignoredErrors>
    <ignoredError sqref="C26 C13 D13:H13"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BB67"/>
  <sheetViews>
    <sheetView showGridLines="0" topLeftCell="AS19" workbookViewId="0">
      <selection activeCell="BB4" sqref="BB4:BB38"/>
    </sheetView>
  </sheetViews>
  <sheetFormatPr defaultRowHeight="12.75"/>
  <cols>
    <col min="1" max="16384" width="9.140625" style="212"/>
  </cols>
  <sheetData>
    <row r="3" spans="2:54">
      <c r="AS3" s="328" t="s">
        <v>481</v>
      </c>
      <c r="BB3" s="328" t="s">
        <v>532</v>
      </c>
    </row>
    <row r="4" spans="2:54" ht="15">
      <c r="B4" s="213" t="s">
        <v>317</v>
      </c>
      <c r="X4" s="212" t="s">
        <v>364</v>
      </c>
      <c r="AS4" s="212" t="s">
        <v>482</v>
      </c>
      <c r="BB4" s="212" t="s">
        <v>533</v>
      </c>
    </row>
    <row r="5" spans="2:54">
      <c r="AS5" s="212" t="s">
        <v>483</v>
      </c>
      <c r="BB5" s="212" t="s">
        <v>534</v>
      </c>
    </row>
    <row r="6" spans="2:54">
      <c r="B6" s="212" t="s">
        <v>318</v>
      </c>
      <c r="X6" s="212" t="s">
        <v>365</v>
      </c>
      <c r="AS6" s="212" t="s">
        <v>484</v>
      </c>
      <c r="BB6" s="212" t="s">
        <v>535</v>
      </c>
    </row>
    <row r="7" spans="2:54">
      <c r="B7" s="212" t="s">
        <v>319</v>
      </c>
      <c r="AS7" s="212" t="s">
        <v>485</v>
      </c>
    </row>
    <row r="8" spans="2:54">
      <c r="B8" s="212" t="s">
        <v>320</v>
      </c>
      <c r="X8" s="212" t="s">
        <v>366</v>
      </c>
      <c r="AS8" s="212" t="s">
        <v>486</v>
      </c>
      <c r="BB8" s="212" t="s">
        <v>536</v>
      </c>
    </row>
    <row r="9" spans="2:54">
      <c r="B9" s="212" t="s">
        <v>321</v>
      </c>
      <c r="BB9" s="212" t="s">
        <v>537</v>
      </c>
    </row>
    <row r="10" spans="2:54">
      <c r="B10" s="212" t="s">
        <v>322</v>
      </c>
      <c r="X10" s="212" t="s">
        <v>367</v>
      </c>
      <c r="BB10" s="212" t="s">
        <v>538</v>
      </c>
    </row>
    <row r="11" spans="2:54">
      <c r="AS11" s="328" t="s">
        <v>488</v>
      </c>
      <c r="AT11" s="328"/>
      <c r="BB11" s="212" t="s">
        <v>539</v>
      </c>
    </row>
    <row r="12" spans="2:54">
      <c r="B12" s="212" t="s">
        <v>323</v>
      </c>
      <c r="X12" s="212" t="s">
        <v>368</v>
      </c>
      <c r="AS12" s="212" t="s">
        <v>489</v>
      </c>
      <c r="BB12" s="212" t="s">
        <v>556</v>
      </c>
    </row>
    <row r="13" spans="2:54">
      <c r="B13" s="212" t="s">
        <v>324</v>
      </c>
      <c r="AS13" s="212" t="s">
        <v>491</v>
      </c>
      <c r="BB13" s="212" t="s">
        <v>540</v>
      </c>
    </row>
    <row r="14" spans="2:54">
      <c r="B14" s="212" t="s">
        <v>359</v>
      </c>
      <c r="X14" s="212" t="s">
        <v>369</v>
      </c>
      <c r="AS14" s="212" t="s">
        <v>494</v>
      </c>
      <c r="BB14" s="212" t="s">
        <v>557</v>
      </c>
    </row>
    <row r="15" spans="2:54">
      <c r="B15" s="212" t="s">
        <v>325</v>
      </c>
      <c r="AS15" s="212" t="s">
        <v>492</v>
      </c>
    </row>
    <row r="16" spans="2:54">
      <c r="B16" s="212" t="s">
        <v>326</v>
      </c>
      <c r="X16" s="212" t="s">
        <v>370</v>
      </c>
      <c r="AS16" s="212" t="s">
        <v>493</v>
      </c>
      <c r="BB16" s="212" t="s">
        <v>541</v>
      </c>
    </row>
    <row r="17" spans="2:54">
      <c r="AS17" s="212" t="s">
        <v>495</v>
      </c>
      <c r="BB17" s="212" t="s">
        <v>542</v>
      </c>
    </row>
    <row r="18" spans="2:54">
      <c r="B18" s="212" t="s">
        <v>327</v>
      </c>
      <c r="X18" s="212" t="s">
        <v>371</v>
      </c>
      <c r="AS18" s="212" t="s">
        <v>496</v>
      </c>
      <c r="BB18" s="212" t="s">
        <v>558</v>
      </c>
    </row>
    <row r="19" spans="2:54">
      <c r="B19" s="212" t="s">
        <v>328</v>
      </c>
      <c r="AS19" s="212" t="s">
        <v>497</v>
      </c>
      <c r="BB19" s="212" t="s">
        <v>559</v>
      </c>
    </row>
    <row r="20" spans="2:54">
      <c r="B20" s="212" t="s">
        <v>329</v>
      </c>
      <c r="X20" s="212" t="s">
        <v>372</v>
      </c>
      <c r="BB20" s="212" t="s">
        <v>560</v>
      </c>
    </row>
    <row r="21" spans="2:54">
      <c r="B21" s="212" t="s">
        <v>360</v>
      </c>
      <c r="BB21" s="212" t="s">
        <v>561</v>
      </c>
    </row>
    <row r="22" spans="2:54">
      <c r="B22" s="212" t="s">
        <v>330</v>
      </c>
      <c r="X22" s="212" t="s">
        <v>373</v>
      </c>
    </row>
    <row r="23" spans="2:54">
      <c r="BB23" s="212" t="s">
        <v>543</v>
      </c>
    </row>
    <row r="24" spans="2:54">
      <c r="B24" s="212" t="s">
        <v>331</v>
      </c>
      <c r="X24" s="212" t="s">
        <v>374</v>
      </c>
      <c r="BB24" s="212" t="s">
        <v>544</v>
      </c>
    </row>
    <row r="25" spans="2:54">
      <c r="B25" s="212" t="s">
        <v>332</v>
      </c>
      <c r="BB25" s="212" t="s">
        <v>545</v>
      </c>
    </row>
    <row r="26" spans="2:54">
      <c r="B26" s="212" t="s">
        <v>333</v>
      </c>
      <c r="X26" s="212" t="s">
        <v>375</v>
      </c>
      <c r="BB26" s="212" t="s">
        <v>546</v>
      </c>
    </row>
    <row r="27" spans="2:54">
      <c r="B27" s="212" t="s">
        <v>334</v>
      </c>
      <c r="BB27" s="212" t="s">
        <v>547</v>
      </c>
    </row>
    <row r="28" spans="2:54">
      <c r="B28" s="212" t="s">
        <v>335</v>
      </c>
      <c r="X28" s="212" t="s">
        <v>376</v>
      </c>
      <c r="BB28" s="212" t="s">
        <v>548</v>
      </c>
    </row>
    <row r="30" spans="2:54">
      <c r="B30" s="212" t="s">
        <v>336</v>
      </c>
      <c r="X30" s="212" t="s">
        <v>377</v>
      </c>
      <c r="BB30" s="212" t="s">
        <v>549</v>
      </c>
    </row>
    <row r="31" spans="2:54">
      <c r="B31" s="212" t="s">
        <v>337</v>
      </c>
      <c r="BB31" s="212" t="s">
        <v>562</v>
      </c>
    </row>
    <row r="32" spans="2:54">
      <c r="B32" s="212" t="s">
        <v>361</v>
      </c>
      <c r="X32" s="212" t="s">
        <v>378</v>
      </c>
      <c r="BB32" s="212" t="s">
        <v>550</v>
      </c>
    </row>
    <row r="33" spans="2:54">
      <c r="B33" s="212" t="s">
        <v>338</v>
      </c>
      <c r="BB33" s="212" t="s">
        <v>551</v>
      </c>
    </row>
    <row r="34" spans="2:54">
      <c r="X34" s="212" t="s">
        <v>379</v>
      </c>
      <c r="BB34" s="212" t="s">
        <v>552</v>
      </c>
    </row>
    <row r="35" spans="2:54">
      <c r="B35" s="212" t="s">
        <v>339</v>
      </c>
    </row>
    <row r="36" spans="2:54">
      <c r="B36" s="212" t="s">
        <v>340</v>
      </c>
      <c r="BB36" s="212" t="s">
        <v>553</v>
      </c>
    </row>
    <row r="37" spans="2:54">
      <c r="B37" s="212" t="s">
        <v>341</v>
      </c>
      <c r="BB37" s="212" t="s">
        <v>554</v>
      </c>
    </row>
    <row r="38" spans="2:54">
      <c r="B38" s="212" t="s">
        <v>342</v>
      </c>
      <c r="BB38" s="212" t="s">
        <v>555</v>
      </c>
    </row>
    <row r="40" spans="2:54">
      <c r="B40" s="212" t="s">
        <v>343</v>
      </c>
    </row>
    <row r="43" spans="2:54">
      <c r="B43" s="433" t="s">
        <v>487</v>
      </c>
      <c r="C43" s="433"/>
      <c r="D43" s="433"/>
      <c r="E43" s="433"/>
      <c r="F43" s="433"/>
      <c r="G43" s="433"/>
      <c r="H43" s="433"/>
      <c r="I43" s="433"/>
      <c r="J43" s="433"/>
      <c r="K43" s="433"/>
      <c r="L43" s="433"/>
      <c r="M43" s="433"/>
      <c r="N43" s="433"/>
      <c r="O43" s="433"/>
      <c r="P43" s="433"/>
      <c r="Q43" s="433"/>
      <c r="R43" s="433"/>
      <c r="S43" s="433"/>
    </row>
    <row r="44" spans="2:54">
      <c r="B44" s="433"/>
      <c r="C44" s="433"/>
      <c r="D44" s="433"/>
      <c r="E44" s="433"/>
      <c r="F44" s="433"/>
      <c r="G44" s="433"/>
      <c r="H44" s="433"/>
      <c r="I44" s="433"/>
      <c r="J44" s="433"/>
      <c r="K44" s="433"/>
      <c r="L44" s="433"/>
      <c r="M44" s="433"/>
      <c r="N44" s="433"/>
      <c r="O44" s="433"/>
      <c r="P44" s="433"/>
      <c r="Q44" s="433"/>
      <c r="R44" s="433"/>
      <c r="S44" s="433"/>
    </row>
    <row r="47" spans="2:54">
      <c r="B47" s="212" t="s">
        <v>522</v>
      </c>
    </row>
    <row r="48" spans="2:54">
      <c r="B48" s="212" t="s">
        <v>523</v>
      </c>
    </row>
    <row r="50" spans="2:17" ht="15.75">
      <c r="B50" s="212" t="s">
        <v>524</v>
      </c>
    </row>
    <row r="51" spans="2:17">
      <c r="B51" s="212" t="s">
        <v>525</v>
      </c>
    </row>
    <row r="53" spans="2:17" ht="15">
      <c r="B53" s="70" t="s">
        <v>527</v>
      </c>
      <c r="C53" s="70"/>
    </row>
    <row r="54" spans="2:17" ht="12.75" customHeight="1">
      <c r="B54" s="433" t="s">
        <v>528</v>
      </c>
      <c r="C54" s="433"/>
      <c r="D54" s="433"/>
      <c r="E54" s="433"/>
      <c r="F54" s="433"/>
      <c r="G54" s="433"/>
      <c r="H54" s="433"/>
      <c r="I54" s="433"/>
      <c r="J54" s="433"/>
      <c r="K54" s="433"/>
      <c r="L54" s="433"/>
      <c r="M54" s="433"/>
      <c r="N54" s="433"/>
      <c r="O54" s="433"/>
      <c r="P54" s="433"/>
      <c r="Q54" s="433"/>
    </row>
    <row r="55" spans="2:17">
      <c r="B55" s="433"/>
      <c r="C55" s="433"/>
      <c r="D55" s="433"/>
      <c r="E55" s="433"/>
      <c r="F55" s="433"/>
      <c r="G55" s="433"/>
      <c r="H55" s="433"/>
      <c r="I55" s="433"/>
      <c r="J55" s="433"/>
      <c r="K55" s="433"/>
      <c r="L55" s="433"/>
      <c r="M55" s="433"/>
      <c r="N55" s="433"/>
      <c r="O55" s="433"/>
      <c r="P55" s="433"/>
      <c r="Q55" s="433"/>
    </row>
    <row r="56" spans="2:17">
      <c r="B56" s="433"/>
      <c r="C56" s="433"/>
      <c r="D56" s="433"/>
      <c r="E56" s="433"/>
      <c r="F56" s="433"/>
      <c r="G56" s="433"/>
      <c r="H56" s="433"/>
      <c r="I56" s="433"/>
      <c r="J56" s="433"/>
      <c r="K56" s="433"/>
      <c r="L56" s="433"/>
      <c r="M56" s="433"/>
      <c r="N56" s="433"/>
      <c r="O56" s="433"/>
      <c r="P56" s="433"/>
      <c r="Q56" s="433"/>
    </row>
    <row r="58" spans="2:17">
      <c r="B58" s="434" t="s">
        <v>529</v>
      </c>
      <c r="C58" s="434"/>
      <c r="D58" s="434"/>
      <c r="E58" s="434"/>
      <c r="F58" s="434"/>
      <c r="G58" s="434"/>
      <c r="H58" s="434"/>
      <c r="I58" s="434"/>
      <c r="J58" s="434"/>
      <c r="K58" s="434"/>
      <c r="L58" s="434"/>
      <c r="M58" s="434"/>
      <c r="N58" s="434"/>
      <c r="O58" s="434"/>
      <c r="P58" s="434"/>
      <c r="Q58" s="434"/>
    </row>
    <row r="59" spans="2:17">
      <c r="B59" s="434"/>
      <c r="C59" s="434"/>
      <c r="D59" s="434"/>
      <c r="E59" s="434"/>
      <c r="F59" s="434"/>
      <c r="G59" s="434"/>
      <c r="H59" s="434"/>
      <c r="I59" s="434"/>
      <c r="J59" s="434"/>
      <c r="K59" s="434"/>
      <c r="L59" s="434"/>
      <c r="M59" s="434"/>
      <c r="N59" s="434"/>
      <c r="O59" s="434"/>
      <c r="P59" s="434"/>
      <c r="Q59" s="434"/>
    </row>
    <row r="60" spans="2:17">
      <c r="B60" s="434"/>
      <c r="C60" s="434"/>
      <c r="D60" s="434"/>
      <c r="E60" s="434"/>
      <c r="F60" s="434"/>
      <c r="G60" s="434"/>
      <c r="H60" s="434"/>
      <c r="I60" s="434"/>
      <c r="J60" s="434"/>
      <c r="K60" s="434"/>
      <c r="L60" s="434"/>
      <c r="M60" s="434"/>
      <c r="N60" s="434"/>
      <c r="O60" s="434"/>
      <c r="P60" s="434"/>
      <c r="Q60" s="434"/>
    </row>
    <row r="61" spans="2:17">
      <c r="B61" s="434" t="s">
        <v>530</v>
      </c>
      <c r="C61" s="434"/>
      <c r="D61" s="434"/>
      <c r="E61" s="434"/>
      <c r="F61" s="434"/>
      <c r="G61" s="434"/>
      <c r="H61" s="434"/>
      <c r="I61" s="434"/>
      <c r="J61" s="434"/>
      <c r="K61" s="434"/>
      <c r="L61" s="434"/>
      <c r="M61" s="434"/>
      <c r="N61" s="434"/>
      <c r="O61" s="434"/>
      <c r="P61" s="434"/>
      <c r="Q61" s="434"/>
    </row>
    <row r="62" spans="2:17">
      <c r="B62" s="434"/>
      <c r="C62" s="434"/>
      <c r="D62" s="434"/>
      <c r="E62" s="434"/>
      <c r="F62" s="434"/>
      <c r="G62" s="434"/>
      <c r="H62" s="434"/>
      <c r="I62" s="434"/>
      <c r="J62" s="434"/>
      <c r="K62" s="434"/>
      <c r="L62" s="434"/>
      <c r="M62" s="434"/>
      <c r="N62" s="434"/>
      <c r="O62" s="434"/>
      <c r="P62" s="434"/>
      <c r="Q62" s="434"/>
    </row>
    <row r="63" spans="2:17">
      <c r="B63" s="434"/>
      <c r="C63" s="434"/>
      <c r="D63" s="434"/>
      <c r="E63" s="434"/>
      <c r="F63" s="434"/>
      <c r="G63" s="434"/>
      <c r="H63" s="434"/>
      <c r="I63" s="434"/>
      <c r="J63" s="434"/>
      <c r="K63" s="434"/>
      <c r="L63" s="434"/>
      <c r="M63" s="434"/>
      <c r="N63" s="434"/>
      <c r="O63" s="434"/>
      <c r="P63" s="434"/>
      <c r="Q63" s="434"/>
    </row>
    <row r="65" spans="2:17">
      <c r="B65" s="434" t="s">
        <v>531</v>
      </c>
      <c r="C65" s="434"/>
      <c r="D65" s="434"/>
      <c r="E65" s="434"/>
      <c r="F65" s="434"/>
      <c r="G65" s="434"/>
      <c r="H65" s="434"/>
      <c r="I65" s="434"/>
      <c r="J65" s="434"/>
      <c r="K65" s="434"/>
      <c r="L65" s="434"/>
      <c r="M65" s="434"/>
      <c r="N65" s="434"/>
      <c r="O65" s="434"/>
      <c r="P65" s="434"/>
      <c r="Q65" s="434"/>
    </row>
    <row r="66" spans="2:17">
      <c r="B66" s="434"/>
      <c r="C66" s="434"/>
      <c r="D66" s="434"/>
      <c r="E66" s="434"/>
      <c r="F66" s="434"/>
      <c r="G66" s="434"/>
      <c r="H66" s="434"/>
      <c r="I66" s="434"/>
      <c r="J66" s="434"/>
      <c r="K66" s="434"/>
      <c r="L66" s="434"/>
      <c r="M66" s="434"/>
      <c r="N66" s="434"/>
      <c r="O66" s="434"/>
      <c r="P66" s="434"/>
      <c r="Q66" s="434"/>
    </row>
    <row r="67" spans="2:17">
      <c r="B67" s="434"/>
      <c r="C67" s="434"/>
      <c r="D67" s="434"/>
      <c r="E67" s="434"/>
      <c r="F67" s="434"/>
      <c r="G67" s="434"/>
      <c r="H67" s="434"/>
      <c r="I67" s="434"/>
      <c r="J67" s="434"/>
      <c r="K67" s="434"/>
      <c r="L67" s="434"/>
      <c r="M67" s="434"/>
      <c r="N67" s="434"/>
      <c r="O67" s="434"/>
      <c r="P67" s="434"/>
      <c r="Q67" s="434"/>
    </row>
  </sheetData>
  <mergeCells count="5">
    <mergeCell ref="B43:S44"/>
    <mergeCell ref="B54:Q56"/>
    <mergeCell ref="B58:Q60"/>
    <mergeCell ref="B61:Q63"/>
    <mergeCell ref="B65:Q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61"/>
  <sheetViews>
    <sheetView showGridLines="0" workbookViewId="0"/>
  </sheetViews>
  <sheetFormatPr defaultColWidth="9.140625" defaultRowHeight="12.75"/>
  <cols>
    <col min="1" max="1" width="28.5703125" style="8" bestFit="1" customWidth="1"/>
    <col min="2" max="2" width="10" style="8" customWidth="1"/>
    <col min="3" max="3" width="8.7109375" style="196" customWidth="1"/>
    <col min="4" max="4" width="21" style="8" customWidth="1"/>
    <col min="5" max="5" width="8.7109375" style="8" customWidth="1"/>
    <col min="6" max="9" width="11.5703125" style="8" bestFit="1" customWidth="1"/>
    <col min="10" max="10" width="13.140625" style="8" customWidth="1"/>
    <col min="11" max="11" width="16.7109375" style="8" customWidth="1"/>
    <col min="12" max="12" width="12.28515625" style="8" customWidth="1"/>
    <col min="13" max="13" width="14.85546875" style="8" customWidth="1"/>
    <col min="14" max="16384" width="9.140625" style="8"/>
  </cols>
  <sheetData>
    <row r="1" spans="1:14" customFormat="1" ht="15">
      <c r="C1" s="194"/>
    </row>
    <row r="5" spans="1:14">
      <c r="A5" s="369"/>
      <c r="B5" s="369"/>
      <c r="C5" s="369"/>
      <c r="D5" s="369"/>
      <c r="E5" s="369"/>
      <c r="F5" s="369"/>
      <c r="G5" s="369"/>
      <c r="H5" s="369"/>
      <c r="I5" s="369"/>
      <c r="J5" s="369"/>
      <c r="K5" s="369"/>
    </row>
    <row r="6" spans="1:14">
      <c r="A6" s="376"/>
      <c r="B6" s="376"/>
      <c r="C6" s="376"/>
      <c r="D6" s="376"/>
      <c r="E6" s="376"/>
      <c r="F6" s="376"/>
      <c r="G6" s="376"/>
      <c r="H6" s="376"/>
      <c r="I6" s="376"/>
      <c r="J6" s="376"/>
      <c r="K6" s="376"/>
    </row>
    <row r="7" spans="1:14">
      <c r="A7" s="372" t="s">
        <v>44</v>
      </c>
      <c r="B7" s="373"/>
      <c r="C7" s="195"/>
      <c r="D7" s="190" t="s">
        <v>55</v>
      </c>
      <c r="E7" s="21" t="s">
        <v>97</v>
      </c>
      <c r="F7" s="21" t="s">
        <v>98</v>
      </c>
      <c r="G7" s="21" t="s">
        <v>99</v>
      </c>
      <c r="H7" s="21" t="s">
        <v>100</v>
      </c>
      <c r="I7" s="21" t="s">
        <v>101</v>
      </c>
      <c r="J7" s="21" t="s">
        <v>287</v>
      </c>
      <c r="K7" s="20" t="s">
        <v>31</v>
      </c>
    </row>
    <row r="8" spans="1:14">
      <c r="A8" s="9" t="s">
        <v>36</v>
      </c>
      <c r="B8" s="167">
        <f>'Screener Input'!B8</f>
        <v>5843.55</v>
      </c>
      <c r="D8" s="8" t="s">
        <v>308</v>
      </c>
      <c r="E8" s="10">
        <f>'Screener Output'!L76</f>
        <v>62.797919229867077</v>
      </c>
      <c r="F8" s="10">
        <f>'Screener Output'!K76</f>
        <v>46.452612520638276</v>
      </c>
      <c r="G8" s="10">
        <f>'Screener Output'!J76</f>
        <v>40.092524300161756</v>
      </c>
      <c r="H8" s="310">
        <f>'Screener Output'!I76</f>
        <v>38.339980813923098</v>
      </c>
      <c r="I8" s="310">
        <f>'Screener Output'!H76</f>
        <v>26.388497511605561</v>
      </c>
      <c r="J8" s="10"/>
    </row>
    <row r="9" spans="1:14" ht="15.75">
      <c r="A9" s="9" t="s">
        <v>355</v>
      </c>
      <c r="B9" s="16">
        <f>'Screener Output'!M74</f>
        <v>87.117060001125438</v>
      </c>
      <c r="C9" s="197"/>
      <c r="D9" s="171" t="s">
        <v>35</v>
      </c>
      <c r="E9" s="10">
        <f>'Screener Output'!L74</f>
        <v>83.64460490757439</v>
      </c>
      <c r="F9" s="10">
        <f>'Screener Output'!K74</f>
        <v>73.70533275128173</v>
      </c>
      <c r="G9" s="10">
        <f>'Screener Output'!J74</f>
        <v>68.728851727325207</v>
      </c>
      <c r="H9" s="10">
        <f>'Screener Output'!I74</f>
        <v>57.422172710125757</v>
      </c>
      <c r="I9" s="10">
        <f>'Screener Output'!H74</f>
        <v>32.966217444453157</v>
      </c>
      <c r="J9" s="10">
        <f>'Screener Output'!G74</f>
        <v>21.710791095630679</v>
      </c>
      <c r="K9" s="166">
        <f>(E9/J9)^(1/5)-1</f>
        <v>0.30964158609176384</v>
      </c>
    </row>
    <row r="10" spans="1:14" ht="15.75">
      <c r="A10" s="9" t="s">
        <v>356</v>
      </c>
      <c r="B10" s="16">
        <f>SUM('Screener Input'!D49:G49)/'Screener Input'!K93</f>
        <v>73.423809404344595</v>
      </c>
      <c r="C10" s="197"/>
      <c r="D10" s="171" t="s">
        <v>33</v>
      </c>
      <c r="E10" s="10">
        <f>'Screener Output'!L75</f>
        <v>24.998511566981968</v>
      </c>
      <c r="F10" s="10">
        <f>'Screener Output'!K75</f>
        <v>21.999850584348113</v>
      </c>
      <c r="G10" s="10">
        <f>'Screener Output'!J75</f>
        <v>20.004031645877962</v>
      </c>
      <c r="H10" s="10">
        <f>'Screener Output'!I75</f>
        <v>16.003228663056657</v>
      </c>
      <c r="I10" s="10">
        <f>'Screener Output'!H75</f>
        <v>12.002421497292492</v>
      </c>
      <c r="J10" s="10">
        <f>'Screener Output'!G75</f>
        <v>8.5019290602620021</v>
      </c>
      <c r="K10" s="166">
        <f>(E10/J10)^(1/5)-1</f>
        <v>0.24073586107285938</v>
      </c>
      <c r="N10" s="226"/>
    </row>
    <row r="11" spans="1:14">
      <c r="A11" s="9" t="s">
        <v>37</v>
      </c>
      <c r="B11" s="16">
        <f>'Screener Output'!L73</f>
        <v>283.71265803085663</v>
      </c>
      <c r="C11" s="197"/>
      <c r="D11" s="8" t="s">
        <v>309</v>
      </c>
      <c r="E11" s="10">
        <f>'Screener Output'!L78</f>
        <v>18.514179731905774</v>
      </c>
      <c r="F11" s="10">
        <f>'Screener Output'!K78</f>
        <v>15.237219051975931</v>
      </c>
      <c r="G11" s="10">
        <f>'Screener Output'!J78</f>
        <v>15.805234876954117</v>
      </c>
      <c r="H11" s="310">
        <f>'Screener Output'!I78</f>
        <v>21.204909114616381</v>
      </c>
      <c r="I11" s="310">
        <f>'Screener Output'!H78</f>
        <v>13.071747617763542</v>
      </c>
    </row>
    <row r="12" spans="1:14">
      <c r="A12" s="171" t="s">
        <v>42</v>
      </c>
      <c r="B12" s="170">
        <f>Analysis!M4</f>
        <v>0.30706088549510746</v>
      </c>
      <c r="C12" s="198"/>
      <c r="D12" s="171" t="s">
        <v>37</v>
      </c>
      <c r="E12" s="163">
        <f>'Screener Output'!L73</f>
        <v>283.71265803085663</v>
      </c>
      <c r="F12" s="163">
        <f>'Screener Output'!K73</f>
        <v>224.70014057821191</v>
      </c>
      <c r="G12" s="163">
        <f>'Screener Output'!J73</f>
        <v>174.34180380437505</v>
      </c>
      <c r="H12" s="163">
        <f>'Screener Output'!I73</f>
        <v>103.82336411347683</v>
      </c>
      <c r="I12" s="163">
        <f>'Screener Output'!H73</f>
        <v>66.550316945978267</v>
      </c>
      <c r="J12" s="163">
        <f>'Screener Output'!G73</f>
        <v>46.482008928364124</v>
      </c>
      <c r="K12" s="166">
        <f>(E12/J12)^(1/5)-1</f>
        <v>0.43588204387578577</v>
      </c>
    </row>
    <row r="13" spans="1:14">
      <c r="A13" s="9" t="s">
        <v>295</v>
      </c>
      <c r="B13" s="16">
        <f>B8/B9</f>
        <v>67.076988134407998</v>
      </c>
      <c r="C13" s="197"/>
      <c r="D13" s="171"/>
      <c r="E13" s="11"/>
      <c r="F13" s="11"/>
      <c r="G13" s="11"/>
      <c r="H13" s="11"/>
      <c r="I13" s="11"/>
      <c r="J13" s="11"/>
      <c r="K13" s="166"/>
    </row>
    <row r="14" spans="1:14">
      <c r="A14" s="9" t="s">
        <v>39</v>
      </c>
      <c r="B14" s="186">
        <f>B9/B8</f>
        <v>1.4908242421323586E-2</v>
      </c>
      <c r="C14" s="199"/>
      <c r="D14" s="171" t="s">
        <v>43</v>
      </c>
      <c r="E14" s="11">
        <f>E10/E9</f>
        <v>0.29886579767583121</v>
      </c>
      <c r="F14" s="11">
        <f>F10/F9</f>
        <v>0.29848383777855664</v>
      </c>
      <c r="G14" s="11">
        <f>G10/G9</f>
        <v>0.29105726551699046</v>
      </c>
      <c r="H14" s="11">
        <f>H10/H9</f>
        <v>0.27869423791821563</v>
      </c>
      <c r="I14" s="11">
        <f>I10/I9</f>
        <v>0.36408245858100413</v>
      </c>
      <c r="J14" s="11"/>
      <c r="K14" s="11"/>
    </row>
    <row r="15" spans="1:14">
      <c r="A15" s="9" t="s">
        <v>40</v>
      </c>
      <c r="B15" s="186">
        <f>'Screener Output'!L75/B8</f>
        <v>4.2779665728849697E-3</v>
      </c>
      <c r="C15" s="199"/>
      <c r="D15" s="191"/>
      <c r="E15" s="179"/>
      <c r="F15" s="13"/>
      <c r="G15" s="13"/>
      <c r="H15" s="13"/>
      <c r="I15" s="13"/>
      <c r="J15" s="13"/>
      <c r="K15" s="13"/>
      <c r="M15" s="226"/>
    </row>
    <row r="16" spans="1:14">
      <c r="A16" s="9" t="s">
        <v>296</v>
      </c>
      <c r="B16" s="16">
        <f>B8/B11</f>
        <v>20.596719372896132</v>
      </c>
      <c r="C16" s="197"/>
      <c r="D16" s="192" t="s">
        <v>47</v>
      </c>
      <c r="E16" s="15">
        <v>0</v>
      </c>
      <c r="F16" s="9">
        <v>1</v>
      </c>
      <c r="G16" s="9">
        <v>2</v>
      </c>
      <c r="H16" s="9">
        <v>3</v>
      </c>
      <c r="I16" s="9">
        <v>4</v>
      </c>
      <c r="J16" s="9">
        <v>10</v>
      </c>
      <c r="M16" s="225"/>
    </row>
    <row r="17" spans="1:13">
      <c r="A17" s="9" t="s">
        <v>230</v>
      </c>
      <c r="B17" s="16">
        <f>B13/100/K9</f>
        <v>2.1662784053343982</v>
      </c>
      <c r="C17" s="199"/>
      <c r="D17" s="171" t="s">
        <v>291</v>
      </c>
      <c r="E17" s="163"/>
      <c r="F17" s="163"/>
      <c r="G17" s="163"/>
      <c r="H17" s="163"/>
      <c r="I17" s="163"/>
      <c r="J17" s="347">
        <f>IF($A$29=1, IF($A$28=2,M43, $E$12*(1+$K$12)^J16), IF($A$28=2,K43, $E$12*(1+Valuation_Table!$C$60)^J16))</f>
        <v>357.83984423439802</v>
      </c>
      <c r="M17" s="228"/>
    </row>
    <row r="18" spans="1:13">
      <c r="A18" s="374" t="s">
        <v>45</v>
      </c>
      <c r="B18" s="375"/>
      <c r="C18" s="200"/>
      <c r="D18" s="171" t="s">
        <v>33</v>
      </c>
      <c r="E18" s="10"/>
      <c r="F18" s="10"/>
      <c r="G18" s="10"/>
      <c r="H18" s="10"/>
      <c r="I18" s="10"/>
      <c r="J18" s="10"/>
      <c r="M18" s="227"/>
    </row>
    <row r="19" spans="1:13">
      <c r="A19" s="9" t="s">
        <v>306</v>
      </c>
      <c r="B19" s="187">
        <f>Analysis!M3</f>
        <v>0.37089440344613706</v>
      </c>
      <c r="C19" s="201"/>
      <c r="D19" s="171"/>
      <c r="E19" s="12"/>
      <c r="F19" s="13"/>
      <c r="G19" s="13"/>
      <c r="H19" s="13"/>
      <c r="I19" s="13"/>
      <c r="J19" s="13"/>
      <c r="K19" s="13"/>
    </row>
    <row r="20" spans="1:13">
      <c r="A20" s="9" t="s">
        <v>46</v>
      </c>
      <c r="B20" s="186">
        <f>AVERAGE(E14:I14)</f>
        <v>0.30623671949411962</v>
      </c>
      <c r="C20" s="199"/>
      <c r="D20" s="171" t="s">
        <v>519</v>
      </c>
      <c r="E20" s="167">
        <f>J17</f>
        <v>357.83984423439802</v>
      </c>
      <c r="F20" s="13"/>
      <c r="G20" s="13"/>
      <c r="H20" s="13"/>
      <c r="I20" s="13"/>
      <c r="J20" s="13"/>
      <c r="K20" s="13"/>
    </row>
    <row r="21" spans="1:13">
      <c r="A21" s="9" t="s">
        <v>289</v>
      </c>
      <c r="B21" s="16">
        <f>AVERAGE(E8:G8,B13)</f>
        <v>54.105011046268778</v>
      </c>
      <c r="C21" s="197"/>
      <c r="D21" s="8" t="s">
        <v>310</v>
      </c>
      <c r="E21" s="181">
        <f>B8*B24</f>
        <v>467.48400000000004</v>
      </c>
    </row>
    <row r="22" spans="1:13">
      <c r="A22" s="9" t="s">
        <v>290</v>
      </c>
      <c r="B22" s="16">
        <f>AVERAGE(E11:G11,B16)</f>
        <v>17.538338258432987</v>
      </c>
      <c r="C22" s="197"/>
      <c r="D22" s="171" t="s">
        <v>520</v>
      </c>
      <c r="E22" s="167">
        <f>B20*M43</f>
        <v>109.5837000026288</v>
      </c>
      <c r="F22" s="13"/>
      <c r="G22" s="169"/>
      <c r="H22" s="13"/>
      <c r="I22" s="13"/>
      <c r="J22" s="13"/>
      <c r="K22" s="13"/>
    </row>
    <row r="23" spans="1:13">
      <c r="A23" s="78" t="s">
        <v>75</v>
      </c>
      <c r="B23" s="188"/>
      <c r="C23" s="202"/>
      <c r="D23" s="171" t="s">
        <v>50</v>
      </c>
      <c r="E23" s="167">
        <f>IF(A28=2, E20*I44, E20*B22)</f>
        <v>19360.928725097205</v>
      </c>
      <c r="F23" s="13"/>
      <c r="G23" s="13"/>
      <c r="H23" s="13"/>
      <c r="I23" s="13"/>
      <c r="J23" s="13"/>
      <c r="K23" s="13"/>
    </row>
    <row r="24" spans="1:13">
      <c r="A24" s="8" t="s">
        <v>135</v>
      </c>
      <c r="B24" s="189">
        <f>Valuation_Table!C61</f>
        <v>0.08</v>
      </c>
      <c r="C24" s="203"/>
      <c r="D24" s="171" t="s">
        <v>304</v>
      </c>
      <c r="E24" s="167">
        <f>E23+E22</f>
        <v>19470.512425099834</v>
      </c>
      <c r="F24" s="206"/>
      <c r="G24" s="13"/>
      <c r="H24" s="13"/>
      <c r="I24" s="13"/>
      <c r="J24" s="13"/>
      <c r="K24" s="13"/>
    </row>
    <row r="25" spans="1:13">
      <c r="A25" s="9" t="s">
        <v>288</v>
      </c>
      <c r="B25" s="167">
        <f>IF(A28=2, B21*B9, B22*B11)</f>
        <v>4713.4694936793521</v>
      </c>
      <c r="C25" s="204"/>
      <c r="D25" s="193"/>
      <c r="E25" s="14"/>
      <c r="F25" s="13"/>
      <c r="G25" s="13"/>
      <c r="H25" s="13"/>
      <c r="I25" s="13"/>
      <c r="J25" s="13"/>
      <c r="K25" s="13"/>
    </row>
    <row r="26" spans="1:13">
      <c r="A26" s="9" t="s">
        <v>53</v>
      </c>
      <c r="B26" s="167">
        <f>E24/((1+B24)^5)</f>
        <v>13251.303594159857</v>
      </c>
      <c r="C26" s="204"/>
      <c r="D26" s="192" t="s">
        <v>52</v>
      </c>
      <c r="E26" s="15" t="s">
        <v>76</v>
      </c>
      <c r="F26" s="9">
        <v>1</v>
      </c>
      <c r="G26" s="9">
        <v>2</v>
      </c>
      <c r="H26" s="9">
        <v>3</v>
      </c>
      <c r="I26" s="9">
        <v>4</v>
      </c>
      <c r="J26" s="9">
        <v>5</v>
      </c>
    </row>
    <row r="27" spans="1:13">
      <c r="A27" s="9" t="s">
        <v>54</v>
      </c>
      <c r="B27" s="167">
        <f>E32/(1+B24)^5</f>
        <v>8425.1041233774849</v>
      </c>
      <c r="C27" s="204"/>
      <c r="D27" s="171" t="s">
        <v>37</v>
      </c>
      <c r="E27" s="163">
        <f>E12</f>
        <v>283.71265803085663</v>
      </c>
      <c r="F27" s="163">
        <f>E27+E28-E29</f>
        <v>344.15127536526506</v>
      </c>
      <c r="G27" s="163">
        <f>F27+F28-F29</f>
        <v>417.46498431753764</v>
      </c>
      <c r="H27" s="163">
        <f>G27+G28-G29</f>
        <v>506.3965343329703</v>
      </c>
      <c r="I27" s="163">
        <f>H27+H28-H29</f>
        <v>614.2729560987284</v>
      </c>
      <c r="J27" s="163">
        <f>I27+I28-I29</f>
        <v>745.13002955538423</v>
      </c>
    </row>
    <row r="28" spans="1:13">
      <c r="A28" s="168">
        <v>2</v>
      </c>
      <c r="D28" s="171" t="s">
        <v>35</v>
      </c>
      <c r="E28" s="163">
        <f t="shared" ref="E28:J28" si="0">IF($A$30=1, E27*$B$12, E27*$B$19)</f>
        <v>87.117060001125452</v>
      </c>
      <c r="F28" s="163">
        <f t="shared" si="0"/>
        <v>105.67539535792885</v>
      </c>
      <c r="G28" s="163">
        <f t="shared" si="0"/>
        <v>128.18716774774427</v>
      </c>
      <c r="H28" s="163">
        <f t="shared" si="0"/>
        <v>155.49456824393545</v>
      </c>
      <c r="I28" s="163">
        <f t="shared" si="0"/>
        <v>188.6191978353728</v>
      </c>
      <c r="J28" s="163">
        <f t="shared" si="0"/>
        <v>228.80028668427187</v>
      </c>
    </row>
    <row r="29" spans="1:13">
      <c r="A29" s="168">
        <v>1</v>
      </c>
      <c r="D29" s="171" t="s">
        <v>33</v>
      </c>
      <c r="E29" s="10">
        <f>E28*B20</f>
        <v>26.678442666717043</v>
      </c>
      <c r="F29" s="10">
        <f>F28*B20</f>
        <v>32.361686405656251</v>
      </c>
      <c r="G29" s="10">
        <f>G28*B20</f>
        <v>39.25561773231162</v>
      </c>
      <c r="H29" s="10">
        <f>H28*B20</f>
        <v>47.618146478177302</v>
      </c>
      <c r="I29" s="10">
        <f>I28*B20</f>
        <v>57.762124378716919</v>
      </c>
      <c r="J29" s="10">
        <f>J28*B20</f>
        <v>70.067049213505513</v>
      </c>
    </row>
    <row r="30" spans="1:13">
      <c r="A30" s="168">
        <v>1</v>
      </c>
      <c r="D30" s="171" t="s">
        <v>48</v>
      </c>
      <c r="E30" s="16">
        <f>J28</f>
        <v>228.80028668427187</v>
      </c>
      <c r="F30" s="13"/>
      <c r="G30" s="13"/>
      <c r="H30" s="13"/>
      <c r="I30" s="13"/>
      <c r="J30" s="13"/>
      <c r="K30" s="13"/>
    </row>
    <row r="31" spans="1:13">
      <c r="D31" s="171" t="s">
        <v>49</v>
      </c>
      <c r="E31" s="16">
        <f>SUM(E29:J29)</f>
        <v>273.74306687508465</v>
      </c>
      <c r="F31" s="13"/>
      <c r="G31" s="13"/>
      <c r="H31" s="13"/>
      <c r="I31" s="13"/>
      <c r="J31" s="13"/>
      <c r="K31" s="13"/>
    </row>
    <row r="32" spans="1:13">
      <c r="D32" s="171" t="s">
        <v>50</v>
      </c>
      <c r="E32" s="16">
        <f>B21*E30</f>
        <v>12379.242038441993</v>
      </c>
      <c r="F32" s="13"/>
      <c r="G32" s="13"/>
      <c r="H32" s="13"/>
      <c r="I32" s="13"/>
      <c r="J32" s="13"/>
      <c r="K32" s="13"/>
    </row>
    <row r="33" spans="1:13">
      <c r="D33" s="171" t="s">
        <v>51</v>
      </c>
      <c r="E33" s="16">
        <f>E32+E31</f>
        <v>12652.985105317077</v>
      </c>
      <c r="F33" s="13"/>
      <c r="G33" s="13"/>
      <c r="H33" s="13"/>
      <c r="I33" s="13"/>
      <c r="J33" s="13"/>
      <c r="K33" s="13"/>
    </row>
    <row r="34" spans="1:13">
      <c r="D34" s="193"/>
      <c r="E34" s="14"/>
      <c r="F34" s="13"/>
      <c r="G34" s="13"/>
      <c r="H34" s="13"/>
      <c r="I34" s="13"/>
      <c r="J34" s="13"/>
      <c r="K34" s="13"/>
    </row>
    <row r="37" spans="1:13">
      <c r="A37" s="348" t="s">
        <v>508</v>
      </c>
    </row>
    <row r="38" spans="1:13" ht="19.5" customHeight="1">
      <c r="A38" s="329" t="s">
        <v>55</v>
      </c>
      <c r="B38" s="21" t="s">
        <v>461</v>
      </c>
      <c r="C38" s="21" t="s">
        <v>97</v>
      </c>
      <c r="D38" s="21" t="s">
        <v>98</v>
      </c>
      <c r="E38" s="21" t="s">
        <v>99</v>
      </c>
      <c r="F38" s="21" t="s">
        <v>100</v>
      </c>
      <c r="G38" s="21" t="s">
        <v>101</v>
      </c>
      <c r="H38" s="21" t="s">
        <v>287</v>
      </c>
      <c r="I38" s="330" t="s">
        <v>191</v>
      </c>
      <c r="J38" s="330" t="s">
        <v>190</v>
      </c>
      <c r="K38" s="330" t="s">
        <v>514</v>
      </c>
      <c r="L38" s="330"/>
      <c r="M38" s="330" t="s">
        <v>503</v>
      </c>
    </row>
    <row r="39" spans="1:13">
      <c r="A39" s="331" t="s">
        <v>500</v>
      </c>
      <c r="B39" s="332"/>
      <c r="C39" s="332"/>
      <c r="D39" s="332"/>
      <c r="E39" s="332"/>
      <c r="F39" s="333"/>
      <c r="G39" s="333"/>
      <c r="H39" s="332"/>
      <c r="I39" s="334"/>
      <c r="J39" s="334"/>
      <c r="K39" s="334"/>
      <c r="L39" s="334"/>
      <c r="M39" s="334"/>
    </row>
    <row r="40" spans="1:13">
      <c r="A40" s="335" t="s">
        <v>498</v>
      </c>
      <c r="B40" s="332"/>
      <c r="C40" s="332"/>
      <c r="D40" s="332"/>
      <c r="E40" s="332"/>
      <c r="F40" s="332"/>
      <c r="G40" s="332"/>
      <c r="H40" s="332"/>
      <c r="I40" s="336"/>
      <c r="J40" s="336"/>
      <c r="K40" s="336"/>
      <c r="L40" s="336"/>
      <c r="M40" s="336"/>
    </row>
    <row r="41" spans="1:13">
      <c r="A41" s="335" t="s">
        <v>499</v>
      </c>
      <c r="B41" s="343">
        <f>'Screener Output'!M25/'Screener Input'!K93</f>
        <v>863.54102729431338</v>
      </c>
      <c r="C41" s="343">
        <f>'Screener Output'!L25/'Screener Input'!K93</f>
        <v>839.6161531980888</v>
      </c>
      <c r="D41" s="343">
        <f>'Screener Output'!K25/'Screener Input'!K93</f>
        <v>766.67460608665999</v>
      </c>
      <c r="E41" s="343">
        <f>'Screener Output'!J25/'Screener Input'!K93</f>
        <v>709.78181520994974</v>
      </c>
      <c r="F41" s="343">
        <f>'Screener Output'!I25/'Screener Input'!K93</f>
        <v>675.19219776572129</v>
      </c>
      <c r="G41" s="343">
        <f>'Screener Output'!H25/'Screener Input'!K93</f>
        <v>578.57315462541851</v>
      </c>
      <c r="H41" s="343">
        <f>'Screener Output'!G25/'Screener Input'!K93</f>
        <v>519.54808141733611</v>
      </c>
      <c r="I41" s="344">
        <f>Revenue!D5</f>
        <v>0.106958771903642</v>
      </c>
      <c r="J41" s="344">
        <f>Revenue!C5</f>
        <v>0.128097673658919</v>
      </c>
      <c r="K41" s="346"/>
      <c r="L41" s="340"/>
      <c r="M41" s="340">
        <f>B41*                                  (1+                   (             IF(MIN(I41:J41) &gt;0.25, 0.25,MIN(I41:J41) )                   )                  )                                      ^10</f>
        <v>2385.5989615626536</v>
      </c>
    </row>
    <row r="42" spans="1:13">
      <c r="A42" s="335" t="s">
        <v>501</v>
      </c>
      <c r="B42" s="345">
        <f>'Screener Output'!M127</f>
        <v>0.10088352174080788</v>
      </c>
      <c r="C42" s="345">
        <f>'Screener Output'!L127</f>
        <v>9.9613505866853941E-2</v>
      </c>
      <c r="D42" s="345">
        <f>'Screener Output'!K127</f>
        <v>9.6074475562841724E-2</v>
      </c>
      <c r="E42" s="345">
        <f>'Screener Output'!J127</f>
        <v>9.6737928881733146E-2</v>
      </c>
      <c r="F42" s="345">
        <f>'Screener Output'!I127</f>
        <v>8.4931473051823914E-2</v>
      </c>
      <c r="G42" s="345">
        <f>'Screener Output'!H127</f>
        <v>5.6971337258684564E-2</v>
      </c>
      <c r="H42" s="345">
        <f>'Screener Output'!G127</f>
        <v>4.166312633764311E-2</v>
      </c>
      <c r="I42" s="345">
        <f>IF(POWER('Screener Output'!M127/'Screener Output'!G127,1/5)-1&gt;0, POWER('Screener Output'!M127/'Screener Output'!G127,1/5)-1, 0)</f>
        <v>0.19347596079714768</v>
      </c>
      <c r="J42" s="345">
        <f>IF(POWER('Screener Output'!M127/'Screener Output'!C127,1/10)-1&gt;0, POWER('Screener Output'!M127/'Screener Output'!C127,1/10)-1,0)</f>
        <v>9.4539356724751E-2</v>
      </c>
      <c r="K42" s="342"/>
      <c r="L42" s="342"/>
      <c r="M42" s="342">
        <f>IF(B42*(1+MIN(I42:J42))^10&gt;0.15, 0.15, B42*(1+MIN(I42:J42))^10)</f>
        <v>0.15</v>
      </c>
    </row>
    <row r="43" spans="1:13">
      <c r="A43" s="335" t="s">
        <v>502</v>
      </c>
      <c r="B43" s="340"/>
      <c r="C43" s="340"/>
      <c r="D43" s="340"/>
      <c r="E43" s="340"/>
      <c r="F43" s="340"/>
      <c r="G43" s="340"/>
      <c r="H43" s="340"/>
      <c r="I43" s="336"/>
      <c r="J43" s="336"/>
      <c r="K43" s="338">
        <f>(B41*(1+$B53)^10)*C$52</f>
        <v>270.5723647207106</v>
      </c>
      <c r="L43" s="340"/>
      <c r="M43" s="340">
        <f>M41*M42</f>
        <v>357.83984423439802</v>
      </c>
    </row>
    <row r="44" spans="1:13" ht="13.5" customHeight="1">
      <c r="A44" s="335" t="s">
        <v>504</v>
      </c>
      <c r="B44" s="337"/>
      <c r="C44" s="337"/>
      <c r="D44" s="337"/>
      <c r="E44" s="337"/>
      <c r="F44" s="337"/>
      <c r="G44" s="337"/>
      <c r="H44" s="337"/>
      <c r="I44" s="338">
        <f>AVERAGE(E8:G8,B13)</f>
        <v>54.105011046268778</v>
      </c>
      <c r="J44" s="336"/>
      <c r="K44" s="338">
        <f>I44</f>
        <v>54.105011046268778</v>
      </c>
      <c r="L44" s="336"/>
      <c r="M44" s="336"/>
    </row>
    <row r="45" spans="1:13">
      <c r="A45" s="335" t="s">
        <v>505</v>
      </c>
      <c r="B45" s="337"/>
      <c r="C45" s="337"/>
      <c r="D45" s="337"/>
      <c r="E45" s="337"/>
      <c r="F45" s="337"/>
      <c r="G45" s="337"/>
      <c r="H45" s="337"/>
      <c r="I45" s="336"/>
      <c r="J45" s="336"/>
      <c r="K45" s="338"/>
      <c r="L45" s="338"/>
      <c r="M45" s="340">
        <f>M43*I44</f>
        <v>19360.928725097205</v>
      </c>
    </row>
    <row r="46" spans="1:13">
      <c r="A46" s="335" t="s">
        <v>507</v>
      </c>
      <c r="B46" s="337">
        <f>B8/B41</f>
        <v>6.7669627907654615</v>
      </c>
      <c r="C46" s="337"/>
      <c r="D46" s="337"/>
      <c r="E46" s="337"/>
      <c r="F46" s="337"/>
      <c r="G46" s="337"/>
      <c r="H46" s="337"/>
      <c r="I46" s="336"/>
      <c r="J46" s="336"/>
      <c r="K46" s="337"/>
      <c r="L46" s="337"/>
      <c r="M46" s="339">
        <f>M45/M41</f>
        <v>8.1157516569403167</v>
      </c>
    </row>
    <row r="47" spans="1:13">
      <c r="A47" s="335" t="s">
        <v>506</v>
      </c>
      <c r="B47" s="337"/>
      <c r="C47" s="337"/>
      <c r="D47" s="337"/>
      <c r="E47" s="337"/>
      <c r="F47" s="337"/>
      <c r="G47" s="337"/>
      <c r="H47" s="337"/>
      <c r="I47" s="336"/>
      <c r="J47" s="336"/>
      <c r="K47" s="350"/>
      <c r="L47" s="342"/>
      <c r="M47" s="342">
        <f>POWER(M45/B8,1/10)-1</f>
        <v>0.12726219465360766</v>
      </c>
    </row>
    <row r="49" spans="1:5">
      <c r="A49" s="348" t="s">
        <v>521</v>
      </c>
    </row>
    <row r="50" spans="1:5">
      <c r="A50" s="371" t="s">
        <v>513</v>
      </c>
      <c r="B50" s="371"/>
      <c r="C50" s="370" t="s">
        <v>405</v>
      </c>
      <c r="D50" s="370"/>
      <c r="E50" s="370"/>
    </row>
    <row r="51" spans="1:5">
      <c r="A51" s="371"/>
      <c r="B51" s="371"/>
      <c r="C51" s="330" t="s">
        <v>461</v>
      </c>
      <c r="D51" s="330" t="s">
        <v>512</v>
      </c>
      <c r="E51" s="330" t="s">
        <v>515</v>
      </c>
    </row>
    <row r="52" spans="1:5">
      <c r="A52" s="330" t="s">
        <v>509</v>
      </c>
      <c r="B52" s="351"/>
      <c r="C52" s="354">
        <f>B42</f>
        <v>0.10088352174080788</v>
      </c>
      <c r="D52" s="355">
        <f>C52+1%</f>
        <v>0.11088352174080787</v>
      </c>
      <c r="E52" s="355">
        <f>B42+1.5%</f>
        <v>0.11588352174080788</v>
      </c>
    </row>
    <row r="53" spans="1:5">
      <c r="A53" s="336" t="s">
        <v>510</v>
      </c>
      <c r="B53" s="352">
        <f>Valuation_Table!C60</f>
        <v>0.12</v>
      </c>
      <c r="C53" s="356">
        <f>POWER((($B$41*(1+$B53)^10)*C$52*$K$44)/$B$8, 1/10)-1</f>
        <v>9.6186416808810016E-2</v>
      </c>
      <c r="D53" s="356">
        <f t="shared" ref="D53:E55" si="1">POWER((($B$41*(1+$B53)^10)*D$52*$K$44)/$B$8, 1/10)-1</f>
        <v>0.10659599461554281</v>
      </c>
      <c r="E53" s="356">
        <f t="shared" si="1"/>
        <v>0.11148744480731154</v>
      </c>
    </row>
    <row r="54" spans="1:5">
      <c r="A54" s="349" t="s">
        <v>511</v>
      </c>
      <c r="B54" s="352">
        <f>B53+2%</f>
        <v>0.13999999999999999</v>
      </c>
      <c r="C54" s="356">
        <f t="shared" ref="C54:C55" si="2">POWER((($B$41*(1+$B54)^10)*C$52*$K$44)/$B$8, 1/10)-1</f>
        <v>0.11576117425182453</v>
      </c>
      <c r="D54" s="356">
        <f t="shared" si="1"/>
        <v>0.12635663737653458</v>
      </c>
      <c r="E54" s="356">
        <f t="shared" si="1"/>
        <v>0.13133543489315636</v>
      </c>
    </row>
    <row r="55" spans="1:5">
      <c r="A55" s="349" t="s">
        <v>516</v>
      </c>
      <c r="B55" s="353">
        <f>B53+3%</f>
        <v>0.15</v>
      </c>
      <c r="C55" s="356">
        <f t="shared" si="2"/>
        <v>0.12554855297333156</v>
      </c>
      <c r="D55" s="356">
        <f t="shared" si="1"/>
        <v>0.13623695875703024</v>
      </c>
      <c r="E55" s="356">
        <f t="shared" si="1"/>
        <v>0.14125942993607876</v>
      </c>
    </row>
    <row r="59" spans="1:5">
      <c r="A59" s="177" t="s">
        <v>307</v>
      </c>
      <c r="B59" s="175" t="s">
        <v>81</v>
      </c>
      <c r="C59" s="175" t="s">
        <v>176</v>
      </c>
    </row>
    <row r="60" spans="1:5">
      <c r="A60" s="175" t="s">
        <v>305</v>
      </c>
      <c r="B60" s="175"/>
      <c r="C60" s="176">
        <v>0.12</v>
      </c>
    </row>
    <row r="61" spans="1:5">
      <c r="A61" s="175" t="s">
        <v>135</v>
      </c>
      <c r="B61" s="175"/>
      <c r="C61" s="176">
        <v>0.08</v>
      </c>
    </row>
  </sheetData>
  <mergeCells count="6">
    <mergeCell ref="A5:K5"/>
    <mergeCell ref="C50:E50"/>
    <mergeCell ref="A50:B51"/>
    <mergeCell ref="A7:B7"/>
    <mergeCell ref="A18:B18"/>
    <mergeCell ref="A6:K6"/>
  </mergeCells>
  <pageMargins left="0.70866141732283472" right="0.70866141732283472" top="0.74803149606299213" bottom="0.74803149606299213" header="0.31496062992125984" footer="0.31496062992125984"/>
  <pageSetup paperSize="9" scale="89" orientation="landscape" r:id="rId1"/>
  <ignoredErrors>
    <ignoredError sqref="B1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0</xdr:col>
                    <xdr:colOff>361950</xdr:colOff>
                    <xdr:row>1</xdr:row>
                    <xdr:rowOff>133350</xdr:rowOff>
                  </from>
                  <to>
                    <xdr:col>1</xdr:col>
                    <xdr:colOff>352425</xdr:colOff>
                    <xdr:row>4</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504825</xdr:colOff>
                    <xdr:row>2</xdr:row>
                    <xdr:rowOff>133350</xdr:rowOff>
                  </from>
                  <to>
                    <xdr:col>0</xdr:col>
                    <xdr:colOff>1133475</xdr:colOff>
                    <xdr:row>4</xdr:row>
                    <xdr:rowOff>28575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0</xdr:col>
                    <xdr:colOff>1381125</xdr:colOff>
                    <xdr:row>2</xdr:row>
                    <xdr:rowOff>133350</xdr:rowOff>
                  </from>
                  <to>
                    <xdr:col>0</xdr:col>
                    <xdr:colOff>2066925</xdr:colOff>
                    <xdr:row>4</xdr:row>
                    <xdr:rowOff>28575</xdr:rowOff>
                  </to>
                </anchor>
              </controlPr>
            </control>
          </mc:Choice>
        </mc:AlternateContent>
        <mc:AlternateContent xmlns:mc="http://schemas.openxmlformats.org/markup-compatibility/2006">
          <mc:Choice Requires="x14">
            <control shapeId="16389" r:id="rId7" name="Group Box 5">
              <controlPr defaultSize="0" autoFill="0" autoPict="0">
                <anchor moveWithCells="1">
                  <from>
                    <xdr:col>3</xdr:col>
                    <xdr:colOff>228600</xdr:colOff>
                    <xdr:row>1</xdr:row>
                    <xdr:rowOff>133350</xdr:rowOff>
                  </from>
                  <to>
                    <xdr:col>5</xdr:col>
                    <xdr:colOff>333375</xdr:colOff>
                    <xdr:row>4</xdr:row>
                    <xdr:rowOff>104775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3</xdr:col>
                    <xdr:colOff>400050</xdr:colOff>
                    <xdr:row>2</xdr:row>
                    <xdr:rowOff>142875</xdr:rowOff>
                  </from>
                  <to>
                    <xdr:col>3</xdr:col>
                    <xdr:colOff>1038225</xdr:colOff>
                    <xdr:row>4</xdr:row>
                    <xdr:rowOff>38100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4</xdr:col>
                    <xdr:colOff>247650</xdr:colOff>
                    <xdr:row>2</xdr:row>
                    <xdr:rowOff>133350</xdr:rowOff>
                  </from>
                  <to>
                    <xdr:col>5</xdr:col>
                    <xdr:colOff>142875</xdr:colOff>
                    <xdr:row>4</xdr:row>
                    <xdr:rowOff>28575</xdr:rowOff>
                  </to>
                </anchor>
              </controlPr>
            </control>
          </mc:Choice>
        </mc:AlternateContent>
        <mc:AlternateContent xmlns:mc="http://schemas.openxmlformats.org/markup-compatibility/2006">
          <mc:Choice Requires="x14">
            <control shapeId="16392" r:id="rId10" name="Group Box 8">
              <controlPr defaultSize="0" autoFill="0" autoPict="0">
                <anchor moveWithCells="1">
                  <from>
                    <xdr:col>6</xdr:col>
                    <xdr:colOff>600075</xdr:colOff>
                    <xdr:row>2</xdr:row>
                    <xdr:rowOff>0</xdr:rowOff>
                  </from>
                  <to>
                    <xdr:col>9</xdr:col>
                    <xdr:colOff>190500</xdr:colOff>
                    <xdr:row>4</xdr:row>
                    <xdr:rowOff>133350</xdr:rowOff>
                  </to>
                </anchor>
              </controlPr>
            </control>
          </mc:Choice>
        </mc:AlternateContent>
        <mc:AlternateContent xmlns:mc="http://schemas.openxmlformats.org/markup-compatibility/2006">
          <mc:Choice Requires="x14">
            <control shapeId="16393" r:id="rId11" name="Option Button 9">
              <controlPr defaultSize="0" autoFill="0" autoLine="0" autoPict="0">
                <anchor moveWithCells="1">
                  <from>
                    <xdr:col>8</xdr:col>
                    <xdr:colOff>219075</xdr:colOff>
                    <xdr:row>2</xdr:row>
                    <xdr:rowOff>123825</xdr:rowOff>
                  </from>
                  <to>
                    <xdr:col>9</xdr:col>
                    <xdr:colOff>28575</xdr:colOff>
                    <xdr:row>4</xdr:row>
                    <xdr:rowOff>19050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6</xdr:col>
                    <xdr:colOff>638175</xdr:colOff>
                    <xdr:row>2</xdr:row>
                    <xdr:rowOff>152400</xdr:rowOff>
                  </from>
                  <to>
                    <xdr:col>7</xdr:col>
                    <xdr:colOff>485775</xdr:colOff>
                    <xdr:row>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3" sqref="D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4"/>
  <sheetViews>
    <sheetView showGridLines="0" workbookViewId="0"/>
  </sheetViews>
  <sheetFormatPr defaultColWidth="22.140625" defaultRowHeight="20.100000000000001" customHeight="1"/>
  <cols>
    <col min="1" max="3" width="22.140625" style="79"/>
    <col min="4" max="4" width="8.85546875" style="79" customWidth="1"/>
    <col min="5" max="5" width="4" style="80" customWidth="1"/>
    <col min="6" max="6" width="11.42578125" style="271" customWidth="1"/>
    <col min="7" max="7" width="20.7109375" style="79" customWidth="1"/>
    <col min="8" max="8" width="11.28515625" style="80" customWidth="1"/>
    <col min="9" max="9" width="10.140625" style="80" customWidth="1"/>
    <col min="10" max="10" width="64.7109375" style="79" customWidth="1"/>
    <col min="11" max="11" width="12" style="80" customWidth="1"/>
    <col min="12" max="12" width="7" style="80" customWidth="1"/>
    <col min="13" max="13" width="8.140625" style="80" customWidth="1"/>
    <col min="14" max="14" width="23.28515625" style="79" customWidth="1"/>
    <col min="15" max="15" width="26.42578125" style="79" customWidth="1"/>
    <col min="16" max="16384" width="22.140625" style="79"/>
  </cols>
  <sheetData>
    <row r="1" spans="1:13" ht="6" customHeight="1" thickBot="1"/>
    <row r="2" spans="1:13" ht="20.100000000000001" customHeight="1" thickBot="1">
      <c r="A2" s="268" t="s">
        <v>136</v>
      </c>
      <c r="B2" s="269"/>
      <c r="C2" s="269"/>
      <c r="E2" s="81" t="s">
        <v>137</v>
      </c>
      <c r="F2" s="272"/>
      <c r="G2" s="82" t="s">
        <v>138</v>
      </c>
      <c r="H2" s="83" t="s">
        <v>139</v>
      </c>
      <c r="I2" s="83" t="s">
        <v>140</v>
      </c>
      <c r="J2" s="83" t="s">
        <v>141</v>
      </c>
      <c r="K2" s="83" t="s">
        <v>142</v>
      </c>
      <c r="L2" s="83" t="s">
        <v>66</v>
      </c>
      <c r="M2" s="83"/>
    </row>
    <row r="3" spans="1:13" ht="20.100000000000001" customHeight="1">
      <c r="A3" s="84" t="s">
        <v>143</v>
      </c>
      <c r="B3" s="84" t="s">
        <v>144</v>
      </c>
      <c r="C3" s="84" t="s">
        <v>145</v>
      </c>
      <c r="E3" s="85"/>
      <c r="F3" s="273"/>
      <c r="G3" s="266" t="s">
        <v>146</v>
      </c>
      <c r="H3" s="267"/>
      <c r="I3" s="267"/>
      <c r="J3" s="267"/>
      <c r="K3" s="281">
        <f>SUM(K4:K14)</f>
        <v>50</v>
      </c>
      <c r="L3" s="85">
        <f>SUM(L4:L14)</f>
        <v>47</v>
      </c>
      <c r="M3" s="86"/>
    </row>
    <row r="4" spans="1:13" ht="30" customHeight="1">
      <c r="A4" s="87" t="s">
        <v>147</v>
      </c>
      <c r="B4" s="282">
        <f>Scorecard!K3</f>
        <v>50</v>
      </c>
      <c r="C4" s="280">
        <f>Scorecard!L3</f>
        <v>47</v>
      </c>
      <c r="E4" s="94">
        <v>1</v>
      </c>
      <c r="F4" s="274" t="s">
        <v>396</v>
      </c>
      <c r="G4" s="254" t="s">
        <v>430</v>
      </c>
      <c r="H4" s="88" t="s">
        <v>150</v>
      </c>
      <c r="I4" s="89">
        <f>Revenue!C5</f>
        <v>0.128097673658919</v>
      </c>
      <c r="J4" s="275" t="s">
        <v>153</v>
      </c>
      <c r="K4" s="279">
        <v>4</v>
      </c>
      <c r="L4" s="93">
        <f>Revenue!L5</f>
        <v>3</v>
      </c>
      <c r="M4" s="88"/>
    </row>
    <row r="5" spans="1:13" ht="30" customHeight="1">
      <c r="E5" s="94">
        <v>2</v>
      </c>
      <c r="F5" s="377" t="s">
        <v>431</v>
      </c>
      <c r="G5" s="254" t="s">
        <v>152</v>
      </c>
      <c r="H5" s="88" t="s">
        <v>150</v>
      </c>
      <c r="I5" s="89">
        <f>Profit!F5</f>
        <v>0.23877662958659163</v>
      </c>
      <c r="J5" s="275" t="s">
        <v>299</v>
      </c>
      <c r="K5" s="279">
        <v>5</v>
      </c>
      <c r="L5" s="93">
        <f>Profit!L5</f>
        <v>5</v>
      </c>
      <c r="M5" s="88"/>
    </row>
    <row r="6" spans="1:13" ht="30" customHeight="1">
      <c r="E6" s="94">
        <v>3</v>
      </c>
      <c r="F6" s="378"/>
      <c r="G6" s="254" t="s">
        <v>149</v>
      </c>
      <c r="H6" s="88" t="s">
        <v>150</v>
      </c>
      <c r="I6" s="89">
        <f>Profit!G5</f>
        <v>0.32033918485224477</v>
      </c>
      <c r="J6" s="275" t="s">
        <v>302</v>
      </c>
      <c r="K6" s="279">
        <v>9</v>
      </c>
      <c r="L6" s="93">
        <f>Profit!M5</f>
        <v>9</v>
      </c>
      <c r="M6" s="88"/>
    </row>
    <row r="7" spans="1:13" ht="30" customHeight="1">
      <c r="E7" s="94">
        <v>4</v>
      </c>
      <c r="F7" s="379"/>
      <c r="G7" s="254" t="s">
        <v>154</v>
      </c>
      <c r="H7" s="88" t="s">
        <v>470</v>
      </c>
      <c r="I7" s="89">
        <f>Profit!C5</f>
        <v>9.2545732359829505E-2</v>
      </c>
      <c r="J7" s="275" t="s">
        <v>155</v>
      </c>
      <c r="K7" s="279">
        <v>4</v>
      </c>
      <c r="L7" s="93">
        <f>Profit!P5</f>
        <v>3</v>
      </c>
      <c r="M7" s="88"/>
    </row>
    <row r="8" spans="1:13" ht="30" customHeight="1">
      <c r="E8" s="94"/>
      <c r="F8" s="278" t="s">
        <v>434</v>
      </c>
      <c r="G8" s="254" t="s">
        <v>148</v>
      </c>
      <c r="H8" s="88" t="s">
        <v>418</v>
      </c>
      <c r="I8" s="89">
        <f>Dupont!D4</f>
        <v>0.29974218153367738</v>
      </c>
      <c r="J8" s="275" t="s">
        <v>303</v>
      </c>
      <c r="K8" s="279">
        <f>10</f>
        <v>10</v>
      </c>
      <c r="L8" s="93">
        <f>Dupont!K4</f>
        <v>10</v>
      </c>
      <c r="M8" s="88"/>
    </row>
    <row r="9" spans="1:13" ht="30" customHeight="1">
      <c r="E9" s="94">
        <v>5</v>
      </c>
      <c r="F9" s="377" t="s">
        <v>432</v>
      </c>
      <c r="G9" s="254" t="s">
        <v>160</v>
      </c>
      <c r="H9" s="88" t="s">
        <v>161</v>
      </c>
      <c r="I9" s="91">
        <f>Efficiency!C5</f>
        <v>0.19188848095456634</v>
      </c>
      <c r="J9" s="275" t="s">
        <v>300</v>
      </c>
      <c r="K9" s="279">
        <v>3</v>
      </c>
      <c r="L9" s="93">
        <f>Efficiency!K5</f>
        <v>3</v>
      </c>
      <c r="M9" s="88"/>
    </row>
    <row r="10" spans="1:13" ht="30" customHeight="1">
      <c r="E10" s="94">
        <v>6</v>
      </c>
      <c r="F10" s="378"/>
      <c r="G10" s="254" t="s">
        <v>156</v>
      </c>
      <c r="H10" s="88" t="s">
        <v>157</v>
      </c>
      <c r="I10" s="91">
        <f>Efficiency!E5</f>
        <v>1.02848790508421</v>
      </c>
      <c r="J10" s="275" t="s">
        <v>158</v>
      </c>
      <c r="K10" s="279">
        <v>4</v>
      </c>
      <c r="L10" s="93">
        <f>Efficiency!M5</f>
        <v>4</v>
      </c>
      <c r="M10" s="88"/>
    </row>
    <row r="11" spans="1:13" ht="30" customHeight="1">
      <c r="E11" s="94">
        <v>7</v>
      </c>
      <c r="F11" s="378"/>
      <c r="G11" s="254" t="s">
        <v>163</v>
      </c>
      <c r="H11" s="88" t="s">
        <v>164</v>
      </c>
      <c r="I11" s="93">
        <f>Efficiency!F5</f>
        <v>1248.77</v>
      </c>
      <c r="J11" s="275" t="s">
        <v>165</v>
      </c>
      <c r="K11" s="279">
        <v>1</v>
      </c>
      <c r="L11" s="93">
        <f>Efficiency!N5</f>
        <v>1</v>
      </c>
      <c r="M11" s="88"/>
    </row>
    <row r="12" spans="1:13" ht="30" customHeight="1">
      <c r="E12" s="94">
        <v>8</v>
      </c>
      <c r="F12" s="379"/>
      <c r="G12" s="254" t="s">
        <v>429</v>
      </c>
      <c r="H12" s="88" t="s">
        <v>162</v>
      </c>
      <c r="I12" s="92">
        <f>Efficiency!D5</f>
        <v>0.62552916477053278</v>
      </c>
      <c r="J12" s="277" t="s">
        <v>301</v>
      </c>
      <c r="K12" s="279">
        <v>1</v>
      </c>
      <c r="L12" s="93">
        <f>Efficiency!L5</f>
        <v>0</v>
      </c>
      <c r="M12" s="88"/>
    </row>
    <row r="13" spans="1:13" ht="30" customHeight="1">
      <c r="E13" s="94">
        <v>9</v>
      </c>
      <c r="F13" s="377" t="s">
        <v>433</v>
      </c>
      <c r="G13" s="254" t="s">
        <v>151</v>
      </c>
      <c r="H13" s="90">
        <v>0</v>
      </c>
      <c r="I13" s="89">
        <f>Others!E4</f>
        <v>0</v>
      </c>
      <c r="J13" s="276"/>
      <c r="K13" s="279">
        <v>6</v>
      </c>
      <c r="L13" s="93">
        <f>Others!L4</f>
        <v>6</v>
      </c>
      <c r="M13" s="88"/>
    </row>
    <row r="14" spans="1:13" ht="30" customHeight="1">
      <c r="E14" s="94">
        <v>10</v>
      </c>
      <c r="F14" s="379"/>
      <c r="G14" s="254" t="s">
        <v>159</v>
      </c>
      <c r="H14" s="88" t="s">
        <v>312</v>
      </c>
      <c r="I14" s="185">
        <f>Others!F4</f>
        <v>0</v>
      </c>
      <c r="J14" s="275" t="s">
        <v>297</v>
      </c>
      <c r="K14" s="279">
        <v>3</v>
      </c>
      <c r="L14" s="93">
        <f>Others!M4</f>
        <v>3</v>
      </c>
      <c r="M14" s="88"/>
    </row>
  </sheetData>
  <mergeCells count="3">
    <mergeCell ref="F5:F7"/>
    <mergeCell ref="F9:F12"/>
    <mergeCell ref="F13:F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65"/>
  <sheetViews>
    <sheetView showGridLines="0" workbookViewId="0"/>
  </sheetViews>
  <sheetFormatPr defaultRowHeight="15" customHeight="1"/>
  <cols>
    <col min="1" max="1" width="5.7109375" customWidth="1"/>
    <col min="2" max="2" width="10.42578125" bestFit="1" customWidth="1"/>
    <col min="5" max="5" width="12.28515625" customWidth="1"/>
    <col min="10" max="10" width="7.28515625" customWidth="1"/>
    <col min="11" max="11" width="13" customWidth="1"/>
  </cols>
  <sheetData>
    <row r="3" spans="2:22" ht="15" customHeight="1">
      <c r="B3" s="285" t="s">
        <v>396</v>
      </c>
      <c r="C3" s="96" t="s">
        <v>190</v>
      </c>
      <c r="D3" s="96" t="s">
        <v>191</v>
      </c>
      <c r="E3" s="96" t="s">
        <v>391</v>
      </c>
      <c r="F3" s="96" t="s">
        <v>447</v>
      </c>
      <c r="G3" s="96" t="s">
        <v>399</v>
      </c>
      <c r="K3" s="285" t="s">
        <v>396</v>
      </c>
      <c r="L3" s="96" t="s">
        <v>190</v>
      </c>
    </row>
    <row r="4" spans="2:22" ht="15" customHeight="1">
      <c r="B4" s="245" t="s">
        <v>394</v>
      </c>
      <c r="C4" s="286">
        <v>0.2</v>
      </c>
      <c r="D4" s="286"/>
      <c r="E4" s="286"/>
      <c r="F4" s="286"/>
      <c r="G4" s="286"/>
      <c r="K4" s="245" t="s">
        <v>397</v>
      </c>
      <c r="L4" s="284">
        <v>4</v>
      </c>
      <c r="O4" s="380"/>
      <c r="P4" s="380"/>
      <c r="Q4" s="380"/>
      <c r="R4" s="380"/>
      <c r="S4" s="380"/>
      <c r="T4" s="380"/>
    </row>
    <row r="5" spans="2:22" ht="15" customHeight="1">
      <c r="B5" s="245" t="s">
        <v>395</v>
      </c>
      <c r="C5" s="286">
        <f>POWER('Screener Output'!M25/'Screener Output'!C25,1/9)-1</f>
        <v>0.128097673658919</v>
      </c>
      <c r="D5" s="286">
        <f>POWER('Screener Output'!M25/'Screener Output'!G25,1/5)-1</f>
        <v>0.106958771903642</v>
      </c>
      <c r="E5" s="286">
        <f>POWER('Screener Output'!M25/'Screener Output'!N25,1)-1</f>
        <v>0.11186778043624912</v>
      </c>
      <c r="F5" s="286">
        <f>'Screener Output'!L191</f>
        <v>0.1247428285596226</v>
      </c>
      <c r="G5" s="286">
        <f>'Screener Output'!L142</f>
        <v>0.49150028915503041</v>
      </c>
      <c r="K5" s="245" t="s">
        <v>398</v>
      </c>
      <c r="L5" s="283">
        <f>IF(C5&gt;0.2,4,IF(AND(C5&gt;0.1,C5&lt;0.2),3,IF(AND(C5&gt;0.05,C5&lt;0.1),2,IF(AND(C5&gt;0,C5&lt;0.05),1,0))))</f>
        <v>3</v>
      </c>
      <c r="O5" s="380"/>
      <c r="P5" s="380"/>
      <c r="Q5" s="380"/>
      <c r="R5" s="380"/>
      <c r="S5" s="380"/>
      <c r="T5" s="380"/>
    </row>
    <row r="6" spans="2:22" ht="15" customHeight="1">
      <c r="E6" s="246"/>
      <c r="O6" s="380"/>
      <c r="P6" s="380"/>
      <c r="Q6" s="380"/>
      <c r="R6" s="380"/>
      <c r="S6" s="380"/>
      <c r="T6" s="380"/>
    </row>
    <row r="7" spans="2:22" ht="25.5" customHeight="1">
      <c r="B7" s="381" t="s">
        <v>479</v>
      </c>
      <c r="C7" s="381"/>
      <c r="D7" s="381"/>
      <c r="E7" s="381"/>
      <c r="F7" s="381"/>
      <c r="G7" s="381"/>
      <c r="H7" s="381"/>
      <c r="I7" s="381"/>
    </row>
    <row r="8" spans="2:22" ht="15" customHeight="1">
      <c r="B8" s="381"/>
      <c r="C8" s="381"/>
      <c r="D8" s="381"/>
      <c r="E8" s="381"/>
      <c r="F8" s="381"/>
      <c r="G8" s="381"/>
      <c r="H8" s="381"/>
      <c r="I8" s="381"/>
    </row>
    <row r="11" spans="2:22" ht="15" customHeight="1">
      <c r="B11" s="384" t="s">
        <v>387</v>
      </c>
      <c r="C11" s="384"/>
      <c r="D11" s="384"/>
      <c r="E11" s="384"/>
      <c r="F11" s="384"/>
      <c r="G11" s="384"/>
      <c r="H11" s="384"/>
      <c r="I11" s="384"/>
      <c r="K11" s="382" t="s">
        <v>388</v>
      </c>
      <c r="L11" s="382"/>
      <c r="M11" s="382"/>
      <c r="N11" s="382"/>
      <c r="O11" s="382"/>
      <c r="P11" s="382"/>
      <c r="Q11" s="382"/>
      <c r="R11" s="382"/>
      <c r="S11" s="382"/>
      <c r="T11" s="382"/>
      <c r="U11" s="243"/>
      <c r="V11" s="288"/>
    </row>
    <row r="12" spans="2:22" ht="15" customHeight="1">
      <c r="B12" s="77"/>
      <c r="C12" s="77"/>
      <c r="K12" s="2"/>
      <c r="L12" s="2"/>
      <c r="M12" s="2"/>
      <c r="N12" s="2"/>
      <c r="O12" s="2"/>
      <c r="P12" s="2"/>
      <c r="Q12" s="2"/>
      <c r="R12" s="2"/>
      <c r="S12" s="2"/>
      <c r="T12" s="2"/>
      <c r="U12" s="2"/>
      <c r="V12" s="2"/>
    </row>
    <row r="13" spans="2:22" ht="15" customHeight="1">
      <c r="B13" s="77"/>
      <c r="C13" s="77"/>
      <c r="K13" s="2"/>
      <c r="L13" s="2"/>
      <c r="M13" s="2"/>
      <c r="N13" s="2"/>
      <c r="O13" s="2"/>
      <c r="P13" s="2"/>
      <c r="Q13" s="2"/>
      <c r="R13" s="2"/>
      <c r="S13" s="2"/>
      <c r="T13" s="2"/>
      <c r="U13" s="2"/>
      <c r="V13" s="2"/>
    </row>
    <row r="14" spans="2:22" ht="15" customHeight="1">
      <c r="B14" s="77"/>
      <c r="C14" s="77"/>
      <c r="K14" s="2"/>
      <c r="L14" s="2"/>
      <c r="M14" s="2"/>
      <c r="N14" s="2"/>
      <c r="O14" s="2"/>
      <c r="P14" s="2"/>
      <c r="Q14" s="2"/>
      <c r="R14" s="2"/>
      <c r="S14" s="2"/>
      <c r="T14" s="2"/>
      <c r="U14" s="2"/>
      <c r="V14" s="2"/>
    </row>
    <row r="15" spans="2:22" ht="15" customHeight="1">
      <c r="B15" s="77"/>
      <c r="C15" s="77"/>
      <c r="K15" s="2"/>
      <c r="L15" s="2"/>
      <c r="M15" s="2"/>
      <c r="N15" s="2"/>
      <c r="O15" s="2"/>
      <c r="P15" s="2"/>
      <c r="Q15" s="2"/>
      <c r="R15" s="2"/>
      <c r="S15" s="2"/>
      <c r="T15" s="2"/>
      <c r="U15" s="2"/>
      <c r="V15" s="2"/>
    </row>
    <row r="16" spans="2:22" ht="15" customHeight="1">
      <c r="B16" s="238"/>
      <c r="C16" s="238"/>
      <c r="K16" s="2"/>
      <c r="L16" s="2"/>
      <c r="M16" s="2"/>
      <c r="N16" s="2"/>
      <c r="O16" s="2"/>
      <c r="P16" s="2"/>
      <c r="Q16" s="2"/>
      <c r="R16" s="2"/>
      <c r="S16" s="2"/>
      <c r="T16" s="2"/>
      <c r="U16" s="2"/>
      <c r="V16" s="2"/>
    </row>
    <row r="17" spans="2:22" ht="15" customHeight="1">
      <c r="B17" s="238"/>
      <c r="C17" s="238"/>
      <c r="K17" s="2"/>
      <c r="L17" s="2"/>
      <c r="M17" s="2"/>
      <c r="N17" s="2"/>
      <c r="O17" s="2"/>
      <c r="P17" s="2"/>
      <c r="Q17" s="2"/>
      <c r="R17" s="2"/>
      <c r="S17" s="2"/>
      <c r="T17" s="2"/>
      <c r="U17" s="2"/>
      <c r="V17" s="2"/>
    </row>
    <row r="18" spans="2:22" ht="15" customHeight="1">
      <c r="B18" s="238"/>
      <c r="C18" s="238"/>
      <c r="K18" s="2"/>
      <c r="L18" s="2"/>
      <c r="M18" s="2"/>
      <c r="N18" s="2"/>
      <c r="O18" s="2"/>
      <c r="P18" s="2"/>
      <c r="Q18" s="2"/>
      <c r="R18" s="2"/>
      <c r="S18" s="2"/>
      <c r="T18" s="2"/>
      <c r="U18" s="2"/>
      <c r="V18" s="2"/>
    </row>
    <row r="19" spans="2:22" ht="15" customHeight="1">
      <c r="B19" s="77"/>
      <c r="C19" s="77"/>
      <c r="K19" s="2"/>
      <c r="L19" s="2"/>
      <c r="M19" s="2"/>
      <c r="N19" s="2"/>
      <c r="O19" s="2"/>
      <c r="P19" s="2"/>
      <c r="Q19" s="2"/>
      <c r="R19" s="2"/>
      <c r="S19" s="2"/>
      <c r="T19" s="2"/>
      <c r="U19" s="2"/>
      <c r="V19" s="2"/>
    </row>
    <row r="20" spans="2:22" ht="15" customHeight="1">
      <c r="B20" s="77"/>
      <c r="C20" s="77"/>
      <c r="K20" s="2"/>
      <c r="L20" s="2"/>
      <c r="M20" s="2"/>
      <c r="N20" s="2"/>
      <c r="O20" s="2"/>
      <c r="P20" s="2"/>
      <c r="Q20" s="2"/>
      <c r="R20" s="2"/>
      <c r="S20" s="2"/>
      <c r="T20" s="2"/>
      <c r="U20" s="2"/>
      <c r="V20" s="2"/>
    </row>
    <row r="21" spans="2:22" ht="15" customHeight="1">
      <c r="B21" s="77"/>
      <c r="C21" s="77"/>
      <c r="K21" s="2"/>
      <c r="L21" s="2"/>
      <c r="M21" s="2"/>
      <c r="N21" s="2"/>
      <c r="O21" s="2"/>
      <c r="P21" s="2"/>
      <c r="Q21" s="2"/>
      <c r="R21" s="2"/>
      <c r="S21" s="2"/>
      <c r="T21" s="2"/>
      <c r="U21" s="2"/>
      <c r="V21" s="2"/>
    </row>
    <row r="22" spans="2:22" ht="15" customHeight="1">
      <c r="B22" s="77"/>
      <c r="C22" s="77"/>
      <c r="K22" s="2"/>
      <c r="L22" s="2"/>
      <c r="M22" s="2"/>
      <c r="N22" s="2"/>
      <c r="O22" s="2"/>
      <c r="P22" s="2"/>
      <c r="Q22" s="2"/>
      <c r="R22" s="2"/>
      <c r="S22" s="2"/>
      <c r="T22" s="2"/>
      <c r="U22" s="2"/>
      <c r="V22" s="2"/>
    </row>
    <row r="23" spans="2:22" ht="15" customHeight="1">
      <c r="B23" s="77"/>
      <c r="C23" s="77"/>
      <c r="K23" s="2"/>
      <c r="L23" s="2"/>
      <c r="M23" s="2"/>
      <c r="N23" s="2"/>
      <c r="O23" s="2"/>
      <c r="P23" s="2"/>
      <c r="Q23" s="2"/>
      <c r="R23" s="2"/>
      <c r="S23" s="2"/>
      <c r="T23" s="2"/>
      <c r="U23" s="2"/>
      <c r="V23" s="2"/>
    </row>
    <row r="24" spans="2:22" ht="15" customHeight="1">
      <c r="B24" s="77"/>
      <c r="C24" s="77"/>
      <c r="K24" s="2"/>
      <c r="L24" s="2"/>
      <c r="M24" s="2"/>
      <c r="N24" s="2"/>
      <c r="O24" s="2"/>
      <c r="P24" s="2"/>
      <c r="Q24" s="2"/>
      <c r="R24" s="2"/>
      <c r="S24" s="2"/>
      <c r="T24" s="2"/>
      <c r="U24" s="2"/>
      <c r="V24" s="2"/>
    </row>
    <row r="25" spans="2:22" ht="15" customHeight="1">
      <c r="B25" s="77"/>
      <c r="C25" s="77"/>
      <c r="K25" s="2"/>
      <c r="L25" s="2"/>
      <c r="M25" s="2"/>
      <c r="N25" s="2"/>
      <c r="O25" s="2"/>
      <c r="P25" s="2"/>
      <c r="Q25" s="2"/>
      <c r="R25" s="2"/>
      <c r="S25" s="2"/>
      <c r="T25" s="2"/>
      <c r="U25" s="2"/>
      <c r="V25" s="2"/>
    </row>
    <row r="26" spans="2:22" ht="15" customHeight="1">
      <c r="B26" s="77"/>
      <c r="C26" s="77"/>
      <c r="K26" s="2"/>
      <c r="L26" s="2"/>
      <c r="M26" s="2"/>
      <c r="N26" s="2"/>
      <c r="O26" s="2"/>
      <c r="P26" s="2"/>
      <c r="Q26" s="2"/>
      <c r="R26" s="2"/>
      <c r="S26" s="2"/>
      <c r="T26" s="2"/>
      <c r="U26" s="2"/>
      <c r="V26" s="2"/>
    </row>
    <row r="29" spans="2:22" ht="15" customHeight="1">
      <c r="B29" s="382" t="s">
        <v>390</v>
      </c>
      <c r="C29" s="382"/>
      <c r="D29" s="382"/>
      <c r="E29" s="382"/>
      <c r="F29" s="382"/>
      <c r="G29" s="382"/>
      <c r="H29" s="382"/>
      <c r="I29" s="382"/>
      <c r="K29" s="382" t="s">
        <v>389</v>
      </c>
      <c r="L29" s="382"/>
      <c r="M29" s="382"/>
      <c r="N29" s="382"/>
      <c r="O29" s="382"/>
      <c r="P29" s="382"/>
      <c r="Q29" s="382"/>
      <c r="R29" s="382"/>
      <c r="S29" s="382"/>
      <c r="T29" s="382"/>
      <c r="U29" s="243"/>
      <c r="V29" s="288"/>
    </row>
    <row r="30" spans="2:22" ht="15" customHeight="1">
      <c r="B30" s="239"/>
      <c r="C30" s="239"/>
      <c r="K30" s="2"/>
      <c r="L30" s="2"/>
      <c r="M30" s="2"/>
      <c r="N30" s="2"/>
      <c r="O30" s="2"/>
      <c r="P30" s="2"/>
      <c r="Q30" s="2"/>
      <c r="R30" s="2"/>
      <c r="S30" s="2"/>
      <c r="T30" s="2"/>
      <c r="U30" s="2"/>
      <c r="V30" s="2"/>
    </row>
    <row r="31" spans="2:22" ht="15" customHeight="1">
      <c r="B31" s="239"/>
      <c r="C31" s="239"/>
      <c r="K31" s="2"/>
      <c r="L31" s="2"/>
      <c r="M31" s="2"/>
      <c r="N31" s="2"/>
      <c r="O31" s="2"/>
      <c r="P31" s="2"/>
      <c r="Q31" s="2"/>
      <c r="R31" s="2"/>
      <c r="S31" s="2"/>
      <c r="T31" s="2"/>
      <c r="U31" s="2"/>
      <c r="V31" s="2"/>
    </row>
    <row r="32" spans="2:22" ht="15" customHeight="1">
      <c r="B32" s="239"/>
      <c r="C32" s="239"/>
      <c r="K32" s="2"/>
      <c r="L32" s="2"/>
      <c r="M32" s="2"/>
      <c r="N32" s="2"/>
      <c r="O32" s="2"/>
      <c r="P32" s="2"/>
      <c r="Q32" s="2"/>
      <c r="R32" s="2"/>
      <c r="S32" s="2"/>
      <c r="T32" s="2"/>
      <c r="U32" s="2"/>
      <c r="V32" s="2"/>
    </row>
    <row r="33" spans="2:22" ht="15" customHeight="1">
      <c r="B33" s="77"/>
      <c r="C33" s="77"/>
      <c r="K33" s="2"/>
      <c r="L33" s="2"/>
      <c r="M33" s="2"/>
      <c r="N33" s="2"/>
      <c r="O33" s="2"/>
      <c r="P33" s="2"/>
      <c r="Q33" s="2"/>
      <c r="R33" s="2"/>
      <c r="S33" s="2"/>
      <c r="T33" s="2"/>
      <c r="U33" s="2"/>
      <c r="V33" s="2"/>
    </row>
    <row r="34" spans="2:22" ht="15" customHeight="1">
      <c r="B34" s="208"/>
      <c r="C34" s="208"/>
      <c r="K34" s="2"/>
      <c r="L34" s="2"/>
      <c r="M34" s="2"/>
      <c r="N34" s="2"/>
      <c r="O34" s="2"/>
      <c r="P34" s="2"/>
      <c r="Q34" s="2"/>
      <c r="R34" s="2"/>
      <c r="S34" s="2"/>
      <c r="T34" s="2"/>
      <c r="U34" s="2"/>
      <c r="V34" s="2"/>
    </row>
    <row r="35" spans="2:22" ht="15" customHeight="1">
      <c r="B35" s="208"/>
      <c r="C35" s="208"/>
      <c r="K35" s="2"/>
      <c r="L35" s="2"/>
      <c r="M35" s="2"/>
      <c r="N35" s="2"/>
      <c r="O35" s="2"/>
      <c r="P35" s="2"/>
      <c r="Q35" s="2"/>
      <c r="R35" s="2"/>
      <c r="S35" s="2"/>
      <c r="T35" s="2"/>
      <c r="U35" s="2"/>
      <c r="V35" s="2"/>
    </row>
    <row r="36" spans="2:22" ht="15" customHeight="1">
      <c r="B36" s="208"/>
      <c r="C36" s="208"/>
      <c r="K36" s="2"/>
      <c r="L36" s="2"/>
      <c r="M36" s="2"/>
      <c r="N36" s="2"/>
      <c r="O36" s="2"/>
      <c r="P36" s="2"/>
      <c r="Q36" s="2"/>
      <c r="R36" s="2"/>
      <c r="S36" s="2"/>
      <c r="T36" s="2"/>
      <c r="U36" s="2"/>
      <c r="V36" s="2"/>
    </row>
    <row r="37" spans="2:22" ht="15" customHeight="1">
      <c r="B37" s="208"/>
      <c r="C37" s="208"/>
      <c r="K37" s="2"/>
      <c r="L37" s="2"/>
      <c r="M37" s="2"/>
      <c r="N37" s="2"/>
      <c r="O37" s="2"/>
      <c r="P37" s="2"/>
      <c r="Q37" s="2"/>
      <c r="R37" s="2"/>
      <c r="S37" s="2"/>
      <c r="T37" s="2"/>
      <c r="U37" s="2"/>
      <c r="V37" s="2"/>
    </row>
    <row r="38" spans="2:22" ht="15" customHeight="1">
      <c r="B38" s="208"/>
      <c r="C38" s="208"/>
      <c r="K38" s="2"/>
      <c r="L38" s="2"/>
      <c r="M38" s="2"/>
      <c r="N38" s="2"/>
      <c r="O38" s="2"/>
      <c r="P38" s="2"/>
      <c r="Q38" s="2"/>
      <c r="R38" s="2"/>
      <c r="S38" s="2"/>
      <c r="T38" s="2"/>
      <c r="U38" s="2"/>
      <c r="V38" s="2"/>
    </row>
    <row r="39" spans="2:22" ht="15" customHeight="1">
      <c r="B39" s="208"/>
      <c r="C39" s="208"/>
      <c r="K39" s="2"/>
      <c r="L39" s="2"/>
      <c r="M39" s="2"/>
      <c r="N39" s="2"/>
      <c r="O39" s="2"/>
      <c r="P39" s="2"/>
      <c r="Q39" s="2"/>
      <c r="R39" s="2"/>
      <c r="S39" s="2"/>
      <c r="T39" s="2"/>
      <c r="U39" s="2"/>
      <c r="V39" s="2"/>
    </row>
    <row r="40" spans="2:22" ht="15" customHeight="1">
      <c r="B40" s="208"/>
      <c r="C40" s="208"/>
      <c r="K40" s="2"/>
      <c r="L40" s="2"/>
      <c r="M40" s="2"/>
      <c r="N40" s="2"/>
      <c r="O40" s="2"/>
      <c r="P40" s="2"/>
      <c r="Q40" s="2"/>
      <c r="R40" s="2"/>
      <c r="S40" s="2"/>
      <c r="T40" s="2"/>
      <c r="U40" s="2"/>
      <c r="V40" s="2"/>
    </row>
    <row r="41" spans="2:22" ht="15" customHeight="1">
      <c r="B41" s="208"/>
      <c r="C41" s="208"/>
      <c r="K41" s="2"/>
      <c r="L41" s="2"/>
      <c r="M41" s="2"/>
      <c r="N41" s="2"/>
      <c r="O41" s="2"/>
      <c r="P41" s="2"/>
      <c r="Q41" s="2"/>
      <c r="R41" s="2"/>
      <c r="S41" s="2"/>
      <c r="T41" s="2"/>
      <c r="U41" s="2"/>
      <c r="V41" s="2"/>
    </row>
    <row r="42" spans="2:22" ht="15" customHeight="1">
      <c r="B42" s="208"/>
      <c r="C42" s="208"/>
      <c r="K42" s="2"/>
      <c r="L42" s="2"/>
      <c r="M42" s="2"/>
      <c r="N42" s="2"/>
      <c r="O42" s="2"/>
      <c r="P42" s="2"/>
      <c r="Q42" s="2"/>
      <c r="R42" s="2"/>
      <c r="S42" s="2"/>
      <c r="T42" s="2"/>
      <c r="U42" s="2"/>
      <c r="V42" s="2"/>
    </row>
    <row r="43" spans="2:22" ht="15" customHeight="1">
      <c r="B43" s="208"/>
      <c r="C43" s="208"/>
      <c r="K43" s="2"/>
      <c r="L43" s="2"/>
      <c r="M43" s="2"/>
      <c r="N43" s="2"/>
      <c r="O43" s="2"/>
      <c r="P43" s="2"/>
      <c r="Q43" s="2"/>
      <c r="R43" s="2"/>
      <c r="S43" s="2"/>
      <c r="T43" s="2"/>
      <c r="U43" s="2"/>
      <c r="V43" s="2"/>
    </row>
    <row r="44" spans="2:22" ht="15" customHeight="1">
      <c r="B44" s="208"/>
      <c r="C44" s="208"/>
      <c r="K44" s="2"/>
      <c r="L44" s="2"/>
      <c r="M44" s="2"/>
      <c r="N44" s="2"/>
      <c r="O44" s="2"/>
      <c r="P44" s="2"/>
      <c r="Q44" s="2"/>
      <c r="R44" s="2"/>
      <c r="S44" s="2"/>
      <c r="T44" s="2"/>
      <c r="U44" s="2"/>
      <c r="V44" s="2"/>
    </row>
    <row r="48" spans="2:22" ht="15" customHeight="1">
      <c r="B48" s="311" t="s">
        <v>412</v>
      </c>
      <c r="C48" s="311"/>
      <c r="D48" s="311"/>
      <c r="E48" s="311"/>
      <c r="F48" s="311"/>
      <c r="G48" s="311"/>
      <c r="H48" s="311"/>
      <c r="I48" s="311"/>
      <c r="K48" s="382" t="s">
        <v>465</v>
      </c>
      <c r="L48" s="382"/>
      <c r="M48" s="382"/>
      <c r="N48" s="382"/>
      <c r="O48" s="382"/>
      <c r="P48" s="382"/>
      <c r="Q48" s="382"/>
      <c r="R48" s="382"/>
      <c r="S48" s="382"/>
      <c r="T48" s="382"/>
      <c r="U48" s="243"/>
    </row>
    <row r="62" spans="2:21" ht="15" customHeight="1">
      <c r="B62" s="383" t="s">
        <v>423</v>
      </c>
      <c r="C62" s="383"/>
      <c r="D62" s="383"/>
      <c r="E62" s="383"/>
      <c r="F62" s="383"/>
      <c r="G62" s="383"/>
      <c r="H62" s="383"/>
      <c r="I62" s="383"/>
    </row>
    <row r="64" spans="2:21" ht="15" customHeight="1">
      <c r="K64" s="381" t="s">
        <v>477</v>
      </c>
      <c r="L64" s="381"/>
      <c r="M64" s="381"/>
      <c r="N64" s="381"/>
      <c r="O64" s="381"/>
      <c r="P64" s="381"/>
      <c r="Q64" s="381"/>
      <c r="R64" s="381"/>
      <c r="S64" s="381"/>
      <c r="T64" s="381"/>
      <c r="U64" s="381"/>
    </row>
    <row r="65" spans="11:21" ht="15" customHeight="1">
      <c r="K65" s="381"/>
      <c r="L65" s="381"/>
      <c r="M65" s="381"/>
      <c r="N65" s="381"/>
      <c r="O65" s="381"/>
      <c r="P65" s="381"/>
      <c r="Q65" s="381"/>
      <c r="R65" s="381"/>
      <c r="S65" s="381"/>
      <c r="T65" s="381"/>
      <c r="U65" s="381"/>
    </row>
  </sheetData>
  <mergeCells count="21">
    <mergeCell ref="B62:I62"/>
    <mergeCell ref="B29:I29"/>
    <mergeCell ref="K64:U65"/>
    <mergeCell ref="B11:I11"/>
    <mergeCell ref="K11:L11"/>
    <mergeCell ref="M11:N11"/>
    <mergeCell ref="O11:P11"/>
    <mergeCell ref="Q11:R11"/>
    <mergeCell ref="S11:T11"/>
    <mergeCell ref="O4:T6"/>
    <mergeCell ref="B7:I8"/>
    <mergeCell ref="S29:T29"/>
    <mergeCell ref="K48:L48"/>
    <mergeCell ref="M48:N48"/>
    <mergeCell ref="O48:P48"/>
    <mergeCell ref="Q48:R48"/>
    <mergeCell ref="S48:T48"/>
    <mergeCell ref="K29:L29"/>
    <mergeCell ref="M29:N29"/>
    <mergeCell ref="O29:P29"/>
    <mergeCell ref="Q29:R2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51"/>
  <sheetViews>
    <sheetView showGridLines="0" workbookViewId="0"/>
  </sheetViews>
  <sheetFormatPr defaultRowHeight="18" customHeight="1"/>
  <cols>
    <col min="1" max="1" width="5.7109375" customWidth="1"/>
    <col min="2" max="2" width="9.85546875" customWidth="1"/>
    <col min="5" max="5" width="12.28515625" customWidth="1"/>
    <col min="10" max="10" width="7.28515625" customWidth="1"/>
    <col min="11" max="11" width="13" customWidth="1"/>
    <col min="15" max="15" width="11.5703125" customWidth="1"/>
  </cols>
  <sheetData>
    <row r="3" spans="2:22" ht="18" customHeight="1">
      <c r="B3" s="387" t="s">
        <v>409</v>
      </c>
      <c r="C3" s="388"/>
      <c r="E3" s="285"/>
      <c r="F3" s="96" t="s">
        <v>190</v>
      </c>
      <c r="G3" s="96" t="s">
        <v>191</v>
      </c>
      <c r="H3" s="96" t="s">
        <v>391</v>
      </c>
      <c r="K3" s="285" t="s">
        <v>35</v>
      </c>
      <c r="L3" s="96" t="s">
        <v>190</v>
      </c>
      <c r="M3" s="96" t="s">
        <v>191</v>
      </c>
      <c r="O3" s="387" t="s">
        <v>409</v>
      </c>
      <c r="P3" s="388"/>
      <c r="S3" s="96" t="s">
        <v>448</v>
      </c>
    </row>
    <row r="4" spans="2:22" ht="27" customHeight="1">
      <c r="B4" s="245" t="s">
        <v>410</v>
      </c>
      <c r="C4" s="286">
        <v>0.1</v>
      </c>
      <c r="E4" s="245" t="s">
        <v>473</v>
      </c>
      <c r="F4" s="286">
        <v>0.2</v>
      </c>
      <c r="G4" s="286">
        <v>0.2</v>
      </c>
      <c r="H4" s="286"/>
      <c r="K4" s="245" t="s">
        <v>471</v>
      </c>
      <c r="L4" s="287">
        <v>5</v>
      </c>
      <c r="M4" s="287">
        <v>9</v>
      </c>
      <c r="O4" s="245" t="s">
        <v>397</v>
      </c>
      <c r="P4" s="287">
        <v>4</v>
      </c>
      <c r="S4" s="286"/>
    </row>
    <row r="5" spans="2:22" ht="18" customHeight="1">
      <c r="B5" s="245" t="s">
        <v>140</v>
      </c>
      <c r="C5" s="286">
        <f>SUM('Screener Output'!H35:M35)/SUM('Screener Output'!H26:M26)</f>
        <v>9.2545732359829505E-2</v>
      </c>
      <c r="E5" s="245" t="s">
        <v>474</v>
      </c>
      <c r="F5" s="286">
        <f>('Screener Output'!M74/'Screener Output'!C74)^(1/9)-1</f>
        <v>0.23877662958659163</v>
      </c>
      <c r="G5" s="286">
        <f>('Screener Output'!M74/'Screener Output'!G74)^(1/5)-1</f>
        <v>0.32033918485224477</v>
      </c>
      <c r="H5" s="286">
        <f>('Screener Output'!M74/'Screener Output'!N74)^(1/1)-1</f>
        <v>0.18649605227334609</v>
      </c>
      <c r="K5" s="245" t="s">
        <v>472</v>
      </c>
      <c r="L5" s="287">
        <f>IF(F5&gt;0.2,5,IF(AND(F5&gt;0.1,F5&lt;0.2),3,IF(AND(F5&gt;0.05,F5&lt;0.1),1,IF(AND(F5&gt;0,F5&lt;0.05),1,0))))</f>
        <v>5</v>
      </c>
      <c r="M5" s="287">
        <f>IF(G5&gt;0.2,9,IF(AND(G5&gt;0.1,G5&lt;0.2),7,IF(AND(G5&gt;0.05,G5&lt;0.1),3,IF(AND(G5&gt;0,G5&lt;0.05),1,0))))</f>
        <v>9</v>
      </c>
      <c r="O5" s="245" t="s">
        <v>398</v>
      </c>
      <c r="P5" s="287">
        <f>IF(C5&gt;0.1,4,IF(AND(C5&gt;0.08,C5&lt;0.1),3,IF(AND(C5&gt;0.05,C5&lt;0.08),2,IF(AND(C5&gt;0.03,C5&lt;0.05),1,0))))</f>
        <v>3</v>
      </c>
      <c r="S5" s="286">
        <f>'Screener Output'!L193</f>
        <v>0.19415139737183029</v>
      </c>
    </row>
    <row r="6" spans="2:22" ht="18" customHeight="1">
      <c r="E6" s="245" t="s">
        <v>475</v>
      </c>
      <c r="F6" s="286">
        <f>POWER('Screener Output'!M35/'Screener Output'!C35,1/9)-1</f>
        <v>0.24720294698205758</v>
      </c>
      <c r="G6" s="286">
        <f>POWER('Screener Output'!M35/'Screener Output'!G35,1/5)-1</f>
        <v>0.32112868386052984</v>
      </c>
      <c r="H6" s="286">
        <f>('Screener Output'!M35/'Screener Output'!N35)^(1/1)-1</f>
        <v>0.18649605227334587</v>
      </c>
    </row>
    <row r="8" spans="2:22" ht="18" customHeight="1">
      <c r="B8" s="381" t="s">
        <v>480</v>
      </c>
      <c r="C8" s="381"/>
      <c r="D8" s="381"/>
      <c r="E8" s="381"/>
      <c r="F8" s="381"/>
      <c r="G8" s="381"/>
      <c r="H8" s="381"/>
    </row>
    <row r="9" spans="2:22" ht="18" customHeight="1">
      <c r="B9" s="381"/>
      <c r="C9" s="381"/>
      <c r="D9" s="381"/>
      <c r="E9" s="381"/>
      <c r="F9" s="381"/>
      <c r="G9" s="381"/>
      <c r="H9" s="381"/>
    </row>
    <row r="11" spans="2:22" ht="18" customHeight="1">
      <c r="B11" s="384" t="s">
        <v>386</v>
      </c>
      <c r="C11" s="384"/>
      <c r="D11" s="382"/>
      <c r="E11" s="382"/>
      <c r="F11" s="382"/>
      <c r="G11" s="382"/>
      <c r="H11" s="382"/>
      <c r="I11" s="382"/>
      <c r="J11" s="253"/>
      <c r="K11" s="382" t="s">
        <v>408</v>
      </c>
      <c r="L11" s="382"/>
      <c r="M11" s="382"/>
      <c r="N11" s="382"/>
      <c r="O11" s="382"/>
      <c r="P11" s="382"/>
      <c r="Q11" s="382"/>
      <c r="R11" s="382"/>
      <c r="S11" s="385"/>
      <c r="T11" s="385"/>
      <c r="U11" s="385"/>
      <c r="V11" s="385"/>
    </row>
    <row r="12" spans="2:22" ht="18" customHeight="1">
      <c r="H12" s="2"/>
      <c r="I12" s="2"/>
      <c r="J12" s="2"/>
      <c r="K12" s="2"/>
      <c r="L12" s="2"/>
      <c r="M12" s="2"/>
      <c r="N12" s="2"/>
      <c r="O12" s="2"/>
      <c r="P12" s="2"/>
      <c r="Q12" s="2"/>
      <c r="R12" s="2"/>
      <c r="S12" s="2"/>
      <c r="T12" s="2"/>
      <c r="U12" s="2"/>
      <c r="V12" s="2"/>
    </row>
    <row r="13" spans="2:22" ht="18" customHeight="1">
      <c r="H13" s="2"/>
      <c r="I13" s="2"/>
      <c r="J13" s="2"/>
      <c r="K13" s="2"/>
      <c r="L13" s="2"/>
      <c r="M13" s="2"/>
      <c r="N13" s="2"/>
      <c r="O13" s="2"/>
      <c r="P13" s="2"/>
      <c r="Q13" s="2"/>
      <c r="R13" s="2"/>
      <c r="S13" s="2"/>
      <c r="T13" s="2"/>
      <c r="U13" s="2"/>
      <c r="V13" s="2"/>
    </row>
    <row r="14" spans="2:22" ht="18" customHeight="1">
      <c r="H14" s="2"/>
      <c r="I14" s="2"/>
      <c r="J14" s="2"/>
      <c r="K14" s="2"/>
      <c r="L14" s="2"/>
      <c r="M14" s="2"/>
      <c r="N14" s="2"/>
      <c r="O14" s="2"/>
      <c r="P14" s="2"/>
      <c r="Q14" s="2"/>
      <c r="R14" s="2"/>
      <c r="S14" s="2"/>
      <c r="T14" s="2"/>
      <c r="U14" s="2"/>
      <c r="V14" s="2"/>
    </row>
    <row r="15" spans="2:22" ht="18" customHeight="1">
      <c r="H15" s="2"/>
      <c r="I15" s="2"/>
      <c r="J15" s="2"/>
      <c r="K15" s="2"/>
      <c r="L15" s="2"/>
      <c r="M15" s="2"/>
      <c r="N15" s="2"/>
      <c r="O15" s="2"/>
      <c r="P15" s="2"/>
      <c r="Q15" s="2"/>
      <c r="R15" s="2"/>
      <c r="S15" s="2"/>
      <c r="T15" s="2"/>
      <c r="U15" s="2"/>
      <c r="V15" s="2"/>
    </row>
    <row r="16" spans="2:22" ht="18" customHeight="1">
      <c r="H16" s="2"/>
      <c r="I16" s="2"/>
      <c r="J16" s="2"/>
      <c r="K16" s="2"/>
      <c r="L16" s="2"/>
      <c r="M16" s="2"/>
      <c r="N16" s="2"/>
      <c r="O16" s="2"/>
      <c r="P16" s="2"/>
      <c r="Q16" s="2"/>
      <c r="R16" s="2"/>
      <c r="S16" s="2"/>
      <c r="T16" s="2"/>
      <c r="U16" s="2"/>
      <c r="V16" s="2"/>
    </row>
    <row r="17" spans="8:22" ht="18" customHeight="1">
      <c r="H17" s="2"/>
      <c r="I17" s="2"/>
      <c r="J17" s="2"/>
      <c r="K17" s="2"/>
      <c r="L17" s="2"/>
      <c r="M17" s="2"/>
      <c r="N17" s="2"/>
      <c r="O17" s="2"/>
      <c r="P17" s="2"/>
      <c r="Q17" s="2"/>
      <c r="R17" s="2"/>
      <c r="S17" s="2"/>
      <c r="T17" s="2"/>
      <c r="U17" s="2"/>
      <c r="V17" s="2"/>
    </row>
    <row r="18" spans="8:22" ht="18" customHeight="1">
      <c r="H18" s="2"/>
      <c r="I18" s="2"/>
      <c r="J18" s="2"/>
      <c r="K18" s="2"/>
      <c r="L18" s="2"/>
      <c r="M18" s="2"/>
      <c r="N18" s="2"/>
      <c r="O18" s="2"/>
      <c r="P18" s="2"/>
      <c r="Q18" s="2"/>
      <c r="R18" s="2"/>
      <c r="S18" s="2"/>
      <c r="T18" s="2"/>
      <c r="U18" s="2"/>
      <c r="V18" s="2"/>
    </row>
    <row r="19" spans="8:22" ht="18" customHeight="1">
      <c r="H19" s="2"/>
      <c r="I19" s="2"/>
      <c r="J19" s="2"/>
      <c r="K19" s="2"/>
      <c r="L19" s="2"/>
      <c r="M19" s="2"/>
      <c r="N19" s="2"/>
      <c r="O19" s="2"/>
      <c r="P19" s="2"/>
      <c r="Q19" s="2"/>
      <c r="R19" s="2"/>
      <c r="S19" s="2"/>
      <c r="T19" s="2"/>
      <c r="U19" s="2"/>
      <c r="V19" s="2"/>
    </row>
    <row r="20" spans="8:22" ht="18" customHeight="1">
      <c r="H20" s="2"/>
      <c r="I20" s="2"/>
      <c r="J20" s="2"/>
      <c r="K20" s="2"/>
      <c r="L20" s="2"/>
      <c r="M20" s="2"/>
      <c r="N20" s="2"/>
      <c r="O20" s="2"/>
      <c r="P20" s="2"/>
      <c r="Q20" s="2"/>
      <c r="R20" s="2"/>
      <c r="S20" s="2"/>
      <c r="T20" s="2"/>
      <c r="U20" s="2"/>
      <c r="V20" s="2"/>
    </row>
    <row r="21" spans="8:22" ht="18" customHeight="1">
      <c r="H21" s="2"/>
      <c r="I21" s="2"/>
      <c r="J21" s="2"/>
      <c r="K21" s="2"/>
      <c r="L21" s="2"/>
      <c r="M21" s="2"/>
      <c r="N21" s="2"/>
      <c r="O21" s="2"/>
      <c r="P21" s="2"/>
      <c r="Q21" s="2"/>
      <c r="R21" s="2"/>
      <c r="S21" s="2"/>
      <c r="T21" s="2"/>
      <c r="U21" s="2"/>
      <c r="V21" s="2"/>
    </row>
    <row r="22" spans="8:22" ht="18" customHeight="1">
      <c r="I22" s="2"/>
      <c r="J22" s="2"/>
      <c r="K22" s="2"/>
      <c r="L22" s="2"/>
      <c r="M22" s="2"/>
      <c r="N22" s="2"/>
      <c r="O22" s="2"/>
      <c r="P22" s="2"/>
      <c r="Q22" s="2"/>
      <c r="R22" s="2"/>
      <c r="S22" s="2"/>
      <c r="T22" s="2"/>
      <c r="U22" s="2"/>
      <c r="V22" s="2"/>
    </row>
    <row r="23" spans="8:22" ht="18" customHeight="1">
      <c r="I23" s="2"/>
      <c r="J23" s="2"/>
      <c r="K23" s="2"/>
      <c r="L23" s="2"/>
      <c r="M23" s="2"/>
      <c r="N23" s="2"/>
      <c r="O23" s="2"/>
      <c r="P23" s="2"/>
      <c r="Q23" s="2"/>
      <c r="R23" s="2"/>
      <c r="S23" s="2"/>
      <c r="T23" s="2"/>
      <c r="U23" s="2"/>
      <c r="V23" s="2"/>
    </row>
    <row r="24" spans="8:22" ht="18" customHeight="1">
      <c r="I24" s="2"/>
      <c r="J24" s="2"/>
      <c r="K24" s="2"/>
      <c r="L24" s="2"/>
      <c r="M24" s="2"/>
      <c r="N24" s="2"/>
      <c r="O24" s="2"/>
      <c r="P24" s="2"/>
      <c r="Q24" s="2"/>
      <c r="R24" s="2"/>
      <c r="S24" s="2"/>
      <c r="T24" s="2"/>
      <c r="U24" s="2"/>
      <c r="V24" s="2"/>
    </row>
    <row r="25" spans="8:22" ht="18" customHeight="1">
      <c r="I25" s="2"/>
      <c r="J25" s="2"/>
      <c r="K25" s="2"/>
      <c r="L25" s="2"/>
      <c r="M25" s="2"/>
      <c r="N25" s="2"/>
      <c r="O25" s="2"/>
      <c r="P25" s="2"/>
      <c r="Q25" s="2"/>
      <c r="R25" s="2"/>
      <c r="S25" s="2"/>
      <c r="T25" s="2"/>
      <c r="U25" s="2"/>
      <c r="V25" s="2"/>
    </row>
    <row r="26" spans="8:22" ht="18" customHeight="1">
      <c r="I26" s="2"/>
      <c r="J26" s="2"/>
      <c r="K26" s="2"/>
      <c r="L26" s="2"/>
      <c r="M26" s="2"/>
      <c r="N26" s="2"/>
      <c r="O26" s="2"/>
      <c r="P26" s="2"/>
      <c r="Q26" s="2"/>
      <c r="R26" s="2"/>
      <c r="S26" s="2"/>
      <c r="T26" s="2"/>
      <c r="U26" s="2"/>
      <c r="V26" s="2"/>
    </row>
    <row r="28" spans="8:22" ht="18" customHeight="1">
      <c r="K28" s="386" t="s">
        <v>449</v>
      </c>
      <c r="L28" s="386"/>
      <c r="M28" s="386"/>
      <c r="N28" s="386"/>
      <c r="O28" s="386"/>
      <c r="P28" s="386"/>
      <c r="Q28" s="386"/>
      <c r="R28" s="386"/>
    </row>
    <row r="29" spans="8:22" ht="18" customHeight="1">
      <c r="K29" s="386"/>
      <c r="L29" s="386"/>
      <c r="M29" s="386"/>
      <c r="N29" s="386"/>
      <c r="O29" s="386"/>
      <c r="P29" s="386"/>
      <c r="Q29" s="386"/>
      <c r="R29" s="386"/>
    </row>
    <row r="33" spans="2:22" ht="18" customHeight="1">
      <c r="B33" s="384" t="s">
        <v>404</v>
      </c>
      <c r="C33" s="384"/>
      <c r="D33" s="384"/>
      <c r="E33" s="384"/>
      <c r="F33" s="384"/>
      <c r="G33" s="384"/>
      <c r="H33" s="384"/>
      <c r="I33" s="384"/>
      <c r="J33" s="253"/>
      <c r="K33" s="243" t="s">
        <v>467</v>
      </c>
      <c r="L33" s="243"/>
      <c r="M33" s="243"/>
      <c r="N33" s="243"/>
      <c r="O33" s="243"/>
      <c r="P33" s="243"/>
      <c r="Q33" s="243"/>
      <c r="R33" s="243"/>
      <c r="S33" s="385"/>
      <c r="T33" s="385"/>
      <c r="U33" s="385"/>
      <c r="V33" s="385"/>
    </row>
    <row r="34" spans="2:22" ht="18" customHeight="1">
      <c r="I34" s="2"/>
      <c r="J34" s="2"/>
      <c r="K34" s="2"/>
      <c r="L34" s="2"/>
      <c r="M34" s="2"/>
      <c r="N34" s="2"/>
      <c r="O34" s="2"/>
      <c r="P34" s="2"/>
      <c r="Q34" s="2"/>
      <c r="R34" s="2"/>
      <c r="S34" s="2"/>
      <c r="T34" s="2"/>
      <c r="U34" s="2"/>
      <c r="V34" s="2"/>
    </row>
    <row r="35" spans="2:22" ht="18" customHeight="1">
      <c r="I35" s="2"/>
      <c r="J35" s="2"/>
      <c r="K35" s="2"/>
      <c r="L35" s="2"/>
      <c r="M35" s="2"/>
      <c r="N35" s="2"/>
      <c r="O35" s="2"/>
      <c r="P35" s="2"/>
      <c r="Q35" s="2"/>
      <c r="R35" s="2"/>
      <c r="S35" s="2"/>
      <c r="T35" s="2"/>
      <c r="U35" s="2"/>
      <c r="V35" s="2"/>
    </row>
    <row r="36" spans="2:22" ht="18" customHeight="1">
      <c r="I36" s="2"/>
      <c r="J36" s="2"/>
      <c r="K36" s="2"/>
      <c r="L36" s="2"/>
      <c r="M36" s="2"/>
      <c r="N36" s="2"/>
      <c r="O36" s="2"/>
      <c r="P36" s="2"/>
      <c r="Q36" s="2"/>
      <c r="R36" s="2"/>
      <c r="S36" s="2"/>
      <c r="T36" s="2"/>
      <c r="U36" s="2"/>
      <c r="V36" s="2"/>
    </row>
    <row r="37" spans="2:22" ht="18" customHeight="1">
      <c r="B37" s="2"/>
      <c r="C37" s="2"/>
      <c r="D37" s="2"/>
      <c r="E37" s="2"/>
      <c r="F37" s="2"/>
      <c r="G37" s="2"/>
      <c r="I37" s="2"/>
      <c r="J37" s="2"/>
      <c r="K37" s="2"/>
      <c r="L37" s="2"/>
      <c r="M37" s="2"/>
      <c r="N37" s="2"/>
      <c r="O37" s="2"/>
      <c r="P37" s="2"/>
      <c r="Q37" s="2"/>
      <c r="R37" s="2"/>
      <c r="S37" s="2"/>
      <c r="T37" s="2"/>
      <c r="U37" s="2"/>
      <c r="V37" s="2"/>
    </row>
    <row r="38" spans="2:22" ht="18" customHeight="1">
      <c r="B38" s="2"/>
      <c r="C38" s="2"/>
      <c r="D38" s="2"/>
      <c r="E38" s="2"/>
      <c r="F38" s="2"/>
      <c r="G38" s="2"/>
      <c r="I38" s="2"/>
      <c r="J38" s="2"/>
      <c r="K38" s="2"/>
      <c r="L38" s="2"/>
      <c r="M38" s="2"/>
      <c r="N38" s="2"/>
      <c r="O38" s="2"/>
      <c r="P38" s="2"/>
      <c r="Q38" s="2"/>
      <c r="R38" s="2"/>
      <c r="S38" s="2"/>
      <c r="T38" s="2"/>
      <c r="U38" s="2"/>
      <c r="V38" s="2"/>
    </row>
    <row r="39" spans="2:22" ht="18" customHeight="1">
      <c r="B39" s="2"/>
      <c r="C39" s="2"/>
      <c r="D39" s="2"/>
      <c r="E39" s="2"/>
      <c r="F39" s="2"/>
      <c r="G39" s="2"/>
      <c r="I39" s="2"/>
      <c r="J39" s="2"/>
      <c r="K39" s="2"/>
      <c r="L39" s="2"/>
      <c r="M39" s="2"/>
      <c r="N39" s="2"/>
      <c r="O39" s="2"/>
      <c r="P39" s="2"/>
      <c r="Q39" s="2"/>
      <c r="R39" s="2"/>
      <c r="S39" s="2"/>
      <c r="T39" s="2"/>
      <c r="U39" s="2"/>
      <c r="V39" s="2"/>
    </row>
    <row r="40" spans="2:22" ht="18" customHeight="1">
      <c r="B40" s="2"/>
      <c r="C40" s="2"/>
      <c r="D40" s="2"/>
      <c r="E40" s="2"/>
      <c r="F40" s="2"/>
      <c r="G40" s="2"/>
      <c r="I40" s="2"/>
      <c r="J40" s="2"/>
      <c r="K40" s="2"/>
      <c r="L40" s="2"/>
      <c r="M40" s="2"/>
      <c r="N40" s="2"/>
      <c r="O40" s="2"/>
      <c r="P40" s="2"/>
      <c r="Q40" s="2"/>
      <c r="R40" s="2"/>
      <c r="S40" s="2"/>
      <c r="T40" s="2"/>
      <c r="U40" s="2"/>
      <c r="V40" s="2"/>
    </row>
    <row r="41" spans="2:22" ht="18" customHeight="1">
      <c r="B41" s="2"/>
      <c r="C41" s="2"/>
      <c r="D41" s="2"/>
      <c r="E41" s="2"/>
      <c r="F41" s="2"/>
      <c r="G41" s="2"/>
      <c r="I41" s="2"/>
      <c r="J41" s="2"/>
      <c r="K41" s="2"/>
      <c r="L41" s="2"/>
      <c r="M41" s="2"/>
      <c r="N41" s="2"/>
      <c r="O41" s="2"/>
      <c r="P41" s="2"/>
      <c r="Q41" s="2"/>
      <c r="R41" s="2"/>
      <c r="S41" s="2"/>
      <c r="T41" s="2"/>
      <c r="U41" s="2"/>
      <c r="V41" s="2"/>
    </row>
    <row r="42" spans="2:22" ht="18" customHeight="1">
      <c r="B42" s="2"/>
      <c r="C42" s="2"/>
      <c r="D42" s="2"/>
      <c r="E42" s="2"/>
      <c r="F42" s="2"/>
      <c r="G42" s="2"/>
      <c r="I42" s="2"/>
      <c r="J42" s="2"/>
      <c r="K42" s="2"/>
      <c r="L42" s="2"/>
      <c r="M42" s="2"/>
      <c r="N42" s="2"/>
      <c r="O42" s="2"/>
      <c r="P42" s="2"/>
      <c r="Q42" s="2"/>
      <c r="R42" s="2"/>
      <c r="S42" s="2"/>
      <c r="T42" s="2"/>
      <c r="U42" s="2"/>
      <c r="V42" s="2"/>
    </row>
    <row r="43" spans="2:22" ht="18" customHeight="1">
      <c r="B43" s="2"/>
      <c r="C43" s="2"/>
      <c r="D43" s="2"/>
      <c r="E43" s="2"/>
      <c r="F43" s="2"/>
      <c r="G43" s="2"/>
      <c r="I43" s="2"/>
      <c r="J43" s="2"/>
      <c r="K43" s="2"/>
      <c r="L43" s="2"/>
      <c r="M43" s="2"/>
      <c r="N43" s="2"/>
      <c r="O43" s="2"/>
      <c r="P43" s="2"/>
      <c r="Q43" s="2"/>
      <c r="R43" s="2"/>
      <c r="S43" s="2"/>
      <c r="T43" s="2"/>
      <c r="U43" s="2"/>
      <c r="V43" s="2"/>
    </row>
    <row r="44" spans="2:22" ht="18" customHeight="1">
      <c r="B44" s="2"/>
      <c r="C44" s="2"/>
      <c r="D44" s="2"/>
      <c r="E44" s="2"/>
      <c r="F44" s="2"/>
      <c r="G44" s="2"/>
      <c r="I44" s="2"/>
      <c r="J44" s="2"/>
      <c r="K44" s="2"/>
      <c r="L44" s="2"/>
      <c r="M44" s="2"/>
      <c r="N44" s="2"/>
      <c r="O44" s="2"/>
      <c r="P44" s="2"/>
      <c r="Q44" s="2"/>
      <c r="R44" s="2"/>
      <c r="S44" s="2"/>
      <c r="T44" s="2"/>
      <c r="U44" s="2"/>
      <c r="V44" s="2"/>
    </row>
    <row r="45" spans="2:22" ht="18" customHeight="1">
      <c r="B45" s="2"/>
      <c r="C45" s="2"/>
      <c r="D45" s="2"/>
      <c r="E45" s="2"/>
      <c r="F45" s="2"/>
      <c r="G45" s="2"/>
      <c r="I45" s="2"/>
      <c r="J45" s="2"/>
      <c r="K45" s="2"/>
      <c r="L45" s="2"/>
      <c r="M45" s="2"/>
      <c r="N45" s="2"/>
      <c r="O45" s="2"/>
      <c r="P45" s="2"/>
      <c r="Q45" s="2"/>
      <c r="R45" s="2"/>
      <c r="S45" s="2"/>
      <c r="T45" s="2"/>
      <c r="U45" s="2"/>
      <c r="V45" s="2"/>
    </row>
    <row r="46" spans="2:22" ht="18" customHeight="1">
      <c r="B46" s="2"/>
      <c r="C46" s="2"/>
      <c r="D46" s="2"/>
      <c r="E46" s="2"/>
      <c r="F46" s="2"/>
      <c r="G46" s="2"/>
      <c r="I46" s="2"/>
      <c r="J46" s="2"/>
      <c r="K46" s="2"/>
      <c r="L46" s="2"/>
      <c r="M46" s="2"/>
      <c r="N46" s="2"/>
      <c r="O46" s="2"/>
      <c r="P46" s="2"/>
      <c r="Q46" s="2"/>
      <c r="R46" s="2"/>
      <c r="S46" s="2"/>
      <c r="T46" s="2"/>
      <c r="U46" s="2"/>
      <c r="V46" s="2"/>
    </row>
    <row r="47" spans="2:22" ht="18" customHeight="1">
      <c r="B47" s="2"/>
      <c r="C47" s="2"/>
      <c r="D47" s="2"/>
      <c r="E47" s="2"/>
      <c r="F47" s="2"/>
      <c r="G47" s="2"/>
      <c r="I47" s="2"/>
      <c r="J47" s="2"/>
      <c r="K47" s="2"/>
      <c r="L47" s="2"/>
      <c r="M47" s="2"/>
      <c r="N47" s="2"/>
      <c r="O47" s="2"/>
      <c r="P47" s="2"/>
      <c r="Q47" s="2"/>
      <c r="R47" s="2"/>
      <c r="S47" s="2"/>
      <c r="T47" s="2"/>
      <c r="U47" s="2"/>
      <c r="V47" s="2"/>
    </row>
    <row r="48" spans="2:22" ht="18" customHeight="1">
      <c r="B48" s="2"/>
      <c r="C48" s="2"/>
      <c r="D48" s="2"/>
      <c r="E48" s="2"/>
      <c r="F48" s="2"/>
      <c r="G48" s="2"/>
      <c r="I48" s="2"/>
      <c r="J48" s="2"/>
      <c r="K48" s="2"/>
      <c r="L48" s="2"/>
      <c r="M48" s="2"/>
      <c r="N48" s="2"/>
      <c r="O48" s="2"/>
      <c r="P48" s="2"/>
      <c r="Q48" s="2"/>
      <c r="R48" s="2"/>
      <c r="S48" s="2"/>
      <c r="T48" s="2"/>
      <c r="U48" s="2"/>
      <c r="V48" s="2"/>
    </row>
    <row r="49" spans="11:18" ht="18" customHeight="1">
      <c r="K49" s="213"/>
    </row>
    <row r="50" spans="11:18" ht="18" customHeight="1">
      <c r="K50" s="381" t="s">
        <v>476</v>
      </c>
      <c r="L50" s="381"/>
      <c r="M50" s="381"/>
      <c r="N50" s="381"/>
      <c r="O50" s="381"/>
      <c r="P50" s="381"/>
      <c r="Q50" s="381"/>
      <c r="R50" s="381"/>
    </row>
    <row r="51" spans="11:18" ht="18" customHeight="1">
      <c r="K51" s="381"/>
      <c r="L51" s="381"/>
      <c r="M51" s="381"/>
      <c r="N51" s="381"/>
      <c r="O51" s="381"/>
      <c r="P51" s="381"/>
      <c r="Q51" s="381"/>
      <c r="R51" s="381"/>
    </row>
  </sheetData>
  <mergeCells count="18">
    <mergeCell ref="K50:R51"/>
    <mergeCell ref="B8:H9"/>
    <mergeCell ref="B3:C3"/>
    <mergeCell ref="O3:P3"/>
    <mergeCell ref="B33:I33"/>
    <mergeCell ref="S33:T33"/>
    <mergeCell ref="U33:V33"/>
    <mergeCell ref="B11:C11"/>
    <mergeCell ref="D11:E11"/>
    <mergeCell ref="S11:T11"/>
    <mergeCell ref="F11:G11"/>
    <mergeCell ref="H11:I11"/>
    <mergeCell ref="K28:R29"/>
    <mergeCell ref="U11:V11"/>
    <mergeCell ref="K11:L11"/>
    <mergeCell ref="M11:N11"/>
    <mergeCell ref="O11:P11"/>
    <mergeCell ref="Q11:R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53"/>
  <sheetViews>
    <sheetView showGridLines="0" workbookViewId="0"/>
  </sheetViews>
  <sheetFormatPr defaultRowHeight="18" customHeight="1"/>
  <cols>
    <col min="1" max="1" width="2.42578125" customWidth="1"/>
    <col min="2" max="2" width="11.85546875" bestFit="1" customWidth="1"/>
    <col min="4" max="4" width="13.85546875" bestFit="1" customWidth="1"/>
    <col min="5" max="5" width="10.7109375" customWidth="1"/>
    <col min="6" max="6" width="12.5703125" style="246" customWidth="1"/>
    <col min="7" max="7" width="15" style="246" bestFit="1" customWidth="1"/>
    <col min="8" max="8" width="13.5703125" style="246" bestFit="1" customWidth="1"/>
    <col min="9" max="9" width="9.140625" style="246"/>
    <col min="10" max="10" width="11.7109375" bestFit="1" customWidth="1"/>
    <col min="12" max="12" width="13.85546875" bestFit="1" customWidth="1"/>
    <col min="13" max="13" width="10.85546875" bestFit="1" customWidth="1"/>
    <col min="14" max="14" width="13.85546875" bestFit="1" customWidth="1"/>
  </cols>
  <sheetData>
    <row r="1" spans="2:17" ht="8.25" customHeight="1"/>
    <row r="3" spans="2:17" s="270" customFormat="1" ht="18" customHeight="1">
      <c r="B3" s="285"/>
      <c r="C3" s="289" t="s">
        <v>415</v>
      </c>
      <c r="D3" s="289" t="s">
        <v>429</v>
      </c>
      <c r="E3" s="289" t="s">
        <v>417</v>
      </c>
      <c r="F3" s="289" t="s">
        <v>102</v>
      </c>
      <c r="G3" s="289" t="s">
        <v>451</v>
      </c>
      <c r="J3" s="295"/>
      <c r="K3" s="289" t="s">
        <v>415</v>
      </c>
      <c r="L3" s="289" t="s">
        <v>429</v>
      </c>
      <c r="M3" s="289" t="s">
        <v>417</v>
      </c>
      <c r="N3" s="289" t="s">
        <v>102</v>
      </c>
    </row>
    <row r="4" spans="2:17" s="270" customFormat="1" ht="18" customHeight="1">
      <c r="B4" s="290" t="s">
        <v>413</v>
      </c>
      <c r="C4" s="291" t="s">
        <v>161</v>
      </c>
      <c r="D4" s="291" t="s">
        <v>420</v>
      </c>
      <c r="E4" s="291" t="s">
        <v>416</v>
      </c>
      <c r="F4" s="291" t="s">
        <v>419</v>
      </c>
      <c r="G4" s="291"/>
      <c r="J4" s="290" t="s">
        <v>397</v>
      </c>
      <c r="K4" s="296">
        <v>3</v>
      </c>
      <c r="L4" s="178">
        <v>1</v>
      </c>
      <c r="M4" s="296">
        <v>4</v>
      </c>
      <c r="N4" s="296">
        <v>1</v>
      </c>
    </row>
    <row r="5" spans="2:17" s="270" customFormat="1" ht="18" customHeight="1">
      <c r="B5" s="290" t="s">
        <v>414</v>
      </c>
      <c r="C5" s="293">
        <f>SUM('Screener Output'!L45:L45)/SUM('Screener Output'!M35:M35)</f>
        <v>0.19188848095456634</v>
      </c>
      <c r="D5" s="291">
        <f>SUM('Screener Output'!L10:L10)/SUM('Screener Output'!L9:L9)</f>
        <v>0.62552916477053278</v>
      </c>
      <c r="E5" s="292">
        <f>SUM('Screener Output'!H62:L62)/SUM('Screener Output'!H35:L35)</f>
        <v>1.02848790508421</v>
      </c>
      <c r="F5" s="294">
        <f>'Screener Output'!L62</f>
        <v>1248.77</v>
      </c>
      <c r="G5" s="294">
        <f>SUM('Screener Output'!H63:L63)</f>
        <v>2638.49</v>
      </c>
      <c r="J5" s="290" t="s">
        <v>414</v>
      </c>
      <c r="K5" s="296">
        <f>IF(C5&lt;=3,3,IF((AND((C5&gt;3),(C5&lt;=5))),2,0))</f>
        <v>3</v>
      </c>
      <c r="L5" s="178">
        <f>IF(Efficiency!D5&gt;1.5,1,IF(AND(Efficiency!D5&gt;1.25,Efficiency!D5&lt;1.5),0.75,IF(AND(Efficiency!D5&gt;1,Efficiency!D5&lt;1.25),0.5,IF(AND(Efficiency!D5&gt;0.9,Efficiency!D5&lt;1),1,0))))</f>
        <v>0</v>
      </c>
      <c r="M5" s="296">
        <f>IF(E5&gt;1,4,IF(AND(E5&gt;0.75,E5&lt;1),2,IF(AND(E5&gt;0.5,E5&lt;0.75),1,IF(AND(E5&gt;0,E5&lt;0.5),1,0))))</f>
        <v>4</v>
      </c>
      <c r="N5" s="296">
        <f>IF(F5&gt;1.5,1,IF(AND(F5&gt;1.25,F5&lt;1.5),0.75,IF(AND(F5&gt;1,F5&lt;1.25),0.5,IF(AND(F5&gt;0.9,F5&lt;1),1,0))))</f>
        <v>1</v>
      </c>
    </row>
    <row r="6" spans="2:17" ht="18" customHeight="1">
      <c r="F6" s="259"/>
      <c r="G6" s="257"/>
      <c r="H6" s="257"/>
      <c r="I6" s="257"/>
      <c r="J6" s="258"/>
      <c r="K6" s="258"/>
      <c r="L6" s="258"/>
    </row>
    <row r="8" spans="2:17" ht="18" customHeight="1">
      <c r="B8" s="384" t="s">
        <v>415</v>
      </c>
      <c r="C8" s="384"/>
      <c r="D8" s="384"/>
      <c r="E8" s="384"/>
      <c r="F8" s="384"/>
      <c r="G8" s="384"/>
      <c r="H8" s="384"/>
      <c r="I8" s="288"/>
      <c r="J8" s="384" t="s">
        <v>435</v>
      </c>
      <c r="K8" s="384"/>
      <c r="L8" s="384"/>
      <c r="M8" s="384"/>
      <c r="N8" s="384"/>
      <c r="O8" s="384"/>
      <c r="P8" s="384"/>
      <c r="Q8" s="384"/>
    </row>
    <row r="21" spans="2:17" ht="8.25" customHeight="1"/>
    <row r="22" spans="2:17" ht="23.25" customHeight="1">
      <c r="B22" s="390" t="s">
        <v>478</v>
      </c>
      <c r="C22" s="390"/>
      <c r="D22" s="390"/>
      <c r="E22" s="390"/>
      <c r="F22" s="390"/>
      <c r="G22" s="390"/>
      <c r="H22" s="390"/>
      <c r="I22" s="390"/>
      <c r="J22" s="390" t="s">
        <v>452</v>
      </c>
      <c r="K22" s="390"/>
      <c r="L22" s="390"/>
      <c r="M22" s="390"/>
      <c r="N22" s="390"/>
      <c r="O22" s="390"/>
      <c r="P22" s="390"/>
      <c r="Q22" s="390"/>
    </row>
    <row r="24" spans="2:17" ht="18" customHeight="1">
      <c r="B24" s="384" t="s">
        <v>411</v>
      </c>
      <c r="C24" s="384"/>
      <c r="D24" s="384"/>
      <c r="E24" s="384"/>
      <c r="F24" s="384"/>
      <c r="G24" s="384"/>
      <c r="H24" s="384"/>
      <c r="J24" s="311" t="s">
        <v>436</v>
      </c>
      <c r="K24" s="311"/>
      <c r="L24" s="311"/>
      <c r="M24" s="311"/>
      <c r="N24" s="311"/>
      <c r="O24" s="311"/>
      <c r="P24" s="311"/>
      <c r="Q24" s="311"/>
    </row>
    <row r="35" spans="2:17" ht="9" customHeight="1"/>
    <row r="36" spans="2:17" ht="18" customHeight="1">
      <c r="J36" s="383" t="s">
        <v>458</v>
      </c>
      <c r="K36" s="383"/>
      <c r="L36" s="383"/>
      <c r="M36" s="383"/>
      <c r="N36" s="383"/>
      <c r="O36" s="383"/>
      <c r="P36" s="383"/>
      <c r="Q36" s="383"/>
    </row>
    <row r="38" spans="2:17" ht="18" customHeight="1">
      <c r="B38" s="384" t="s">
        <v>459</v>
      </c>
      <c r="C38" s="384"/>
      <c r="D38" s="384"/>
      <c r="E38" s="384"/>
      <c r="F38" s="384"/>
      <c r="G38" s="384"/>
      <c r="H38" s="384"/>
      <c r="I38"/>
      <c r="J38" s="384" t="s">
        <v>169</v>
      </c>
      <c r="K38" s="384"/>
      <c r="L38" s="384"/>
      <c r="M38" s="384"/>
      <c r="N38" s="384"/>
      <c r="O38" s="384"/>
      <c r="P38" s="384"/>
      <c r="Q38" s="384"/>
    </row>
    <row r="39" spans="2:17" ht="18" customHeight="1">
      <c r="I39"/>
    </row>
    <row r="40" spans="2:17" ht="18" customHeight="1">
      <c r="I40"/>
    </row>
    <row r="41" spans="2:17" ht="18" customHeight="1">
      <c r="I41"/>
    </row>
    <row r="42" spans="2:17" ht="18" customHeight="1">
      <c r="I42"/>
    </row>
    <row r="43" spans="2:17" ht="18" customHeight="1">
      <c r="I43"/>
    </row>
    <row r="44" spans="2:17" ht="18" customHeight="1">
      <c r="I44"/>
    </row>
    <row r="45" spans="2:17" ht="18" customHeight="1">
      <c r="I45"/>
    </row>
    <row r="46" spans="2:17" ht="18" customHeight="1">
      <c r="I46"/>
    </row>
    <row r="47" spans="2:17" ht="18" customHeight="1">
      <c r="I47"/>
    </row>
    <row r="48" spans="2:17" ht="18" customHeight="1">
      <c r="I48"/>
    </row>
    <row r="49" spans="2:17" ht="18" customHeight="1">
      <c r="I49"/>
    </row>
    <row r="50" spans="2:17" ht="8.25" customHeight="1">
      <c r="I50"/>
    </row>
    <row r="51" spans="2:17" ht="18" customHeight="1">
      <c r="I51"/>
    </row>
    <row r="52" spans="2:17" ht="18" customHeight="1">
      <c r="B52" s="389" t="s">
        <v>490</v>
      </c>
      <c r="C52" s="389"/>
      <c r="D52" s="389"/>
      <c r="E52" s="389"/>
      <c r="F52" s="389"/>
      <c r="G52" s="389"/>
      <c r="H52" s="389"/>
      <c r="I52" s="389"/>
      <c r="J52" s="389" t="s">
        <v>428</v>
      </c>
      <c r="K52" s="389"/>
      <c r="L52" s="389"/>
      <c r="M52" s="389"/>
      <c r="N52" s="389"/>
      <c r="O52" s="389"/>
      <c r="P52" s="389"/>
      <c r="Q52" s="389"/>
    </row>
    <row r="53" spans="2:17" ht="18" customHeight="1">
      <c r="I53"/>
    </row>
  </sheetData>
  <mergeCells count="10">
    <mergeCell ref="B52:I52"/>
    <mergeCell ref="B8:H8"/>
    <mergeCell ref="B24:H24"/>
    <mergeCell ref="J38:Q38"/>
    <mergeCell ref="J36:Q36"/>
    <mergeCell ref="J8:Q8"/>
    <mergeCell ref="J22:Q22"/>
    <mergeCell ref="B38:H38"/>
    <mergeCell ref="J52:Q52"/>
    <mergeCell ref="B22:I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C22"/>
  <sheetViews>
    <sheetView showGridLines="0" workbookViewId="0"/>
  </sheetViews>
  <sheetFormatPr defaultRowHeight="15"/>
  <cols>
    <col min="1" max="1" width="2.28515625" customWidth="1"/>
    <col min="2" max="2" width="16" bestFit="1" customWidth="1"/>
    <col min="3" max="8" width="8.7109375" customWidth="1"/>
    <col min="9" max="9" width="8.42578125" customWidth="1"/>
    <col min="10" max="10" width="18" bestFit="1" customWidth="1"/>
    <col min="11" max="11" width="11.7109375" customWidth="1"/>
    <col min="12" max="12" width="4.28515625" customWidth="1"/>
  </cols>
  <sheetData>
    <row r="1" spans="2:29" ht="9" customHeight="1"/>
    <row r="2" spans="2:29" ht="24">
      <c r="C2" s="283"/>
      <c r="D2" s="96" t="s">
        <v>148</v>
      </c>
      <c r="J2" s="283"/>
      <c r="K2" s="96" t="s">
        <v>148</v>
      </c>
    </row>
    <row r="3" spans="2:29">
      <c r="C3" s="290" t="s">
        <v>410</v>
      </c>
      <c r="D3" s="297" t="s">
        <v>418</v>
      </c>
      <c r="J3" s="290" t="s">
        <v>397</v>
      </c>
      <c r="K3" s="283">
        <v>10</v>
      </c>
    </row>
    <row r="4" spans="2:29">
      <c r="C4" s="290" t="s">
        <v>140</v>
      </c>
      <c r="D4" s="291">
        <f>IF(Valuation_Table!A28=2, G10, SUM('Screener Output'!L35:L35)/SUM('Screener Output'!L60:L60))</f>
        <v>0.29974218153367738</v>
      </c>
      <c r="J4" s="290" t="s">
        <v>398</v>
      </c>
      <c r="K4" s="283">
        <f>IF(Valuation_Table!A28=2, (IF(D4&gt;0.2,10,IF(AND(D4&gt;0.1,D4&lt;0.2),7,IF(AND(D4&gt;0.05,D4&lt;0.1),3,IF(AND(D4&gt;0,D4&lt;0.05),1,0))))), (IF(D4&gt;0.02,10,IF(AND(D4&gt;0.01,D4&lt;0.02),7,IF(AND(D4&gt;0.005,D4&lt;0.01),3,IF(AND(D4&gt;0,D4&lt;0.005),1,0))))))</f>
        <v>10</v>
      </c>
    </row>
    <row r="5" spans="2:29" ht="8.25" customHeight="1"/>
    <row r="6" spans="2:29" ht="18" customHeight="1">
      <c r="B6" s="47"/>
      <c r="C6" s="48" t="s">
        <v>101</v>
      </c>
      <c r="D6" s="48" t="s">
        <v>100</v>
      </c>
      <c r="E6" s="48" t="s">
        <v>99</v>
      </c>
      <c r="F6" s="48" t="s">
        <v>98</v>
      </c>
      <c r="G6" s="48" t="s">
        <v>468</v>
      </c>
      <c r="H6" s="48" t="s">
        <v>469</v>
      </c>
      <c r="J6" s="209"/>
      <c r="K6" s="209" t="s">
        <v>191</v>
      </c>
      <c r="M6" s="382" t="s">
        <v>105</v>
      </c>
      <c r="N6" s="382"/>
      <c r="O6" s="382"/>
      <c r="P6" s="382"/>
      <c r="Q6" s="382"/>
      <c r="R6" s="382"/>
      <c r="S6" s="382"/>
      <c r="T6" s="382"/>
      <c r="V6" s="382"/>
      <c r="W6" s="382"/>
      <c r="X6" s="382"/>
      <c r="Y6" s="382"/>
      <c r="Z6" s="382"/>
      <c r="AA6" s="382"/>
      <c r="AB6" s="382"/>
      <c r="AC6" s="382"/>
    </row>
    <row r="7" spans="2:29">
      <c r="B7" s="49" t="s">
        <v>103</v>
      </c>
      <c r="C7" s="50">
        <f>SUM('Screener Output'!H35:H35)/SUM('Screener Output'!H26:H26)</f>
        <v>5.7248170399163363E-2</v>
      </c>
      <c r="D7" s="50">
        <f>SUM('Screener Output'!I35:I35)/SUM('Screener Output'!I26:I26)</f>
        <v>8.7610486586362168E-2</v>
      </c>
      <c r="E7" s="50">
        <f>SUM('Screener Output'!J35:J35)/SUM('Screener Output'!J26:J26)</f>
        <v>9.8170468118653362E-2</v>
      </c>
      <c r="F7" s="50">
        <f>SUM('Screener Output'!K35:K35)/SUM('Screener Output'!K26:K26)</f>
        <v>9.7671880884771398E-2</v>
      </c>
      <c r="G7" s="50">
        <f>SUM('Screener Output'!L35:L35)/SUM('Screener Output'!L26:L26)</f>
        <v>0.10128515360616663</v>
      </c>
      <c r="H7" s="50">
        <f>'Screener Output'!M35/'Screener Output'!M26</f>
        <v>0.10260032253887533</v>
      </c>
      <c r="J7" s="210" t="s">
        <v>345</v>
      </c>
      <c r="K7" s="211">
        <f>POWER('Screener Output'!M35/'Screener Output'!G35,1/5)-1</f>
        <v>0.32112868386052984</v>
      </c>
      <c r="M7" s="2"/>
      <c r="N7" s="2"/>
      <c r="V7" s="239"/>
      <c r="W7" s="239"/>
    </row>
    <row r="8" spans="2:29">
      <c r="B8" s="49" t="s">
        <v>62</v>
      </c>
      <c r="C8" s="51">
        <f>'Screener Output'!H25/'Screener Output'!H60</f>
        <v>3.2428281319296932</v>
      </c>
      <c r="D8" s="51">
        <f>'Screener Output'!I25/'Screener Output'!I60</f>
        <v>2.8783408076525667</v>
      </c>
      <c r="E8" s="51">
        <f>'Screener Output'!J25/'Screener Output'!J60</f>
        <v>2.4137307886224457</v>
      </c>
      <c r="F8" s="51">
        <f>'Screener Output'!K25/'Screener Output'!K60</f>
        <v>2.214258909111904</v>
      </c>
      <c r="G8" s="51">
        <f>'Screener Output'!L25/'Screener Output'!L60</f>
        <v>1.9227531009962482</v>
      </c>
      <c r="H8" s="51">
        <f>'Screener Output'!M26/'Screener Output'!L60</f>
        <v>1.9444519681765209</v>
      </c>
      <c r="J8" s="210" t="s">
        <v>186</v>
      </c>
      <c r="K8" s="211">
        <f>POWER('Screener Output'!M26/'Screener Output'!G26,1/5)-1</f>
        <v>0.10508643992240807</v>
      </c>
      <c r="M8" s="2"/>
      <c r="N8" s="2"/>
      <c r="V8" s="239"/>
      <c r="W8" s="239"/>
    </row>
    <row r="9" spans="2:29">
      <c r="B9" s="49" t="s">
        <v>104</v>
      </c>
      <c r="C9" s="51">
        <f>'Screener Output'!H60/SUM('Screener Output'!H40:H41)</f>
        <v>2.6839032213604641</v>
      </c>
      <c r="D9" s="51">
        <f>'Screener Output'!I60/SUM('Screener Output'!I40:I41)</f>
        <v>2.2618965392615915</v>
      </c>
      <c r="E9" s="51">
        <f>'Screener Output'!J60/SUM('Screener Output'!J40:J41)</f>
        <v>1.6878585634513885</v>
      </c>
      <c r="F9" s="51">
        <f>'Screener Output'!K60/SUM('Screener Output'!K40:K41)</f>
        <v>1.5416663576149114</v>
      </c>
      <c r="G9" s="51">
        <f>'Screener Output'!L60/SUM('Screener Output'!L40:L41)</f>
        <v>1.5391415142254046</v>
      </c>
      <c r="H9" s="51"/>
      <c r="J9" s="210" t="s">
        <v>315</v>
      </c>
      <c r="K9" s="211">
        <f>POWER('Screener Output'!L60/'Screener Output'!G60,1/5)-1</f>
        <v>0.22371216507868197</v>
      </c>
      <c r="M9" s="2"/>
      <c r="N9" s="2"/>
      <c r="V9" s="239"/>
      <c r="W9" s="239"/>
    </row>
    <row r="10" spans="2:29">
      <c r="B10" s="52" t="s">
        <v>42</v>
      </c>
      <c r="C10" s="325">
        <f t="shared" ref="C10" si="0">C7*C8*C9</f>
        <v>0.49825583696947595</v>
      </c>
      <c r="D10" s="325">
        <f>D7*D8*D9</f>
        <v>0.57038887119614146</v>
      </c>
      <c r="E10" s="325">
        <f>E7*E8*E9</f>
        <v>0.39995003906455778</v>
      </c>
      <c r="F10" s="325">
        <f>F7*F8*F9</f>
        <v>0.33341746647346981</v>
      </c>
      <c r="G10" s="325">
        <f>G7*G8*G9</f>
        <v>0.29974218153367738</v>
      </c>
      <c r="H10" s="53">
        <f>H7*H8*G9</f>
        <v>0.30706088549510746</v>
      </c>
      <c r="J10" s="210" t="s">
        <v>316</v>
      </c>
      <c r="K10" s="211">
        <f>POWER(SUM('Screener Output'!L40:L41)/SUM('Screener Output'!G40:G41),1/5)-1</f>
        <v>0.4371611652066385</v>
      </c>
      <c r="M10" s="2"/>
      <c r="N10" s="2"/>
      <c r="V10" s="239"/>
      <c r="W10" s="239"/>
    </row>
    <row r="11" spans="2:29">
      <c r="B11" s="52" t="s">
        <v>532</v>
      </c>
      <c r="C11" s="325">
        <f>'Screener Output'!H93</f>
        <v>0.60937681327608273</v>
      </c>
      <c r="D11" s="325">
        <f>'Screener Output'!I93</f>
        <v>0.68584643715202376</v>
      </c>
      <c r="E11" s="325">
        <f>'Screener Output'!J93</f>
        <v>0.55127253422592915</v>
      </c>
      <c r="F11" s="325">
        <f>'Screener Output'!K93</f>
        <v>0.46418265992669222</v>
      </c>
      <c r="G11" s="325">
        <f>'Screener Output'!L93</f>
        <v>0.42306060832896664</v>
      </c>
      <c r="H11" s="53">
        <f>'Screener Output'!M93</f>
        <v>0.44103988710620939</v>
      </c>
      <c r="M11" s="2"/>
      <c r="N11" s="2"/>
      <c r="V11" s="239"/>
      <c r="W11" s="239"/>
    </row>
    <row r="12" spans="2:29" ht="33.75" customHeight="1">
      <c r="B12" s="391" t="s">
        <v>106</v>
      </c>
      <c r="C12" s="391"/>
      <c r="D12" s="391"/>
      <c r="E12" s="391"/>
      <c r="F12" s="391"/>
      <c r="G12" s="391"/>
      <c r="H12" s="315"/>
      <c r="M12" s="2"/>
      <c r="N12" s="2"/>
      <c r="V12" s="239"/>
      <c r="W12" s="239"/>
    </row>
    <row r="13" spans="2:29">
      <c r="B13" s="46"/>
      <c r="M13" s="2"/>
      <c r="N13" s="2"/>
      <c r="V13" s="239"/>
      <c r="W13" s="239"/>
    </row>
    <row r="14" spans="2:29">
      <c r="B14" s="46" t="s">
        <v>109</v>
      </c>
      <c r="M14" s="2"/>
      <c r="N14" s="2"/>
      <c r="V14" s="239"/>
      <c r="W14" s="239"/>
    </row>
    <row r="15" spans="2:29">
      <c r="B15" s="46" t="s">
        <v>108</v>
      </c>
      <c r="M15" s="2"/>
      <c r="N15" s="2"/>
      <c r="V15" s="239"/>
      <c r="W15" s="239"/>
    </row>
    <row r="16" spans="2:29">
      <c r="B16" s="46" t="s">
        <v>107</v>
      </c>
      <c r="M16" s="2"/>
      <c r="N16" s="2"/>
      <c r="V16" s="239"/>
      <c r="W16" s="239"/>
    </row>
    <row r="17" spans="2:23">
      <c r="M17" s="2"/>
      <c r="N17" s="2"/>
      <c r="V17" s="239"/>
      <c r="W17" s="239"/>
    </row>
    <row r="18" spans="2:23">
      <c r="M18" s="2"/>
      <c r="N18" s="2"/>
      <c r="V18" s="239"/>
      <c r="W18" s="239"/>
    </row>
    <row r="19" spans="2:23">
      <c r="F19" s="398" t="s">
        <v>128</v>
      </c>
      <c r="G19" s="392">
        <f>'Screener Output'!L35-'Screener Output'!H35</f>
        <v>608.3999999999993</v>
      </c>
      <c r="H19" s="316"/>
      <c r="J19" s="396">
        <f>G19/G21</f>
        <v>0.23327326406196056</v>
      </c>
      <c r="M19" s="2"/>
      <c r="N19" s="2"/>
      <c r="V19" s="239"/>
      <c r="W19" s="239"/>
    </row>
    <row r="20" spans="2:23" ht="15.75" thickBot="1">
      <c r="B20" s="76"/>
      <c r="F20" s="399"/>
      <c r="G20" s="392"/>
      <c r="H20" s="316"/>
      <c r="I20" s="395" t="s">
        <v>127</v>
      </c>
      <c r="J20" s="397"/>
      <c r="M20" s="2"/>
      <c r="N20" s="2"/>
      <c r="V20" s="239"/>
      <c r="W20" s="239"/>
    </row>
    <row r="21" spans="2:23" ht="15.75" thickTop="1">
      <c r="F21" s="400" t="s">
        <v>129</v>
      </c>
      <c r="G21" s="393">
        <f>'Screener Output'!L41-'Screener Output'!H41</f>
        <v>2608.1</v>
      </c>
      <c r="H21" s="317"/>
      <c r="I21" s="395"/>
      <c r="M21" s="2"/>
      <c r="N21" s="2"/>
      <c r="V21" s="239"/>
      <c r="W21" s="239"/>
    </row>
    <row r="22" spans="2:23">
      <c r="F22" s="400"/>
      <c r="G22" s="394"/>
      <c r="H22" s="317"/>
    </row>
  </sheetData>
  <mergeCells count="9">
    <mergeCell ref="B12:G12"/>
    <mergeCell ref="M6:T6"/>
    <mergeCell ref="V6:AC6"/>
    <mergeCell ref="G19:G20"/>
    <mergeCell ref="G21:G22"/>
    <mergeCell ref="I20:I21"/>
    <mergeCell ref="J19:J20"/>
    <mergeCell ref="F19:F20"/>
    <mergeCell ref="F21:F22"/>
  </mergeCells>
  <pageMargins left="0.7" right="0.7" top="0.75" bottom="0.75" header="0.3" footer="0.3"/>
  <pageSetup scale="7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R64"/>
  <sheetViews>
    <sheetView showGridLines="0" workbookViewId="0"/>
  </sheetViews>
  <sheetFormatPr defaultRowHeight="18" customHeight="1"/>
  <cols>
    <col min="4" max="4" width="12.7109375" customWidth="1"/>
    <col min="5" max="5" width="19.7109375" bestFit="1" customWidth="1"/>
    <col min="6" max="6" width="17.28515625" bestFit="1" customWidth="1"/>
    <col min="11" max="11" width="13.140625" customWidth="1"/>
    <col min="12" max="12" width="19.7109375" bestFit="1" customWidth="1"/>
    <col min="13" max="13" width="17.28515625" bestFit="1" customWidth="1"/>
  </cols>
  <sheetData>
    <row r="2" spans="2:18" s="262" customFormat="1" ht="18" customHeight="1">
      <c r="D2" s="298"/>
      <c r="E2" s="289" t="s">
        <v>151</v>
      </c>
      <c r="F2" s="289" t="s">
        <v>159</v>
      </c>
      <c r="H2" s="263"/>
      <c r="I2" s="263"/>
      <c r="J2" s="263"/>
      <c r="K2" s="301"/>
      <c r="L2" s="289" t="s">
        <v>151</v>
      </c>
      <c r="M2" s="289" t="s">
        <v>159</v>
      </c>
      <c r="O2" s="263"/>
      <c r="P2" s="263"/>
      <c r="Q2" s="263"/>
      <c r="R2" s="263"/>
    </row>
    <row r="3" spans="2:18" s="262" customFormat="1" ht="18" customHeight="1">
      <c r="D3" s="260" t="s">
        <v>413</v>
      </c>
      <c r="E3" s="299">
        <v>0</v>
      </c>
      <c r="F3" s="298" t="s">
        <v>312</v>
      </c>
      <c r="H3" s="263"/>
      <c r="I3" s="263"/>
      <c r="J3" s="263"/>
      <c r="K3" s="261" t="s">
        <v>397</v>
      </c>
      <c r="L3" s="298">
        <v>6</v>
      </c>
      <c r="M3" s="298">
        <v>3</v>
      </c>
      <c r="O3" s="263"/>
      <c r="P3" s="263"/>
      <c r="Q3" s="263"/>
      <c r="R3" s="263"/>
    </row>
    <row r="4" spans="2:18" s="262" customFormat="1" ht="18" customHeight="1">
      <c r="D4" s="260" t="s">
        <v>414</v>
      </c>
      <c r="E4" s="299">
        <f>'Shareholding input'!C7</f>
        <v>0</v>
      </c>
      <c r="F4" s="300">
        <f>SUM('Shareholding input'!C6:C7)-SUM('Shareholding input'!H6:H7)</f>
        <v>0</v>
      </c>
      <c r="H4" s="263"/>
      <c r="I4" s="263"/>
      <c r="J4" s="263"/>
      <c r="K4" s="261" t="s">
        <v>414</v>
      </c>
      <c r="L4" s="298">
        <f>IF(E4&gt;0,0,6)</f>
        <v>6</v>
      </c>
      <c r="M4" s="298">
        <f>IF(F4&gt;-0.03,3,IF(F4=0,2,0))</f>
        <v>3</v>
      </c>
      <c r="O4" s="263"/>
      <c r="P4" s="263"/>
      <c r="Q4" s="263"/>
      <c r="R4" s="263"/>
    </row>
    <row r="5" spans="2:18" ht="18" customHeight="1">
      <c r="D5" s="256"/>
      <c r="E5" s="256"/>
      <c r="F5" s="256"/>
      <c r="G5" s="256"/>
      <c r="H5" s="256"/>
      <c r="I5" s="256"/>
      <c r="J5" s="256"/>
      <c r="K5" s="256"/>
      <c r="L5" s="256"/>
      <c r="M5" s="256"/>
      <c r="N5" s="256"/>
      <c r="O5" s="256"/>
      <c r="P5" s="256"/>
      <c r="Q5" s="256"/>
      <c r="R5" s="256"/>
    </row>
    <row r="6" spans="2:18" ht="18" customHeight="1">
      <c r="B6" s="402" t="s">
        <v>438</v>
      </c>
      <c r="C6" s="403"/>
      <c r="D6" s="403"/>
      <c r="E6" s="403"/>
      <c r="F6" s="403"/>
      <c r="G6" s="403"/>
      <c r="I6" s="402" t="s">
        <v>466</v>
      </c>
      <c r="J6" s="402"/>
      <c r="K6" s="402"/>
      <c r="L6" s="402"/>
      <c r="M6" s="402"/>
      <c r="N6" s="402"/>
    </row>
    <row r="7" spans="2:18" ht="18" customHeight="1">
      <c r="B7" s="2"/>
      <c r="C7" s="2"/>
      <c r="D7" s="2"/>
      <c r="E7" s="2"/>
      <c r="F7" s="2"/>
      <c r="G7" s="2"/>
      <c r="H7" s="2"/>
    </row>
    <row r="8" spans="2:18" ht="18" customHeight="1">
      <c r="B8" s="2"/>
      <c r="C8" s="2"/>
      <c r="D8" s="2"/>
      <c r="E8" s="2"/>
      <c r="F8" s="2"/>
      <c r="G8" s="2"/>
      <c r="H8" s="2"/>
    </row>
    <row r="9" spans="2:18" ht="18" customHeight="1">
      <c r="B9" s="2"/>
      <c r="C9" s="2"/>
      <c r="D9" s="2"/>
      <c r="E9" s="2"/>
      <c r="F9" s="2"/>
      <c r="G9" s="2"/>
      <c r="H9" s="2"/>
    </row>
    <row r="10" spans="2:18" ht="18" customHeight="1">
      <c r="B10" s="2"/>
      <c r="C10" s="2"/>
      <c r="D10" s="2"/>
      <c r="E10" s="2"/>
      <c r="F10" s="2"/>
      <c r="G10" s="2"/>
      <c r="H10" s="2"/>
    </row>
    <row r="11" spans="2:18" ht="18" customHeight="1">
      <c r="B11" s="2"/>
      <c r="C11" s="2"/>
      <c r="D11" s="2"/>
      <c r="E11" s="2"/>
      <c r="F11" s="2"/>
      <c r="G11" s="2"/>
      <c r="H11" s="2"/>
    </row>
    <row r="12" spans="2:18" ht="18" customHeight="1">
      <c r="B12" s="2"/>
      <c r="C12" s="2"/>
      <c r="D12" s="2"/>
      <c r="E12" s="2"/>
      <c r="F12" s="2"/>
      <c r="G12" s="2"/>
      <c r="H12" s="2"/>
    </row>
    <row r="13" spans="2:18" ht="18" customHeight="1">
      <c r="B13" s="2"/>
      <c r="C13" s="2"/>
      <c r="D13" s="2"/>
      <c r="E13" s="2"/>
      <c r="F13" s="2"/>
      <c r="G13" s="2"/>
      <c r="H13" s="2"/>
    </row>
    <row r="14" spans="2:18" ht="18" customHeight="1">
      <c r="B14" s="2"/>
      <c r="C14" s="2"/>
      <c r="D14" s="2"/>
      <c r="E14" s="2"/>
      <c r="F14" s="2"/>
      <c r="G14" s="2"/>
      <c r="H14" s="2"/>
    </row>
    <row r="15" spans="2:18" ht="18" customHeight="1">
      <c r="B15" s="2"/>
      <c r="C15" s="2"/>
      <c r="D15" s="2"/>
      <c r="E15" s="2"/>
      <c r="F15" s="2"/>
      <c r="G15" s="2"/>
      <c r="H15" s="2"/>
    </row>
    <row r="16" spans="2:18" ht="18" customHeight="1">
      <c r="B16" s="2"/>
      <c r="C16" s="2"/>
      <c r="D16" s="2"/>
      <c r="E16" s="2"/>
      <c r="F16" s="2"/>
      <c r="G16" s="2"/>
      <c r="H16" s="2"/>
    </row>
    <row r="17" spans="2:14" ht="18" customHeight="1">
      <c r="B17" s="2"/>
      <c r="C17" s="2"/>
      <c r="D17" s="2"/>
      <c r="E17" s="2"/>
      <c r="F17" s="2"/>
      <c r="G17" s="2"/>
      <c r="H17" s="2"/>
    </row>
    <row r="18" spans="2:14" ht="18" customHeight="1">
      <c r="B18" s="2"/>
      <c r="C18" s="2"/>
      <c r="D18" s="2"/>
      <c r="E18" s="2"/>
      <c r="F18" s="2"/>
      <c r="G18" s="2"/>
      <c r="H18" s="2"/>
    </row>
    <row r="19" spans="2:14" ht="28.5" customHeight="1">
      <c r="B19" s="401" t="s">
        <v>425</v>
      </c>
      <c r="C19" s="401"/>
      <c r="D19" s="401"/>
      <c r="E19" s="401"/>
      <c r="F19" s="401"/>
      <c r="G19" s="401"/>
      <c r="H19" s="2"/>
    </row>
    <row r="20" spans="2:14" ht="18" customHeight="1">
      <c r="B20" s="2"/>
      <c r="C20" s="2"/>
      <c r="D20" s="2"/>
      <c r="E20" s="2"/>
      <c r="F20" s="2"/>
      <c r="G20" s="2"/>
      <c r="H20" s="2"/>
      <c r="I20" s="2"/>
      <c r="J20" s="2"/>
      <c r="K20" s="2"/>
      <c r="L20" s="2"/>
    </row>
    <row r="21" spans="2:14" ht="18" customHeight="1">
      <c r="B21" s="384" t="s">
        <v>456</v>
      </c>
      <c r="C21" s="384"/>
      <c r="D21" s="382"/>
      <c r="E21" s="382"/>
      <c r="F21" s="243"/>
      <c r="G21" s="288"/>
      <c r="I21" s="384" t="s">
        <v>455</v>
      </c>
      <c r="J21" s="384"/>
      <c r="K21" s="382"/>
      <c r="L21" s="382"/>
      <c r="M21" s="382"/>
      <c r="N21" s="382"/>
    </row>
    <row r="34" spans="2:8" ht="5.25" customHeight="1"/>
    <row r="35" spans="2:8" ht="33.75" customHeight="1">
      <c r="H35" s="302"/>
    </row>
    <row r="36" spans="2:8" ht="18" customHeight="1">
      <c r="B36" s="384" t="s">
        <v>441</v>
      </c>
      <c r="C36" s="384"/>
      <c r="D36" s="382"/>
      <c r="E36" s="382"/>
      <c r="F36" s="382"/>
      <c r="G36" s="382"/>
    </row>
    <row r="37" spans="2:8" ht="18" customHeight="1">
      <c r="B37" s="2"/>
      <c r="C37" s="2"/>
      <c r="D37" s="2"/>
      <c r="E37" s="2"/>
    </row>
    <row r="38" spans="2:8" ht="18" customHeight="1">
      <c r="B38" s="2"/>
      <c r="C38" s="2"/>
      <c r="D38" s="2"/>
      <c r="E38" s="2"/>
    </row>
    <row r="39" spans="2:8" ht="18" customHeight="1">
      <c r="B39" s="2"/>
      <c r="C39" s="2"/>
      <c r="D39" s="2"/>
      <c r="E39" s="2"/>
    </row>
    <row r="40" spans="2:8" ht="18" customHeight="1">
      <c r="B40" s="2"/>
      <c r="C40" s="2"/>
      <c r="D40" s="2"/>
      <c r="E40" s="2"/>
    </row>
    <row r="41" spans="2:8" ht="18" customHeight="1">
      <c r="B41" s="2"/>
      <c r="C41" s="2"/>
      <c r="D41" s="2"/>
      <c r="E41" s="2"/>
    </row>
    <row r="42" spans="2:8" ht="18" customHeight="1">
      <c r="B42" s="2"/>
      <c r="C42" s="2"/>
      <c r="D42" s="2"/>
      <c r="E42" s="2"/>
    </row>
    <row r="43" spans="2:8" ht="18" customHeight="1">
      <c r="B43" s="2"/>
      <c r="C43" s="2"/>
      <c r="D43" s="2"/>
      <c r="E43" s="2"/>
    </row>
    <row r="44" spans="2:8" ht="18" customHeight="1">
      <c r="B44" s="2"/>
      <c r="C44" s="2"/>
      <c r="D44" s="2"/>
      <c r="E44" s="2"/>
    </row>
    <row r="45" spans="2:8" ht="18" customHeight="1">
      <c r="B45" s="2"/>
      <c r="C45" s="2"/>
      <c r="D45" s="2"/>
      <c r="E45" s="2"/>
    </row>
    <row r="46" spans="2:8" ht="18" customHeight="1">
      <c r="B46" s="2"/>
      <c r="C46" s="2"/>
      <c r="D46" s="2"/>
      <c r="E46" s="2"/>
    </row>
    <row r="47" spans="2:8" ht="18" customHeight="1">
      <c r="B47" s="2"/>
      <c r="C47" s="2"/>
      <c r="D47" s="2"/>
      <c r="E47" s="2"/>
    </row>
    <row r="48" spans="2:8" ht="18" customHeight="1">
      <c r="B48" s="2"/>
      <c r="C48" s="2"/>
      <c r="D48" s="2"/>
      <c r="E48" s="2"/>
    </row>
    <row r="51" spans="2:7" ht="18" customHeight="1">
      <c r="B51" s="243" t="s">
        <v>437</v>
      </c>
      <c r="C51" s="243"/>
      <c r="D51" s="243"/>
      <c r="E51" s="243"/>
      <c r="F51" s="243"/>
    </row>
    <row r="64" spans="2:7" ht="28.5" customHeight="1">
      <c r="B64" s="401" t="s">
        <v>424</v>
      </c>
      <c r="C64" s="401"/>
      <c r="D64" s="401"/>
      <c r="E64" s="401"/>
      <c r="F64" s="401"/>
      <c r="G64" s="401"/>
    </row>
  </sheetData>
  <mergeCells count="12">
    <mergeCell ref="M21:N21"/>
    <mergeCell ref="B21:C21"/>
    <mergeCell ref="D21:E21"/>
    <mergeCell ref="I6:N6"/>
    <mergeCell ref="B36:C36"/>
    <mergeCell ref="D36:E36"/>
    <mergeCell ref="F36:G36"/>
    <mergeCell ref="B64:G64"/>
    <mergeCell ref="B19:G19"/>
    <mergeCell ref="B6:G6"/>
    <mergeCell ref="I21:J21"/>
    <mergeCell ref="K21:L21"/>
  </mergeCells>
  <pageMargins left="0.7" right="0.7" top="0.75" bottom="0.75" header="0.3" footer="0.3"/>
  <ignoredErrors>
    <ignoredError sqref="F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Valuation_Chart</vt:lpstr>
      <vt:lpstr>Valuation_Table</vt:lpstr>
      <vt:lpstr>|</vt:lpstr>
      <vt:lpstr>Scorecard</vt:lpstr>
      <vt:lpstr>Revenue</vt:lpstr>
      <vt:lpstr>Profit</vt:lpstr>
      <vt:lpstr>Efficiency</vt:lpstr>
      <vt:lpstr>Dupont</vt:lpstr>
      <vt:lpstr>Others</vt:lpstr>
      <vt:lpstr>Piotroski</vt:lpstr>
      <vt:lpstr>Altman</vt:lpstr>
      <vt:lpstr>||</vt:lpstr>
      <vt:lpstr>Analysis</vt:lpstr>
      <vt:lpstr>MICAP</vt:lpstr>
      <vt:lpstr>Screener Output</vt:lpstr>
      <vt:lpstr>|||</vt:lpstr>
      <vt:lpstr>Screener Input</vt:lpstr>
      <vt:lpstr>Shareholding input</vt:lpstr>
      <vt:lpstr>Phil Fisher</vt:lpstr>
      <vt:lpstr>dividend</vt:lpstr>
      <vt:lpstr>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HP</cp:lastModifiedBy>
  <cp:lastPrinted>2015-03-07T00:34:42Z</cp:lastPrinted>
  <dcterms:created xsi:type="dcterms:W3CDTF">2014-03-30T00:53:10Z</dcterms:created>
  <dcterms:modified xsi:type="dcterms:W3CDTF">2018-10-01T15:55:27Z</dcterms:modified>
</cp:coreProperties>
</file>