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6815" windowHeight="7530" tabRatio="827"/>
  </bookViews>
  <sheets>
    <sheet name="Projections" sheetId="21" r:id="rId1"/>
    <sheet name="Profit &amp; Loss" sheetId="1" state="hidden" r:id="rId2"/>
    <sheet name="Quarters" sheetId="3" state="hidden" r:id="rId3"/>
    <sheet name="Balance Sheet" sheetId="2" state="hidden" r:id="rId4"/>
    <sheet name="Cash Flow" sheetId="4" state="hidden" r:id="rId5"/>
    <sheet name="Customization" sheetId="5" state="hidden" r:id="rId6"/>
    <sheet name="Investment_Ratio" sheetId="19" state="hidden" r:id="rId7"/>
    <sheet name="Asset_Ratio" sheetId="18" state="hidden" r:id="rId8"/>
    <sheet name="Financial Analysis" sheetId="8" state="hidden" r:id="rId9"/>
    <sheet name="Data Sheet" sheetId="6" r:id="rId10"/>
    <sheet name="Format1" sheetId="20" state="hidden" r:id="rId11"/>
    <sheet name="Other_input_data" sheetId="7" state="hidden" r:id="rId12"/>
    <sheet name="Trend" sheetId="12" state="hidden" r:id="rId13"/>
    <sheet name="Model_Input2" sheetId="16" state="hidden" r:id="rId14"/>
    <sheet name="Comparative1" sheetId="14" state="hidden" r:id="rId15"/>
    <sheet name="Comparative" sheetId="13" state="hidden" r:id="rId16"/>
    <sheet name="Analysis2" sheetId="9" state="hidden" r:id="rId17"/>
    <sheet name="Valuation" sheetId="10" state="hidden" r:id="rId18"/>
    <sheet name="PE Forecast" sheetId="11" state="hidden" r:id="rId19"/>
  </sheets>
  <externalReferences>
    <externalReference r:id="rId2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6">'[1]Data Sheet'!$E$1</definedName>
    <definedName name="UPDATE" localSheetId="8">'[1]Data Sheet'!$E$1</definedName>
    <definedName name="UPDATE" localSheetId="11">'[1]Data Sheet'!$E$1</definedName>
    <definedName name="UPDATE" localSheetId="17">'[1]Data Sheet'!$E$1</definedName>
    <definedName name="UPDATE">'Data Sheet'!$E$1</definedName>
  </definedNames>
  <calcPr calcId="125725"/>
</workbook>
</file>

<file path=xl/calcChain.xml><?xml version="1.0" encoding="utf-8"?>
<calcChain xmlns="http://schemas.openxmlformats.org/spreadsheetml/2006/main">
  <c r="L38" i="21"/>
  <c r="I25" l="1"/>
  <c r="K19"/>
  <c r="I19"/>
  <c r="H19"/>
  <c r="G19"/>
  <c r="F19"/>
  <c r="G32"/>
  <c r="G34" s="1"/>
  <c r="G36" s="1"/>
  <c r="H32"/>
  <c r="H34" s="1"/>
  <c r="H36" s="1"/>
  <c r="F32"/>
  <c r="J18"/>
  <c r="K18"/>
  <c r="F18"/>
  <c r="G18"/>
  <c r="H18"/>
  <c r="I18"/>
  <c r="J25" s="1"/>
  <c r="J24" s="1"/>
  <c r="H42"/>
  <c r="J42" s="1"/>
  <c r="G42"/>
  <c r="G41"/>
  <c r="H41"/>
  <c r="I41" s="1"/>
  <c r="F41"/>
  <c r="G40"/>
  <c r="H40"/>
  <c r="I40" s="1"/>
  <c r="F40"/>
  <c r="F39"/>
  <c r="J15"/>
  <c r="G14"/>
  <c r="G39" s="1"/>
  <c r="E18"/>
  <c r="K25" l="1"/>
  <c r="K24" s="1"/>
  <c r="J40"/>
  <c r="K40"/>
  <c r="H14"/>
  <c r="I14" s="1"/>
  <c r="J14" s="1"/>
  <c r="K14" s="1"/>
  <c r="K41"/>
  <c r="I42"/>
  <c r="K42"/>
  <c r="J41"/>
  <c r="J30" s="1"/>
  <c r="H39"/>
  <c r="H22"/>
  <c r="K30" l="1"/>
  <c r="I22"/>
  <c r="J22"/>
  <c r="J23" s="1"/>
  <c r="K22"/>
  <c r="K23" s="1"/>
  <c r="M35" i="7"/>
  <c r="L11" i="12"/>
  <c r="L6"/>
  <c r="L5"/>
  <c r="L4"/>
  <c r="L2"/>
  <c r="L21" l="1"/>
  <c r="K29" i="21"/>
  <c r="K26"/>
  <c r="K31" s="1"/>
  <c r="J26"/>
  <c r="J31" s="1"/>
  <c r="J29"/>
  <c r="D5" i="20"/>
  <c r="C5"/>
  <c r="J32" i="21" l="1"/>
  <c r="J33" s="1"/>
  <c r="J34" s="1"/>
  <c r="K32"/>
  <c r="A3" i="20"/>
  <c r="A5" s="1"/>
  <c r="MA2"/>
  <c r="MA4" s="1"/>
  <c r="MB2"/>
  <c r="MB4" s="1"/>
  <c r="MC2"/>
  <c r="MC4" s="1"/>
  <c r="MD2"/>
  <c r="MD4" s="1"/>
  <c r="ME2"/>
  <c r="ME4" s="1"/>
  <c r="MF2"/>
  <c r="MF4" s="1"/>
  <c r="MG2"/>
  <c r="MG4" s="1"/>
  <c r="MH2"/>
  <c r="MH4" s="1"/>
  <c r="MI2"/>
  <c r="MI4" s="1"/>
  <c r="MJ2"/>
  <c r="MJ4" s="1"/>
  <c r="MK2"/>
  <c r="MK4" s="1"/>
  <c r="ML2"/>
  <c r="ML4" s="1"/>
  <c r="MM2"/>
  <c r="MM4" s="1"/>
  <c r="MN2"/>
  <c r="MN4" s="1"/>
  <c r="MO2"/>
  <c r="MO4" s="1"/>
  <c r="MP2"/>
  <c r="MP4" s="1"/>
  <c r="MQ2"/>
  <c r="MQ4" s="1"/>
  <c r="MR2"/>
  <c r="MR4" s="1"/>
  <c r="MS2"/>
  <c r="MS4" s="1"/>
  <c r="MT2"/>
  <c r="MT4" s="1"/>
  <c r="MU2"/>
  <c r="MU4" s="1"/>
  <c r="MV2"/>
  <c r="MV4" s="1"/>
  <c r="MW2"/>
  <c r="MW4" s="1"/>
  <c r="MX2"/>
  <c r="MX4" s="1"/>
  <c r="MY2"/>
  <c r="MY4" s="1"/>
  <c r="MZ2"/>
  <c r="MZ4" s="1"/>
  <c r="NA2"/>
  <c r="NA4" s="1"/>
  <c r="NB2"/>
  <c r="NB4" s="1"/>
  <c r="NC2"/>
  <c r="NC4" s="1"/>
  <c r="ND2"/>
  <c r="ND4" s="1"/>
  <c r="NE2"/>
  <c r="NE4" s="1"/>
  <c r="NF2"/>
  <c r="NF4" s="1"/>
  <c r="NG2"/>
  <c r="NG4" s="1"/>
  <c r="NH2"/>
  <c r="NH4" s="1"/>
  <c r="NI2"/>
  <c r="NI4" s="1"/>
  <c r="NJ2"/>
  <c r="NJ4" s="1"/>
  <c r="LZ2"/>
  <c r="LZ4" s="1"/>
  <c r="KP2"/>
  <c r="KP4" s="1"/>
  <c r="KQ2"/>
  <c r="KQ4" s="1"/>
  <c r="KR2"/>
  <c r="KR4" s="1"/>
  <c r="KS2"/>
  <c r="KS4" s="1"/>
  <c r="KT2"/>
  <c r="KT4" s="1"/>
  <c r="KU2"/>
  <c r="KU4" s="1"/>
  <c r="KV2"/>
  <c r="KV4" s="1"/>
  <c r="KW2"/>
  <c r="KW4" s="1"/>
  <c r="KX2"/>
  <c r="KX4" s="1"/>
  <c r="KY2"/>
  <c r="KY4" s="1"/>
  <c r="KZ2"/>
  <c r="KZ4" s="1"/>
  <c r="LA2"/>
  <c r="LA4" s="1"/>
  <c r="LB2"/>
  <c r="LB4" s="1"/>
  <c r="LC2"/>
  <c r="LC4" s="1"/>
  <c r="LD2"/>
  <c r="LD4" s="1"/>
  <c r="LE2"/>
  <c r="LE4" s="1"/>
  <c r="LF2"/>
  <c r="LF4" s="1"/>
  <c r="LG2"/>
  <c r="LG4" s="1"/>
  <c r="LH2"/>
  <c r="LH4" s="1"/>
  <c r="LI2"/>
  <c r="LI4" s="1"/>
  <c r="LJ2"/>
  <c r="LJ4" s="1"/>
  <c r="LK2"/>
  <c r="LK4" s="1"/>
  <c r="LL2"/>
  <c r="LL4" s="1"/>
  <c r="LM2"/>
  <c r="LM4" s="1"/>
  <c r="LN2"/>
  <c r="LN4" s="1"/>
  <c r="LO2"/>
  <c r="LO4" s="1"/>
  <c r="LP2"/>
  <c r="LP4" s="1"/>
  <c r="LQ2"/>
  <c r="LQ4" s="1"/>
  <c r="LR2"/>
  <c r="LR4" s="1"/>
  <c r="LS2"/>
  <c r="LS4" s="1"/>
  <c r="LT2"/>
  <c r="LT4" s="1"/>
  <c r="LU2"/>
  <c r="LU4" s="1"/>
  <c r="LV2"/>
  <c r="LV4" s="1"/>
  <c r="LW2"/>
  <c r="LW4" s="1"/>
  <c r="LX2"/>
  <c r="LX4" s="1"/>
  <c r="LY2"/>
  <c r="LY4" s="1"/>
  <c r="KO2"/>
  <c r="KO4" s="1"/>
  <c r="KN2"/>
  <c r="KN4" s="1"/>
  <c r="JE2"/>
  <c r="JE4" s="1"/>
  <c r="JF2"/>
  <c r="JF4" s="1"/>
  <c r="JG2"/>
  <c r="JG4" s="1"/>
  <c r="JH2"/>
  <c r="JH4" s="1"/>
  <c r="JI2"/>
  <c r="JI4" s="1"/>
  <c r="JJ2"/>
  <c r="JJ4" s="1"/>
  <c r="JK2"/>
  <c r="JK4" s="1"/>
  <c r="JL2"/>
  <c r="JL4" s="1"/>
  <c r="JM2"/>
  <c r="JM4" s="1"/>
  <c r="JN2"/>
  <c r="JN4" s="1"/>
  <c r="JO2"/>
  <c r="JO4" s="1"/>
  <c r="JP2"/>
  <c r="JP4" s="1"/>
  <c r="JQ2"/>
  <c r="JQ4" s="1"/>
  <c r="JR2"/>
  <c r="JR4" s="1"/>
  <c r="JS2"/>
  <c r="JS4" s="1"/>
  <c r="JT2"/>
  <c r="JT4" s="1"/>
  <c r="JU2"/>
  <c r="JU4" s="1"/>
  <c r="JV2"/>
  <c r="JV4" s="1"/>
  <c r="JW2"/>
  <c r="JW4" s="1"/>
  <c r="JX2"/>
  <c r="JX4" s="1"/>
  <c r="JY2"/>
  <c r="JY4" s="1"/>
  <c r="JZ2"/>
  <c r="JZ4" s="1"/>
  <c r="KA2"/>
  <c r="KA4" s="1"/>
  <c r="KB2"/>
  <c r="KB4" s="1"/>
  <c r="KC2"/>
  <c r="KC4" s="1"/>
  <c r="KD2"/>
  <c r="KD4" s="1"/>
  <c r="KE2"/>
  <c r="KE4" s="1"/>
  <c r="KF2"/>
  <c r="KF4" s="1"/>
  <c r="KG2"/>
  <c r="KG4" s="1"/>
  <c r="KH2"/>
  <c r="KH4" s="1"/>
  <c r="KI2"/>
  <c r="KI4" s="1"/>
  <c r="KJ2"/>
  <c r="KJ4" s="1"/>
  <c r="KK2"/>
  <c r="KK4" s="1"/>
  <c r="KL2"/>
  <c r="KL4" s="1"/>
  <c r="KM2"/>
  <c r="KM4" s="1"/>
  <c r="JD2"/>
  <c r="JD4" s="1"/>
  <c r="HT2"/>
  <c r="HT4" s="1"/>
  <c r="HU2"/>
  <c r="HU4" s="1"/>
  <c r="HV2"/>
  <c r="HV4" s="1"/>
  <c r="HW2"/>
  <c r="HW4" s="1"/>
  <c r="HX2"/>
  <c r="HX4" s="1"/>
  <c r="HY2"/>
  <c r="HY4" s="1"/>
  <c r="HZ2"/>
  <c r="HZ4" s="1"/>
  <c r="IA2"/>
  <c r="IA4" s="1"/>
  <c r="IB2"/>
  <c r="IB4" s="1"/>
  <c r="IC2"/>
  <c r="IC4" s="1"/>
  <c r="ID2"/>
  <c r="ID4" s="1"/>
  <c r="IE2"/>
  <c r="IE4" s="1"/>
  <c r="IF2"/>
  <c r="IF4" s="1"/>
  <c r="IG2"/>
  <c r="IG4" s="1"/>
  <c r="IH2"/>
  <c r="IH4" s="1"/>
  <c r="II2"/>
  <c r="II4" s="1"/>
  <c r="IJ2"/>
  <c r="IJ4" s="1"/>
  <c r="IK2"/>
  <c r="IK4" s="1"/>
  <c r="IL2"/>
  <c r="IL4" s="1"/>
  <c r="IM2"/>
  <c r="IM4" s="1"/>
  <c r="IN2"/>
  <c r="IN4" s="1"/>
  <c r="IO2"/>
  <c r="IO4" s="1"/>
  <c r="IP2"/>
  <c r="IP4" s="1"/>
  <c r="IQ2"/>
  <c r="IQ4" s="1"/>
  <c r="IR2"/>
  <c r="IR4" s="1"/>
  <c r="IS2"/>
  <c r="IS4" s="1"/>
  <c r="IT2"/>
  <c r="IT4" s="1"/>
  <c r="IU2"/>
  <c r="IU4" s="1"/>
  <c r="IV2"/>
  <c r="IV4" s="1"/>
  <c r="IW2"/>
  <c r="IW4" s="1"/>
  <c r="IX2"/>
  <c r="IX4" s="1"/>
  <c r="IY2"/>
  <c r="IY4" s="1"/>
  <c r="IZ2"/>
  <c r="IZ4" s="1"/>
  <c r="JA2"/>
  <c r="JA4" s="1"/>
  <c r="JB2"/>
  <c r="JB4" s="1"/>
  <c r="JC2"/>
  <c r="JC4" s="1"/>
  <c r="HS2"/>
  <c r="HS4" s="1"/>
  <c r="GI2"/>
  <c r="GI4" s="1"/>
  <c r="GJ2"/>
  <c r="GJ4" s="1"/>
  <c r="GK2"/>
  <c r="GK4" s="1"/>
  <c r="GL2"/>
  <c r="GL4" s="1"/>
  <c r="GM2"/>
  <c r="GM4" s="1"/>
  <c r="GN2"/>
  <c r="GN4" s="1"/>
  <c r="GO2"/>
  <c r="GO4" s="1"/>
  <c r="GP2"/>
  <c r="GP4" s="1"/>
  <c r="GQ2"/>
  <c r="GQ4" s="1"/>
  <c r="GR2"/>
  <c r="GR4" s="1"/>
  <c r="GS2"/>
  <c r="GS4" s="1"/>
  <c r="GT2"/>
  <c r="GT4" s="1"/>
  <c r="GU2"/>
  <c r="GU4" s="1"/>
  <c r="GV2"/>
  <c r="GV4" s="1"/>
  <c r="GW2"/>
  <c r="GW4" s="1"/>
  <c r="GX2"/>
  <c r="GX4" s="1"/>
  <c r="GY2"/>
  <c r="GY4" s="1"/>
  <c r="GZ2"/>
  <c r="GZ4" s="1"/>
  <c r="HA2"/>
  <c r="HA4" s="1"/>
  <c r="HB2"/>
  <c r="HB4" s="1"/>
  <c r="HC2"/>
  <c r="HC4" s="1"/>
  <c r="HD2"/>
  <c r="HD4" s="1"/>
  <c r="HE2"/>
  <c r="HE4" s="1"/>
  <c r="HF2"/>
  <c r="HF4" s="1"/>
  <c r="HG2"/>
  <c r="HG4" s="1"/>
  <c r="HH2"/>
  <c r="HH4" s="1"/>
  <c r="HI2"/>
  <c r="HI4" s="1"/>
  <c r="HJ2"/>
  <c r="HJ4" s="1"/>
  <c r="HK2"/>
  <c r="HK4" s="1"/>
  <c r="HL2"/>
  <c r="HL4" s="1"/>
  <c r="HM2"/>
  <c r="HM4" s="1"/>
  <c r="HN2"/>
  <c r="HN4" s="1"/>
  <c r="HO2"/>
  <c r="HO4" s="1"/>
  <c r="HP2"/>
  <c r="HP4" s="1"/>
  <c r="HQ2"/>
  <c r="HQ4" s="1"/>
  <c r="HR2"/>
  <c r="HR4" s="1"/>
  <c r="GH2"/>
  <c r="GH4" s="1"/>
  <c r="EX2"/>
  <c r="EX4" s="1"/>
  <c r="EY2"/>
  <c r="EY4" s="1"/>
  <c r="EZ2"/>
  <c r="EZ4" s="1"/>
  <c r="FA2"/>
  <c r="FA4" s="1"/>
  <c r="FB2"/>
  <c r="FB4" s="1"/>
  <c r="FC2"/>
  <c r="FC4" s="1"/>
  <c r="FD2"/>
  <c r="FD4" s="1"/>
  <c r="FE2"/>
  <c r="FE4" s="1"/>
  <c r="FF2"/>
  <c r="FF4" s="1"/>
  <c r="FG2"/>
  <c r="FG4" s="1"/>
  <c r="FH2"/>
  <c r="FH4" s="1"/>
  <c r="FI2"/>
  <c r="FI4" s="1"/>
  <c r="FJ2"/>
  <c r="FJ4" s="1"/>
  <c r="FK2"/>
  <c r="FK4" s="1"/>
  <c r="FL2"/>
  <c r="FL4" s="1"/>
  <c r="FM2"/>
  <c r="FM4" s="1"/>
  <c r="FN2"/>
  <c r="FN4" s="1"/>
  <c r="FO2"/>
  <c r="FO4" s="1"/>
  <c r="FP2"/>
  <c r="FP4" s="1"/>
  <c r="FQ2"/>
  <c r="FQ4" s="1"/>
  <c r="FR2"/>
  <c r="FR4" s="1"/>
  <c r="FS2"/>
  <c r="FS4" s="1"/>
  <c r="FT2"/>
  <c r="FT4" s="1"/>
  <c r="FU2"/>
  <c r="FU4" s="1"/>
  <c r="FV2"/>
  <c r="FV4" s="1"/>
  <c r="FW2"/>
  <c r="FW4" s="1"/>
  <c r="FX2"/>
  <c r="FX4" s="1"/>
  <c r="FY2"/>
  <c r="FY4" s="1"/>
  <c r="FZ2"/>
  <c r="FZ4" s="1"/>
  <c r="GA2"/>
  <c r="GA4" s="1"/>
  <c r="GB2"/>
  <c r="GB4" s="1"/>
  <c r="GC2"/>
  <c r="GC4" s="1"/>
  <c r="GD2"/>
  <c r="GD4" s="1"/>
  <c r="GE2"/>
  <c r="GE4" s="1"/>
  <c r="GF2"/>
  <c r="GF4" s="1"/>
  <c r="GG2"/>
  <c r="GG4" s="1"/>
  <c r="EW2"/>
  <c r="EW4" s="1"/>
  <c r="DM2"/>
  <c r="DM4" s="1"/>
  <c r="DN2"/>
  <c r="DN4" s="1"/>
  <c r="DO2"/>
  <c r="DO4" s="1"/>
  <c r="DP2"/>
  <c r="DP4" s="1"/>
  <c r="DQ2"/>
  <c r="DQ4" s="1"/>
  <c r="DR2"/>
  <c r="DR4" s="1"/>
  <c r="DS2"/>
  <c r="DS4" s="1"/>
  <c r="DT2"/>
  <c r="DT4" s="1"/>
  <c r="DU2"/>
  <c r="DU4" s="1"/>
  <c r="DV2"/>
  <c r="DV4" s="1"/>
  <c r="DW2"/>
  <c r="DW4" s="1"/>
  <c r="DX2"/>
  <c r="DX4" s="1"/>
  <c r="DY2"/>
  <c r="DY4" s="1"/>
  <c r="DZ2"/>
  <c r="DZ4" s="1"/>
  <c r="EA2"/>
  <c r="EA4" s="1"/>
  <c r="EB2"/>
  <c r="EB4" s="1"/>
  <c r="EC2"/>
  <c r="EC4" s="1"/>
  <c r="ED2"/>
  <c r="ED4" s="1"/>
  <c r="EE2"/>
  <c r="EE4" s="1"/>
  <c r="EF2"/>
  <c r="EF4" s="1"/>
  <c r="EG2"/>
  <c r="EG4" s="1"/>
  <c r="EH2"/>
  <c r="EH4" s="1"/>
  <c r="EI2"/>
  <c r="EI4" s="1"/>
  <c r="EJ2"/>
  <c r="EJ4" s="1"/>
  <c r="EK2"/>
  <c r="EK4" s="1"/>
  <c r="EL2"/>
  <c r="EL4" s="1"/>
  <c r="EM2"/>
  <c r="EM4" s="1"/>
  <c r="EN2"/>
  <c r="EN4" s="1"/>
  <c r="EO2"/>
  <c r="EO4" s="1"/>
  <c r="EP2"/>
  <c r="EP4" s="1"/>
  <c r="EQ2"/>
  <c r="EQ4" s="1"/>
  <c r="ER2"/>
  <c r="ER4" s="1"/>
  <c r="ES2"/>
  <c r="ES4" s="1"/>
  <c r="ET2"/>
  <c r="ET4" s="1"/>
  <c r="EU2"/>
  <c r="EU4" s="1"/>
  <c r="EV2"/>
  <c r="EV4" s="1"/>
  <c r="DL2"/>
  <c r="DL4" s="1"/>
  <c r="CB2"/>
  <c r="CB4" s="1"/>
  <c r="CC2"/>
  <c r="CC4" s="1"/>
  <c r="CD2"/>
  <c r="CD4" s="1"/>
  <c r="CE2"/>
  <c r="CE4" s="1"/>
  <c r="CF2"/>
  <c r="CF4" s="1"/>
  <c r="CG2"/>
  <c r="CG4" s="1"/>
  <c r="CH2"/>
  <c r="CH4" s="1"/>
  <c r="CI2"/>
  <c r="CI4" s="1"/>
  <c r="CJ2"/>
  <c r="CJ4" s="1"/>
  <c r="CK2"/>
  <c r="CK4" s="1"/>
  <c r="CL2"/>
  <c r="CL4" s="1"/>
  <c r="CM2"/>
  <c r="CM4" s="1"/>
  <c r="CN2"/>
  <c r="CN4" s="1"/>
  <c r="CO2"/>
  <c r="CO4" s="1"/>
  <c r="CP2"/>
  <c r="CP4" s="1"/>
  <c r="CQ2"/>
  <c r="CQ4" s="1"/>
  <c r="CR2"/>
  <c r="CR4" s="1"/>
  <c r="CS2"/>
  <c r="CS4" s="1"/>
  <c r="CT2"/>
  <c r="CT4" s="1"/>
  <c r="CU2"/>
  <c r="CU4" s="1"/>
  <c r="CV2"/>
  <c r="CV4" s="1"/>
  <c r="CW2"/>
  <c r="CW4" s="1"/>
  <c r="CX2"/>
  <c r="CX4" s="1"/>
  <c r="CY2"/>
  <c r="CY4" s="1"/>
  <c r="CZ2"/>
  <c r="CZ4" s="1"/>
  <c r="DA2"/>
  <c r="DA4" s="1"/>
  <c r="DB2"/>
  <c r="DB4" s="1"/>
  <c r="DC2"/>
  <c r="DC4" s="1"/>
  <c r="DD2"/>
  <c r="DD4" s="1"/>
  <c r="DE2"/>
  <c r="DE4" s="1"/>
  <c r="DF2"/>
  <c r="DF4" s="1"/>
  <c r="DG2"/>
  <c r="DG4" s="1"/>
  <c r="DH2"/>
  <c r="DH4" s="1"/>
  <c r="DI2"/>
  <c r="DI4" s="1"/>
  <c r="DJ2"/>
  <c r="DJ4" s="1"/>
  <c r="DK2"/>
  <c r="DK4" s="1"/>
  <c r="CA2"/>
  <c r="CA4" s="1"/>
  <c r="BY2"/>
  <c r="BY4" s="1"/>
  <c r="BZ2"/>
  <c r="BZ4" s="1"/>
  <c r="BL2"/>
  <c r="BL4" s="1"/>
  <c r="BM2"/>
  <c r="BM4" s="1"/>
  <c r="BN2"/>
  <c r="BN4" s="1"/>
  <c r="BO2"/>
  <c r="BO4" s="1"/>
  <c r="BP2"/>
  <c r="BP4" s="1"/>
  <c r="BQ2"/>
  <c r="BQ4" s="1"/>
  <c r="BR2"/>
  <c r="BR4" s="1"/>
  <c r="BS2"/>
  <c r="BS4" s="1"/>
  <c r="BT2"/>
  <c r="BT4" s="1"/>
  <c r="BU2"/>
  <c r="BU4" s="1"/>
  <c r="BV2"/>
  <c r="BV4" s="1"/>
  <c r="BW2"/>
  <c r="BW4" s="1"/>
  <c r="BX2"/>
  <c r="BX4" s="1"/>
  <c r="AQ2"/>
  <c r="AQ4" s="1"/>
  <c r="AR2"/>
  <c r="AR4" s="1"/>
  <c r="AS2"/>
  <c r="AS4" s="1"/>
  <c r="AT2"/>
  <c r="AT4" s="1"/>
  <c r="AU2"/>
  <c r="AU4" s="1"/>
  <c r="AV2"/>
  <c r="AV4" s="1"/>
  <c r="AW2"/>
  <c r="AW4" s="1"/>
  <c r="AX2"/>
  <c r="AX4" s="1"/>
  <c r="AY2"/>
  <c r="AY4" s="1"/>
  <c r="AZ2"/>
  <c r="AZ4" s="1"/>
  <c r="BA2"/>
  <c r="BA4" s="1"/>
  <c r="BB2"/>
  <c r="BB4" s="1"/>
  <c r="BC2"/>
  <c r="BC4" s="1"/>
  <c r="BD2"/>
  <c r="BD4" s="1"/>
  <c r="BE2"/>
  <c r="BE4" s="1"/>
  <c r="BF2"/>
  <c r="BF4" s="1"/>
  <c r="BG2"/>
  <c r="BG4" s="1"/>
  <c r="BH2"/>
  <c r="BH4" s="1"/>
  <c r="BI2"/>
  <c r="BI4" s="1"/>
  <c r="BJ2"/>
  <c r="BJ4" s="1"/>
  <c r="BK2"/>
  <c r="BK4" s="1"/>
  <c r="AP2"/>
  <c r="AP4" s="1"/>
  <c r="AH2"/>
  <c r="AH4" s="1"/>
  <c r="AI2"/>
  <c r="AI4" s="1"/>
  <c r="AJ2"/>
  <c r="AJ4" s="1"/>
  <c r="AK2"/>
  <c r="AK4" s="1"/>
  <c r="AL2"/>
  <c r="AL4" s="1"/>
  <c r="AM2"/>
  <c r="AM4" s="1"/>
  <c r="AN2"/>
  <c r="AN4" s="1"/>
  <c r="AO2"/>
  <c r="AO4" s="1"/>
  <c r="W2"/>
  <c r="W4" s="1"/>
  <c r="X2"/>
  <c r="X4" s="1"/>
  <c r="Y2"/>
  <c r="Y4" s="1"/>
  <c r="Z2"/>
  <c r="Z4" s="1"/>
  <c r="AA2"/>
  <c r="AA4" s="1"/>
  <c r="AB2"/>
  <c r="AB4" s="1"/>
  <c r="AC2"/>
  <c r="AC4" s="1"/>
  <c r="AD2"/>
  <c r="AD4" s="1"/>
  <c r="AE2"/>
  <c r="AE4" s="1"/>
  <c r="AF2"/>
  <c r="AF4" s="1"/>
  <c r="AG2"/>
  <c r="AG4" s="1"/>
  <c r="F2"/>
  <c r="F4" s="1"/>
  <c r="G2"/>
  <c r="G4" s="1"/>
  <c r="H2"/>
  <c r="H4" s="1"/>
  <c r="I2"/>
  <c r="I4" s="1"/>
  <c r="J2"/>
  <c r="J4" s="1"/>
  <c r="K2"/>
  <c r="K4" s="1"/>
  <c r="L2"/>
  <c r="L4" s="1"/>
  <c r="M2"/>
  <c r="M4" s="1"/>
  <c r="N2"/>
  <c r="N4" s="1"/>
  <c r="O2"/>
  <c r="O4" s="1"/>
  <c r="P2"/>
  <c r="P4" s="1"/>
  <c r="Q2"/>
  <c r="Q4" s="1"/>
  <c r="R2"/>
  <c r="R4" s="1"/>
  <c r="S2"/>
  <c r="S4" s="1"/>
  <c r="T2"/>
  <c r="T4" s="1"/>
  <c r="U2"/>
  <c r="U4" s="1"/>
  <c r="V2"/>
  <c r="V4" s="1"/>
  <c r="E2"/>
  <c r="E4" s="1"/>
  <c r="CR5"/>
  <c r="CQ5"/>
  <c r="AV5"/>
  <c r="NI5"/>
  <c r="KB5"/>
  <c r="V5"/>
  <c r="GA5"/>
  <c r="HV5"/>
  <c r="FV5"/>
  <c r="ME5"/>
  <c r="IY5"/>
  <c r="KT5"/>
  <c r="IB5"/>
  <c r="L5"/>
  <c r="DY5"/>
  <c r="HO5"/>
  <c r="BR5"/>
  <c r="IE5"/>
  <c r="JQ5"/>
  <c r="JH5"/>
  <c r="IL5"/>
  <c r="CU5"/>
  <c r="EK5"/>
  <c r="JU5"/>
  <c r="HH5"/>
  <c r="FX5"/>
  <c r="BF5"/>
  <c r="MS5"/>
  <c r="IP5"/>
  <c r="LM5"/>
  <c r="HX5"/>
  <c r="T5"/>
  <c r="HB5"/>
  <c r="IJ5"/>
  <c r="LL5"/>
  <c r="GO5"/>
  <c r="GL5"/>
  <c r="JL5"/>
  <c r="DR5"/>
  <c r="EN5"/>
  <c r="IG5"/>
  <c r="MT5"/>
  <c r="IV5"/>
  <c r="GT5"/>
  <c r="GN5"/>
  <c r="DG5"/>
  <c r="CA5"/>
  <c r="EZ5"/>
  <c r="FC5"/>
  <c r="BX5"/>
  <c r="HF5"/>
  <c r="EO5"/>
  <c r="IQ5"/>
  <c r="ET5"/>
  <c r="FU5"/>
  <c r="EW5"/>
  <c r="IK5"/>
  <c r="BU5"/>
  <c r="LS5"/>
  <c r="LO5"/>
  <c r="LQ5"/>
  <c r="MZ5"/>
  <c r="DE5"/>
  <c r="DS5"/>
  <c r="MU5"/>
  <c r="BH5"/>
  <c r="DA5"/>
  <c r="CB5"/>
  <c r="IN5"/>
  <c r="DI5"/>
  <c r="MQ5"/>
  <c r="JR5"/>
  <c r="Y5"/>
  <c r="BN5"/>
  <c r="CW5"/>
  <c r="GM5"/>
  <c r="LE5"/>
  <c r="LK5"/>
  <c r="EI5"/>
  <c r="LP5"/>
  <c r="BO5"/>
  <c r="AK5"/>
  <c r="J5"/>
  <c r="NF5"/>
  <c r="ER5"/>
  <c r="KZ5"/>
  <c r="LN5"/>
  <c r="GZ5"/>
  <c r="JM5"/>
  <c r="MA5"/>
  <c r="EJ5"/>
  <c r="JF5"/>
  <c r="AG5"/>
  <c r="EU5"/>
  <c r="AL5"/>
  <c r="FQ5"/>
  <c r="HN5"/>
  <c r="GX5"/>
  <c r="LF5"/>
  <c r="U5"/>
  <c r="LX5"/>
  <c r="GJ5"/>
  <c r="FG5"/>
  <c r="EX5"/>
  <c r="JB5"/>
  <c r="IU5"/>
  <c r="JA5"/>
  <c r="EY5"/>
  <c r="MC5"/>
  <c r="FN5"/>
  <c r="FK5"/>
  <c r="II5"/>
  <c r="EP5"/>
  <c r="DJ5"/>
  <c r="GI5"/>
  <c r="HW5"/>
  <c r="NG5"/>
  <c r="AP5"/>
  <c r="GE5"/>
  <c r="DL5"/>
  <c r="JV5"/>
  <c r="CM5"/>
  <c r="JZ5"/>
  <c r="KD5"/>
  <c r="JW5"/>
  <c r="HT5"/>
  <c r="HU5"/>
  <c r="GH5"/>
  <c r="FP5"/>
  <c r="KW5"/>
  <c r="CZ5"/>
  <c r="AI5"/>
  <c r="MH5"/>
  <c r="DH5"/>
  <c r="Q5"/>
  <c r="R5"/>
  <c r="KX5"/>
  <c r="I5"/>
  <c r="BE5"/>
  <c r="AB5"/>
  <c r="CI5"/>
  <c r="BC5"/>
  <c r="FD5"/>
  <c r="KI5"/>
  <c r="HE5"/>
  <c r="IO5"/>
  <c r="LW5"/>
  <c r="JY5"/>
  <c r="W5"/>
  <c r="LU5"/>
  <c r="JI5"/>
  <c r="AA5"/>
  <c r="ML5"/>
  <c r="LG5"/>
  <c r="CJ5"/>
  <c r="GY5"/>
  <c r="DU5"/>
  <c r="KA5"/>
  <c r="KP5"/>
  <c r="IT5"/>
  <c r="MD5"/>
  <c r="IC5"/>
  <c r="CS5"/>
  <c r="GQ5"/>
  <c r="AS5"/>
  <c r="AW5"/>
  <c r="JG5"/>
  <c r="X5"/>
  <c r="BD5"/>
  <c r="LT5"/>
  <c r="DN5"/>
  <c r="HS5"/>
  <c r="G5"/>
  <c r="MF5"/>
  <c r="GW5"/>
  <c r="DF5"/>
  <c r="MY5"/>
  <c r="EL5"/>
  <c r="MR5"/>
  <c r="HI5"/>
  <c r="DM5"/>
  <c r="AJ5"/>
  <c r="P5"/>
  <c r="GK5"/>
  <c r="AU5"/>
  <c r="NE5"/>
  <c r="DZ5"/>
  <c r="FE5"/>
  <c r="LZ5"/>
  <c r="BB5"/>
  <c r="EH5"/>
  <c r="FM5"/>
  <c r="FA5"/>
  <c r="FJ5"/>
  <c r="GF5"/>
  <c r="EC5"/>
  <c r="BL5"/>
  <c r="CE5"/>
  <c r="HP5"/>
  <c r="NA5"/>
  <c r="KQ5"/>
  <c r="AQ5"/>
  <c r="HL5"/>
  <c r="CV5"/>
  <c r="LH5"/>
  <c r="LB5"/>
  <c r="AY5"/>
  <c r="HZ5"/>
  <c r="FW5"/>
  <c r="GS5"/>
  <c r="JD5"/>
  <c r="HY5"/>
  <c r="BJ5"/>
  <c r="NB5"/>
  <c r="JP5"/>
  <c r="MP5"/>
  <c r="KK5"/>
  <c r="MN5"/>
  <c r="FB5"/>
  <c r="DW5"/>
  <c r="DQ5"/>
  <c r="FY5"/>
  <c r="CH5"/>
  <c r="IH5"/>
  <c r="JE5"/>
  <c r="DP5"/>
  <c r="LC5"/>
  <c r="BG5"/>
  <c r="FL5"/>
  <c r="BA5"/>
  <c r="MX5"/>
  <c r="IW5"/>
  <c r="FI5"/>
  <c r="HJ5"/>
  <c r="ES5"/>
  <c r="GV5"/>
  <c r="Z5"/>
  <c r="K5"/>
  <c r="LD5"/>
  <c r="CN5"/>
  <c r="MI5"/>
  <c r="MB5"/>
  <c r="AM5"/>
  <c r="KC5"/>
  <c r="EA5"/>
  <c r="KF5"/>
  <c r="BQ5"/>
  <c r="KM5"/>
  <c r="O5"/>
  <c r="AE5"/>
  <c r="FT5"/>
  <c r="FR5"/>
  <c r="BV5"/>
  <c r="LV5"/>
  <c r="FO5"/>
  <c r="KE5"/>
  <c r="LJ5"/>
  <c r="DV5"/>
  <c r="GB5"/>
  <c r="CY5"/>
  <c r="BM5"/>
  <c r="KV5"/>
  <c r="JS5"/>
  <c r="DC5"/>
  <c r="KO5"/>
  <c r="MK5"/>
  <c r="BP5"/>
  <c r="KL5"/>
  <c r="BW5"/>
  <c r="IF5"/>
  <c r="EG5"/>
  <c r="JO5"/>
  <c r="MV5"/>
  <c r="DD5"/>
  <c r="AX5"/>
  <c r="MJ5"/>
  <c r="CC5"/>
  <c r="JN5"/>
  <c r="NC5"/>
  <c r="DT5"/>
  <c r="KR5"/>
  <c r="BY5"/>
  <c r="HA5"/>
  <c r="AZ5"/>
  <c r="CF5"/>
  <c r="CO5"/>
  <c r="AT5"/>
  <c r="FF5"/>
  <c r="F5"/>
  <c r="EF5"/>
  <c r="AC5"/>
  <c r="BT5"/>
  <c r="E5"/>
  <c r="NH5"/>
  <c r="KJ5"/>
  <c r="HM5"/>
  <c r="CG5"/>
  <c r="AH5"/>
  <c r="GP5"/>
  <c r="BK5"/>
  <c r="GC5"/>
  <c r="KH5"/>
  <c r="LA5"/>
  <c r="AD5"/>
  <c r="CK5"/>
  <c r="EE5"/>
  <c r="KG5"/>
  <c r="MG5"/>
  <c r="FH5"/>
  <c r="HC5"/>
  <c r="M5"/>
  <c r="ED5"/>
  <c r="AN5"/>
  <c r="HD5"/>
  <c r="S5"/>
  <c r="JJ5"/>
  <c r="GU5"/>
  <c r="IS5"/>
  <c r="DX5"/>
  <c r="ND5"/>
  <c r="FZ5"/>
  <c r="DB5"/>
  <c r="KY5"/>
  <c r="CP5"/>
  <c r="N5"/>
  <c r="JX5"/>
  <c r="HK5"/>
  <c r="BS5"/>
  <c r="CL5"/>
  <c r="CT5"/>
  <c r="MW5"/>
  <c r="LI5"/>
  <c r="KS5"/>
  <c r="MO5"/>
  <c r="IM5"/>
  <c r="HG5"/>
  <c r="EB5"/>
  <c r="EQ5"/>
  <c r="IA5"/>
  <c r="KU5"/>
  <c r="IR5"/>
  <c r="JK5"/>
  <c r="IZ5"/>
  <c r="GD5"/>
  <c r="MM5"/>
  <c r="FS5"/>
  <c r="H5"/>
  <c r="BI5"/>
  <c r="CX5"/>
  <c r="AF5"/>
  <c r="HQ5"/>
  <c r="ID5"/>
  <c r="CD5"/>
  <c r="GR5"/>
  <c r="JT5"/>
  <c r="EM5"/>
  <c r="IX5"/>
  <c r="LR5"/>
  <c r="DO5"/>
  <c r="AR5"/>
  <c r="M38" i="21" l="1"/>
  <c r="J35"/>
  <c r="K33"/>
  <c r="K34" s="1"/>
  <c r="AP24" i="16"/>
  <c r="AP23"/>
  <c r="AP22"/>
  <c r="AP21"/>
  <c r="AP20"/>
  <c r="AP19"/>
  <c r="AP18"/>
  <c r="AP17"/>
  <c r="AP16"/>
  <c r="AP15"/>
  <c r="AP14"/>
  <c r="N14"/>
  <c r="T24"/>
  <c r="T23"/>
  <c r="T22"/>
  <c r="T21"/>
  <c r="T20"/>
  <c r="T19"/>
  <c r="T18"/>
  <c r="T17"/>
  <c r="T16"/>
  <c r="T15"/>
  <c r="S24"/>
  <c r="S23"/>
  <c r="S22"/>
  <c r="S21"/>
  <c r="S20"/>
  <c r="S19"/>
  <c r="S18"/>
  <c r="S17"/>
  <c r="S16"/>
  <c r="S15"/>
  <c r="R24"/>
  <c r="R23"/>
  <c r="R22"/>
  <c r="R21"/>
  <c r="R20"/>
  <c r="R19"/>
  <c r="R18"/>
  <c r="R17"/>
  <c r="R16"/>
  <c r="R15"/>
  <c r="Q24"/>
  <c r="Q23"/>
  <c r="Q22"/>
  <c r="Q21"/>
  <c r="Q20"/>
  <c r="Q19"/>
  <c r="Q18"/>
  <c r="Q17"/>
  <c r="Q16"/>
  <c r="Q15"/>
  <c r="P24"/>
  <c r="P23"/>
  <c r="P22"/>
  <c r="P21"/>
  <c r="P20"/>
  <c r="P19"/>
  <c r="P18"/>
  <c r="P17"/>
  <c r="P16"/>
  <c r="P15"/>
  <c r="O24"/>
  <c r="O23"/>
  <c r="O22"/>
  <c r="O21"/>
  <c r="O20"/>
  <c r="O19"/>
  <c r="O18"/>
  <c r="O17"/>
  <c r="O16"/>
  <c r="O15"/>
  <c r="N24"/>
  <c r="N23"/>
  <c r="N22"/>
  <c r="N21"/>
  <c r="N20"/>
  <c r="N19"/>
  <c r="N18"/>
  <c r="N17"/>
  <c r="N16"/>
  <c r="N15"/>
  <c r="F16"/>
  <c r="F15"/>
  <c r="F24"/>
  <c r="F23"/>
  <c r="F22"/>
  <c r="F21"/>
  <c r="F20"/>
  <c r="F19"/>
  <c r="F18"/>
  <c r="F17"/>
  <c r="F14"/>
  <c r="E24"/>
  <c r="B24" s="1"/>
  <c r="A24" s="1"/>
  <c r="E23"/>
  <c r="B23" s="1"/>
  <c r="A23" s="1"/>
  <c r="E22"/>
  <c r="E21"/>
  <c r="B21" s="1"/>
  <c r="A21" s="1"/>
  <c r="E20"/>
  <c r="B20" s="1"/>
  <c r="A20" s="1"/>
  <c r="E19"/>
  <c r="B19" s="1"/>
  <c r="A19" s="1"/>
  <c r="E18"/>
  <c r="B18" s="1"/>
  <c r="A18" s="1"/>
  <c r="E17"/>
  <c r="B17" s="1"/>
  <c r="A17" s="1"/>
  <c r="E16"/>
  <c r="B16" s="1"/>
  <c r="A16" s="1"/>
  <c r="E15"/>
  <c r="B15" s="1"/>
  <c r="A15" s="1"/>
  <c r="B22"/>
  <c r="A22" s="1"/>
  <c r="D3"/>
  <c r="K35" i="21" l="1"/>
  <c r="N38"/>
  <c r="N3"/>
  <c r="T14" i="16"/>
  <c r="S14"/>
  <c r="R14"/>
  <c r="Q14"/>
  <c r="P14"/>
  <c r="O14"/>
  <c r="C3"/>
  <c r="E14"/>
  <c r="O7" i="21" l="1"/>
  <c r="O8" s="1"/>
  <c r="N7"/>
  <c r="N8" s="1"/>
  <c r="P7"/>
  <c r="P8" s="1"/>
  <c r="N4"/>
  <c r="C48" i="19"/>
  <c r="D48"/>
  <c r="E48"/>
  <c r="F48"/>
  <c r="G48"/>
  <c r="H48"/>
  <c r="I48"/>
  <c r="J48"/>
  <c r="K48"/>
  <c r="B48"/>
  <c r="D67" i="7"/>
  <c r="E67"/>
  <c r="F67"/>
  <c r="G67"/>
  <c r="H67"/>
  <c r="I67"/>
  <c r="J67"/>
  <c r="K67"/>
  <c r="L67"/>
  <c r="C67"/>
  <c r="D70" s="1"/>
  <c r="C7" i="19"/>
  <c r="D7"/>
  <c r="E7"/>
  <c r="F7"/>
  <c r="G7"/>
  <c r="H7"/>
  <c r="I7"/>
  <c r="J7"/>
  <c r="K7"/>
  <c r="B7"/>
  <c r="K49"/>
  <c r="J49"/>
  <c r="I49"/>
  <c r="H49"/>
  <c r="G49"/>
  <c r="F49"/>
  <c r="E49"/>
  <c r="D49"/>
  <c r="C49"/>
  <c r="B49"/>
  <c r="K2"/>
  <c r="J2"/>
  <c r="I2"/>
  <c r="H2"/>
  <c r="G2"/>
  <c r="F2"/>
  <c r="E2"/>
  <c r="D2"/>
  <c r="C2"/>
  <c r="B2"/>
  <c r="K1"/>
  <c r="J1"/>
  <c r="I1"/>
  <c r="H1"/>
  <c r="G1"/>
  <c r="F1"/>
  <c r="E1"/>
  <c r="D1"/>
  <c r="C1"/>
  <c r="B1"/>
  <c r="C12" i="18"/>
  <c r="D12"/>
  <c r="E12"/>
  <c r="F12"/>
  <c r="G12"/>
  <c r="H12"/>
  <c r="I12"/>
  <c r="J12"/>
  <c r="K12"/>
  <c r="B12"/>
  <c r="C11"/>
  <c r="D11"/>
  <c r="E11"/>
  <c r="F11"/>
  <c r="G11"/>
  <c r="H11"/>
  <c r="I11"/>
  <c r="J11"/>
  <c r="K11"/>
  <c r="B11"/>
  <c r="C10"/>
  <c r="D10"/>
  <c r="E10"/>
  <c r="F10"/>
  <c r="G10"/>
  <c r="H10"/>
  <c r="I10"/>
  <c r="J10"/>
  <c r="K10"/>
  <c r="B10"/>
  <c r="K54"/>
  <c r="J54"/>
  <c r="I54"/>
  <c r="H54"/>
  <c r="G54"/>
  <c r="F54"/>
  <c r="E54"/>
  <c r="D54"/>
  <c r="C54"/>
  <c r="B54"/>
  <c r="K53"/>
  <c r="J53"/>
  <c r="I53"/>
  <c r="H53"/>
  <c r="G53"/>
  <c r="F53"/>
  <c r="E53"/>
  <c r="D53"/>
  <c r="C53"/>
  <c r="B53"/>
  <c r="K52"/>
  <c r="J52"/>
  <c r="I52"/>
  <c r="H52"/>
  <c r="G52"/>
  <c r="F52"/>
  <c r="E52"/>
  <c r="D52"/>
  <c r="C52"/>
  <c r="B52"/>
  <c r="K51"/>
  <c r="J51"/>
  <c r="I51"/>
  <c r="H51"/>
  <c r="G51"/>
  <c r="F51"/>
  <c r="E51"/>
  <c r="D51"/>
  <c r="C51"/>
  <c r="B51"/>
  <c r="K22"/>
  <c r="K23" s="1"/>
  <c r="J22"/>
  <c r="J23" s="1"/>
  <c r="I22"/>
  <c r="I23" s="1"/>
  <c r="H22"/>
  <c r="H23" s="1"/>
  <c r="G22"/>
  <c r="G23" s="1"/>
  <c r="F22"/>
  <c r="F23" s="1"/>
  <c r="E22"/>
  <c r="E23" s="1"/>
  <c r="D22"/>
  <c r="D23" s="1"/>
  <c r="C22"/>
  <c r="C23" s="1"/>
  <c r="B22"/>
  <c r="B23" s="1"/>
  <c r="K20"/>
  <c r="J20"/>
  <c r="J21" s="1"/>
  <c r="I20"/>
  <c r="I21" s="1"/>
  <c r="H20"/>
  <c r="H21" s="1"/>
  <c r="G20"/>
  <c r="F20"/>
  <c r="F21" s="1"/>
  <c r="E20"/>
  <c r="E21" s="1"/>
  <c r="D20"/>
  <c r="D21" s="1"/>
  <c r="C20"/>
  <c r="C21" s="1"/>
  <c r="B20"/>
  <c r="B21" s="1"/>
  <c r="K19"/>
  <c r="J19"/>
  <c r="I19"/>
  <c r="H19"/>
  <c r="G19"/>
  <c r="F19"/>
  <c r="E19"/>
  <c r="D19"/>
  <c r="C19"/>
  <c r="B19"/>
  <c r="K16"/>
  <c r="J16"/>
  <c r="I16"/>
  <c r="H16"/>
  <c r="G16"/>
  <c r="F16"/>
  <c r="E16"/>
  <c r="D16"/>
  <c r="C16"/>
  <c r="B16"/>
  <c r="K15"/>
  <c r="J15"/>
  <c r="I15"/>
  <c r="H15"/>
  <c r="G15"/>
  <c r="F15"/>
  <c r="E15"/>
  <c r="D15"/>
  <c r="C15"/>
  <c r="B15"/>
  <c r="K14"/>
  <c r="J14"/>
  <c r="I14"/>
  <c r="H14"/>
  <c r="G14"/>
  <c r="F14"/>
  <c r="E14"/>
  <c r="D14"/>
  <c r="C14"/>
  <c r="B14"/>
  <c r="K13"/>
  <c r="J13"/>
  <c r="I13"/>
  <c r="H13"/>
  <c r="G13"/>
  <c r="F13"/>
  <c r="E13"/>
  <c r="D13"/>
  <c r="C13"/>
  <c r="B13"/>
  <c r="K9"/>
  <c r="J9"/>
  <c r="I9"/>
  <c r="H9"/>
  <c r="G9"/>
  <c r="F9"/>
  <c r="E9"/>
  <c r="D9"/>
  <c r="C9"/>
  <c r="B9"/>
  <c r="K8"/>
  <c r="J8"/>
  <c r="I8"/>
  <c r="H8"/>
  <c r="G8"/>
  <c r="F8"/>
  <c r="E8"/>
  <c r="D8"/>
  <c r="C8"/>
  <c r="B8"/>
  <c r="K5"/>
  <c r="J5"/>
  <c r="I5"/>
  <c r="H5"/>
  <c r="G5"/>
  <c r="F5"/>
  <c r="E5"/>
  <c r="D5"/>
  <c r="C5"/>
  <c r="B5"/>
  <c r="K4"/>
  <c r="J4"/>
  <c r="I4"/>
  <c r="H4"/>
  <c r="G4"/>
  <c r="F4"/>
  <c r="E4"/>
  <c r="D4"/>
  <c r="C4"/>
  <c r="B4"/>
  <c r="O3"/>
  <c r="N3"/>
  <c r="M3"/>
  <c r="K3"/>
  <c r="J3"/>
  <c r="I3"/>
  <c r="H3"/>
  <c r="G3"/>
  <c r="F3"/>
  <c r="E3"/>
  <c r="D3"/>
  <c r="C3"/>
  <c r="B3"/>
  <c r="K2"/>
  <c r="J2"/>
  <c r="I2"/>
  <c r="H2"/>
  <c r="G2"/>
  <c r="F2"/>
  <c r="E2"/>
  <c r="D2"/>
  <c r="C2"/>
  <c r="B2"/>
  <c r="K1"/>
  <c r="J1"/>
  <c r="I1"/>
  <c r="H1"/>
  <c r="G1"/>
  <c r="F1"/>
  <c r="E1"/>
  <c r="D1"/>
  <c r="C1"/>
  <c r="B1"/>
  <c r="J70" i="7" l="1"/>
  <c r="F70"/>
  <c r="E70"/>
  <c r="M7" i="19"/>
  <c r="I70" i="7"/>
  <c r="K70"/>
  <c r="L70"/>
  <c r="G70"/>
  <c r="H70"/>
  <c r="N7" i="19"/>
  <c r="O7"/>
  <c r="O48"/>
  <c r="M48"/>
  <c r="N49"/>
  <c r="N48"/>
  <c r="M49"/>
  <c r="O49"/>
  <c r="N52" i="18"/>
  <c r="N23"/>
  <c r="O16"/>
  <c r="O11"/>
  <c r="O13"/>
  <c r="M9"/>
  <c r="M12"/>
  <c r="N9"/>
  <c r="N15"/>
  <c r="N8"/>
  <c r="O52"/>
  <c r="M52"/>
  <c r="O54"/>
  <c r="O15"/>
  <c r="M13"/>
  <c r="N14"/>
  <c r="M19"/>
  <c r="N20"/>
  <c r="M20"/>
  <c r="N51"/>
  <c r="O4"/>
  <c r="O8"/>
  <c r="N22"/>
  <c r="O53"/>
  <c r="O5"/>
  <c r="M5"/>
  <c r="O10"/>
  <c r="M51"/>
  <c r="M4"/>
  <c r="M8"/>
  <c r="O9"/>
  <c r="N10"/>
  <c r="N5"/>
  <c r="M11"/>
  <c r="O12"/>
  <c r="N13"/>
  <c r="M16"/>
  <c r="N16"/>
  <c r="M14"/>
  <c r="N4"/>
  <c r="M10"/>
  <c r="N11"/>
  <c r="N12"/>
  <c r="O14"/>
  <c r="N19"/>
  <c r="M15"/>
  <c r="O19"/>
  <c r="O20"/>
  <c r="K21"/>
  <c r="M21" s="1"/>
  <c r="O51"/>
  <c r="N53"/>
  <c r="M53"/>
  <c r="M54"/>
  <c r="M22"/>
  <c r="M23"/>
  <c r="G21"/>
  <c r="O23"/>
  <c r="O22"/>
  <c r="N54"/>
  <c r="O21" l="1"/>
  <c r="N21"/>
  <c r="M77" i="7" l="1"/>
  <c r="M46"/>
  <c r="M47"/>
  <c r="M51"/>
  <c r="M52"/>
  <c r="M53"/>
  <c r="M54"/>
  <c r="M55"/>
  <c r="M56"/>
  <c r="M57"/>
  <c r="M58"/>
  <c r="M59"/>
  <c r="M60"/>
  <c r="M61"/>
  <c r="M71"/>
  <c r="M72"/>
  <c r="M32"/>
  <c r="M36"/>
  <c r="M38"/>
  <c r="M40"/>
  <c r="M42"/>
  <c r="M43"/>
  <c r="M15"/>
  <c r="M33" s="1"/>
  <c r="M16"/>
  <c r="M17"/>
  <c r="M18"/>
  <c r="M19"/>
  <c r="M20"/>
  <c r="M21"/>
  <c r="M22"/>
  <c r="M23"/>
  <c r="M24"/>
  <c r="M25"/>
  <c r="M26"/>
  <c r="D38"/>
  <c r="E38"/>
  <c r="F38"/>
  <c r="G38"/>
  <c r="H38"/>
  <c r="I38"/>
  <c r="J38"/>
  <c r="K38"/>
  <c r="L38"/>
  <c r="C16"/>
  <c r="D16"/>
  <c r="E16"/>
  <c r="F16"/>
  <c r="G16"/>
  <c r="H16"/>
  <c r="I16"/>
  <c r="J16"/>
  <c r="K16"/>
  <c r="L16"/>
  <c r="C17"/>
  <c r="D17"/>
  <c r="E17"/>
  <c r="F17"/>
  <c r="G17"/>
  <c r="H17"/>
  <c r="I17"/>
  <c r="J17"/>
  <c r="K17"/>
  <c r="L17"/>
  <c r="C18"/>
  <c r="D18"/>
  <c r="E18"/>
  <c r="F18"/>
  <c r="G18"/>
  <c r="H18"/>
  <c r="I18"/>
  <c r="J18"/>
  <c r="K18"/>
  <c r="L18"/>
  <c r="C19"/>
  <c r="D19"/>
  <c r="E19"/>
  <c r="F19"/>
  <c r="G19"/>
  <c r="H19"/>
  <c r="I19"/>
  <c r="J19"/>
  <c r="K19"/>
  <c r="L19"/>
  <c r="C20"/>
  <c r="D20"/>
  <c r="E20"/>
  <c r="F20"/>
  <c r="G20"/>
  <c r="H20"/>
  <c r="I20"/>
  <c r="J20"/>
  <c r="K20"/>
  <c r="L20"/>
  <c r="C21"/>
  <c r="D21"/>
  <c r="E21"/>
  <c r="F21"/>
  <c r="G21"/>
  <c r="H21"/>
  <c r="I21"/>
  <c r="J21"/>
  <c r="K21"/>
  <c r="L21"/>
  <c r="C22"/>
  <c r="D22"/>
  <c r="E22"/>
  <c r="F22"/>
  <c r="G22"/>
  <c r="H22"/>
  <c r="I22"/>
  <c r="J22"/>
  <c r="K22"/>
  <c r="L22"/>
  <c r="C23"/>
  <c r="D23"/>
  <c r="E23"/>
  <c r="F23"/>
  <c r="G23"/>
  <c r="H23"/>
  <c r="I23"/>
  <c r="J23"/>
  <c r="K23"/>
  <c r="L23"/>
  <c r="C24"/>
  <c r="D24"/>
  <c r="E24"/>
  <c r="F24"/>
  <c r="G24"/>
  <c r="H24"/>
  <c r="I24"/>
  <c r="J24"/>
  <c r="K24"/>
  <c r="L24"/>
  <c r="M65" l="1"/>
  <c r="M92"/>
  <c r="M37"/>
  <c r="M39" s="1"/>
  <c r="M79" s="1"/>
  <c r="M48"/>
  <c r="M63" s="1"/>
  <c r="M34"/>
  <c r="M88"/>
  <c r="E3" i="16"/>
  <c r="F3"/>
  <c r="G3"/>
  <c r="H3"/>
  <c r="I3"/>
  <c r="J3"/>
  <c r="K3"/>
  <c r="L3"/>
  <c r="M3"/>
  <c r="O3"/>
  <c r="P3"/>
  <c r="Q3"/>
  <c r="R3"/>
  <c r="S3"/>
  <c r="T3"/>
  <c r="U3"/>
  <c r="V3"/>
  <c r="W3"/>
  <c r="X3"/>
  <c r="Y3"/>
  <c r="Z3"/>
  <c r="AA3"/>
  <c r="AB3"/>
  <c r="AC3"/>
  <c r="AD3"/>
  <c r="AE3"/>
  <c r="AF3"/>
  <c r="AG3"/>
  <c r="AH3"/>
  <c r="AI3"/>
  <c r="AJ3"/>
  <c r="AK3"/>
  <c r="AL3"/>
  <c r="AM3"/>
  <c r="AN3"/>
  <c r="AO3"/>
  <c r="AP3"/>
  <c r="AQ3"/>
  <c r="B3"/>
  <c r="C2" i="12"/>
  <c r="D2"/>
  <c r="E2"/>
  <c r="F2"/>
  <c r="G2"/>
  <c r="H2"/>
  <c r="I2"/>
  <c r="J2"/>
  <c r="K2"/>
  <c r="B2"/>
  <c r="B14" i="16"/>
  <c r="A14" s="1"/>
  <c r="E13"/>
  <c r="E12"/>
  <c r="E11"/>
  <c r="E10"/>
  <c r="AF10" s="1"/>
  <c r="E9"/>
  <c r="AK9" s="1"/>
  <c r="E8"/>
  <c r="X8" s="1"/>
  <c r="E7"/>
  <c r="AC7" s="1"/>
  <c r="E6"/>
  <c r="E5"/>
  <c r="AO5" s="1"/>
  <c r="E4"/>
  <c r="B62" i="12"/>
  <c r="K9" i="16" l="1"/>
  <c r="J5"/>
  <c r="Z5"/>
  <c r="M87" i="7"/>
  <c r="M80"/>
  <c r="M41"/>
  <c r="M83" s="1"/>
  <c r="J8" i="16"/>
  <c r="K13"/>
  <c r="R13"/>
  <c r="O9"/>
  <c r="T8"/>
  <c r="V5"/>
  <c r="W13"/>
  <c r="W11"/>
  <c r="AH8"/>
  <c r="AG5"/>
  <c r="Z4"/>
  <c r="AL5"/>
  <c r="O8"/>
  <c r="AD8"/>
  <c r="AN4"/>
  <c r="I8"/>
  <c r="K8"/>
  <c r="O12"/>
  <c r="O5"/>
  <c r="AH13"/>
  <c r="AB12"/>
  <c r="AD9"/>
  <c r="AK4"/>
  <c r="AN11"/>
  <c r="P12"/>
  <c r="AH12"/>
  <c r="I4"/>
  <c r="J13"/>
  <c r="L13"/>
  <c r="K4"/>
  <c r="S13"/>
  <c r="R9"/>
  <c r="S4"/>
  <c r="T9"/>
  <c r="V7"/>
  <c r="AD13"/>
  <c r="X12"/>
  <c r="Z9"/>
  <c r="AK5"/>
  <c r="AD4"/>
  <c r="AO9"/>
  <c r="G11"/>
  <c r="H7"/>
  <c r="I12"/>
  <c r="J9"/>
  <c r="L9"/>
  <c r="K5"/>
  <c r="S12"/>
  <c r="S9"/>
  <c r="P8"/>
  <c r="R5"/>
  <c r="O4"/>
  <c r="T13"/>
  <c r="U7"/>
  <c r="V12"/>
  <c r="AI13"/>
  <c r="Y13"/>
  <c r="AC12"/>
  <c r="AB11"/>
  <c r="AE9"/>
  <c r="AJ8"/>
  <c r="Y8"/>
  <c r="X7"/>
  <c r="AA5"/>
  <c r="AF4"/>
  <c r="AL7"/>
  <c r="AO12"/>
  <c r="AO7"/>
  <c r="Q7"/>
  <c r="AI7"/>
  <c r="G7"/>
  <c r="H11"/>
  <c r="J12"/>
  <c r="J4"/>
  <c r="K12"/>
  <c r="L5"/>
  <c r="O13"/>
  <c r="Q11"/>
  <c r="S8"/>
  <c r="S5"/>
  <c r="P4"/>
  <c r="T4"/>
  <c r="U13"/>
  <c r="AC13"/>
  <c r="AG12"/>
  <c r="AG11"/>
  <c r="AI9"/>
  <c r="Y9"/>
  <c r="AC8"/>
  <c r="AE5"/>
  <c r="AJ4"/>
  <c r="Y4"/>
  <c r="AL12"/>
  <c r="AM13"/>
  <c r="AM9"/>
  <c r="AO6"/>
  <c r="AL6"/>
  <c r="Y6"/>
  <c r="AC6"/>
  <c r="AG6"/>
  <c r="AK6"/>
  <c r="V6"/>
  <c r="AN6"/>
  <c r="X6"/>
  <c r="AD6"/>
  <c r="AI6"/>
  <c r="O6"/>
  <c r="S6"/>
  <c r="J6"/>
  <c r="AA6"/>
  <c r="G6"/>
  <c r="Z6"/>
  <c r="AE6"/>
  <c r="AJ6"/>
  <c r="T6"/>
  <c r="P6"/>
  <c r="K6"/>
  <c r="I6"/>
  <c r="AF6"/>
  <c r="U6"/>
  <c r="Q6"/>
  <c r="L6"/>
  <c r="H6"/>
  <c r="W6"/>
  <c r="R10"/>
  <c r="R6"/>
  <c r="AM6"/>
  <c r="AO10"/>
  <c r="AL10"/>
  <c r="Y10"/>
  <c r="AC10"/>
  <c r="AG10"/>
  <c r="AK10"/>
  <c r="V10"/>
  <c r="AM10"/>
  <c r="W10"/>
  <c r="AB10"/>
  <c r="AH10"/>
  <c r="T10"/>
  <c r="O10"/>
  <c r="S10"/>
  <c r="J10"/>
  <c r="Z10"/>
  <c r="AE10"/>
  <c r="Q10"/>
  <c r="L10"/>
  <c r="G10"/>
  <c r="AN10"/>
  <c r="X10"/>
  <c r="AD10"/>
  <c r="AI10"/>
  <c r="U10"/>
  <c r="P10"/>
  <c r="K10"/>
  <c r="I10"/>
  <c r="AJ10"/>
  <c r="H10"/>
  <c r="AA10"/>
  <c r="AH6"/>
  <c r="M10"/>
  <c r="M6"/>
  <c r="AB6"/>
  <c r="Z7"/>
  <c r="AD7"/>
  <c r="AH7"/>
  <c r="T7"/>
  <c r="Z11"/>
  <c r="AD11"/>
  <c r="AH11"/>
  <c r="T11"/>
  <c r="I11"/>
  <c r="I7"/>
  <c r="M7"/>
  <c r="P11"/>
  <c r="P7"/>
  <c r="AF11"/>
  <c r="AG7"/>
  <c r="AB7"/>
  <c r="AL11"/>
  <c r="AN7"/>
  <c r="AM4"/>
  <c r="W4"/>
  <c r="AA4"/>
  <c r="AE4"/>
  <c r="AI4"/>
  <c r="U4"/>
  <c r="AM8"/>
  <c r="W8"/>
  <c r="AA8"/>
  <c r="AE8"/>
  <c r="AI8"/>
  <c r="U8"/>
  <c r="AM12"/>
  <c r="W12"/>
  <c r="AA12"/>
  <c r="AE12"/>
  <c r="AI12"/>
  <c r="U12"/>
  <c r="G4"/>
  <c r="G13"/>
  <c r="G9"/>
  <c r="G5"/>
  <c r="H13"/>
  <c r="H9"/>
  <c r="H5"/>
  <c r="J11"/>
  <c r="J7"/>
  <c r="M12"/>
  <c r="L11"/>
  <c r="M8"/>
  <c r="L7"/>
  <c r="M4"/>
  <c r="Q13"/>
  <c r="R12"/>
  <c r="S11"/>
  <c r="O11"/>
  <c r="Q9"/>
  <c r="R8"/>
  <c r="S7"/>
  <c r="O7"/>
  <c r="Q5"/>
  <c r="R4"/>
  <c r="T12"/>
  <c r="U5"/>
  <c r="V9"/>
  <c r="AG13"/>
  <c r="AA13"/>
  <c r="AK12"/>
  <c r="AF12"/>
  <c r="Z12"/>
  <c r="AJ11"/>
  <c r="AE11"/>
  <c r="Y11"/>
  <c r="AH9"/>
  <c r="AC9"/>
  <c r="W9"/>
  <c r="AG8"/>
  <c r="AB8"/>
  <c r="AK7"/>
  <c r="AF7"/>
  <c r="AA7"/>
  <c r="AI5"/>
  <c r="AD5"/>
  <c r="Y5"/>
  <c r="AH4"/>
  <c r="AC4"/>
  <c r="X4"/>
  <c r="AL9"/>
  <c r="AN12"/>
  <c r="AO8"/>
  <c r="AM7"/>
  <c r="AM5"/>
  <c r="M11"/>
  <c r="U11"/>
  <c r="V11"/>
  <c r="AK11"/>
  <c r="AA11"/>
  <c r="W7"/>
  <c r="AM11"/>
  <c r="AN5"/>
  <c r="X5"/>
  <c r="AB5"/>
  <c r="AF5"/>
  <c r="AJ5"/>
  <c r="AN9"/>
  <c r="X9"/>
  <c r="AB9"/>
  <c r="AF9"/>
  <c r="AJ9"/>
  <c r="AN13"/>
  <c r="X13"/>
  <c r="AB13"/>
  <c r="AF13"/>
  <c r="AJ13"/>
  <c r="G12"/>
  <c r="G8"/>
  <c r="H12"/>
  <c r="H8"/>
  <c r="H4"/>
  <c r="I13"/>
  <c r="I9"/>
  <c r="I5"/>
  <c r="M13"/>
  <c r="L12"/>
  <c r="K11"/>
  <c r="M9"/>
  <c r="L8"/>
  <c r="K7"/>
  <c r="M5"/>
  <c r="L4"/>
  <c r="P13"/>
  <c r="Q12"/>
  <c r="R11"/>
  <c r="P9"/>
  <c r="Q8"/>
  <c r="R7"/>
  <c r="P5"/>
  <c r="Q4"/>
  <c r="T5"/>
  <c r="U9"/>
  <c r="V4"/>
  <c r="V13"/>
  <c r="V8"/>
  <c r="AK13"/>
  <c r="AE13"/>
  <c r="Z13"/>
  <c r="AJ12"/>
  <c r="AD12"/>
  <c r="Y12"/>
  <c r="AI11"/>
  <c r="AC11"/>
  <c r="X11"/>
  <c r="AG9"/>
  <c r="AA9"/>
  <c r="AK8"/>
  <c r="AF8"/>
  <c r="Z8"/>
  <c r="AJ7"/>
  <c r="AE7"/>
  <c r="Y7"/>
  <c r="AH5"/>
  <c r="AC5"/>
  <c r="W5"/>
  <c r="AG4"/>
  <c r="AB4"/>
  <c r="AL4"/>
  <c r="AL13"/>
  <c r="AL8"/>
  <c r="AO13"/>
  <c r="AO11"/>
  <c r="AN8"/>
  <c r="AO4"/>
  <c r="F6"/>
  <c r="B9"/>
  <c r="A9" s="1"/>
  <c r="F10"/>
  <c r="B13"/>
  <c r="A13" s="1"/>
  <c r="B7"/>
  <c r="A7" s="1"/>
  <c r="B11"/>
  <c r="A11" s="1"/>
  <c r="F11"/>
  <c r="F7"/>
  <c r="B4"/>
  <c r="A4" s="1"/>
  <c r="F4"/>
  <c r="B6"/>
  <c r="A6" s="1"/>
  <c r="B10"/>
  <c r="A10" s="1"/>
  <c r="F12"/>
  <c r="F8"/>
  <c r="B5"/>
  <c r="A5" s="1"/>
  <c r="F13"/>
  <c r="F9"/>
  <c r="F5"/>
  <c r="B12"/>
  <c r="A12" s="1"/>
  <c r="B8"/>
  <c r="A8" s="1"/>
  <c r="B6" i="14"/>
  <c r="C6"/>
  <c r="D6"/>
  <c r="E6"/>
  <c r="B26"/>
  <c r="C26"/>
  <c r="D26"/>
  <c r="E26"/>
  <c r="N9" i="16" l="1"/>
  <c r="N5"/>
  <c r="N11"/>
  <c r="N8"/>
  <c r="N13"/>
  <c r="N12"/>
  <c r="N4"/>
  <c r="N10"/>
  <c r="N6"/>
  <c r="N7"/>
  <c r="O37" i="12"/>
  <c r="N37"/>
  <c r="M37"/>
  <c r="D24" i="14" s="1"/>
  <c r="M36" i="12"/>
  <c r="D23" i="14" s="1"/>
  <c r="O36" i="12"/>
  <c r="N36"/>
  <c r="M31"/>
  <c r="D18" i="14" s="1"/>
  <c r="O35" i="12"/>
  <c r="B22" i="14" s="1"/>
  <c r="N35" i="12"/>
  <c r="M35"/>
  <c r="M33"/>
  <c r="D20" i="14" s="1"/>
  <c r="M26" i="12"/>
  <c r="D13" i="14" s="1"/>
  <c r="N26" i="12"/>
  <c r="C13" i="14" s="1"/>
  <c r="O26" i="12"/>
  <c r="B13" i="14" s="1"/>
  <c r="M27" i="12"/>
  <c r="D14" i="14" s="1"/>
  <c r="N27" i="12"/>
  <c r="C14" i="14" s="1"/>
  <c r="O27" i="12"/>
  <c r="B14" i="14" s="1"/>
  <c r="M28" i="12"/>
  <c r="D15" i="14" s="1"/>
  <c r="N28" i="12"/>
  <c r="C15" i="14" s="1"/>
  <c r="O28" i="12"/>
  <c r="B15" i="14" s="1"/>
  <c r="M29" i="12"/>
  <c r="D16" i="14" s="1"/>
  <c r="N29" i="12"/>
  <c r="C16" i="14" s="1"/>
  <c r="O29" i="12"/>
  <c r="B16" i="14" s="1"/>
  <c r="M30" i="12"/>
  <c r="D17" i="14" s="1"/>
  <c r="N30" i="12"/>
  <c r="C17" i="14" s="1"/>
  <c r="O30" i="12"/>
  <c r="B17" i="14" s="1"/>
  <c r="N31" i="12"/>
  <c r="C18" i="14" s="1"/>
  <c r="O31" i="12"/>
  <c r="B18" i="14" s="1"/>
  <c r="M32" i="12"/>
  <c r="D19" i="14" s="1"/>
  <c r="N32" i="12"/>
  <c r="C19" i="14" s="1"/>
  <c r="O32" i="12"/>
  <c r="B19" i="14" s="1"/>
  <c r="N33" i="12"/>
  <c r="C20" i="14" s="1"/>
  <c r="O33" i="12"/>
  <c r="B20" i="14" s="1"/>
  <c r="O25" i="12"/>
  <c r="N25"/>
  <c r="M25"/>
  <c r="D12" i="14" s="1"/>
  <c r="M22" i="12"/>
  <c r="D8" i="14" s="1"/>
  <c r="O22" i="12"/>
  <c r="B8" i="14" s="1"/>
  <c r="N22" i="12"/>
  <c r="C8" i="14" s="1"/>
  <c r="K22" i="12"/>
  <c r="E8" i="14" s="1"/>
  <c r="B18" i="13" l="1"/>
  <c r="C22" i="14"/>
  <c r="B20" i="13"/>
  <c r="B23" i="14"/>
  <c r="B23" i="13"/>
  <c r="B24" i="14"/>
  <c r="N34" i="12"/>
  <c r="C12" i="14"/>
  <c r="M34" i="12"/>
  <c r="B17" i="13"/>
  <c r="O34" i="12"/>
  <c r="B12" i="14"/>
  <c r="B22" i="13"/>
  <c r="B19"/>
  <c r="D22" i="14"/>
  <c r="B21" i="13"/>
  <c r="C23" i="14"/>
  <c r="B24" i="13"/>
  <c r="C24" i="14"/>
  <c r="B25" i="13"/>
  <c r="C98" i="12"/>
  <c r="D98"/>
  <c r="E98"/>
  <c r="F98"/>
  <c r="G98"/>
  <c r="H98"/>
  <c r="I98"/>
  <c r="J98"/>
  <c r="K98"/>
  <c r="E54" i="14" s="1"/>
  <c r="B98" i="12"/>
  <c r="C74"/>
  <c r="D74"/>
  <c r="E74"/>
  <c r="F74"/>
  <c r="G74"/>
  <c r="H74"/>
  <c r="I74"/>
  <c r="J74"/>
  <c r="K74"/>
  <c r="E51" i="14" s="1"/>
  <c r="B74" i="12"/>
  <c r="C96"/>
  <c r="D96"/>
  <c r="E96"/>
  <c r="F96"/>
  <c r="G96"/>
  <c r="H96"/>
  <c r="I96"/>
  <c r="J96"/>
  <c r="K96"/>
  <c r="E52" i="14" s="1"/>
  <c r="B96" i="12"/>
  <c r="C68" i="8"/>
  <c r="C10" i="12"/>
  <c r="C110" s="1"/>
  <c r="D10"/>
  <c r="D110" s="1"/>
  <c r="E10"/>
  <c r="E110" s="1"/>
  <c r="F10"/>
  <c r="F110" s="1"/>
  <c r="G10"/>
  <c r="G110" s="1"/>
  <c r="H10"/>
  <c r="H110" s="1"/>
  <c r="I10"/>
  <c r="I110" s="1"/>
  <c r="J10"/>
  <c r="J110" s="1"/>
  <c r="K10"/>
  <c r="K110" s="1"/>
  <c r="E66" i="14" s="1"/>
  <c r="B10" i="12"/>
  <c r="B114" s="1"/>
  <c r="C72"/>
  <c r="C73" s="1"/>
  <c r="D72"/>
  <c r="D73" s="1"/>
  <c r="E72"/>
  <c r="E73" s="1"/>
  <c r="F72"/>
  <c r="F73" s="1"/>
  <c r="G72"/>
  <c r="H72"/>
  <c r="H73" s="1"/>
  <c r="I72"/>
  <c r="J72"/>
  <c r="J73" s="1"/>
  <c r="K72"/>
  <c r="B72"/>
  <c r="C98" i="8"/>
  <c r="C70" i="12"/>
  <c r="C71" s="1"/>
  <c r="D70"/>
  <c r="D71" s="1"/>
  <c r="E70"/>
  <c r="E71" s="1"/>
  <c r="F70"/>
  <c r="F71" s="1"/>
  <c r="G70"/>
  <c r="H70"/>
  <c r="H71" s="1"/>
  <c r="I70"/>
  <c r="J70"/>
  <c r="J71" s="1"/>
  <c r="K70"/>
  <c r="B70"/>
  <c r="C99" i="8"/>
  <c r="C37" i="12"/>
  <c r="D37"/>
  <c r="E37"/>
  <c r="F37"/>
  <c r="G37"/>
  <c r="H37"/>
  <c r="I37"/>
  <c r="J37"/>
  <c r="K37"/>
  <c r="E24" i="14" s="1"/>
  <c r="B37" i="12"/>
  <c r="C36"/>
  <c r="D36"/>
  <c r="E36"/>
  <c r="F36"/>
  <c r="G36"/>
  <c r="H36"/>
  <c r="I36"/>
  <c r="J36"/>
  <c r="K36"/>
  <c r="E23" i="14" s="1"/>
  <c r="B36" i="12"/>
  <c r="C35"/>
  <c r="D35"/>
  <c r="E35"/>
  <c r="F35"/>
  <c r="G35"/>
  <c r="H35"/>
  <c r="I35"/>
  <c r="J35"/>
  <c r="K35"/>
  <c r="E22" i="14" s="1"/>
  <c r="B35" i="12"/>
  <c r="C25"/>
  <c r="C34" s="1"/>
  <c r="D25"/>
  <c r="D34" s="1"/>
  <c r="E25"/>
  <c r="E34" s="1"/>
  <c r="F25"/>
  <c r="F34" s="1"/>
  <c r="G25"/>
  <c r="G34" s="1"/>
  <c r="H25"/>
  <c r="H34" s="1"/>
  <c r="I25"/>
  <c r="I34" s="1"/>
  <c r="J25"/>
  <c r="J34" s="1"/>
  <c r="K25"/>
  <c r="C26"/>
  <c r="D26"/>
  <c r="E26"/>
  <c r="F26"/>
  <c r="G26"/>
  <c r="H26"/>
  <c r="I26"/>
  <c r="J26"/>
  <c r="K26"/>
  <c r="E13" i="14" s="1"/>
  <c r="C27" i="12"/>
  <c r="D27"/>
  <c r="E27"/>
  <c r="F27"/>
  <c r="G27"/>
  <c r="H27"/>
  <c r="I27"/>
  <c r="J27"/>
  <c r="K27"/>
  <c r="E14" i="14" s="1"/>
  <c r="C28" i="12"/>
  <c r="D28"/>
  <c r="E28"/>
  <c r="F28"/>
  <c r="G28"/>
  <c r="H28"/>
  <c r="I28"/>
  <c r="J28"/>
  <c r="K28"/>
  <c r="E15" i="14" s="1"/>
  <c r="C29" i="12"/>
  <c r="D29"/>
  <c r="E29"/>
  <c r="F29"/>
  <c r="G29"/>
  <c r="H29"/>
  <c r="I29"/>
  <c r="J29"/>
  <c r="K29"/>
  <c r="E16" i="14" s="1"/>
  <c r="C30" i="12"/>
  <c r="D30"/>
  <c r="E30"/>
  <c r="F30"/>
  <c r="G30"/>
  <c r="H30"/>
  <c r="I30"/>
  <c r="J30"/>
  <c r="K30"/>
  <c r="E17" i="14" s="1"/>
  <c r="C31" i="12"/>
  <c r="D31"/>
  <c r="E31"/>
  <c r="F31"/>
  <c r="G31"/>
  <c r="H31"/>
  <c r="I31"/>
  <c r="J31"/>
  <c r="K31"/>
  <c r="E18" i="14" s="1"/>
  <c r="C32" i="12"/>
  <c r="D32"/>
  <c r="E32"/>
  <c r="F32"/>
  <c r="G32"/>
  <c r="H32"/>
  <c r="I32"/>
  <c r="J32"/>
  <c r="K32"/>
  <c r="E19" i="14" s="1"/>
  <c r="C33" i="12"/>
  <c r="D33"/>
  <c r="E33"/>
  <c r="F33"/>
  <c r="G33"/>
  <c r="H33"/>
  <c r="I33"/>
  <c r="J33"/>
  <c r="K33"/>
  <c r="E20" i="14" s="1"/>
  <c r="B26" i="12"/>
  <c r="B27"/>
  <c r="B28"/>
  <c r="B29"/>
  <c r="B30"/>
  <c r="B31"/>
  <c r="B32"/>
  <c r="B33"/>
  <c r="B25"/>
  <c r="B34" s="1"/>
  <c r="C97"/>
  <c r="C107" s="1"/>
  <c r="D97"/>
  <c r="D107" s="1"/>
  <c r="E97"/>
  <c r="E107" s="1"/>
  <c r="F97"/>
  <c r="F107" s="1"/>
  <c r="G97"/>
  <c r="H97"/>
  <c r="H107" s="1"/>
  <c r="I97"/>
  <c r="J97"/>
  <c r="J107" s="1"/>
  <c r="K97"/>
  <c r="B97"/>
  <c r="C74" i="8"/>
  <c r="C122" i="12"/>
  <c r="D122"/>
  <c r="E122"/>
  <c r="F122"/>
  <c r="G122"/>
  <c r="H122"/>
  <c r="I122"/>
  <c r="J122"/>
  <c r="K122"/>
  <c r="E77" i="14" s="1"/>
  <c r="B122" i="12"/>
  <c r="C121"/>
  <c r="D121"/>
  <c r="E121"/>
  <c r="F121"/>
  <c r="G121"/>
  <c r="H121"/>
  <c r="I121"/>
  <c r="J121"/>
  <c r="K121"/>
  <c r="E76" i="14" s="1"/>
  <c r="B121" i="12"/>
  <c r="C69"/>
  <c r="D69"/>
  <c r="E69"/>
  <c r="F69"/>
  <c r="G69"/>
  <c r="H69"/>
  <c r="I69"/>
  <c r="J69"/>
  <c r="K69"/>
  <c r="E46" i="14" s="1"/>
  <c r="B69" i="12"/>
  <c r="C65"/>
  <c r="D65"/>
  <c r="E65"/>
  <c r="F65"/>
  <c r="G65"/>
  <c r="H65"/>
  <c r="I65"/>
  <c r="J65"/>
  <c r="K65"/>
  <c r="E43" i="14" s="1"/>
  <c r="B65" i="12"/>
  <c r="B64"/>
  <c r="C64"/>
  <c r="D64"/>
  <c r="E64"/>
  <c r="F64"/>
  <c r="G64"/>
  <c r="H64"/>
  <c r="I64"/>
  <c r="J64"/>
  <c r="K64"/>
  <c r="E42" i="14" s="1"/>
  <c r="C63" i="12"/>
  <c r="D63"/>
  <c r="E63"/>
  <c r="F63"/>
  <c r="G63"/>
  <c r="H63"/>
  <c r="I63"/>
  <c r="J63"/>
  <c r="K63"/>
  <c r="E41" i="14" s="1"/>
  <c r="B63" i="12"/>
  <c r="C62"/>
  <c r="D62"/>
  <c r="E62"/>
  <c r="F62"/>
  <c r="G62"/>
  <c r="H62"/>
  <c r="I62"/>
  <c r="J62"/>
  <c r="K62"/>
  <c r="C61"/>
  <c r="D61"/>
  <c r="E61"/>
  <c r="F61"/>
  <c r="G61"/>
  <c r="H61"/>
  <c r="I61"/>
  <c r="J61"/>
  <c r="K61"/>
  <c r="B61"/>
  <c r="C59"/>
  <c r="D59"/>
  <c r="E59"/>
  <c r="F59"/>
  <c r="G59"/>
  <c r="H59"/>
  <c r="I59"/>
  <c r="J59"/>
  <c r="K59"/>
  <c r="E40" i="14" s="1"/>
  <c r="B59" i="12"/>
  <c r="C115" i="8"/>
  <c r="C58" i="12"/>
  <c r="D58"/>
  <c r="E58"/>
  <c r="F58"/>
  <c r="G58"/>
  <c r="H58"/>
  <c r="I58"/>
  <c r="J58"/>
  <c r="K58"/>
  <c r="E39" i="14" s="1"/>
  <c r="B58" i="12"/>
  <c r="C113" i="8"/>
  <c r="C57" i="12"/>
  <c r="C108" s="1"/>
  <c r="D57"/>
  <c r="D108" s="1"/>
  <c r="E57"/>
  <c r="E108" s="1"/>
  <c r="F57"/>
  <c r="F108" s="1"/>
  <c r="G57"/>
  <c r="H57"/>
  <c r="H108" s="1"/>
  <c r="I57"/>
  <c r="J57"/>
  <c r="J108" s="1"/>
  <c r="K57"/>
  <c r="B57"/>
  <c r="C56"/>
  <c r="D56"/>
  <c r="E56"/>
  <c r="F56"/>
  <c r="G56"/>
  <c r="H56"/>
  <c r="I56"/>
  <c r="J56"/>
  <c r="K56"/>
  <c r="E37" i="14" s="1"/>
  <c r="B56" i="12"/>
  <c r="C55"/>
  <c r="D55"/>
  <c r="E55"/>
  <c r="F55"/>
  <c r="G55"/>
  <c r="H55"/>
  <c r="I55"/>
  <c r="J55"/>
  <c r="K55"/>
  <c r="E36" i="14" s="1"/>
  <c r="B55" i="12"/>
  <c r="C54"/>
  <c r="D54"/>
  <c r="E54"/>
  <c r="F54"/>
  <c r="G54"/>
  <c r="H54"/>
  <c r="I54"/>
  <c r="J54"/>
  <c r="K54"/>
  <c r="E35" i="14" s="1"/>
  <c r="B54" i="12"/>
  <c r="C42"/>
  <c r="D42"/>
  <c r="E42"/>
  <c r="F42"/>
  <c r="G42"/>
  <c r="H42"/>
  <c r="I42"/>
  <c r="J42"/>
  <c r="K42"/>
  <c r="E28" i="14" s="1"/>
  <c r="B42" i="12"/>
  <c r="C41"/>
  <c r="D41"/>
  <c r="E41"/>
  <c r="F41"/>
  <c r="G41"/>
  <c r="H41"/>
  <c r="I41"/>
  <c r="J41"/>
  <c r="K41"/>
  <c r="E27" i="14" s="1"/>
  <c r="B41" i="12"/>
  <c r="C46"/>
  <c r="D46"/>
  <c r="E46"/>
  <c r="F46"/>
  <c r="G46"/>
  <c r="H46"/>
  <c r="I46"/>
  <c r="J46"/>
  <c r="K46"/>
  <c r="C47"/>
  <c r="D47"/>
  <c r="E47"/>
  <c r="F47"/>
  <c r="G47"/>
  <c r="H47"/>
  <c r="I47"/>
  <c r="J47"/>
  <c r="K47"/>
  <c r="C48"/>
  <c r="D48"/>
  <c r="E48"/>
  <c r="F48"/>
  <c r="G48"/>
  <c r="H48"/>
  <c r="I48"/>
  <c r="J48"/>
  <c r="K48"/>
  <c r="C49"/>
  <c r="D49"/>
  <c r="E49"/>
  <c r="F49"/>
  <c r="G49"/>
  <c r="H49"/>
  <c r="I49"/>
  <c r="J49"/>
  <c r="K49"/>
  <c r="C50"/>
  <c r="D50"/>
  <c r="E50"/>
  <c r="F50"/>
  <c r="G50"/>
  <c r="H50"/>
  <c r="I50"/>
  <c r="J50"/>
  <c r="K50"/>
  <c r="C51"/>
  <c r="D51"/>
  <c r="E51"/>
  <c r="F51"/>
  <c r="G51"/>
  <c r="H51"/>
  <c r="I51"/>
  <c r="J51"/>
  <c r="K51"/>
  <c r="E31" i="14" s="1"/>
  <c r="C52" i="12"/>
  <c r="D52"/>
  <c r="E52"/>
  <c r="F52"/>
  <c r="G52"/>
  <c r="H52"/>
  <c r="I52"/>
  <c r="J52"/>
  <c r="K52"/>
  <c r="E32" i="14" s="1"/>
  <c r="B52" i="12"/>
  <c r="B51"/>
  <c r="B50"/>
  <c r="B49"/>
  <c r="B48"/>
  <c r="B47"/>
  <c r="B46"/>
  <c r="D60"/>
  <c r="E60"/>
  <c r="F60"/>
  <c r="G60"/>
  <c r="H60"/>
  <c r="I60"/>
  <c r="J60"/>
  <c r="K60"/>
  <c r="C60"/>
  <c r="C40"/>
  <c r="D40"/>
  <c r="E40"/>
  <c r="F40"/>
  <c r="G40"/>
  <c r="H40"/>
  <c r="I40"/>
  <c r="J40"/>
  <c r="K40"/>
  <c r="B40"/>
  <c r="C39"/>
  <c r="D39"/>
  <c r="E39"/>
  <c r="F39"/>
  <c r="G39"/>
  <c r="H39"/>
  <c r="I39"/>
  <c r="J39"/>
  <c r="K39"/>
  <c r="B39"/>
  <c r="B6"/>
  <c r="C22"/>
  <c r="D22"/>
  <c r="E22"/>
  <c r="F22"/>
  <c r="G22"/>
  <c r="H22"/>
  <c r="I22"/>
  <c r="J22"/>
  <c r="B22"/>
  <c r="C9"/>
  <c r="D9"/>
  <c r="E9"/>
  <c r="F9"/>
  <c r="G9"/>
  <c r="H9"/>
  <c r="I9"/>
  <c r="J9"/>
  <c r="K9"/>
  <c r="B9"/>
  <c r="C8"/>
  <c r="D8"/>
  <c r="E8"/>
  <c r="F8"/>
  <c r="G8"/>
  <c r="H8"/>
  <c r="I8"/>
  <c r="J8"/>
  <c r="K8"/>
  <c r="B8"/>
  <c r="C11"/>
  <c r="D11"/>
  <c r="E11"/>
  <c r="F11"/>
  <c r="G11"/>
  <c r="H11"/>
  <c r="I11"/>
  <c r="J11"/>
  <c r="K11"/>
  <c r="B11"/>
  <c r="D13"/>
  <c r="D45" s="1"/>
  <c r="E13"/>
  <c r="E43" s="1"/>
  <c r="F13"/>
  <c r="F43" s="1"/>
  <c r="G13"/>
  <c r="G44" s="1"/>
  <c r="H13"/>
  <c r="H45" s="1"/>
  <c r="I13"/>
  <c r="I45" s="1"/>
  <c r="J13"/>
  <c r="J43" s="1"/>
  <c r="K13"/>
  <c r="K44" s="1"/>
  <c r="E29" i="14" s="1"/>
  <c r="C13" i="12"/>
  <c r="C45" s="1"/>
  <c r="C45" i="8"/>
  <c r="C14" i="12"/>
  <c r="C102" s="1"/>
  <c r="D14"/>
  <c r="D102" s="1"/>
  <c r="E14"/>
  <c r="E102" s="1"/>
  <c r="F14"/>
  <c r="F102" s="1"/>
  <c r="G14"/>
  <c r="G102" s="1"/>
  <c r="H14"/>
  <c r="H102" s="1"/>
  <c r="I14"/>
  <c r="I102" s="1"/>
  <c r="J14"/>
  <c r="J102" s="1"/>
  <c r="K14"/>
  <c r="K102" s="1"/>
  <c r="E58" i="14" s="1"/>
  <c r="B14" i="12"/>
  <c r="B102" s="1"/>
  <c r="C12"/>
  <c r="D12"/>
  <c r="E12"/>
  <c r="F12"/>
  <c r="G12"/>
  <c r="H12"/>
  <c r="I12"/>
  <c r="J12"/>
  <c r="K12"/>
  <c r="B12"/>
  <c r="C7"/>
  <c r="D7"/>
  <c r="E7"/>
  <c r="F7"/>
  <c r="G7"/>
  <c r="H7"/>
  <c r="I7"/>
  <c r="J7"/>
  <c r="K7"/>
  <c r="B7"/>
  <c r="C6"/>
  <c r="D6"/>
  <c r="E6"/>
  <c r="F6"/>
  <c r="G6"/>
  <c r="H6"/>
  <c r="I6"/>
  <c r="J6"/>
  <c r="K6"/>
  <c r="C5"/>
  <c r="D5"/>
  <c r="E5"/>
  <c r="F5"/>
  <c r="G5"/>
  <c r="H5"/>
  <c r="I5"/>
  <c r="J5"/>
  <c r="K5"/>
  <c r="B5"/>
  <c r="C4"/>
  <c r="D4"/>
  <c r="E4"/>
  <c r="F4"/>
  <c r="G4"/>
  <c r="H4"/>
  <c r="I4"/>
  <c r="J4"/>
  <c r="K4"/>
  <c r="B4"/>
  <c r="B105" s="1"/>
  <c r="K1"/>
  <c r="C1"/>
  <c r="D1"/>
  <c r="E1"/>
  <c r="F1"/>
  <c r="G1"/>
  <c r="H1"/>
  <c r="I1"/>
  <c r="J1"/>
  <c r="B1"/>
  <c r="O63" l="1"/>
  <c r="B41" i="14" s="1"/>
  <c r="O121" i="12"/>
  <c r="B76" i="14" s="1"/>
  <c r="O61" i="12"/>
  <c r="AP13" i="16"/>
  <c r="AP6"/>
  <c r="AP10"/>
  <c r="AP9"/>
  <c r="AP4"/>
  <c r="AP5"/>
  <c r="AP7"/>
  <c r="AP8"/>
  <c r="AP12"/>
  <c r="AP11"/>
  <c r="M40" i="12"/>
  <c r="M49"/>
  <c r="M64"/>
  <c r="B46" i="13" s="1"/>
  <c r="O46" i="12"/>
  <c r="O50"/>
  <c r="O42"/>
  <c r="B28" i="14" s="1"/>
  <c r="O55" i="12"/>
  <c r="B41" i="13" s="1"/>
  <c r="O65" i="12"/>
  <c r="B43" i="14" s="1"/>
  <c r="O70" i="12"/>
  <c r="B47" i="14" s="1"/>
  <c r="O96" i="12"/>
  <c r="B52" i="14" s="1"/>
  <c r="O98" i="12"/>
  <c r="B54" i="14" s="1"/>
  <c r="N39" i="12"/>
  <c r="N47"/>
  <c r="K34"/>
  <c r="E21" i="14" s="1"/>
  <c r="E12"/>
  <c r="K73" i="12"/>
  <c r="E50" i="14" s="1"/>
  <c r="E49"/>
  <c r="M110" i="12"/>
  <c r="K108"/>
  <c r="E64" i="14" s="1"/>
  <c r="E38"/>
  <c r="K71" i="12"/>
  <c r="E48" i="14" s="1"/>
  <c r="E47"/>
  <c r="B14" i="13"/>
  <c r="B21" i="14"/>
  <c r="B15" i="13"/>
  <c r="C21" i="14"/>
  <c r="K107" i="12"/>
  <c r="E63" i="14" s="1"/>
  <c r="E53"/>
  <c r="B16" i="13"/>
  <c r="D21" i="14"/>
  <c r="N60" i="12"/>
  <c r="N51"/>
  <c r="C31" i="14" s="1"/>
  <c r="B108" i="12"/>
  <c r="O57"/>
  <c r="B38" i="14" s="1"/>
  <c r="N58" i="12"/>
  <c r="C39" i="14" s="1"/>
  <c r="I107" i="12"/>
  <c r="M97"/>
  <c r="O47"/>
  <c r="M52"/>
  <c r="N50"/>
  <c r="M56"/>
  <c r="D37" i="14" s="1"/>
  <c r="G108" i="12"/>
  <c r="N57"/>
  <c r="C38" i="14" s="1"/>
  <c r="N63" i="12"/>
  <c r="C41" i="14" s="1"/>
  <c r="M69" i="12"/>
  <c r="B107"/>
  <c r="O97"/>
  <c r="M74"/>
  <c r="H111"/>
  <c r="D111"/>
  <c r="M102"/>
  <c r="D58" i="14" s="1"/>
  <c r="M39" i="12"/>
  <c r="N40"/>
  <c r="M60"/>
  <c r="O48"/>
  <c r="O52"/>
  <c r="M51"/>
  <c r="D31" i="14" s="1"/>
  <c r="N49" i="12"/>
  <c r="M47"/>
  <c r="O41"/>
  <c r="O54"/>
  <c r="O56"/>
  <c r="B37" i="14" s="1"/>
  <c r="M58" i="12"/>
  <c r="D39" i="14" s="1"/>
  <c r="O59" i="12"/>
  <c r="B40" i="14" s="1"/>
  <c r="O62" i="12"/>
  <c r="N64"/>
  <c r="O69"/>
  <c r="O122"/>
  <c r="G107"/>
  <c r="N97"/>
  <c r="I73"/>
  <c r="M72"/>
  <c r="N110"/>
  <c r="O74"/>
  <c r="N102"/>
  <c r="C58" i="14" s="1"/>
  <c r="N72" i="12"/>
  <c r="O40"/>
  <c r="O51"/>
  <c r="B31" i="14" s="1"/>
  <c r="M48" i="12"/>
  <c r="N46"/>
  <c r="M41"/>
  <c r="N42"/>
  <c r="M54"/>
  <c r="N55"/>
  <c r="M59"/>
  <c r="D40" i="14" s="1"/>
  <c r="N61" i="12"/>
  <c r="M62"/>
  <c r="N65"/>
  <c r="N121"/>
  <c r="M122"/>
  <c r="N70"/>
  <c r="N96"/>
  <c r="N98"/>
  <c r="C54" i="14" s="1"/>
  <c r="O102" i="12"/>
  <c r="B58" i="14" s="1"/>
  <c r="O39" i="12"/>
  <c r="O60"/>
  <c r="O49"/>
  <c r="N52"/>
  <c r="M50"/>
  <c r="N48"/>
  <c r="M46"/>
  <c r="N41"/>
  <c r="M42"/>
  <c r="N54"/>
  <c r="M55"/>
  <c r="N56"/>
  <c r="C37" i="14" s="1"/>
  <c r="I108" i="12"/>
  <c r="M108" s="1"/>
  <c r="D64" i="14" s="1"/>
  <c r="M57" i="12"/>
  <c r="D38" i="14" s="1"/>
  <c r="O58" i="12"/>
  <c r="B39" i="14" s="1"/>
  <c r="N59" i="12"/>
  <c r="C40" i="14" s="1"/>
  <c r="M61" i="12"/>
  <c r="N62"/>
  <c r="M63"/>
  <c r="D41" i="14" s="1"/>
  <c r="O64" i="12"/>
  <c r="M65"/>
  <c r="N69"/>
  <c r="M121"/>
  <c r="N122"/>
  <c r="I71"/>
  <c r="M70"/>
  <c r="O72"/>
  <c r="M96"/>
  <c r="N74"/>
  <c r="M98"/>
  <c r="D54" i="14" s="1"/>
  <c r="N21" i="12"/>
  <c r="C7" i="14" s="1"/>
  <c r="M21" i="12"/>
  <c r="D7" i="14" s="1"/>
  <c r="B101" i="12"/>
  <c r="O21"/>
  <c r="B7" i="14" s="1"/>
  <c r="O20" i="12"/>
  <c r="N20"/>
  <c r="M20"/>
  <c r="O19"/>
  <c r="N19"/>
  <c r="M19"/>
  <c r="I112"/>
  <c r="B104"/>
  <c r="C15"/>
  <c r="C114" s="1"/>
  <c r="E112"/>
  <c r="H113"/>
  <c r="D113"/>
  <c r="J116"/>
  <c r="G71"/>
  <c r="K116"/>
  <c r="E72" i="14" s="1"/>
  <c r="G116" i="12"/>
  <c r="C116"/>
  <c r="B73"/>
  <c r="B71"/>
  <c r="G73"/>
  <c r="J115"/>
  <c r="I111"/>
  <c r="E111"/>
  <c r="F116"/>
  <c r="B110"/>
  <c r="O110" s="1"/>
  <c r="F115"/>
  <c r="I113"/>
  <c r="E113"/>
  <c r="K113"/>
  <c r="E69" i="14" s="1"/>
  <c r="G113" i="12"/>
  <c r="K111"/>
  <c r="E67" i="14" s="1"/>
  <c r="G111" i="12"/>
  <c r="C111"/>
  <c r="J117"/>
  <c r="F117"/>
  <c r="H116"/>
  <c r="D116"/>
  <c r="J111"/>
  <c r="F111"/>
  <c r="B112"/>
  <c r="H112"/>
  <c r="D112"/>
  <c r="J113"/>
  <c r="F113"/>
  <c r="I115"/>
  <c r="E115"/>
  <c r="C117"/>
  <c r="I117"/>
  <c r="E117"/>
  <c r="I116"/>
  <c r="E116"/>
  <c r="K112"/>
  <c r="E68" i="14" s="1"/>
  <c r="G112" i="12"/>
  <c r="C112"/>
  <c r="H115"/>
  <c r="D115"/>
  <c r="H117"/>
  <c r="D117"/>
  <c r="B111"/>
  <c r="J112"/>
  <c r="F112"/>
  <c r="B113"/>
  <c r="K115"/>
  <c r="E71" i="14" s="1"/>
  <c r="G115" i="12"/>
  <c r="C115"/>
  <c r="K117"/>
  <c r="E73" i="14" s="1"/>
  <c r="G117" i="12"/>
  <c r="C113"/>
  <c r="I100"/>
  <c r="E100"/>
  <c r="J100"/>
  <c r="F100"/>
  <c r="C101"/>
  <c r="B103"/>
  <c r="H99"/>
  <c r="D99"/>
  <c r="J101"/>
  <c r="K99"/>
  <c r="E55" i="14" s="1"/>
  <c r="G99" i="12"/>
  <c r="G101"/>
  <c r="I99"/>
  <c r="F101"/>
  <c r="K101"/>
  <c r="E57" i="14" s="1"/>
  <c r="E99" i="12"/>
  <c r="H100"/>
  <c r="G100"/>
  <c r="H101"/>
  <c r="D101"/>
  <c r="J99"/>
  <c r="F99"/>
  <c r="D100"/>
  <c r="B99"/>
  <c r="K100"/>
  <c r="E56" i="14" s="1"/>
  <c r="C100" i="12"/>
  <c r="B100"/>
  <c r="I101"/>
  <c r="E101"/>
  <c r="C99"/>
  <c r="J23"/>
  <c r="F23"/>
  <c r="E44"/>
  <c r="D43"/>
  <c r="H44"/>
  <c r="D19"/>
  <c r="J20"/>
  <c r="F20"/>
  <c r="I23"/>
  <c r="E23"/>
  <c r="B20"/>
  <c r="H20"/>
  <c r="D20"/>
  <c r="I21"/>
  <c r="I106" s="1"/>
  <c r="E21"/>
  <c r="E106" s="1"/>
  <c r="E109" s="1"/>
  <c r="C43"/>
  <c r="K21"/>
  <c r="C21"/>
  <c r="C106" s="1"/>
  <c r="C109" s="1"/>
  <c r="K23"/>
  <c r="E9" i="14" s="1"/>
  <c r="G23" i="12"/>
  <c r="B19"/>
  <c r="H19"/>
  <c r="H43"/>
  <c r="I44"/>
  <c r="G43"/>
  <c r="G21"/>
  <c r="G106" s="1"/>
  <c r="B23"/>
  <c r="H23"/>
  <c r="D23"/>
  <c r="K20"/>
  <c r="E5" i="14" s="1"/>
  <c r="G20" i="12"/>
  <c r="C20"/>
  <c r="K43"/>
  <c r="C44"/>
  <c r="D44"/>
  <c r="J19"/>
  <c r="F19"/>
  <c r="F45"/>
  <c r="F21"/>
  <c r="F106" s="1"/>
  <c r="F109" s="1"/>
  <c r="E45"/>
  <c r="J15"/>
  <c r="F15"/>
  <c r="B21"/>
  <c r="B106" s="1"/>
  <c r="H21"/>
  <c r="H106" s="1"/>
  <c r="H109" s="1"/>
  <c r="D21"/>
  <c r="D106" s="1"/>
  <c r="D109" s="1"/>
  <c r="M8"/>
  <c r="N8"/>
  <c r="C19"/>
  <c r="N9"/>
  <c r="E20"/>
  <c r="C23"/>
  <c r="I43"/>
  <c r="J44"/>
  <c r="F44"/>
  <c r="K45"/>
  <c r="G45"/>
  <c r="J45"/>
  <c r="J21"/>
  <c r="J106" s="1"/>
  <c r="J109" s="1"/>
  <c r="O9"/>
  <c r="M9"/>
  <c r="O8"/>
  <c r="K19"/>
  <c r="E4" i="14" s="1"/>
  <c r="G19" i="12"/>
  <c r="I20"/>
  <c r="I19"/>
  <c r="E19"/>
  <c r="M5"/>
  <c r="N7"/>
  <c r="O7"/>
  <c r="K15"/>
  <c r="M11"/>
  <c r="G15"/>
  <c r="M14"/>
  <c r="O13"/>
  <c r="O6"/>
  <c r="N4"/>
  <c r="O4"/>
  <c r="H15"/>
  <c r="D15"/>
  <c r="M13"/>
  <c r="E15"/>
  <c r="N13"/>
  <c r="N6"/>
  <c r="M4"/>
  <c r="N5"/>
  <c r="O5"/>
  <c r="M6"/>
  <c r="M12"/>
  <c r="N14"/>
  <c r="O14"/>
  <c r="O12"/>
  <c r="M7"/>
  <c r="O11"/>
  <c r="N12"/>
  <c r="I15"/>
  <c r="N11"/>
  <c r="E2" i="11"/>
  <c r="E3"/>
  <c r="E1"/>
  <c r="M73" i="12" l="1"/>
  <c r="D50" i="14" s="1"/>
  <c r="D42"/>
  <c r="M107" i="12"/>
  <c r="D63" i="14" s="1"/>
  <c r="B68" i="13"/>
  <c r="B36" i="14"/>
  <c r="M43" i="12"/>
  <c r="B47" i="13"/>
  <c r="N107" i="12"/>
  <c r="C63" i="14" s="1"/>
  <c r="B53" i="13"/>
  <c r="N71" i="12"/>
  <c r="C48" i="14" s="1"/>
  <c r="B29" i="13"/>
  <c r="M101" i="12"/>
  <c r="D57" i="14" s="1"/>
  <c r="N115" i="12"/>
  <c r="C71" i="14" s="1"/>
  <c r="M117" i="12"/>
  <c r="D73" i="14" s="1"/>
  <c r="N111" i="12"/>
  <c r="C67" i="14" s="1"/>
  <c r="M71" i="12"/>
  <c r="B58" i="13" s="1"/>
  <c r="M45" i="12"/>
  <c r="K106"/>
  <c r="E7" i="14"/>
  <c r="N44" i="12"/>
  <c r="C29" i="14" s="1"/>
  <c r="N99" i="12"/>
  <c r="O71"/>
  <c r="B13" i="13"/>
  <c r="D5" i="14"/>
  <c r="B66" i="13"/>
  <c r="C51" i="14"/>
  <c r="B49" i="13"/>
  <c r="D43" i="14"/>
  <c r="B31" i="13"/>
  <c r="D28" i="14"/>
  <c r="B54" i="13"/>
  <c r="C47" i="14"/>
  <c r="B40" i="13"/>
  <c r="D35" i="14"/>
  <c r="B50" i="13"/>
  <c r="B46" i="14"/>
  <c r="B71" i="13"/>
  <c r="B53" i="14"/>
  <c r="B37" i="13"/>
  <c r="D32" i="14"/>
  <c r="B55" i="13"/>
  <c r="D47" i="14"/>
  <c r="B10" i="13"/>
  <c r="D4" i="14"/>
  <c r="B12" i="13"/>
  <c r="C5" i="14"/>
  <c r="B70" i="13"/>
  <c r="D52" i="14"/>
  <c r="B119" i="13"/>
  <c r="C77" i="14"/>
  <c r="B44" i="13"/>
  <c r="B42" i="14"/>
  <c r="B27" i="13"/>
  <c r="C27" i="14"/>
  <c r="B36" i="13"/>
  <c r="C32" i="14"/>
  <c r="B120" i="13"/>
  <c r="D77" i="14"/>
  <c r="B30" i="13"/>
  <c r="C28" i="14"/>
  <c r="B65" i="13"/>
  <c r="B51" i="14"/>
  <c r="B72" i="13"/>
  <c r="C53" i="14"/>
  <c r="B45" i="13"/>
  <c r="C42" i="14"/>
  <c r="O107" i="12"/>
  <c r="B63" i="14" s="1"/>
  <c r="N108" i="12"/>
  <c r="C64" i="14" s="1"/>
  <c r="B8" i="13"/>
  <c r="B4" i="14"/>
  <c r="O45" i="12"/>
  <c r="E30" i="14"/>
  <c r="B86" i="13"/>
  <c r="B66" i="14"/>
  <c r="B9" i="13"/>
  <c r="C4" i="14"/>
  <c r="B11" i="13"/>
  <c r="B5" i="14"/>
  <c r="B59" i="13"/>
  <c r="B49" i="14"/>
  <c r="B117" i="13"/>
  <c r="D76" i="14"/>
  <c r="B43" i="13"/>
  <c r="D36" i="14"/>
  <c r="B116" i="13"/>
  <c r="C76" i="14"/>
  <c r="B28" i="13"/>
  <c r="D27" i="14"/>
  <c r="B87" i="13"/>
  <c r="C66" i="14"/>
  <c r="B38" i="13"/>
  <c r="B35" i="14"/>
  <c r="B52" i="13"/>
  <c r="D46" i="14"/>
  <c r="B73" i="13"/>
  <c r="D53" i="14"/>
  <c r="B51" i="13"/>
  <c r="C46" i="14"/>
  <c r="B39" i="13"/>
  <c r="C35" i="14"/>
  <c r="B69" i="13"/>
  <c r="C52" i="14"/>
  <c r="B48" i="13"/>
  <c r="C43" i="14"/>
  <c r="B42" i="13"/>
  <c r="C36" i="14"/>
  <c r="B60" i="13"/>
  <c r="C49" i="14"/>
  <c r="B61" i="13"/>
  <c r="D49" i="14"/>
  <c r="B118" i="13"/>
  <c r="B77" i="14"/>
  <c r="B26" i="13"/>
  <c r="B27" i="14"/>
  <c r="B35" i="13"/>
  <c r="B32" i="14"/>
  <c r="B67" i="13"/>
  <c r="D51" i="14"/>
  <c r="B88" i="13"/>
  <c r="D66" i="14"/>
  <c r="N100" i="12"/>
  <c r="O112"/>
  <c r="O116"/>
  <c r="O44"/>
  <c r="B29" i="14" s="1"/>
  <c r="N117" i="12"/>
  <c r="O111"/>
  <c r="O117"/>
  <c r="N73"/>
  <c r="N43"/>
  <c r="O100"/>
  <c r="O99"/>
  <c r="N101"/>
  <c r="C57" i="14" s="1"/>
  <c r="O113" i="12"/>
  <c r="M116"/>
  <c r="C118"/>
  <c r="M113"/>
  <c r="M112"/>
  <c r="O101"/>
  <c r="B57" i="14" s="1"/>
  <c r="I109" i="12"/>
  <c r="C104"/>
  <c r="M99"/>
  <c r="C105"/>
  <c r="N116"/>
  <c r="O108"/>
  <c r="B64" i="14" s="1"/>
  <c r="N45" i="12"/>
  <c r="M44"/>
  <c r="D29" i="14" s="1"/>
  <c r="O43" i="12"/>
  <c r="C103"/>
  <c r="M100"/>
  <c r="O115"/>
  <c r="N112"/>
  <c r="M115"/>
  <c r="N113"/>
  <c r="M111"/>
  <c r="O73"/>
  <c r="I114"/>
  <c r="I118"/>
  <c r="E114"/>
  <c r="E118"/>
  <c r="J118"/>
  <c r="J114"/>
  <c r="G118"/>
  <c r="G114"/>
  <c r="D118"/>
  <c r="D114"/>
  <c r="H118"/>
  <c r="H114"/>
  <c r="K118"/>
  <c r="K114"/>
  <c r="F118"/>
  <c r="F114"/>
  <c r="B109"/>
  <c r="G109"/>
  <c r="G103"/>
  <c r="G105"/>
  <c r="G104"/>
  <c r="I105"/>
  <c r="I103"/>
  <c r="I104"/>
  <c r="E105"/>
  <c r="E104"/>
  <c r="E103"/>
  <c r="J104"/>
  <c r="J105"/>
  <c r="J103"/>
  <c r="D103"/>
  <c r="D105"/>
  <c r="D104"/>
  <c r="H104"/>
  <c r="H105"/>
  <c r="H103"/>
  <c r="K103"/>
  <c r="K104"/>
  <c r="K105"/>
  <c r="F104"/>
  <c r="F103"/>
  <c r="F105"/>
  <c r="N23"/>
  <c r="C9" i="14" s="1"/>
  <c r="M23" i="12"/>
  <c r="D9" i="14" s="1"/>
  <c r="M15" i="12"/>
  <c r="O23"/>
  <c r="B9" i="14" s="1"/>
  <c r="O15" i="12"/>
  <c r="N15"/>
  <c r="R21" i="10"/>
  <c r="R23"/>
  <c r="R24" s="1"/>
  <c r="B64" i="13" l="1"/>
  <c r="E61" i="14"/>
  <c r="E60"/>
  <c r="E70"/>
  <c r="E59"/>
  <c r="E74"/>
  <c r="M106" i="12"/>
  <c r="D62" i="14" s="1"/>
  <c r="N106" i="12"/>
  <c r="C62" i="14" s="1"/>
  <c r="B105" i="13"/>
  <c r="D48" i="14"/>
  <c r="B112" i="13"/>
  <c r="B57"/>
  <c r="O106" i="12"/>
  <c r="B62" i="14" s="1"/>
  <c r="B93" i="13"/>
  <c r="O114" i="12"/>
  <c r="B99" i="13"/>
  <c r="C69" i="14"/>
  <c r="B79" i="13"/>
  <c r="D56" i="14"/>
  <c r="B33" i="13"/>
  <c r="C30" i="14"/>
  <c r="B76" i="13"/>
  <c r="D55" i="14"/>
  <c r="B74" i="13"/>
  <c r="B55" i="14"/>
  <c r="B110" i="13"/>
  <c r="B73" i="14"/>
  <c r="B107" i="13"/>
  <c r="B72" i="14"/>
  <c r="B56" i="13"/>
  <c r="B48" i="14"/>
  <c r="K109" i="12"/>
  <c r="E62" i="14"/>
  <c r="B106" i="13"/>
  <c r="D71" i="14"/>
  <c r="O103" i="12"/>
  <c r="B109" i="13"/>
  <c r="D72" i="14"/>
  <c r="B77" i="13"/>
  <c r="B56" i="14"/>
  <c r="B92" i="13"/>
  <c r="B67" i="14"/>
  <c r="B95" i="13"/>
  <c r="B68" i="14"/>
  <c r="B75" i="13"/>
  <c r="C55" i="14"/>
  <c r="B34" i="13"/>
  <c r="D30" i="14"/>
  <c r="O104" i="12"/>
  <c r="B60" i="14" s="1"/>
  <c r="N105" i="12"/>
  <c r="C61" i="14" s="1"/>
  <c r="N114" i="12"/>
  <c r="B62" i="13"/>
  <c r="B50" i="14"/>
  <c r="B96" i="13"/>
  <c r="C68" i="14"/>
  <c r="B108" i="13"/>
  <c r="C72" i="14"/>
  <c r="B97" i="13"/>
  <c r="D68" i="14"/>
  <c r="B98" i="13"/>
  <c r="B69" i="14"/>
  <c r="B111" i="13"/>
  <c r="C73" i="14"/>
  <c r="B78" i="13"/>
  <c r="C56" i="14"/>
  <c r="M103" i="12"/>
  <c r="N118"/>
  <c r="B94" i="13"/>
  <c r="D67" i="14"/>
  <c r="B104" i="13"/>
  <c r="B71" i="14"/>
  <c r="M109" i="12"/>
  <c r="B100" i="13"/>
  <c r="D69" i="14"/>
  <c r="B63" i="13"/>
  <c r="C50" i="14"/>
  <c r="B32" i="13"/>
  <c r="B30" i="14"/>
  <c r="M104" i="12"/>
  <c r="D60" i="14" s="1"/>
  <c r="M105" i="12"/>
  <c r="D61" i="14" s="1"/>
  <c r="M118" i="12"/>
  <c r="O105"/>
  <c r="B61" i="14" s="1"/>
  <c r="O118" i="12"/>
  <c r="N103"/>
  <c r="N104"/>
  <c r="C60" i="14" s="1"/>
  <c r="M114" i="12"/>
  <c r="R13" i="10"/>
  <c r="O13"/>
  <c r="N18"/>
  <c r="N19"/>
  <c r="N17"/>
  <c r="B5" i="11"/>
  <c r="E65" i="14" l="1"/>
  <c r="O109" i="12"/>
  <c r="B83" i="13" s="1"/>
  <c r="B115"/>
  <c r="D74" i="14"/>
  <c r="B81" i="13"/>
  <c r="C59" i="14"/>
  <c r="B85" i="13"/>
  <c r="D65" i="14"/>
  <c r="B80" i="13"/>
  <c r="B59" i="14"/>
  <c r="B103" i="13"/>
  <c r="D70" i="14"/>
  <c r="B113" i="13"/>
  <c r="B74" i="14"/>
  <c r="B114" i="13"/>
  <c r="C74" i="14"/>
  <c r="B102" i="13"/>
  <c r="C70" i="14"/>
  <c r="B101" i="13"/>
  <c r="B70" i="14"/>
  <c r="B82" i="13"/>
  <c r="D59" i="14"/>
  <c r="N109" i="12"/>
  <c r="B1" i="11"/>
  <c r="B4"/>
  <c r="B3"/>
  <c r="B65" i="14" l="1"/>
  <c r="B84" i="13"/>
  <c r="C65" i="14"/>
  <c r="H1" i="11"/>
  <c r="H6" s="1"/>
  <c r="H2"/>
  <c r="H7" s="1"/>
  <c r="H3"/>
  <c r="H8" s="1"/>
  <c r="B9"/>
  <c r="P14" i="8"/>
  <c r="J13" i="9"/>
  <c r="J12"/>
  <c r="J11"/>
  <c r="D45" i="8"/>
  <c r="G13" i="9"/>
  <c r="G12"/>
  <c r="F13" l="1"/>
  <c r="I24" s="1"/>
  <c r="F12"/>
  <c r="F10" i="1" l="1"/>
  <c r="G11" i="9" l="1"/>
  <c r="F11"/>
  <c r="B33" i="10"/>
  <c r="L78" i="8" l="1"/>
  <c r="B12" i="10" l="1"/>
  <c r="C12" l="1"/>
  <c r="F5"/>
  <c r="A1"/>
  <c r="L42" i="9"/>
  <c r="L76" s="1"/>
  <c r="J14"/>
  <c r="G14"/>
  <c r="F14"/>
  <c r="K42"/>
  <c r="K76" s="1"/>
  <c r="J42"/>
  <c r="J76" s="1"/>
  <c r="I42"/>
  <c r="I76" s="1"/>
  <c r="H42"/>
  <c r="H76" s="1"/>
  <c r="G42"/>
  <c r="G76" s="1"/>
  <c r="F42"/>
  <c r="F76" s="1"/>
  <c r="E42"/>
  <c r="E76" s="1"/>
  <c r="D42"/>
  <c r="D76" s="1"/>
  <c r="C42"/>
  <c r="C76" s="1"/>
  <c r="B42"/>
  <c r="B76" s="1"/>
  <c r="A42"/>
  <c r="A17"/>
  <c r="Q13"/>
  <c r="H13"/>
  <c r="N23" i="8"/>
  <c r="O23"/>
  <c r="P23"/>
  <c r="P22"/>
  <c r="O22"/>
  <c r="N22"/>
  <c r="P21"/>
  <c r="O21"/>
  <c r="N21"/>
  <c r="P20"/>
  <c r="O20"/>
  <c r="N20"/>
  <c r="P19"/>
  <c r="O19"/>
  <c r="N19"/>
  <c r="P18"/>
  <c r="O18"/>
  <c r="N18"/>
  <c r="P17"/>
  <c r="O17"/>
  <c r="N17"/>
  <c r="P16"/>
  <c r="O16"/>
  <c r="N16"/>
  <c r="P15"/>
  <c r="O15"/>
  <c r="N15"/>
  <c r="O14"/>
  <c r="Q12" i="9" s="1"/>
  <c r="N14" i="8"/>
  <c r="Q11" i="9" s="1"/>
  <c r="P13" i="8"/>
  <c r="P13" i="9" s="1"/>
  <c r="O13" i="8"/>
  <c r="P12" i="9" s="1"/>
  <c r="N13" i="8"/>
  <c r="P11" i="9" s="1"/>
  <c r="L118" i="8"/>
  <c r="K118"/>
  <c r="L117"/>
  <c r="K117"/>
  <c r="L115"/>
  <c r="K115"/>
  <c r="L114"/>
  <c r="K114"/>
  <c r="L113"/>
  <c r="L111"/>
  <c r="L109"/>
  <c r="L104"/>
  <c r="L103"/>
  <c r="K103"/>
  <c r="L99"/>
  <c r="K99"/>
  <c r="L98"/>
  <c r="K98"/>
  <c r="L96"/>
  <c r="K96"/>
  <c r="L95"/>
  <c r="K95"/>
  <c r="J83"/>
  <c r="I83"/>
  <c r="L85"/>
  <c r="K85"/>
  <c r="L84"/>
  <c r="L83"/>
  <c r="K83"/>
  <c r="L82"/>
  <c r="L81"/>
  <c r="L75"/>
  <c r="L74"/>
  <c r="Z6" i="9" s="1"/>
  <c r="L72" i="8"/>
  <c r="L68"/>
  <c r="L58"/>
  <c r="L57"/>
  <c r="L55"/>
  <c r="K55"/>
  <c r="L54"/>
  <c r="K54"/>
  <c r="L50"/>
  <c r="L45"/>
  <c r="L43"/>
  <c r="L41"/>
  <c r="L128" s="1"/>
  <c r="L40"/>
  <c r="L42" s="1"/>
  <c r="L34"/>
  <c r="K34"/>
  <c r="L33"/>
  <c r="L32"/>
  <c r="O6" i="9" s="1"/>
  <c r="L23" i="8"/>
  <c r="L22"/>
  <c r="L21"/>
  <c r="L20"/>
  <c r="L19"/>
  <c r="L18"/>
  <c r="L17"/>
  <c r="L16"/>
  <c r="L15"/>
  <c r="K15"/>
  <c r="L14"/>
  <c r="Q14" i="9" s="1"/>
  <c r="K14" i="8"/>
  <c r="L13"/>
  <c r="P14" i="9" s="1"/>
  <c r="K13" i="8"/>
  <c r="L127" l="1"/>
  <c r="L107"/>
  <c r="B14" i="9" s="1"/>
  <c r="L59" i="8"/>
  <c r="L64"/>
  <c r="E24" i="9"/>
  <c r="X6"/>
  <c r="C14" i="10"/>
  <c r="D12"/>
  <c r="B14"/>
  <c r="H14" i="9"/>
  <c r="I3" i="10" s="1"/>
  <c r="H11" i="9"/>
  <c r="J24"/>
  <c r="H12"/>
  <c r="I4" i="10" s="1"/>
  <c r="A1" i="1"/>
  <c r="J118" i="8"/>
  <c r="I118"/>
  <c r="H118"/>
  <c r="G118"/>
  <c r="F118"/>
  <c r="E118"/>
  <c r="D118"/>
  <c r="C118"/>
  <c r="N118" s="1"/>
  <c r="J117"/>
  <c r="I117"/>
  <c r="H117"/>
  <c r="G117"/>
  <c r="F117"/>
  <c r="E117"/>
  <c r="D117"/>
  <c r="C117"/>
  <c r="C116"/>
  <c r="J115"/>
  <c r="I115"/>
  <c r="H115"/>
  <c r="G115"/>
  <c r="F115"/>
  <c r="E115"/>
  <c r="D115"/>
  <c r="N115"/>
  <c r="J114"/>
  <c r="I114"/>
  <c r="H114"/>
  <c r="G114"/>
  <c r="F114"/>
  <c r="E114"/>
  <c r="D114"/>
  <c r="C114"/>
  <c r="N114" s="1"/>
  <c r="K113"/>
  <c r="J113"/>
  <c r="I113"/>
  <c r="H113"/>
  <c r="G113"/>
  <c r="F113"/>
  <c r="E113"/>
  <c r="D113"/>
  <c r="N113"/>
  <c r="K111"/>
  <c r="J111"/>
  <c r="I111"/>
  <c r="H111"/>
  <c r="G111"/>
  <c r="F111"/>
  <c r="E111"/>
  <c r="D111"/>
  <c r="C111"/>
  <c r="N111" s="1"/>
  <c r="K109"/>
  <c r="J109"/>
  <c r="I109"/>
  <c r="H109"/>
  <c r="G109"/>
  <c r="F109"/>
  <c r="E109"/>
  <c r="D109"/>
  <c r="C109"/>
  <c r="N109" s="1"/>
  <c r="K104"/>
  <c r="J104"/>
  <c r="I104"/>
  <c r="H104"/>
  <c r="G104"/>
  <c r="F104"/>
  <c r="E104"/>
  <c r="D104"/>
  <c r="J103"/>
  <c r="I103"/>
  <c r="H103"/>
  <c r="G103"/>
  <c r="F103"/>
  <c r="E103"/>
  <c r="D103"/>
  <c r="J99"/>
  <c r="I99"/>
  <c r="H99"/>
  <c r="G99"/>
  <c r="F99"/>
  <c r="E99"/>
  <c r="D99"/>
  <c r="J98"/>
  <c r="I98"/>
  <c r="H98"/>
  <c r="G98"/>
  <c r="F98"/>
  <c r="E98"/>
  <c r="D98"/>
  <c r="J96"/>
  <c r="I96"/>
  <c r="H96"/>
  <c r="G96"/>
  <c r="F96"/>
  <c r="E96"/>
  <c r="D96"/>
  <c r="C96"/>
  <c r="J95"/>
  <c r="I95"/>
  <c r="H95"/>
  <c r="G95"/>
  <c r="F95"/>
  <c r="E95"/>
  <c r="D95"/>
  <c r="C95"/>
  <c r="J85"/>
  <c r="I85"/>
  <c r="H85"/>
  <c r="G85"/>
  <c r="F85"/>
  <c r="E85"/>
  <c r="D85"/>
  <c r="C85"/>
  <c r="K84"/>
  <c r="J84"/>
  <c r="I84"/>
  <c r="H84"/>
  <c r="G84"/>
  <c r="F84"/>
  <c r="E84"/>
  <c r="D84"/>
  <c r="C84"/>
  <c r="H83"/>
  <c r="G83"/>
  <c r="F83"/>
  <c r="E83"/>
  <c r="D83"/>
  <c r="C83"/>
  <c r="K82"/>
  <c r="J82"/>
  <c r="I82"/>
  <c r="H82"/>
  <c r="G82"/>
  <c r="F82"/>
  <c r="E82"/>
  <c r="D82"/>
  <c r="C82"/>
  <c r="K81"/>
  <c r="J81"/>
  <c r="I81"/>
  <c r="H81"/>
  <c r="G81"/>
  <c r="F81"/>
  <c r="E81"/>
  <c r="D81"/>
  <c r="C81"/>
  <c r="K78"/>
  <c r="J78"/>
  <c r="I78"/>
  <c r="H78"/>
  <c r="G78"/>
  <c r="F78"/>
  <c r="E78"/>
  <c r="D78"/>
  <c r="C78"/>
  <c r="K75"/>
  <c r="AB6" i="9" s="1"/>
  <c r="J75" i="8"/>
  <c r="I75"/>
  <c r="H75"/>
  <c r="G75"/>
  <c r="F75"/>
  <c r="E75"/>
  <c r="D75"/>
  <c r="C75"/>
  <c r="K74"/>
  <c r="J74"/>
  <c r="I74"/>
  <c r="H74"/>
  <c r="G74"/>
  <c r="M74" s="1"/>
  <c r="M33" i="9" s="1"/>
  <c r="F74" i="8"/>
  <c r="E74"/>
  <c r="D74"/>
  <c r="K72"/>
  <c r="AC6" i="9" s="1"/>
  <c r="J72" i="8"/>
  <c r="I72"/>
  <c r="H72"/>
  <c r="G72"/>
  <c r="F72"/>
  <c r="E72"/>
  <c r="D72"/>
  <c r="C72"/>
  <c r="N72" s="1"/>
  <c r="K68"/>
  <c r="AA6" i="9" s="1"/>
  <c r="J68" i="8"/>
  <c r="I68"/>
  <c r="H68"/>
  <c r="G68"/>
  <c r="F68"/>
  <c r="E68"/>
  <c r="D68"/>
  <c r="N68"/>
  <c r="C60"/>
  <c r="K58"/>
  <c r="J58"/>
  <c r="I58"/>
  <c r="J60" s="1"/>
  <c r="H58"/>
  <c r="I60" s="1"/>
  <c r="G58"/>
  <c r="H60" s="1"/>
  <c r="F58"/>
  <c r="G60" s="1"/>
  <c r="E58"/>
  <c r="F60" s="1"/>
  <c r="D58"/>
  <c r="E60" s="1"/>
  <c r="C58"/>
  <c r="D60" s="1"/>
  <c r="K57"/>
  <c r="J57"/>
  <c r="I57"/>
  <c r="H57"/>
  <c r="G57"/>
  <c r="F57"/>
  <c r="E57"/>
  <c r="D57"/>
  <c r="C57"/>
  <c r="J55"/>
  <c r="I55"/>
  <c r="H55"/>
  <c r="G55"/>
  <c r="F55"/>
  <c r="E55"/>
  <c r="D55"/>
  <c r="C55"/>
  <c r="J54"/>
  <c r="I54"/>
  <c r="H54"/>
  <c r="G54"/>
  <c r="F54"/>
  <c r="E54"/>
  <c r="D54"/>
  <c r="C54"/>
  <c r="K50"/>
  <c r="J50"/>
  <c r="J51" s="1"/>
  <c r="I50"/>
  <c r="I51" s="1"/>
  <c r="H50"/>
  <c r="H51" s="1"/>
  <c r="G50"/>
  <c r="G51" s="1"/>
  <c r="F50"/>
  <c r="F51" s="1"/>
  <c r="E50"/>
  <c r="E51" s="1"/>
  <c r="D50"/>
  <c r="D51" s="1"/>
  <c r="C50"/>
  <c r="C51" s="1"/>
  <c r="C47"/>
  <c r="D46"/>
  <c r="C46"/>
  <c r="K45"/>
  <c r="J45"/>
  <c r="J46" s="1"/>
  <c r="I45"/>
  <c r="H45"/>
  <c r="H47" s="1"/>
  <c r="G45"/>
  <c r="F45"/>
  <c r="F46" s="1"/>
  <c r="E45"/>
  <c r="D47"/>
  <c r="K43"/>
  <c r="J43"/>
  <c r="I43"/>
  <c r="H43"/>
  <c r="G43"/>
  <c r="F43"/>
  <c r="E43"/>
  <c r="D43"/>
  <c r="C43"/>
  <c r="N43" s="1"/>
  <c r="K41"/>
  <c r="K128" s="1"/>
  <c r="J41"/>
  <c r="J128" s="1"/>
  <c r="I41"/>
  <c r="I128" s="1"/>
  <c r="H41"/>
  <c r="H128" s="1"/>
  <c r="G41"/>
  <c r="G128" s="1"/>
  <c r="F41"/>
  <c r="F128" s="1"/>
  <c r="E41"/>
  <c r="E128" s="1"/>
  <c r="D41"/>
  <c r="D128" s="1"/>
  <c r="C41"/>
  <c r="C128" s="1"/>
  <c r="K40"/>
  <c r="J40"/>
  <c r="J42" s="1"/>
  <c r="I40"/>
  <c r="I42" s="1"/>
  <c r="H40"/>
  <c r="H42" s="1"/>
  <c r="G40"/>
  <c r="F40"/>
  <c r="F42" s="1"/>
  <c r="E40"/>
  <c r="E42" s="1"/>
  <c r="D40"/>
  <c r="D42" s="1"/>
  <c r="C40"/>
  <c r="J34"/>
  <c r="I34"/>
  <c r="H34"/>
  <c r="G34"/>
  <c r="F34"/>
  <c r="E34"/>
  <c r="D34"/>
  <c r="C34"/>
  <c r="K33"/>
  <c r="J33"/>
  <c r="I33"/>
  <c r="H33"/>
  <c r="G33"/>
  <c r="F33"/>
  <c r="E33"/>
  <c r="D33"/>
  <c r="C33"/>
  <c r="K32"/>
  <c r="J32"/>
  <c r="I32"/>
  <c r="H32"/>
  <c r="G32"/>
  <c r="F32"/>
  <c r="E32"/>
  <c r="D32"/>
  <c r="C32"/>
  <c r="K23"/>
  <c r="J23"/>
  <c r="I23"/>
  <c r="H23"/>
  <c r="G23"/>
  <c r="F23"/>
  <c r="E23"/>
  <c r="D23"/>
  <c r="C23"/>
  <c r="K22"/>
  <c r="J22"/>
  <c r="I22"/>
  <c r="H22"/>
  <c r="G22"/>
  <c r="F22"/>
  <c r="E22"/>
  <c r="D22"/>
  <c r="C22"/>
  <c r="K21"/>
  <c r="J21"/>
  <c r="I21"/>
  <c r="H21"/>
  <c r="G21"/>
  <c r="F21"/>
  <c r="E21"/>
  <c r="D21"/>
  <c r="C21"/>
  <c r="K20"/>
  <c r="J20"/>
  <c r="I20"/>
  <c r="H20"/>
  <c r="G20"/>
  <c r="F20"/>
  <c r="E20"/>
  <c r="D20"/>
  <c r="C20"/>
  <c r="K19"/>
  <c r="J19"/>
  <c r="I19"/>
  <c r="H19"/>
  <c r="G19"/>
  <c r="F19"/>
  <c r="E19"/>
  <c r="D19"/>
  <c r="C19"/>
  <c r="K18"/>
  <c r="J18"/>
  <c r="I18"/>
  <c r="H18"/>
  <c r="G18"/>
  <c r="F18"/>
  <c r="E18"/>
  <c r="D18"/>
  <c r="C18"/>
  <c r="K17"/>
  <c r="J17"/>
  <c r="I17"/>
  <c r="H17"/>
  <c r="G17"/>
  <c r="F17"/>
  <c r="E17"/>
  <c r="D17"/>
  <c r="C17"/>
  <c r="K16"/>
  <c r="J16"/>
  <c r="I16"/>
  <c r="H16"/>
  <c r="G16"/>
  <c r="F16"/>
  <c r="E16"/>
  <c r="D16"/>
  <c r="C16"/>
  <c r="J15"/>
  <c r="I15"/>
  <c r="H15"/>
  <c r="G15"/>
  <c r="F15"/>
  <c r="E15"/>
  <c r="D15"/>
  <c r="C15"/>
  <c r="J14"/>
  <c r="I14"/>
  <c r="H14"/>
  <c r="G14"/>
  <c r="F14"/>
  <c r="E14"/>
  <c r="D14"/>
  <c r="C14"/>
  <c r="J13"/>
  <c r="I13"/>
  <c r="H13"/>
  <c r="G13"/>
  <c r="F13"/>
  <c r="E13"/>
  <c r="D13"/>
  <c r="C13"/>
  <c r="L1"/>
  <c r="L36" s="1"/>
  <c r="L63" s="1"/>
  <c r="L80" s="1"/>
  <c r="L108" s="1"/>
  <c r="Q120"/>
  <c r="P120"/>
  <c r="O120"/>
  <c r="Q119"/>
  <c r="P119"/>
  <c r="O119"/>
  <c r="Q94"/>
  <c r="P94"/>
  <c r="O94"/>
  <c r="Q93"/>
  <c r="P93"/>
  <c r="O93"/>
  <c r="Q92"/>
  <c r="P92"/>
  <c r="O92"/>
  <c r="Q91"/>
  <c r="P91"/>
  <c r="O91"/>
  <c r="Q63"/>
  <c r="Q80" s="1"/>
  <c r="P63"/>
  <c r="P80" s="1"/>
  <c r="O63"/>
  <c r="O80" s="1"/>
  <c r="M8" i="7"/>
  <c r="M6"/>
  <c r="M7"/>
  <c r="I5" i="10"/>
  <c r="M9" i="7"/>
  <c r="M14"/>
  <c r="M31" s="1"/>
  <c r="E1" i="6"/>
  <c r="L77" i="7"/>
  <c r="K77"/>
  <c r="J77"/>
  <c r="I77"/>
  <c r="H77"/>
  <c r="G77"/>
  <c r="F77"/>
  <c r="E77"/>
  <c r="D77"/>
  <c r="C77"/>
  <c r="L72"/>
  <c r="K72"/>
  <c r="J72"/>
  <c r="I72"/>
  <c r="H72"/>
  <c r="G72"/>
  <c r="F72"/>
  <c r="E72"/>
  <c r="D72"/>
  <c r="C72"/>
  <c r="L71"/>
  <c r="K71"/>
  <c r="J71"/>
  <c r="I71"/>
  <c r="H71"/>
  <c r="G71"/>
  <c r="F71"/>
  <c r="E71"/>
  <c r="D71"/>
  <c r="C71"/>
  <c r="L61"/>
  <c r="L8" s="1"/>
  <c r="K61"/>
  <c r="K8" s="1"/>
  <c r="J61"/>
  <c r="J8" s="1"/>
  <c r="I61"/>
  <c r="I8" s="1"/>
  <c r="H61"/>
  <c r="H8" s="1"/>
  <c r="G61"/>
  <c r="G8" s="1"/>
  <c r="F61"/>
  <c r="F8" s="1"/>
  <c r="E61"/>
  <c r="E8" s="1"/>
  <c r="D61"/>
  <c r="D8" s="1"/>
  <c r="C61"/>
  <c r="C8" s="1"/>
  <c r="L60"/>
  <c r="L6" s="1"/>
  <c r="K60"/>
  <c r="K6" s="1"/>
  <c r="J60"/>
  <c r="J6" s="1"/>
  <c r="I60"/>
  <c r="I6" s="1"/>
  <c r="H60"/>
  <c r="H6" s="1"/>
  <c r="G60"/>
  <c r="G6" s="1"/>
  <c r="F60"/>
  <c r="F6" s="1"/>
  <c r="E60"/>
  <c r="E6" s="1"/>
  <c r="D60"/>
  <c r="D6" s="1"/>
  <c r="C60"/>
  <c r="C6" s="1"/>
  <c r="L59"/>
  <c r="L7" s="1"/>
  <c r="K59"/>
  <c r="K7" s="1"/>
  <c r="J59"/>
  <c r="J7" s="1"/>
  <c r="I59"/>
  <c r="I7" s="1"/>
  <c r="H59"/>
  <c r="H7" s="1"/>
  <c r="G59"/>
  <c r="G7" s="1"/>
  <c r="F59"/>
  <c r="F7" s="1"/>
  <c r="E59"/>
  <c r="E7" s="1"/>
  <c r="D59"/>
  <c r="D7" s="1"/>
  <c r="C59"/>
  <c r="C7" s="1"/>
  <c r="L58"/>
  <c r="K58"/>
  <c r="J58"/>
  <c r="I58"/>
  <c r="H58"/>
  <c r="G58"/>
  <c r="F58"/>
  <c r="E58"/>
  <c r="D58"/>
  <c r="C58"/>
  <c r="L57"/>
  <c r="K57"/>
  <c r="J57"/>
  <c r="I57"/>
  <c r="H57"/>
  <c r="G57"/>
  <c r="F57"/>
  <c r="E57"/>
  <c r="D57"/>
  <c r="C57"/>
  <c r="L56"/>
  <c r="K56"/>
  <c r="J56"/>
  <c r="I56"/>
  <c r="H56"/>
  <c r="G56"/>
  <c r="F56"/>
  <c r="E56"/>
  <c r="D56"/>
  <c r="C56"/>
  <c r="L55"/>
  <c r="K55"/>
  <c r="J55"/>
  <c r="I55"/>
  <c r="H55"/>
  <c r="G55"/>
  <c r="F55"/>
  <c r="E55"/>
  <c r="D55"/>
  <c r="C55"/>
  <c r="L54"/>
  <c r="L10" s="1"/>
  <c r="K54"/>
  <c r="K10" s="1"/>
  <c r="J54"/>
  <c r="J10" s="1"/>
  <c r="I54"/>
  <c r="I10" s="1"/>
  <c r="H54"/>
  <c r="H10" s="1"/>
  <c r="G54"/>
  <c r="G10" s="1"/>
  <c r="F54"/>
  <c r="E54"/>
  <c r="E10" s="1"/>
  <c r="D54"/>
  <c r="D10" s="1"/>
  <c r="C54"/>
  <c r="C10" s="1"/>
  <c r="L53"/>
  <c r="L9" s="1"/>
  <c r="K53"/>
  <c r="K9" s="1"/>
  <c r="J53"/>
  <c r="J9" s="1"/>
  <c r="I53"/>
  <c r="I9" s="1"/>
  <c r="H53"/>
  <c r="H9" s="1"/>
  <c r="G53"/>
  <c r="G9" s="1"/>
  <c r="F53"/>
  <c r="F9" s="1"/>
  <c r="E53"/>
  <c r="E9" s="1"/>
  <c r="D53"/>
  <c r="D9" s="1"/>
  <c r="C53"/>
  <c r="C9" s="1"/>
  <c r="L52"/>
  <c r="K52"/>
  <c r="J52"/>
  <c r="I52"/>
  <c r="H52"/>
  <c r="G52"/>
  <c r="F52"/>
  <c r="E52"/>
  <c r="D52"/>
  <c r="C52"/>
  <c r="L51"/>
  <c r="K51"/>
  <c r="J51"/>
  <c r="I51"/>
  <c r="H51"/>
  <c r="G51"/>
  <c r="F51"/>
  <c r="E51"/>
  <c r="D51"/>
  <c r="C51"/>
  <c r="L47"/>
  <c r="K47"/>
  <c r="J47"/>
  <c r="I47"/>
  <c r="H47"/>
  <c r="G47"/>
  <c r="F47"/>
  <c r="E47"/>
  <c r="D47"/>
  <c r="C47"/>
  <c r="L46"/>
  <c r="K46"/>
  <c r="J46"/>
  <c r="I46"/>
  <c r="H46"/>
  <c r="G46"/>
  <c r="F46"/>
  <c r="E46"/>
  <c r="D46"/>
  <c r="C46"/>
  <c r="C44"/>
  <c r="L42"/>
  <c r="M82" s="1"/>
  <c r="K42"/>
  <c r="J42"/>
  <c r="I42"/>
  <c r="H42"/>
  <c r="G42"/>
  <c r="F42"/>
  <c r="E42"/>
  <c r="D42"/>
  <c r="C42"/>
  <c r="L40"/>
  <c r="K40"/>
  <c r="J40"/>
  <c r="I40"/>
  <c r="H40"/>
  <c r="G40"/>
  <c r="F40"/>
  <c r="E40"/>
  <c r="D40"/>
  <c r="C40"/>
  <c r="C38"/>
  <c r="L36"/>
  <c r="K36"/>
  <c r="J36"/>
  <c r="I36"/>
  <c r="H36"/>
  <c r="G36"/>
  <c r="F36"/>
  <c r="E36"/>
  <c r="D36"/>
  <c r="C36"/>
  <c r="L35"/>
  <c r="K35"/>
  <c r="J35"/>
  <c r="I35"/>
  <c r="H35"/>
  <c r="G35"/>
  <c r="F35"/>
  <c r="E35"/>
  <c r="D35"/>
  <c r="C35"/>
  <c r="L32"/>
  <c r="K32"/>
  <c r="J32"/>
  <c r="I32"/>
  <c r="H32"/>
  <c r="G32"/>
  <c r="F32"/>
  <c r="E32"/>
  <c r="D32"/>
  <c r="C32"/>
  <c r="A31"/>
  <c r="L26"/>
  <c r="K26"/>
  <c r="J26"/>
  <c r="I26"/>
  <c r="H26"/>
  <c r="G26"/>
  <c r="F26"/>
  <c r="E26"/>
  <c r="D26"/>
  <c r="C26"/>
  <c r="L25"/>
  <c r="K25"/>
  <c r="J25"/>
  <c r="I25"/>
  <c r="H25"/>
  <c r="G25"/>
  <c r="F25"/>
  <c r="E25"/>
  <c r="D25"/>
  <c r="C25"/>
  <c r="L15"/>
  <c r="L33" s="1"/>
  <c r="K15"/>
  <c r="K33" s="1"/>
  <c r="J15"/>
  <c r="J33" s="1"/>
  <c r="I15"/>
  <c r="I33" s="1"/>
  <c r="H15"/>
  <c r="H33" s="1"/>
  <c r="G15"/>
  <c r="G33" s="1"/>
  <c r="F15"/>
  <c r="F33" s="1"/>
  <c r="E15"/>
  <c r="E33" s="1"/>
  <c r="D15"/>
  <c r="D33" s="1"/>
  <c r="C15"/>
  <c r="C33" s="1"/>
  <c r="L4"/>
  <c r="L14" s="1"/>
  <c r="L31" s="1"/>
  <c r="K4"/>
  <c r="K14" s="1"/>
  <c r="K31" s="1"/>
  <c r="J4"/>
  <c r="J14" s="1"/>
  <c r="J31" s="1"/>
  <c r="I4"/>
  <c r="I14" s="1"/>
  <c r="I31" s="1"/>
  <c r="H4"/>
  <c r="H14" s="1"/>
  <c r="H31" s="1"/>
  <c r="G4"/>
  <c r="G14" s="1"/>
  <c r="G31" s="1"/>
  <c r="F4"/>
  <c r="F14" s="1"/>
  <c r="F31" s="1"/>
  <c r="E4"/>
  <c r="E14" s="1"/>
  <c r="E31" s="1"/>
  <c r="D4"/>
  <c r="D14" s="1"/>
  <c r="D31" s="1"/>
  <c r="C4"/>
  <c r="C14" s="1"/>
  <c r="C31" s="1"/>
  <c r="A4"/>
  <c r="A1"/>
  <c r="A33"/>
  <c r="C74" l="1"/>
  <c r="B27" i="18" s="1"/>
  <c r="E73" i="7"/>
  <c r="I73"/>
  <c r="J73"/>
  <c r="I26" i="18" s="1"/>
  <c r="G59" i="8"/>
  <c r="E21" i="19"/>
  <c r="E28"/>
  <c r="F28"/>
  <c r="F21"/>
  <c r="K73" i="7"/>
  <c r="C28" i="19"/>
  <c r="C21"/>
  <c r="G28"/>
  <c r="G21"/>
  <c r="K28"/>
  <c r="K21"/>
  <c r="I21"/>
  <c r="I28"/>
  <c r="B28"/>
  <c r="J28"/>
  <c r="J21"/>
  <c r="D28"/>
  <c r="D21"/>
  <c r="H21"/>
  <c r="H28"/>
  <c r="D74" i="7"/>
  <c r="H74"/>
  <c r="L74"/>
  <c r="K48" i="18" s="1"/>
  <c r="D73" i="7"/>
  <c r="C47" i="18" s="1"/>
  <c r="H73" i="7"/>
  <c r="G47" i="18" s="1"/>
  <c r="E68" i="7"/>
  <c r="D19" i="19" s="1"/>
  <c r="I68" i="7"/>
  <c r="H19" i="19" s="1"/>
  <c r="F68" i="7"/>
  <c r="E19" i="19" s="1"/>
  <c r="J68" i="7"/>
  <c r="I19" i="19" s="1"/>
  <c r="G68" i="7"/>
  <c r="F19" i="19" s="1"/>
  <c r="K68" i="7"/>
  <c r="J19" i="19" s="1"/>
  <c r="D68" i="7"/>
  <c r="C19" i="19" s="1"/>
  <c r="H68" i="7"/>
  <c r="G19" i="19" s="1"/>
  <c r="L68" i="7"/>
  <c r="K19" i="19" s="1"/>
  <c r="G73" i="7"/>
  <c r="F26" i="18" s="1"/>
  <c r="L73" i="7"/>
  <c r="K26" i="18" s="1"/>
  <c r="C48"/>
  <c r="C46"/>
  <c r="C5" i="19"/>
  <c r="G48" i="18"/>
  <c r="E40"/>
  <c r="G46"/>
  <c r="G5" i="19"/>
  <c r="K46" i="18"/>
  <c r="K5" i="19"/>
  <c r="I40" i="18"/>
  <c r="E25"/>
  <c r="I25"/>
  <c r="D5" i="19"/>
  <c r="D46" i="18"/>
  <c r="D47"/>
  <c r="H5" i="19"/>
  <c r="H46" i="18"/>
  <c r="F40"/>
  <c r="H47"/>
  <c r="F73" i="7"/>
  <c r="E26" i="18" s="1"/>
  <c r="B25"/>
  <c r="F25"/>
  <c r="J25"/>
  <c r="J26"/>
  <c r="E5" i="19"/>
  <c r="E46" i="18"/>
  <c r="I5" i="19"/>
  <c r="I46" i="18"/>
  <c r="G40"/>
  <c r="C27"/>
  <c r="C25"/>
  <c r="G25"/>
  <c r="G27"/>
  <c r="K25"/>
  <c r="B5" i="19"/>
  <c r="B46" i="18"/>
  <c r="D40"/>
  <c r="F5" i="19"/>
  <c r="F46" i="18"/>
  <c r="J47"/>
  <c r="J5" i="19"/>
  <c r="J46" i="18"/>
  <c r="H40"/>
  <c r="D26"/>
  <c r="D25"/>
  <c r="H26"/>
  <c r="H25"/>
  <c r="E24" i="8"/>
  <c r="F74" i="7"/>
  <c r="I24" i="8"/>
  <c r="J74" i="7"/>
  <c r="I27" i="18" s="1"/>
  <c r="F24" i="8"/>
  <c r="G74" i="7"/>
  <c r="H75" s="1"/>
  <c r="G28" i="18" s="1"/>
  <c r="J24" i="8"/>
  <c r="K74" i="7"/>
  <c r="D24" i="8"/>
  <c r="E74" i="7"/>
  <c r="H24" i="8"/>
  <c r="I74" i="7"/>
  <c r="M93"/>
  <c r="L24" i="8"/>
  <c r="M30" i="7"/>
  <c r="M78" s="1"/>
  <c r="M89" s="1"/>
  <c r="F100"/>
  <c r="F84" i="9"/>
  <c r="B84"/>
  <c r="D34" i="7"/>
  <c r="C59" i="9" s="1"/>
  <c r="C84"/>
  <c r="C60"/>
  <c r="F37" i="7"/>
  <c r="F39" s="1"/>
  <c r="F41" s="1"/>
  <c r="I48"/>
  <c r="I63" s="1"/>
  <c r="H33" i="19" s="1"/>
  <c r="C48" i="7"/>
  <c r="B47" i="9" s="1"/>
  <c r="G48" i="7"/>
  <c r="F47" i="9" s="1"/>
  <c r="K48" i="7"/>
  <c r="J47" i="9" s="1"/>
  <c r="E65" i="7"/>
  <c r="I65"/>
  <c r="D96"/>
  <c r="L96"/>
  <c r="D100"/>
  <c r="F59" i="8"/>
  <c r="Q57"/>
  <c r="I34" i="7"/>
  <c r="H59" i="9" s="1"/>
  <c r="B51"/>
  <c r="B52" s="1"/>
  <c r="E96" i="7"/>
  <c r="H96"/>
  <c r="D48"/>
  <c r="D63" s="1"/>
  <c r="C33" i="19" s="1"/>
  <c r="E59" i="8"/>
  <c r="F77"/>
  <c r="O55"/>
  <c r="P85"/>
  <c r="P95"/>
  <c r="I77"/>
  <c r="J37" i="7"/>
  <c r="J54" i="9"/>
  <c r="I96" i="7"/>
  <c r="J84" i="9"/>
  <c r="B54"/>
  <c r="D127" i="8"/>
  <c r="D107"/>
  <c r="H127"/>
  <c r="H107"/>
  <c r="J34" i="7"/>
  <c r="I59" i="9" s="1"/>
  <c r="E79"/>
  <c r="I79"/>
  <c r="Q34" i="8"/>
  <c r="E127"/>
  <c r="E107"/>
  <c r="I127"/>
  <c r="I107"/>
  <c r="H65" i="7"/>
  <c r="D77" i="8"/>
  <c r="N50"/>
  <c r="F127"/>
  <c r="F107"/>
  <c r="J127"/>
  <c r="J107"/>
  <c r="L34" i="7"/>
  <c r="L59" i="9" s="1"/>
  <c r="H34" i="7"/>
  <c r="G59" i="9" s="1"/>
  <c r="C79"/>
  <c r="G79"/>
  <c r="F65" i="7"/>
  <c r="D59" i="8"/>
  <c r="H59"/>
  <c r="K59"/>
  <c r="M78"/>
  <c r="N81"/>
  <c r="O99"/>
  <c r="P118"/>
  <c r="H77"/>
  <c r="E37" i="7"/>
  <c r="E98" s="1"/>
  <c r="D65"/>
  <c r="L65"/>
  <c r="G84" i="9"/>
  <c r="G129" i="8"/>
  <c r="K129"/>
  <c r="J77"/>
  <c r="O75"/>
  <c r="D11" i="7"/>
  <c r="C54" i="9"/>
  <c r="L54"/>
  <c r="K54"/>
  <c r="L84"/>
  <c r="K84"/>
  <c r="J51"/>
  <c r="J52" s="1"/>
  <c r="J80"/>
  <c r="G81"/>
  <c r="G53"/>
  <c r="G50"/>
  <c r="E80"/>
  <c r="E51"/>
  <c r="E52" s="1"/>
  <c r="D50"/>
  <c r="D53"/>
  <c r="D81"/>
  <c r="H11" i="7"/>
  <c r="G54" i="9"/>
  <c r="D66"/>
  <c r="D65"/>
  <c r="E100" i="7"/>
  <c r="H66" i="9"/>
  <c r="H65"/>
  <c r="C37" i="7"/>
  <c r="B60" i="9"/>
  <c r="G37" i="7"/>
  <c r="F60" i="9"/>
  <c r="K37" i="7"/>
  <c r="J60" i="9"/>
  <c r="N46" i="7"/>
  <c r="L79" i="9"/>
  <c r="K79"/>
  <c r="C47"/>
  <c r="E49"/>
  <c r="I49"/>
  <c r="C81"/>
  <c r="C53"/>
  <c r="C50"/>
  <c r="L50"/>
  <c r="L81"/>
  <c r="L53"/>
  <c r="M53" s="1"/>
  <c r="K81"/>
  <c r="K53"/>
  <c r="K50"/>
  <c r="I80"/>
  <c r="I51"/>
  <c r="I52" s="1"/>
  <c r="H50"/>
  <c r="H81"/>
  <c r="H53"/>
  <c r="E34" i="7"/>
  <c r="D59" i="9" s="1"/>
  <c r="I54"/>
  <c r="J65" i="7"/>
  <c r="I100"/>
  <c r="H80" i="9"/>
  <c r="H51"/>
  <c r="H52" s="1"/>
  <c r="C100" i="7"/>
  <c r="B65" i="9"/>
  <c r="B66"/>
  <c r="C34" i="7"/>
  <c r="B59" i="9" s="1"/>
  <c r="F65"/>
  <c r="F66"/>
  <c r="J65"/>
  <c r="J66"/>
  <c r="D60"/>
  <c r="H60"/>
  <c r="I37" i="7"/>
  <c r="H48"/>
  <c r="G47" i="9" s="1"/>
  <c r="L48" i="7"/>
  <c r="D30"/>
  <c r="H30"/>
  <c r="C49" i="9"/>
  <c r="G49"/>
  <c r="L49"/>
  <c r="K49"/>
  <c r="S6" s="1"/>
  <c r="E50"/>
  <c r="E81"/>
  <c r="I50"/>
  <c r="I53"/>
  <c r="I81"/>
  <c r="C80"/>
  <c r="C51"/>
  <c r="C52" s="1"/>
  <c r="G80"/>
  <c r="G51"/>
  <c r="G52" s="1"/>
  <c r="L51"/>
  <c r="L80"/>
  <c r="K80"/>
  <c r="K51"/>
  <c r="E84"/>
  <c r="I84"/>
  <c r="C43"/>
  <c r="G43"/>
  <c r="L43"/>
  <c r="K43"/>
  <c r="C24"/>
  <c r="Y5"/>
  <c r="Y4"/>
  <c r="Y3"/>
  <c r="F6" i="10"/>
  <c r="O111" i="8"/>
  <c r="D80" i="9"/>
  <c r="D51"/>
  <c r="D52" s="1"/>
  <c r="F54"/>
  <c r="L100" i="7"/>
  <c r="E65" i="9"/>
  <c r="E66"/>
  <c r="J100" i="7"/>
  <c r="I65" i="9"/>
  <c r="I66"/>
  <c r="G60"/>
  <c r="L60"/>
  <c r="L6" s="1"/>
  <c r="K60"/>
  <c r="F19"/>
  <c r="D27" s="1"/>
  <c r="F18"/>
  <c r="F21"/>
  <c r="F20"/>
  <c r="E48" i="7"/>
  <c r="E63" s="1"/>
  <c r="D37" i="19" s="1"/>
  <c r="D79" i="9"/>
  <c r="H79"/>
  <c r="D54"/>
  <c r="H54"/>
  <c r="C96" i="7"/>
  <c r="B49" i="9"/>
  <c r="F49"/>
  <c r="J49"/>
  <c r="D84"/>
  <c r="H84"/>
  <c r="D43"/>
  <c r="H43"/>
  <c r="C78" i="7"/>
  <c r="E77" i="8"/>
  <c r="C59"/>
  <c r="I59"/>
  <c r="D24" i="9"/>
  <c r="Y6"/>
  <c r="D129" i="8"/>
  <c r="H129"/>
  <c r="G116"/>
  <c r="I12" i="9"/>
  <c r="I14"/>
  <c r="K116" i="8"/>
  <c r="L105"/>
  <c r="L46"/>
  <c r="L47"/>
  <c r="L116"/>
  <c r="K51"/>
  <c r="L51"/>
  <c r="Q72"/>
  <c r="P74"/>
  <c r="Z5" i="9"/>
  <c r="Z7" s="1"/>
  <c r="Z4"/>
  <c r="Z3"/>
  <c r="O117" i="8"/>
  <c r="E43" i="9"/>
  <c r="I43"/>
  <c r="M20"/>
  <c r="M19"/>
  <c r="M21"/>
  <c r="M18"/>
  <c r="X5"/>
  <c r="X7" s="1"/>
  <c r="X4"/>
  <c r="X3"/>
  <c r="F64" i="8"/>
  <c r="J64"/>
  <c r="F70"/>
  <c r="J70"/>
  <c r="Q68"/>
  <c r="AA3" i="9"/>
  <c r="AA5"/>
  <c r="AA7" s="1"/>
  <c r="AA4"/>
  <c r="AB3"/>
  <c r="AB5"/>
  <c r="AB7" s="1"/>
  <c r="AB4"/>
  <c r="F80"/>
  <c r="F51"/>
  <c r="H100" i="7"/>
  <c r="C66" i="9"/>
  <c r="C65"/>
  <c r="G66"/>
  <c r="G65"/>
  <c r="L66"/>
  <c r="B19"/>
  <c r="B18"/>
  <c r="L65"/>
  <c r="B21"/>
  <c r="F8" i="10" s="1"/>
  <c r="B20" i="9"/>
  <c r="K66"/>
  <c r="K65"/>
  <c r="E60"/>
  <c r="I60"/>
  <c r="F79"/>
  <c r="J79"/>
  <c r="D49"/>
  <c r="H49"/>
  <c r="B50"/>
  <c r="B53"/>
  <c r="F81"/>
  <c r="F53"/>
  <c r="F50"/>
  <c r="J81"/>
  <c r="J53"/>
  <c r="J50"/>
  <c r="B43"/>
  <c r="F43"/>
  <c r="J43"/>
  <c r="N41" i="8"/>
  <c r="O5" i="9"/>
  <c r="O4"/>
  <c r="O3"/>
  <c r="Q33" i="8"/>
  <c r="E105"/>
  <c r="I11" i="9"/>
  <c r="I105" i="8"/>
  <c r="I13" i="9"/>
  <c r="K60" i="8"/>
  <c r="L60"/>
  <c r="AC3" i="9"/>
  <c r="AC5"/>
  <c r="AC7" s="1"/>
  <c r="AC4"/>
  <c r="Q78" i="8"/>
  <c r="D14" i="10"/>
  <c r="E12"/>
  <c r="B23"/>
  <c r="B15"/>
  <c r="C23"/>
  <c r="C15"/>
  <c r="G96" i="7"/>
  <c r="K96"/>
  <c r="L11"/>
  <c r="D37"/>
  <c r="H37"/>
  <c r="L37"/>
  <c r="I30"/>
  <c r="L30"/>
  <c r="C24" i="8"/>
  <c r="G24"/>
  <c r="K24"/>
  <c r="F129"/>
  <c r="J129"/>
  <c r="K46"/>
  <c r="K105"/>
  <c r="O113"/>
  <c r="P114"/>
  <c r="O115"/>
  <c r="I116"/>
  <c r="J30" i="7"/>
  <c r="C77" i="8"/>
  <c r="G77"/>
  <c r="K77"/>
  <c r="E129"/>
  <c r="I129"/>
  <c r="H46"/>
  <c r="G105"/>
  <c r="O109"/>
  <c r="E116"/>
  <c r="F34" i="7"/>
  <c r="E59" i="9" s="1"/>
  <c r="G46" i="8"/>
  <c r="N75"/>
  <c r="P82"/>
  <c r="O83"/>
  <c r="O95"/>
  <c r="O96"/>
  <c r="P98"/>
  <c r="N103"/>
  <c r="N104"/>
  <c r="G42"/>
  <c r="J47"/>
  <c r="H65"/>
  <c r="Q96"/>
  <c r="E46"/>
  <c r="I46"/>
  <c r="G47"/>
  <c r="K47"/>
  <c r="C64"/>
  <c r="G64"/>
  <c r="K64"/>
  <c r="E65"/>
  <c r="I65"/>
  <c r="D105"/>
  <c r="H105"/>
  <c r="F116"/>
  <c r="J116"/>
  <c r="C42"/>
  <c r="C127" s="1"/>
  <c r="F47"/>
  <c r="N54"/>
  <c r="Q58"/>
  <c r="N117"/>
  <c r="E47"/>
  <c r="I47"/>
  <c r="E64"/>
  <c r="I64"/>
  <c r="C65"/>
  <c r="G65"/>
  <c r="F105"/>
  <c r="J105"/>
  <c r="D116"/>
  <c r="H116"/>
  <c r="K42"/>
  <c r="D65"/>
  <c r="D64"/>
  <c r="H64"/>
  <c r="N64"/>
  <c r="F65"/>
  <c r="J65"/>
  <c r="O84"/>
  <c r="C129"/>
  <c r="N42"/>
  <c r="N40"/>
  <c r="Q43"/>
  <c r="N45"/>
  <c r="P50"/>
  <c r="P54"/>
  <c r="N55"/>
  <c r="P57"/>
  <c r="M58"/>
  <c r="P68"/>
  <c r="E70"/>
  <c r="I70"/>
  <c r="P72"/>
  <c r="O74"/>
  <c r="Q75"/>
  <c r="L77"/>
  <c r="P78"/>
  <c r="Q81"/>
  <c r="O82"/>
  <c r="Q84"/>
  <c r="O85"/>
  <c r="Q95"/>
  <c r="P96"/>
  <c r="O98"/>
  <c r="Q109"/>
  <c r="Q111"/>
  <c r="Q113"/>
  <c r="O114"/>
  <c r="Q115"/>
  <c r="Q117"/>
  <c r="O118"/>
  <c r="L129"/>
  <c r="P43"/>
  <c r="Q45"/>
  <c r="O50"/>
  <c r="O54"/>
  <c r="Q55"/>
  <c r="O57"/>
  <c r="J59"/>
  <c r="O68"/>
  <c r="D70"/>
  <c r="H70"/>
  <c r="L70"/>
  <c r="O72"/>
  <c r="N74"/>
  <c r="P75"/>
  <c r="O78"/>
  <c r="P81"/>
  <c r="N82"/>
  <c r="Q83"/>
  <c r="P84"/>
  <c r="N85"/>
  <c r="Q99"/>
  <c r="P109"/>
  <c r="P111"/>
  <c r="P113"/>
  <c r="P115"/>
  <c r="P117"/>
  <c r="O43"/>
  <c r="P45"/>
  <c r="P55"/>
  <c r="M57"/>
  <c r="P58"/>
  <c r="C70"/>
  <c r="G70"/>
  <c r="K70"/>
  <c r="AD6" i="9" s="1"/>
  <c r="Q74" i="8"/>
  <c r="O81"/>
  <c r="Q82"/>
  <c r="P83"/>
  <c r="Q85"/>
  <c r="Q98"/>
  <c r="P99"/>
  <c r="Q114"/>
  <c r="Q118"/>
  <c r="L26"/>
  <c r="O45"/>
  <c r="Q50"/>
  <c r="Q54"/>
  <c r="O58"/>
  <c r="M10" i="7"/>
  <c r="M11" s="1"/>
  <c r="F10"/>
  <c r="F11" s="1"/>
  <c r="E30"/>
  <c r="J11"/>
  <c r="G11"/>
  <c r="G100"/>
  <c r="G34"/>
  <c r="F59" i="9" s="1"/>
  <c r="K100" i="7"/>
  <c r="K34"/>
  <c r="J59" i="9" s="1"/>
  <c r="F48" i="7"/>
  <c r="F63" s="1"/>
  <c r="E37" i="19" s="1"/>
  <c r="J48" i="7"/>
  <c r="J63" s="1"/>
  <c r="I33" i="19" s="1"/>
  <c r="F30" i="7"/>
  <c r="E11"/>
  <c r="I11"/>
  <c r="C65"/>
  <c r="C66" s="1"/>
  <c r="G65"/>
  <c r="K65"/>
  <c r="F96"/>
  <c r="J96"/>
  <c r="C11"/>
  <c r="K11"/>
  <c r="G30"/>
  <c r="K30"/>
  <c r="B48" i="18" l="1"/>
  <c r="D75" i="7"/>
  <c r="C28" i="18" s="1"/>
  <c r="K27"/>
  <c r="I47"/>
  <c r="L75" i="7"/>
  <c r="K28" i="18" s="1"/>
  <c r="K63" i="7"/>
  <c r="J37" i="19" s="1"/>
  <c r="C37"/>
  <c r="N19"/>
  <c r="M19"/>
  <c r="O19"/>
  <c r="G11"/>
  <c r="G14"/>
  <c r="G16"/>
  <c r="G13"/>
  <c r="C14"/>
  <c r="C11"/>
  <c r="C13"/>
  <c r="C16"/>
  <c r="B32"/>
  <c r="B29"/>
  <c r="E35"/>
  <c r="K98" i="7"/>
  <c r="J14" i="19"/>
  <c r="J16"/>
  <c r="J11"/>
  <c r="J13"/>
  <c r="B12"/>
  <c r="B11"/>
  <c r="B13"/>
  <c r="I13"/>
  <c r="I16"/>
  <c r="I11"/>
  <c r="I14"/>
  <c r="E30"/>
  <c r="K14"/>
  <c r="K16"/>
  <c r="K11"/>
  <c r="K13"/>
  <c r="E41" i="18"/>
  <c r="F47"/>
  <c r="H37" i="19"/>
  <c r="I37"/>
  <c r="N28"/>
  <c r="O21"/>
  <c r="O28"/>
  <c r="D33"/>
  <c r="H14"/>
  <c r="H16"/>
  <c r="H11"/>
  <c r="H13"/>
  <c r="F13"/>
  <c r="F11"/>
  <c r="F14"/>
  <c r="F16"/>
  <c r="G26" i="18"/>
  <c r="N26" s="1"/>
  <c r="E33" i="19"/>
  <c r="D14"/>
  <c r="D16"/>
  <c r="D13"/>
  <c r="D11"/>
  <c r="E14"/>
  <c r="E16"/>
  <c r="E13"/>
  <c r="E11"/>
  <c r="E47" i="18"/>
  <c r="M28" i="19"/>
  <c r="M21"/>
  <c r="N21"/>
  <c r="N5"/>
  <c r="O5"/>
  <c r="M5"/>
  <c r="C26" i="18"/>
  <c r="K47"/>
  <c r="I64" i="9"/>
  <c r="F64" i="7"/>
  <c r="F75"/>
  <c r="E49" i="18" s="1"/>
  <c r="E64" i="9"/>
  <c r="H64"/>
  <c r="J64" i="7"/>
  <c r="C64" i="9"/>
  <c r="E64" i="7"/>
  <c r="J48" i="18"/>
  <c r="L66" i="7"/>
  <c r="K12" i="19" s="1"/>
  <c r="F6" i="18"/>
  <c r="F7"/>
  <c r="H98" i="7"/>
  <c r="E44" i="18"/>
  <c r="G77" i="12"/>
  <c r="E43" i="18"/>
  <c r="G36"/>
  <c r="G76" i="12"/>
  <c r="G38" i="18"/>
  <c r="G35"/>
  <c r="G78" i="12"/>
  <c r="G37" i="18"/>
  <c r="G79" i="12"/>
  <c r="G6" i="18"/>
  <c r="G7"/>
  <c r="I98" i="7"/>
  <c r="F43" i="18"/>
  <c r="H36"/>
  <c r="F44"/>
  <c r="H35"/>
  <c r="H77" i="12"/>
  <c r="H37" i="18"/>
  <c r="H76" i="12"/>
  <c r="H78"/>
  <c r="F37" i="18"/>
  <c r="F76" i="12"/>
  <c r="D44" i="18"/>
  <c r="F78" i="12"/>
  <c r="D43" i="18"/>
  <c r="F36"/>
  <c r="F77" i="12"/>
  <c r="F35" i="18"/>
  <c r="D66" i="7"/>
  <c r="D69" s="1"/>
  <c r="C20" i="19" s="1"/>
  <c r="E66" i="7"/>
  <c r="D12" i="19" s="1"/>
  <c r="J75" i="7"/>
  <c r="I38" i="18" s="1"/>
  <c r="D27"/>
  <c r="D41"/>
  <c r="N25"/>
  <c r="O26"/>
  <c r="J27"/>
  <c r="M27" s="1"/>
  <c r="H48"/>
  <c r="G49"/>
  <c r="C49"/>
  <c r="L98" i="7"/>
  <c r="I44" i="18"/>
  <c r="K77" i="12"/>
  <c r="K36" i="18"/>
  <c r="K76" i="12"/>
  <c r="K35" i="18"/>
  <c r="K78" i="12"/>
  <c r="I43" i="18"/>
  <c r="K37"/>
  <c r="I66" i="7"/>
  <c r="H12" i="19" s="1"/>
  <c r="K66" i="7"/>
  <c r="J12" i="19" s="1"/>
  <c r="J78" i="7"/>
  <c r="I6" i="18"/>
  <c r="I7"/>
  <c r="K6"/>
  <c r="K7"/>
  <c r="D39" i="7"/>
  <c r="D41" s="1"/>
  <c r="C79" i="12"/>
  <c r="C36" i="18"/>
  <c r="C77" i="12"/>
  <c r="C76"/>
  <c r="C38" i="18"/>
  <c r="C35"/>
  <c r="C78" i="12"/>
  <c r="C37" i="18"/>
  <c r="D78" i="7"/>
  <c r="C62" i="9" s="1"/>
  <c r="C7" i="18"/>
  <c r="C6"/>
  <c r="D36"/>
  <c r="D35"/>
  <c r="D77" i="12"/>
  <c r="D37" i="18"/>
  <c r="D76" i="12"/>
  <c r="D78"/>
  <c r="H66" i="7"/>
  <c r="G12" i="19" s="1"/>
  <c r="E48" i="9"/>
  <c r="E35" i="18"/>
  <c r="E78" i="12"/>
  <c r="E37" i="18"/>
  <c r="E77" i="12"/>
  <c r="E76"/>
  <c r="E36" i="18"/>
  <c r="F41"/>
  <c r="M25"/>
  <c r="I41"/>
  <c r="J6"/>
  <c r="J7"/>
  <c r="G66" i="7"/>
  <c r="F12" i="19" s="1"/>
  <c r="E7" i="18"/>
  <c r="E6"/>
  <c r="E45" i="9"/>
  <c r="E4" i="19"/>
  <c r="E6" s="1"/>
  <c r="E8" s="1"/>
  <c r="D7" i="18"/>
  <c r="D6"/>
  <c r="H7"/>
  <c r="H6"/>
  <c r="J66" i="7"/>
  <c r="K39"/>
  <c r="J78" i="9" s="1"/>
  <c r="J37" i="18"/>
  <c r="J76" i="12"/>
  <c r="J78"/>
  <c r="H43" i="18"/>
  <c r="J36"/>
  <c r="H44"/>
  <c r="J35"/>
  <c r="J77" i="12"/>
  <c r="B37" i="18"/>
  <c r="B76" i="12"/>
  <c r="B35" i="18"/>
  <c r="B78" i="12"/>
  <c r="F66" i="7"/>
  <c r="E12" i="19" s="1"/>
  <c r="I48" i="9"/>
  <c r="I35" i="18"/>
  <c r="I78" i="12"/>
  <c r="G43" i="18"/>
  <c r="I37"/>
  <c r="G44"/>
  <c r="I77" i="12"/>
  <c r="I36" i="18"/>
  <c r="I76" i="12"/>
  <c r="H27" i="18"/>
  <c r="H41"/>
  <c r="O25"/>
  <c r="I48"/>
  <c r="E48"/>
  <c r="D48"/>
  <c r="M26"/>
  <c r="F48"/>
  <c r="G41"/>
  <c r="F27"/>
  <c r="E27"/>
  <c r="K75" i="7"/>
  <c r="I75"/>
  <c r="E75"/>
  <c r="D38" i="18" s="1"/>
  <c r="G75" i="7"/>
  <c r="F98"/>
  <c r="E69" i="9"/>
  <c r="H47"/>
  <c r="J39" i="7"/>
  <c r="J41" s="1"/>
  <c r="C63"/>
  <c r="D69" i="9"/>
  <c r="J98" i="7"/>
  <c r="G63"/>
  <c r="K59" i="9"/>
  <c r="O46" i="8"/>
  <c r="I69" i="9"/>
  <c r="C20"/>
  <c r="Q46" i="8"/>
  <c r="I39" i="7"/>
  <c r="I41" s="1"/>
  <c r="E39"/>
  <c r="E41" s="1"/>
  <c r="Q51" i="8"/>
  <c r="D48" i="9"/>
  <c r="D85"/>
  <c r="F33"/>
  <c r="M60" i="8"/>
  <c r="H39" i="7"/>
  <c r="H41" s="1"/>
  <c r="K127" i="8"/>
  <c r="K107"/>
  <c r="B13" i="9" s="1"/>
  <c r="G127" i="8"/>
  <c r="G107"/>
  <c r="O7" i="9"/>
  <c r="B99"/>
  <c r="M50"/>
  <c r="M54"/>
  <c r="P51" i="8"/>
  <c r="B12" i="9"/>
  <c r="E83"/>
  <c r="D64"/>
  <c r="P116" i="8"/>
  <c r="I85" i="9"/>
  <c r="E54"/>
  <c r="Y7"/>
  <c r="M43"/>
  <c r="I47"/>
  <c r="E85"/>
  <c r="E78"/>
  <c r="E47"/>
  <c r="C18"/>
  <c r="E78" i="7"/>
  <c r="D82" i="9"/>
  <c r="R5"/>
  <c r="R4"/>
  <c r="R3"/>
  <c r="T6"/>
  <c r="K52"/>
  <c r="H85"/>
  <c r="H69"/>
  <c r="H48"/>
  <c r="L5"/>
  <c r="L7" s="1"/>
  <c r="L3"/>
  <c r="L4"/>
  <c r="F78" i="7"/>
  <c r="B94" i="9"/>
  <c r="E82"/>
  <c r="O116" i="8"/>
  <c r="O51"/>
  <c r="B96" i="9"/>
  <c r="I82"/>
  <c r="D21"/>
  <c r="D20"/>
  <c r="D19"/>
  <c r="D18"/>
  <c r="L69"/>
  <c r="L48"/>
  <c r="K48"/>
  <c r="F24" s="1"/>
  <c r="K69"/>
  <c r="K11"/>
  <c r="M11" s="1"/>
  <c r="L11"/>
  <c r="M49"/>
  <c r="O20"/>
  <c r="O19"/>
  <c r="O18"/>
  <c r="C14"/>
  <c r="C13"/>
  <c r="O21"/>
  <c r="C12"/>
  <c r="C11"/>
  <c r="L47"/>
  <c r="F69"/>
  <c r="F48"/>
  <c r="K78" i="7"/>
  <c r="J82" i="9"/>
  <c r="L63" i="7"/>
  <c r="F83"/>
  <c r="F97" s="1"/>
  <c r="E61" i="9"/>
  <c r="G39" i="7"/>
  <c r="G79" s="1"/>
  <c r="G80" s="1"/>
  <c r="L78"/>
  <c r="L82" i="9"/>
  <c r="K82"/>
  <c r="G48"/>
  <c r="G69"/>
  <c r="AD3"/>
  <c r="AD5"/>
  <c r="AD7" s="1"/>
  <c r="AD4"/>
  <c r="K14"/>
  <c r="L14"/>
  <c r="S5"/>
  <c r="S7" s="1"/>
  <c r="S4"/>
  <c r="S3"/>
  <c r="E57"/>
  <c r="H78" i="7"/>
  <c r="B95" i="9"/>
  <c r="G82"/>
  <c r="E46"/>
  <c r="K47"/>
  <c r="C19"/>
  <c r="G78" i="7"/>
  <c r="F82" i="9"/>
  <c r="H63" i="7"/>
  <c r="L39"/>
  <c r="L79" s="1"/>
  <c r="L80" s="1"/>
  <c r="G98"/>
  <c r="Q116" i="8"/>
  <c r="Q77"/>
  <c r="K65"/>
  <c r="I7" i="10"/>
  <c r="B16" s="1"/>
  <c r="I78" i="7"/>
  <c r="H82" i="9"/>
  <c r="D98" i="7"/>
  <c r="C48" i="9"/>
  <c r="C85"/>
  <c r="C69"/>
  <c r="K13"/>
  <c r="L13"/>
  <c r="I8" i="10"/>
  <c r="A27" i="9"/>
  <c r="A33"/>
  <c r="T5"/>
  <c r="T4"/>
  <c r="T3"/>
  <c r="F52"/>
  <c r="L65" i="8"/>
  <c r="N51"/>
  <c r="K12" i="9"/>
  <c r="M12" s="1"/>
  <c r="K24" s="1"/>
  <c r="L12"/>
  <c r="E33"/>
  <c r="B55"/>
  <c r="B62"/>
  <c r="D47"/>
  <c r="B100"/>
  <c r="M51"/>
  <c r="L52"/>
  <c r="M52" s="1"/>
  <c r="E53"/>
  <c r="B93"/>
  <c r="C82"/>
  <c r="E44"/>
  <c r="M79"/>
  <c r="J69"/>
  <c r="J48"/>
  <c r="C39" i="7"/>
  <c r="C98"/>
  <c r="B69" i="9"/>
  <c r="B48"/>
  <c r="C21"/>
  <c r="H24"/>
  <c r="R6"/>
  <c r="R7" s="1"/>
  <c r="D23" i="10"/>
  <c r="D15"/>
  <c r="F12"/>
  <c r="E14"/>
  <c r="N105" i="8"/>
  <c r="Q47"/>
  <c r="O77"/>
  <c r="N70"/>
  <c r="P47"/>
  <c r="N47"/>
  <c r="M59"/>
  <c r="P60"/>
  <c r="O128"/>
  <c r="Q64"/>
  <c r="O64"/>
  <c r="P64"/>
  <c r="N46"/>
  <c r="B5" i="10" s="1"/>
  <c r="P128" i="8"/>
  <c r="Q60"/>
  <c r="P46"/>
  <c r="P77"/>
  <c r="Q128"/>
  <c r="O70"/>
  <c r="P70"/>
  <c r="Q70"/>
  <c r="O129"/>
  <c r="P129"/>
  <c r="Q129"/>
  <c r="O60"/>
  <c r="N116"/>
  <c r="O47"/>
  <c r="F79" i="7"/>
  <c r="F80" s="1"/>
  <c r="M14" i="19" l="1"/>
  <c r="E42"/>
  <c r="K49" i="18"/>
  <c r="K79" i="12"/>
  <c r="K38" i="18"/>
  <c r="J64" i="9"/>
  <c r="N27" i="18"/>
  <c r="K64" i="7"/>
  <c r="J85" i="9"/>
  <c r="J70" s="1"/>
  <c r="J87" s="1"/>
  <c r="J88" s="1"/>
  <c r="J33" i="19"/>
  <c r="K79" i="7"/>
  <c r="K80" s="1"/>
  <c r="J69"/>
  <c r="I20" i="19" s="1"/>
  <c r="C55" i="9"/>
  <c r="N14" i="19"/>
  <c r="M13"/>
  <c r="I35"/>
  <c r="I36"/>
  <c r="I30"/>
  <c r="I12"/>
  <c r="M12" s="1"/>
  <c r="O16"/>
  <c r="C12"/>
  <c r="H39"/>
  <c r="H22"/>
  <c r="H24"/>
  <c r="H29"/>
  <c r="H32"/>
  <c r="H31"/>
  <c r="E40"/>
  <c r="E31"/>
  <c r="E29"/>
  <c r="E39"/>
  <c r="E44"/>
  <c r="E22"/>
  <c r="E24"/>
  <c r="E32"/>
  <c r="E18"/>
  <c r="G35"/>
  <c r="G30"/>
  <c r="H35"/>
  <c r="H30"/>
  <c r="E79" i="12"/>
  <c r="E38" i="18"/>
  <c r="C46" i="9"/>
  <c r="C35" i="19"/>
  <c r="C30"/>
  <c r="M11"/>
  <c r="C15"/>
  <c r="N13"/>
  <c r="F39"/>
  <c r="F32"/>
  <c r="F29"/>
  <c r="F24"/>
  <c r="F22"/>
  <c r="K32"/>
  <c r="K39"/>
  <c r="K29"/>
  <c r="K24"/>
  <c r="K22"/>
  <c r="K85" i="9"/>
  <c r="K33" i="19"/>
  <c r="K37"/>
  <c r="M37" s="1"/>
  <c r="D39"/>
  <c r="D22"/>
  <c r="D24"/>
  <c r="D40"/>
  <c r="D29"/>
  <c r="D32"/>
  <c r="D31"/>
  <c r="D18"/>
  <c r="B33"/>
  <c r="B37"/>
  <c r="I62" i="9"/>
  <c r="I40" i="19"/>
  <c r="I31"/>
  <c r="I29"/>
  <c r="I39"/>
  <c r="I22"/>
  <c r="I24"/>
  <c r="I32"/>
  <c r="I18"/>
  <c r="I23"/>
  <c r="E28" i="18"/>
  <c r="D34" i="19"/>
  <c r="D17"/>
  <c r="D38"/>
  <c r="J34"/>
  <c r="J43"/>
  <c r="J41"/>
  <c r="J38"/>
  <c r="J17"/>
  <c r="M16"/>
  <c r="B39"/>
  <c r="O11"/>
  <c r="N16"/>
  <c r="G64" i="7"/>
  <c r="F44" i="19" s="1"/>
  <c r="F33"/>
  <c r="F37"/>
  <c r="G37"/>
  <c r="G33"/>
  <c r="G32"/>
  <c r="G39"/>
  <c r="G31"/>
  <c r="G22"/>
  <c r="G24"/>
  <c r="G29"/>
  <c r="J18"/>
  <c r="J40"/>
  <c r="J39"/>
  <c r="J44"/>
  <c r="J22"/>
  <c r="J29"/>
  <c r="J24"/>
  <c r="J32"/>
  <c r="D36"/>
  <c r="D35"/>
  <c r="D30"/>
  <c r="C32"/>
  <c r="C24"/>
  <c r="C39"/>
  <c r="C29"/>
  <c r="C23"/>
  <c r="C31"/>
  <c r="C22"/>
  <c r="I38"/>
  <c r="I17"/>
  <c r="I34"/>
  <c r="E41"/>
  <c r="E43"/>
  <c r="E38"/>
  <c r="E17"/>
  <c r="E34"/>
  <c r="I15"/>
  <c r="E36"/>
  <c r="O13"/>
  <c r="O14"/>
  <c r="N11"/>
  <c r="I79" i="12"/>
  <c r="D79" i="7"/>
  <c r="D80" s="1"/>
  <c r="C9" i="19" s="1"/>
  <c r="M36" i="18"/>
  <c r="M37"/>
  <c r="E69" i="7"/>
  <c r="D23" i="19" s="1"/>
  <c r="J9"/>
  <c r="J10"/>
  <c r="L64" i="7"/>
  <c r="E10" i="19"/>
  <c r="E9"/>
  <c r="K9"/>
  <c r="K10"/>
  <c r="F9"/>
  <c r="K41" i="7"/>
  <c r="J61" i="9" s="1"/>
  <c r="J67" s="1"/>
  <c r="G64"/>
  <c r="I64" i="7"/>
  <c r="I41" i="19" s="1"/>
  <c r="B64" i="9"/>
  <c r="D64" i="7"/>
  <c r="D43" i="19" s="1"/>
  <c r="I55" i="9"/>
  <c r="F85"/>
  <c r="H64" i="7"/>
  <c r="G40" i="19" s="1"/>
  <c r="F69" i="7"/>
  <c r="H69"/>
  <c r="G23" i="19" s="1"/>
  <c r="O27" i="18"/>
  <c r="O37"/>
  <c r="M6"/>
  <c r="N36"/>
  <c r="L69" i="7"/>
  <c r="K23" i="19" s="1"/>
  <c r="M35" i="18"/>
  <c r="H49"/>
  <c r="H28"/>
  <c r="C45" i="9"/>
  <c r="C4" i="19"/>
  <c r="C6" s="1"/>
  <c r="C8" s="1"/>
  <c r="H79" i="12"/>
  <c r="G30" i="18"/>
  <c r="G31"/>
  <c r="G32"/>
  <c r="G33"/>
  <c r="J55" i="9"/>
  <c r="J30" i="18"/>
  <c r="J31"/>
  <c r="J32"/>
  <c r="J33"/>
  <c r="D30"/>
  <c r="D33"/>
  <c r="D31"/>
  <c r="D32"/>
  <c r="C44" i="9"/>
  <c r="J49" i="18"/>
  <c r="J28"/>
  <c r="J79" i="12"/>
  <c r="O6" i="18"/>
  <c r="I30"/>
  <c r="I31"/>
  <c r="I32"/>
  <c r="I33"/>
  <c r="I69" i="7"/>
  <c r="H23" i="19" s="1"/>
  <c r="N6" i="18"/>
  <c r="N35"/>
  <c r="H55" i="9"/>
  <c r="H32" i="18"/>
  <c r="H30"/>
  <c r="H31"/>
  <c r="H33"/>
  <c r="C61" i="9"/>
  <c r="C67" s="1"/>
  <c r="C78"/>
  <c r="C70" s="1"/>
  <c r="C87" s="1"/>
  <c r="C88" s="1"/>
  <c r="C57"/>
  <c r="G46"/>
  <c r="G4" i="19"/>
  <c r="G6" s="1"/>
  <c r="G8" s="1"/>
  <c r="D83" i="9"/>
  <c r="D4" i="19"/>
  <c r="D6" s="1"/>
  <c r="D8" s="1"/>
  <c r="I46" i="9"/>
  <c r="I4" i="19"/>
  <c r="I6" s="1"/>
  <c r="I8" s="1"/>
  <c r="F49" i="18"/>
  <c r="F28"/>
  <c r="J38"/>
  <c r="M38" s="1"/>
  <c r="O7"/>
  <c r="O35"/>
  <c r="O36"/>
  <c r="I28"/>
  <c r="I49"/>
  <c r="F79" i="12"/>
  <c r="H38" i="18"/>
  <c r="E55" i="9"/>
  <c r="E30" i="18"/>
  <c r="E31"/>
  <c r="E32"/>
  <c r="E33"/>
  <c r="N7"/>
  <c r="C56" i="9"/>
  <c r="D83" i="7"/>
  <c r="D97" s="1"/>
  <c r="F55" i="9"/>
  <c r="F30" i="18"/>
  <c r="F31"/>
  <c r="F32"/>
  <c r="F33"/>
  <c r="K55" i="9"/>
  <c r="K30" i="18"/>
  <c r="K31"/>
  <c r="K32"/>
  <c r="K33"/>
  <c r="C83" i="9"/>
  <c r="H61"/>
  <c r="H67" s="1"/>
  <c r="H4" i="19"/>
  <c r="H6" s="1"/>
  <c r="H8" s="1"/>
  <c r="D49" i="18"/>
  <c r="D28"/>
  <c r="G69" i="7"/>
  <c r="D79" i="12"/>
  <c r="C32" i="18"/>
  <c r="C33"/>
  <c r="C31"/>
  <c r="C30"/>
  <c r="M7"/>
  <c r="K69" i="7"/>
  <c r="J23" i="19" s="1"/>
  <c r="F38" i="18"/>
  <c r="N37"/>
  <c r="I79" i="7"/>
  <c r="I80" s="1"/>
  <c r="K72" i="9" s="1"/>
  <c r="I45"/>
  <c r="I83" i="7"/>
  <c r="I97" s="1"/>
  <c r="H83" i="9"/>
  <c r="H44"/>
  <c r="B85"/>
  <c r="H45"/>
  <c r="B11"/>
  <c r="I78"/>
  <c r="I70" s="1"/>
  <c r="I87" s="1"/>
  <c r="I61"/>
  <c r="I68" s="1"/>
  <c r="J79" i="7"/>
  <c r="J80" s="1"/>
  <c r="I83" i="9"/>
  <c r="I44"/>
  <c r="I57"/>
  <c r="H57"/>
  <c r="J83" i="7"/>
  <c r="J97" s="1"/>
  <c r="I56" i="9"/>
  <c r="J73"/>
  <c r="F64"/>
  <c r="H46"/>
  <c r="H78"/>
  <c r="H70" s="1"/>
  <c r="H87" s="1"/>
  <c r="H88" s="1"/>
  <c r="D46"/>
  <c r="M47"/>
  <c r="Q6"/>
  <c r="Q127" i="8"/>
  <c r="E79" i="7"/>
  <c r="E80" s="1"/>
  <c r="Q65" i="8"/>
  <c r="D57" i="9"/>
  <c r="G61"/>
  <c r="G68" s="1"/>
  <c r="D78"/>
  <c r="D70" s="1"/>
  <c r="D87" s="1"/>
  <c r="D88" s="1"/>
  <c r="E70"/>
  <c r="E87" s="1"/>
  <c r="E88" s="1"/>
  <c r="H68"/>
  <c r="E83" i="7"/>
  <c r="E97" s="1"/>
  <c r="D44" i="9"/>
  <c r="D45"/>
  <c r="D61"/>
  <c r="D67" s="1"/>
  <c r="O127" i="8"/>
  <c r="G83" i="9"/>
  <c r="G57"/>
  <c r="G78"/>
  <c r="G44"/>
  <c r="B105"/>
  <c r="H83" i="7"/>
  <c r="H97" s="1"/>
  <c r="H79"/>
  <c r="H80" s="1"/>
  <c r="P65" i="8"/>
  <c r="P127"/>
  <c r="G45" i="9"/>
  <c r="M48"/>
  <c r="L73"/>
  <c r="H19" s="1"/>
  <c r="I27" s="1"/>
  <c r="L71"/>
  <c r="K73"/>
  <c r="K71"/>
  <c r="G24"/>
  <c r="G62"/>
  <c r="G56"/>
  <c r="Q5"/>
  <c r="D62"/>
  <c r="D56"/>
  <c r="O65" i="8"/>
  <c r="H62" i="9"/>
  <c r="H56"/>
  <c r="L41" i="7"/>
  <c r="K31" i="19" s="1"/>
  <c r="L78" i="9"/>
  <c r="K78"/>
  <c r="K70" s="1"/>
  <c r="F62"/>
  <c r="G55"/>
  <c r="N20"/>
  <c r="N19"/>
  <c r="N21"/>
  <c r="N18"/>
  <c r="L62"/>
  <c r="K62"/>
  <c r="L64"/>
  <c r="K64"/>
  <c r="B101" s="1"/>
  <c r="J62"/>
  <c r="F71"/>
  <c r="M13"/>
  <c r="B4" i="10"/>
  <c r="F7"/>
  <c r="M14" i="9"/>
  <c r="Q3"/>
  <c r="G41" i="7"/>
  <c r="F78" i="9"/>
  <c r="F70" s="1"/>
  <c r="F87" s="1"/>
  <c r="F88" s="1"/>
  <c r="D55"/>
  <c r="N65" i="8"/>
  <c r="B78" i="9"/>
  <c r="C79" i="7"/>
  <c r="C80" s="1"/>
  <c r="C41"/>
  <c r="T7" i="9"/>
  <c r="Q4"/>
  <c r="G85"/>
  <c r="L55"/>
  <c r="M55" s="1"/>
  <c r="E68"/>
  <c r="E67"/>
  <c r="L85"/>
  <c r="E62"/>
  <c r="E56"/>
  <c r="B106"/>
  <c r="G12" i="10"/>
  <c r="F14"/>
  <c r="E15"/>
  <c r="E23"/>
  <c r="C6" i="3"/>
  <c r="D6"/>
  <c r="E6"/>
  <c r="F6"/>
  <c r="G6"/>
  <c r="H6"/>
  <c r="I6"/>
  <c r="J6"/>
  <c r="K6"/>
  <c r="B6"/>
  <c r="C5" i="1"/>
  <c r="D5"/>
  <c r="E5"/>
  <c r="F5"/>
  <c r="G5"/>
  <c r="H5"/>
  <c r="I5"/>
  <c r="J5"/>
  <c r="K5"/>
  <c r="B5"/>
  <c r="K93" i="6"/>
  <c r="C93"/>
  <c r="D93"/>
  <c r="E93"/>
  <c r="F93"/>
  <c r="G93"/>
  <c r="H93"/>
  <c r="I93"/>
  <c r="J93"/>
  <c r="B93"/>
  <c r="EV5" i="20"/>
  <c r="GG5"/>
  <c r="HR5"/>
  <c r="KN5"/>
  <c r="DK5"/>
  <c r="NJ5"/>
  <c r="BZ5"/>
  <c r="AO5"/>
  <c r="JC5"/>
  <c r="LY5"/>
  <c r="N33" i="19" l="1"/>
  <c r="M33"/>
  <c r="F72" i="9"/>
  <c r="O33" i="19"/>
  <c r="G42"/>
  <c r="K83" i="7"/>
  <c r="K97" s="1"/>
  <c r="O32" i="19"/>
  <c r="O12"/>
  <c r="H73" i="9"/>
  <c r="J57"/>
  <c r="J83"/>
  <c r="O29" i="19"/>
  <c r="J44" i="9"/>
  <c r="O22" i="19"/>
  <c r="G44"/>
  <c r="I42"/>
  <c r="M32"/>
  <c r="H36"/>
  <c r="M24"/>
  <c r="F31"/>
  <c r="K3"/>
  <c r="K17" i="18"/>
  <c r="K18"/>
  <c r="E20" i="19"/>
  <c r="E15"/>
  <c r="N23"/>
  <c r="M39"/>
  <c r="E18" i="18"/>
  <c r="E3" i="19"/>
  <c r="E17" i="18"/>
  <c r="F38" i="19"/>
  <c r="F17"/>
  <c r="F34"/>
  <c r="F43"/>
  <c r="F41"/>
  <c r="O4"/>
  <c r="O6" s="1"/>
  <c r="M4"/>
  <c r="M6" s="1"/>
  <c r="H3"/>
  <c r="H18" i="18"/>
  <c r="H17"/>
  <c r="D3" i="19"/>
  <c r="D18" i="18"/>
  <c r="D17"/>
  <c r="L72" i="9"/>
  <c r="C68"/>
  <c r="J46"/>
  <c r="F20" i="19"/>
  <c r="F15"/>
  <c r="K20"/>
  <c r="K15"/>
  <c r="H41"/>
  <c r="H38"/>
  <c r="H17"/>
  <c r="H34"/>
  <c r="H43"/>
  <c r="F10"/>
  <c r="C18"/>
  <c r="C40"/>
  <c r="N24"/>
  <c r="N37"/>
  <c r="M23"/>
  <c r="M22"/>
  <c r="F23"/>
  <c r="F40"/>
  <c r="H42"/>
  <c r="H18"/>
  <c r="H40"/>
  <c r="J17" i="18"/>
  <c r="J3" i="19"/>
  <c r="J18" i="18"/>
  <c r="F17"/>
  <c r="F3" i="19"/>
  <c r="F18" i="18"/>
  <c r="H20" i="19"/>
  <c r="H15"/>
  <c r="C10"/>
  <c r="C38"/>
  <c r="C34"/>
  <c r="C17"/>
  <c r="K43"/>
  <c r="K38"/>
  <c r="M38" s="1"/>
  <c r="K34"/>
  <c r="M34" s="1"/>
  <c r="K17"/>
  <c r="M17" s="1"/>
  <c r="K41"/>
  <c r="M41" s="1"/>
  <c r="D42"/>
  <c r="D44"/>
  <c r="E23"/>
  <c r="O23" s="1"/>
  <c r="I18" i="18"/>
  <c r="I3" i="19"/>
  <c r="I17" i="18"/>
  <c r="K42" i="19"/>
  <c r="K36"/>
  <c r="K35"/>
  <c r="K30"/>
  <c r="G34"/>
  <c r="G38"/>
  <c r="G41"/>
  <c r="G17"/>
  <c r="G43"/>
  <c r="J4"/>
  <c r="J6" s="1"/>
  <c r="J8" s="1"/>
  <c r="J42"/>
  <c r="J36"/>
  <c r="J35"/>
  <c r="J30"/>
  <c r="O39"/>
  <c r="G18"/>
  <c r="N39"/>
  <c r="M29"/>
  <c r="K44"/>
  <c r="G36"/>
  <c r="B18" i="18"/>
  <c r="B17"/>
  <c r="B3" i="19"/>
  <c r="G3"/>
  <c r="G17" i="18"/>
  <c r="G18"/>
  <c r="C3" i="19"/>
  <c r="C17" i="18"/>
  <c r="C18"/>
  <c r="B4" i="19"/>
  <c r="B6" s="1"/>
  <c r="B8" s="1"/>
  <c r="B35"/>
  <c r="B30"/>
  <c r="B31"/>
  <c r="H72" i="9"/>
  <c r="F4" i="19"/>
  <c r="F6" s="1"/>
  <c r="F8" s="1"/>
  <c r="F42"/>
  <c r="F36"/>
  <c r="F35"/>
  <c r="F30"/>
  <c r="J56" i="9"/>
  <c r="J45"/>
  <c r="J20" i="19"/>
  <c r="J15"/>
  <c r="G20"/>
  <c r="G15"/>
  <c r="D20"/>
  <c r="D15"/>
  <c r="I43"/>
  <c r="O24"/>
  <c r="J31"/>
  <c r="N29"/>
  <c r="N22"/>
  <c r="N32"/>
  <c r="O37"/>
  <c r="D41"/>
  <c r="I44"/>
  <c r="K18"/>
  <c r="M18" s="1"/>
  <c r="K40"/>
  <c r="M40" s="1"/>
  <c r="F18"/>
  <c r="C36"/>
  <c r="N4"/>
  <c r="N6" s="1"/>
  <c r="H44"/>
  <c r="N12"/>
  <c r="O38" i="18"/>
  <c r="N38"/>
  <c r="G71" i="9"/>
  <c r="G10" i="19"/>
  <c r="G9"/>
  <c r="C71" i="9"/>
  <c r="B9" i="19"/>
  <c r="D71" i="9"/>
  <c r="D9" i="19"/>
  <c r="D10"/>
  <c r="J71" i="9"/>
  <c r="I10" i="19"/>
  <c r="M10" s="1"/>
  <c r="I9"/>
  <c r="M9" s="1"/>
  <c r="H9"/>
  <c r="H10"/>
  <c r="O32" i="18"/>
  <c r="M31"/>
  <c r="N28"/>
  <c r="O30"/>
  <c r="M30"/>
  <c r="N33"/>
  <c r="N30"/>
  <c r="O31"/>
  <c r="M28"/>
  <c r="M33"/>
  <c r="N32"/>
  <c r="L56" i="9"/>
  <c r="M56" s="1"/>
  <c r="K4" i="19"/>
  <c r="K6" s="1"/>
  <c r="K8" s="1"/>
  <c r="O33" i="18"/>
  <c r="O28"/>
  <c r="M32"/>
  <c r="N31"/>
  <c r="J68" i="9"/>
  <c r="B70"/>
  <c r="B87" s="1"/>
  <c r="I43" i="7"/>
  <c r="H89" i="9" s="1"/>
  <c r="H67" i="12"/>
  <c r="H3"/>
  <c r="AQ10" i="16" s="1"/>
  <c r="H66" i="12"/>
  <c r="C43" i="7"/>
  <c r="B67" i="12"/>
  <c r="B3"/>
  <c r="AQ4" i="16" s="1"/>
  <c r="B66" i="12"/>
  <c r="H43" i="7"/>
  <c r="H89" s="1"/>
  <c r="G3" i="12"/>
  <c r="AQ9" i="16" s="1"/>
  <c r="G66" i="12"/>
  <c r="G67"/>
  <c r="D43" i="7"/>
  <c r="D90" s="1"/>
  <c r="C3" i="12"/>
  <c r="AQ5" i="16" s="1"/>
  <c r="C66" i="12"/>
  <c r="C67"/>
  <c r="I72" i="9"/>
  <c r="J43" i="7"/>
  <c r="I66" i="12"/>
  <c r="I3"/>
  <c r="AQ11" i="16" s="1"/>
  <c r="I67" i="12"/>
  <c r="F43" i="7"/>
  <c r="E66" i="12"/>
  <c r="E67"/>
  <c r="E3"/>
  <c r="AQ7" i="16" s="1"/>
  <c r="E43" i="7"/>
  <c r="D67" i="12"/>
  <c r="D66"/>
  <c r="D3"/>
  <c r="AQ6" i="16" s="1"/>
  <c r="K43" i="7"/>
  <c r="K92" s="1"/>
  <c r="J67" i="12"/>
  <c r="J3"/>
  <c r="AQ12" i="16" s="1"/>
  <c r="J66" i="12"/>
  <c r="G43" i="7"/>
  <c r="F67" i="12"/>
  <c r="F3"/>
  <c r="AQ8" i="16" s="1"/>
  <c r="F66" i="12"/>
  <c r="B2" i="11"/>
  <c r="B13" s="1"/>
  <c r="E13" s="1"/>
  <c r="O17" i="10" s="1"/>
  <c r="K3" i="12"/>
  <c r="AQ13" i="16" s="1"/>
  <c r="K66" i="12"/>
  <c r="K67"/>
  <c r="I71" i="9"/>
  <c r="I67"/>
  <c r="G70"/>
  <c r="B104" s="1"/>
  <c r="G67"/>
  <c r="K56"/>
  <c r="I73"/>
  <c r="G72"/>
  <c r="E71"/>
  <c r="D89"/>
  <c r="B103"/>
  <c r="D68"/>
  <c r="B102"/>
  <c r="J72"/>
  <c r="H71"/>
  <c r="G73"/>
  <c r="L74"/>
  <c r="I30" s="1"/>
  <c r="G20"/>
  <c r="Q7"/>
  <c r="L33"/>
  <c r="G83" i="7"/>
  <c r="G97" s="1"/>
  <c r="F61" i="9"/>
  <c r="F46"/>
  <c r="F83"/>
  <c r="F45"/>
  <c r="F57"/>
  <c r="F44"/>
  <c r="F56"/>
  <c r="L83" i="7"/>
  <c r="L97" s="1"/>
  <c r="L61" i="9"/>
  <c r="E20"/>
  <c r="E19"/>
  <c r="E21"/>
  <c r="O33" s="1"/>
  <c r="E18"/>
  <c r="K61"/>
  <c r="K44"/>
  <c r="K83"/>
  <c r="K46"/>
  <c r="K45"/>
  <c r="K57"/>
  <c r="L44"/>
  <c r="M44" s="1"/>
  <c r="L45"/>
  <c r="M45" s="1"/>
  <c r="L83"/>
  <c r="L46"/>
  <c r="M46" s="1"/>
  <c r="L57"/>
  <c r="M57" s="1"/>
  <c r="N4" i="8"/>
  <c r="P4"/>
  <c r="O4"/>
  <c r="C83" i="7"/>
  <c r="C97" s="1"/>
  <c r="B61" i="9"/>
  <c r="B83"/>
  <c r="B45"/>
  <c r="B57"/>
  <c r="B46"/>
  <c r="B44"/>
  <c r="B56"/>
  <c r="L70"/>
  <c r="L87" s="1"/>
  <c r="L88" s="1"/>
  <c r="K87"/>
  <c r="J20" s="1"/>
  <c r="G21"/>
  <c r="E72"/>
  <c r="I88"/>
  <c r="F23" i="10"/>
  <c r="F15"/>
  <c r="G14"/>
  <c r="H12"/>
  <c r="L43" i="7"/>
  <c r="K16" i="12" s="1"/>
  <c r="I4" i="8"/>
  <c r="E4"/>
  <c r="F4"/>
  <c r="K4"/>
  <c r="G4"/>
  <c r="C4"/>
  <c r="J4"/>
  <c r="H4"/>
  <c r="D4"/>
  <c r="B6" i="6"/>
  <c r="L3" i="12" s="1"/>
  <c r="C17" i="2"/>
  <c r="D17"/>
  <c r="E17"/>
  <c r="F17"/>
  <c r="G17"/>
  <c r="H17"/>
  <c r="I17"/>
  <c r="J17"/>
  <c r="K17"/>
  <c r="C18"/>
  <c r="D18"/>
  <c r="E18"/>
  <c r="F18"/>
  <c r="G18"/>
  <c r="H18"/>
  <c r="I18"/>
  <c r="J18"/>
  <c r="K18"/>
  <c r="B17"/>
  <c r="C4"/>
  <c r="D4"/>
  <c r="E4"/>
  <c r="F4"/>
  <c r="G4"/>
  <c r="H4"/>
  <c r="I4"/>
  <c r="J4"/>
  <c r="K4"/>
  <c r="C5"/>
  <c r="D5"/>
  <c r="E5"/>
  <c r="F5"/>
  <c r="G5"/>
  <c r="H5"/>
  <c r="I5"/>
  <c r="J5"/>
  <c r="K5"/>
  <c r="C6"/>
  <c r="D6"/>
  <c r="E6"/>
  <c r="F6"/>
  <c r="G6"/>
  <c r="H6"/>
  <c r="I6"/>
  <c r="J6"/>
  <c r="K6"/>
  <c r="C7"/>
  <c r="D7"/>
  <c r="E7"/>
  <c r="F7"/>
  <c r="G7"/>
  <c r="H7"/>
  <c r="I7"/>
  <c r="J7"/>
  <c r="K7"/>
  <c r="C8"/>
  <c r="D8"/>
  <c r="E8"/>
  <c r="F8"/>
  <c r="G8"/>
  <c r="H8"/>
  <c r="I8"/>
  <c r="J8"/>
  <c r="K8"/>
  <c r="C10"/>
  <c r="D10"/>
  <c r="E10"/>
  <c r="F10"/>
  <c r="G10"/>
  <c r="H10"/>
  <c r="I10"/>
  <c r="J10"/>
  <c r="K10"/>
  <c r="C11"/>
  <c r="D11"/>
  <c r="E11"/>
  <c r="F11"/>
  <c r="G11"/>
  <c r="H11"/>
  <c r="I11"/>
  <c r="J11"/>
  <c r="K11"/>
  <c r="C12"/>
  <c r="D12"/>
  <c r="E12"/>
  <c r="F12"/>
  <c r="G12"/>
  <c r="H12"/>
  <c r="I12"/>
  <c r="J12"/>
  <c r="K12"/>
  <c r="C13"/>
  <c r="D13"/>
  <c r="E13"/>
  <c r="F13"/>
  <c r="G13"/>
  <c r="H13"/>
  <c r="I13"/>
  <c r="J13"/>
  <c r="K13"/>
  <c r="C14"/>
  <c r="D14"/>
  <c r="E14"/>
  <c r="F14"/>
  <c r="G14"/>
  <c r="H14"/>
  <c r="I14"/>
  <c r="J14"/>
  <c r="K14"/>
  <c r="B14"/>
  <c r="B5"/>
  <c r="B4"/>
  <c r="C4" i="4"/>
  <c r="D4"/>
  <c r="E4"/>
  <c r="F4"/>
  <c r="G4"/>
  <c r="H4"/>
  <c r="I4"/>
  <c r="J4"/>
  <c r="K4"/>
  <c r="C5"/>
  <c r="D5"/>
  <c r="E5"/>
  <c r="F5"/>
  <c r="G5"/>
  <c r="H5"/>
  <c r="I5"/>
  <c r="J5"/>
  <c r="K5"/>
  <c r="C6"/>
  <c r="D6"/>
  <c r="E6"/>
  <c r="F6"/>
  <c r="G6"/>
  <c r="H6"/>
  <c r="I6"/>
  <c r="J6"/>
  <c r="K6"/>
  <c r="C7"/>
  <c r="D7"/>
  <c r="E7"/>
  <c r="F7"/>
  <c r="G7"/>
  <c r="H7"/>
  <c r="I7"/>
  <c r="J7"/>
  <c r="K7"/>
  <c r="C4" i="3"/>
  <c r="D4"/>
  <c r="E4"/>
  <c r="F4"/>
  <c r="G4"/>
  <c r="H4"/>
  <c r="I4"/>
  <c r="J4"/>
  <c r="K4"/>
  <c r="C5"/>
  <c r="D5"/>
  <c r="E5"/>
  <c r="F5"/>
  <c r="G5"/>
  <c r="H5"/>
  <c r="I5"/>
  <c r="J5"/>
  <c r="K5"/>
  <c r="C7"/>
  <c r="D7"/>
  <c r="E7"/>
  <c r="F7"/>
  <c r="G7"/>
  <c r="H7"/>
  <c r="I7"/>
  <c r="J7"/>
  <c r="K7"/>
  <c r="C8"/>
  <c r="D8"/>
  <c r="E8"/>
  <c r="F8"/>
  <c r="G8"/>
  <c r="H8"/>
  <c r="I8"/>
  <c r="J8"/>
  <c r="K8"/>
  <c r="C9"/>
  <c r="D9"/>
  <c r="E9"/>
  <c r="F9"/>
  <c r="G9"/>
  <c r="H9"/>
  <c r="I9"/>
  <c r="J9"/>
  <c r="K9"/>
  <c r="C10"/>
  <c r="D10"/>
  <c r="E10"/>
  <c r="F10"/>
  <c r="G10"/>
  <c r="H10"/>
  <c r="I10"/>
  <c r="J10"/>
  <c r="K10"/>
  <c r="C11"/>
  <c r="D11"/>
  <c r="E11"/>
  <c r="F11"/>
  <c r="G11"/>
  <c r="H11"/>
  <c r="I11"/>
  <c r="J11"/>
  <c r="K11"/>
  <c r="C12"/>
  <c r="D12"/>
  <c r="E12"/>
  <c r="F12"/>
  <c r="G12"/>
  <c r="H12"/>
  <c r="I12"/>
  <c r="J12"/>
  <c r="K12"/>
  <c r="B5"/>
  <c r="C18" i="1"/>
  <c r="D18"/>
  <c r="E18"/>
  <c r="F18"/>
  <c r="G18"/>
  <c r="H18"/>
  <c r="I18"/>
  <c r="J18"/>
  <c r="K18"/>
  <c r="B18"/>
  <c r="C4"/>
  <c r="D4"/>
  <c r="E4"/>
  <c r="F4"/>
  <c r="G4"/>
  <c r="H4"/>
  <c r="I4"/>
  <c r="J4"/>
  <c r="K4"/>
  <c r="C7"/>
  <c r="D7"/>
  <c r="E7"/>
  <c r="F7"/>
  <c r="G7"/>
  <c r="H7"/>
  <c r="I7"/>
  <c r="J7"/>
  <c r="K7"/>
  <c r="C8"/>
  <c r="D8"/>
  <c r="E8"/>
  <c r="F8"/>
  <c r="G8"/>
  <c r="H8"/>
  <c r="I8"/>
  <c r="J8"/>
  <c r="K8"/>
  <c r="C9"/>
  <c r="D9"/>
  <c r="E9"/>
  <c r="F9"/>
  <c r="G9"/>
  <c r="H9"/>
  <c r="I9"/>
  <c r="J9"/>
  <c r="K9"/>
  <c r="C10"/>
  <c r="D10"/>
  <c r="E10"/>
  <c r="G10"/>
  <c r="H10"/>
  <c r="I10"/>
  <c r="J10"/>
  <c r="K10"/>
  <c r="C11"/>
  <c r="D11"/>
  <c r="E11"/>
  <c r="F11"/>
  <c r="G11"/>
  <c r="H11"/>
  <c r="I11"/>
  <c r="J11"/>
  <c r="K11"/>
  <c r="C12"/>
  <c r="D12"/>
  <c r="E12"/>
  <c r="F12"/>
  <c r="G12"/>
  <c r="H12"/>
  <c r="I12"/>
  <c r="J12"/>
  <c r="K12"/>
  <c r="C15"/>
  <c r="D15"/>
  <c r="E15"/>
  <c r="F15"/>
  <c r="G15"/>
  <c r="H15"/>
  <c r="I15"/>
  <c r="J15"/>
  <c r="K15"/>
  <c r="B15"/>
  <c r="B7"/>
  <c r="B4"/>
  <c r="N44" i="19" l="1"/>
  <c r="I99" i="7"/>
  <c r="M44" i="19"/>
  <c r="M20"/>
  <c r="B14" i="11"/>
  <c r="E14" s="1"/>
  <c r="O18" i="10" s="1"/>
  <c r="N38" i="19"/>
  <c r="M90" i="7"/>
  <c r="L16" i="12"/>
  <c r="B15" i="11"/>
  <c r="E15" s="1"/>
  <c r="O19" i="10" s="1"/>
  <c r="M15" i="19"/>
  <c r="N30"/>
  <c r="M36"/>
  <c r="M18" i="18"/>
  <c r="O36" i="19"/>
  <c r="N34"/>
  <c r="B32" i="10"/>
  <c r="R8" s="1"/>
  <c r="B5" i="20"/>
  <c r="AQ24" i="16"/>
  <c r="AQ20"/>
  <c r="AQ16"/>
  <c r="AQ21"/>
  <c r="AQ23"/>
  <c r="AQ19"/>
  <c r="AQ15"/>
  <c r="AQ17"/>
  <c r="AQ22"/>
  <c r="AQ18"/>
  <c r="AQ14"/>
  <c r="M43" i="19"/>
  <c r="N20"/>
  <c r="N36"/>
  <c r="M17" i="18"/>
  <c r="O31" i="19"/>
  <c r="O30"/>
  <c r="M42"/>
  <c r="O15"/>
  <c r="O40"/>
  <c r="O43"/>
  <c r="N42"/>
  <c r="O35"/>
  <c r="O17"/>
  <c r="M35"/>
  <c r="N18"/>
  <c r="N40"/>
  <c r="N31"/>
  <c r="M31"/>
  <c r="O42"/>
  <c r="M30"/>
  <c r="H99" i="7"/>
  <c r="O9" i="19"/>
  <c r="O20"/>
  <c r="N18" i="18"/>
  <c r="O17"/>
  <c r="N17" i="19"/>
  <c r="N35"/>
  <c r="O38"/>
  <c r="O18"/>
  <c r="O10"/>
  <c r="N43"/>
  <c r="O34"/>
  <c r="I89" i="7"/>
  <c r="D92"/>
  <c r="N8" i="19"/>
  <c r="O41"/>
  <c r="N15"/>
  <c r="N17" i="18"/>
  <c r="O18"/>
  <c r="N41" i="19"/>
  <c r="O44"/>
  <c r="N9"/>
  <c r="O8"/>
  <c r="N10"/>
  <c r="M8"/>
  <c r="I91" i="7"/>
  <c r="H25" i="19" s="1"/>
  <c r="L93" i="7"/>
  <c r="G93"/>
  <c r="K93"/>
  <c r="E93"/>
  <c r="F93"/>
  <c r="J93"/>
  <c r="D93"/>
  <c r="H93"/>
  <c r="B89" i="9"/>
  <c r="I93" i="7"/>
  <c r="J90"/>
  <c r="G89"/>
  <c r="F92"/>
  <c r="J89"/>
  <c r="G87"/>
  <c r="K99"/>
  <c r="I16" i="12"/>
  <c r="F88" i="7"/>
  <c r="E82"/>
  <c r="I87"/>
  <c r="H87"/>
  <c r="G99"/>
  <c r="D89"/>
  <c r="C16" i="12"/>
  <c r="C120" s="1"/>
  <c r="F82" i="7"/>
  <c r="E87"/>
  <c r="I82"/>
  <c r="H90"/>
  <c r="K89"/>
  <c r="D87"/>
  <c r="H91"/>
  <c r="G25" i="19" s="1"/>
  <c r="D16" i="12"/>
  <c r="F99" i="7"/>
  <c r="J87"/>
  <c r="J82"/>
  <c r="E90"/>
  <c r="G92"/>
  <c r="K90"/>
  <c r="J91"/>
  <c r="I25" i="19" s="1"/>
  <c r="F90" i="7"/>
  <c r="J99"/>
  <c r="E89"/>
  <c r="E92"/>
  <c r="G90"/>
  <c r="K82"/>
  <c r="G91"/>
  <c r="F25" i="19" s="1"/>
  <c r="B16" i="12"/>
  <c r="B120" s="1"/>
  <c r="C93" i="7"/>
  <c r="C89"/>
  <c r="C91"/>
  <c r="B25" i="19" s="1"/>
  <c r="C87" i="7"/>
  <c r="C90"/>
  <c r="C88"/>
  <c r="C82"/>
  <c r="C92"/>
  <c r="E16" i="12"/>
  <c r="E120" s="1"/>
  <c r="F89" i="9"/>
  <c r="J89"/>
  <c r="G18"/>
  <c r="I88" i="7"/>
  <c r="I90"/>
  <c r="H88"/>
  <c r="H82"/>
  <c r="D88"/>
  <c r="D99"/>
  <c r="C99"/>
  <c r="G89" i="9"/>
  <c r="H90" s="1"/>
  <c r="D91" i="7"/>
  <c r="C25" i="19" s="1"/>
  <c r="I92" i="7"/>
  <c r="H92"/>
  <c r="D82"/>
  <c r="G16" i="12"/>
  <c r="H16"/>
  <c r="H120" s="1"/>
  <c r="C89" i="9"/>
  <c r="D90" s="1"/>
  <c r="D91" s="1"/>
  <c r="G19"/>
  <c r="H27" s="1"/>
  <c r="F89" i="7"/>
  <c r="F87"/>
  <c r="J92"/>
  <c r="J88"/>
  <c r="E99"/>
  <c r="E88"/>
  <c r="G88"/>
  <c r="G82"/>
  <c r="K87"/>
  <c r="K88"/>
  <c r="G87" i="9"/>
  <c r="G88" s="1"/>
  <c r="F91" i="7"/>
  <c r="E25" i="19" s="1"/>
  <c r="I89" i="9"/>
  <c r="K91" i="7"/>
  <c r="J25" i="19" s="1"/>
  <c r="E89" i="9"/>
  <c r="E90" s="1"/>
  <c r="E91" s="1"/>
  <c r="F16" i="12"/>
  <c r="F120" s="1"/>
  <c r="J16"/>
  <c r="J120" s="1"/>
  <c r="E91" i="7"/>
  <c r="D25" i="19" s="1"/>
  <c r="I18" i="12"/>
  <c r="E18"/>
  <c r="J17"/>
  <c r="F17"/>
  <c r="P18"/>
  <c r="Q18"/>
  <c r="Q17"/>
  <c r="P17"/>
  <c r="P3" i="8"/>
  <c r="K17" i="12"/>
  <c r="R17"/>
  <c r="H18" i="9"/>
  <c r="L91" i="7"/>
  <c r="K25" i="19" s="1"/>
  <c r="K18" i="12"/>
  <c r="G18"/>
  <c r="D17"/>
  <c r="H18"/>
  <c r="D18"/>
  <c r="I27" i="8"/>
  <c r="I28" s="1"/>
  <c r="I17" i="12"/>
  <c r="E17"/>
  <c r="H27" i="8"/>
  <c r="H28" s="1"/>
  <c r="H17" i="12"/>
  <c r="J18"/>
  <c r="F18"/>
  <c r="G27" i="8"/>
  <c r="G28" s="1"/>
  <c r="G17" i="12"/>
  <c r="C27" i="8"/>
  <c r="C28" s="1"/>
  <c r="C3"/>
  <c r="C17" i="12"/>
  <c r="C13" i="1"/>
  <c r="D85" i="7" s="1"/>
  <c r="L4" i="1"/>
  <c r="G11" i="8"/>
  <c r="I86"/>
  <c r="I112" s="1"/>
  <c r="E86"/>
  <c r="E112" s="1"/>
  <c r="M83" i="9"/>
  <c r="K88"/>
  <c r="B107" s="1"/>
  <c r="K21"/>
  <c r="J21"/>
  <c r="I21"/>
  <c r="K20"/>
  <c r="I20"/>
  <c r="K19"/>
  <c r="I19"/>
  <c r="J27" s="1"/>
  <c r="K18"/>
  <c r="I18"/>
  <c r="K68"/>
  <c r="K67"/>
  <c r="B88"/>
  <c r="O7" i="8"/>
  <c r="P7"/>
  <c r="L10"/>
  <c r="L44"/>
  <c r="K27"/>
  <c r="O3"/>
  <c r="N3"/>
  <c r="I11"/>
  <c r="E11"/>
  <c r="L86"/>
  <c r="L112" s="1"/>
  <c r="K86"/>
  <c r="K112" s="1"/>
  <c r="G86"/>
  <c r="G112" s="1"/>
  <c r="C86"/>
  <c r="C112" s="1"/>
  <c r="B68" i="9"/>
  <c r="B67"/>
  <c r="L11" i="8"/>
  <c r="K11"/>
  <c r="L89" i="9"/>
  <c r="D14"/>
  <c r="E14" s="1"/>
  <c r="D13"/>
  <c r="E13" s="1"/>
  <c r="D11"/>
  <c r="E11" s="1"/>
  <c r="D12"/>
  <c r="E12" s="1"/>
  <c r="K89"/>
  <c r="L67"/>
  <c r="L68"/>
  <c r="F67"/>
  <c r="F68"/>
  <c r="T19"/>
  <c r="T20"/>
  <c r="P6" i="8"/>
  <c r="O6"/>
  <c r="H11"/>
  <c r="D11"/>
  <c r="J86"/>
  <c r="J112" s="1"/>
  <c r="F86"/>
  <c r="F112" s="1"/>
  <c r="H30" i="9"/>
  <c r="H33"/>
  <c r="B27"/>
  <c r="B33"/>
  <c r="G23" i="10"/>
  <c r="G15"/>
  <c r="H14"/>
  <c r="I12"/>
  <c r="I31" i="8"/>
  <c r="I7"/>
  <c r="I90"/>
  <c r="C30"/>
  <c r="H7"/>
  <c r="H31"/>
  <c r="H90"/>
  <c r="D13" i="1"/>
  <c r="D7" i="8"/>
  <c r="D31"/>
  <c r="D90"/>
  <c r="J6"/>
  <c r="J30"/>
  <c r="F6"/>
  <c r="F30"/>
  <c r="K29"/>
  <c r="K110"/>
  <c r="G29"/>
  <c r="G110"/>
  <c r="C29"/>
  <c r="C110"/>
  <c r="J3"/>
  <c r="J88"/>
  <c r="F3"/>
  <c r="F88"/>
  <c r="I44"/>
  <c r="I10"/>
  <c r="E44"/>
  <c r="E10"/>
  <c r="L92" i="7"/>
  <c r="F6" i="9" s="1"/>
  <c r="L99" i="7"/>
  <c r="L90"/>
  <c r="L82"/>
  <c r="L88"/>
  <c r="L87"/>
  <c r="C6" i="9" s="1"/>
  <c r="D30" s="1"/>
  <c r="L89" i="7"/>
  <c r="J27" i="8"/>
  <c r="J28" s="1"/>
  <c r="G30"/>
  <c r="G6"/>
  <c r="D29"/>
  <c r="D110"/>
  <c r="G3"/>
  <c r="G88"/>
  <c r="F10"/>
  <c r="F44"/>
  <c r="J13" i="1"/>
  <c r="K85" i="7" s="1"/>
  <c r="J31" i="8"/>
  <c r="J7"/>
  <c r="J90"/>
  <c r="F13" i="1"/>
  <c r="F14" s="1"/>
  <c r="F31" i="8"/>
  <c r="F7"/>
  <c r="F90"/>
  <c r="H30"/>
  <c r="H6"/>
  <c r="D30"/>
  <c r="D6"/>
  <c r="I29"/>
  <c r="I110"/>
  <c r="E29"/>
  <c r="E110"/>
  <c r="H3"/>
  <c r="H88"/>
  <c r="D3"/>
  <c r="D88"/>
  <c r="K10"/>
  <c r="K44"/>
  <c r="G10"/>
  <c r="G44"/>
  <c r="C44"/>
  <c r="H13" i="1"/>
  <c r="I85" i="7" s="1"/>
  <c r="J11" i="8"/>
  <c r="F11"/>
  <c r="H86"/>
  <c r="H112" s="1"/>
  <c r="D86"/>
  <c r="D112" s="1"/>
  <c r="D27"/>
  <c r="D28" s="1"/>
  <c r="F27"/>
  <c r="E13" i="1"/>
  <c r="E31" i="8"/>
  <c r="E7"/>
  <c r="E90"/>
  <c r="K30"/>
  <c r="K6"/>
  <c r="H29"/>
  <c r="H110"/>
  <c r="K3"/>
  <c r="N14" i="9" s="1"/>
  <c r="K88" i="8"/>
  <c r="C88"/>
  <c r="J10"/>
  <c r="J44"/>
  <c r="K13" i="1"/>
  <c r="K31" i="8"/>
  <c r="K7"/>
  <c r="K90"/>
  <c r="G13" i="1"/>
  <c r="G31" i="8"/>
  <c r="G7"/>
  <c r="G90"/>
  <c r="C31"/>
  <c r="C90"/>
  <c r="I6"/>
  <c r="I30"/>
  <c r="E6"/>
  <c r="E30"/>
  <c r="J29"/>
  <c r="J110"/>
  <c r="F29"/>
  <c r="F110"/>
  <c r="I3"/>
  <c r="I88"/>
  <c r="E3"/>
  <c r="E88"/>
  <c r="H44"/>
  <c r="H10"/>
  <c r="D44"/>
  <c r="D10"/>
  <c r="E6" i="9"/>
  <c r="I13" i="1"/>
  <c r="E27" i="8"/>
  <c r="E28" s="1"/>
  <c r="I23" i="2"/>
  <c r="E23"/>
  <c r="J23"/>
  <c r="E1"/>
  <c r="E1" i="4"/>
  <c r="E1" i="3"/>
  <c r="H16" i="2"/>
  <c r="H48" i="8" s="1"/>
  <c r="D16" i="2"/>
  <c r="D48" i="8" s="1"/>
  <c r="K23" i="2"/>
  <c r="G16"/>
  <c r="G48" i="8" s="1"/>
  <c r="F23" i="2"/>
  <c r="C23"/>
  <c r="I16"/>
  <c r="I48" i="8" s="1"/>
  <c r="E16" i="2"/>
  <c r="E48" i="8" s="1"/>
  <c r="K16" i="2"/>
  <c r="C16"/>
  <c r="G23"/>
  <c r="J16"/>
  <c r="J48" i="8" s="1"/>
  <c r="F16" i="2"/>
  <c r="F48" i="8" s="1"/>
  <c r="E6" i="1"/>
  <c r="H23" i="2"/>
  <c r="D23"/>
  <c r="I6" i="1"/>
  <c r="J6"/>
  <c r="F6"/>
  <c r="K6"/>
  <c r="G6"/>
  <c r="C6"/>
  <c r="H6"/>
  <c r="D6"/>
  <c r="B6"/>
  <c r="H1"/>
  <c r="N44" i="8" l="1"/>
  <c r="O8" i="10"/>
  <c r="G6" i="9"/>
  <c r="M91" i="7"/>
  <c r="L120" i="12"/>
  <c r="E27" i="19"/>
  <c r="E26"/>
  <c r="B26"/>
  <c r="B27"/>
  <c r="D27"/>
  <c r="D26"/>
  <c r="M25"/>
  <c r="N25"/>
  <c r="C26"/>
  <c r="C27"/>
  <c r="J27"/>
  <c r="J26"/>
  <c r="K26"/>
  <c r="K27"/>
  <c r="O25"/>
  <c r="G26"/>
  <c r="G27"/>
  <c r="H26"/>
  <c r="H27"/>
  <c r="I27"/>
  <c r="I26"/>
  <c r="F27"/>
  <c r="F26"/>
  <c r="D120" i="12"/>
  <c r="I120"/>
  <c r="C101" i="7"/>
  <c r="B77" i="9" s="1"/>
  <c r="C123" i="8"/>
  <c r="J90" i="9"/>
  <c r="J91" s="1"/>
  <c r="G90"/>
  <c r="G91" s="1"/>
  <c r="M101" i="7"/>
  <c r="G120" i="12"/>
  <c r="I90" i="9"/>
  <c r="I91" s="1"/>
  <c r="F90"/>
  <c r="F91" s="1"/>
  <c r="H91"/>
  <c r="J18"/>
  <c r="J19"/>
  <c r="K27" s="1"/>
  <c r="E3" i="14"/>
  <c r="E2"/>
  <c r="K120" i="12"/>
  <c r="B108" i="9"/>
  <c r="B6" i="13"/>
  <c r="C3" i="14"/>
  <c r="B7" i="13"/>
  <c r="D3" i="14"/>
  <c r="B4" i="13"/>
  <c r="D2" i="14"/>
  <c r="B2" i="13"/>
  <c r="B2" i="14"/>
  <c r="B3" i="13"/>
  <c r="C2" i="14"/>
  <c r="C14" i="1"/>
  <c r="D8" i="8"/>
  <c r="F30" i="9"/>
  <c r="E30"/>
  <c r="J14" i="1"/>
  <c r="G85" i="7"/>
  <c r="G86" s="1"/>
  <c r="C4" i="9"/>
  <c r="E5"/>
  <c r="E7" s="1"/>
  <c r="D5"/>
  <c r="Q86" i="8"/>
  <c r="D4" i="9"/>
  <c r="G4"/>
  <c r="K48" i="8"/>
  <c r="L35" s="1"/>
  <c r="L48"/>
  <c r="L49" s="1"/>
  <c r="B24" i="9"/>
  <c r="L90"/>
  <c r="L91" s="1"/>
  <c r="K28" i="8"/>
  <c r="A24" i="9"/>
  <c r="G3"/>
  <c r="J30"/>
  <c r="J33"/>
  <c r="F4"/>
  <c r="N5" i="8"/>
  <c r="P5"/>
  <c r="O5"/>
  <c r="O44"/>
  <c r="G8"/>
  <c r="K8"/>
  <c r="O14" i="9" s="1"/>
  <c r="P8" i="8"/>
  <c r="O8"/>
  <c r="E8"/>
  <c r="E85" i="7"/>
  <c r="D123" i="8" s="1"/>
  <c r="N5" i="9"/>
  <c r="N3"/>
  <c r="N4"/>
  <c r="P21"/>
  <c r="P20"/>
  <c r="P19"/>
  <c r="C3"/>
  <c r="E3"/>
  <c r="D3"/>
  <c r="K30"/>
  <c r="F3"/>
  <c r="L19"/>
  <c r="L18"/>
  <c r="L21"/>
  <c r="L20"/>
  <c r="K90"/>
  <c r="K91" s="1"/>
  <c r="P5"/>
  <c r="P4"/>
  <c r="P3"/>
  <c r="D14" i="1"/>
  <c r="F28" i="8"/>
  <c r="K5" i="9"/>
  <c r="K4"/>
  <c r="K3"/>
  <c r="C5"/>
  <c r="E4"/>
  <c r="P18"/>
  <c r="F5"/>
  <c r="G14" i="1"/>
  <c r="H14"/>
  <c r="I8" i="8"/>
  <c r="F4" i="10"/>
  <c r="F85" i="7"/>
  <c r="E123" i="8" s="1"/>
  <c r="E14" i="1"/>
  <c r="K14"/>
  <c r="J12" i="10"/>
  <c r="I14"/>
  <c r="H23"/>
  <c r="H15"/>
  <c r="D19" i="1"/>
  <c r="D5" i="8"/>
  <c r="C24" i="2"/>
  <c r="C48" i="8"/>
  <c r="D49"/>
  <c r="D89"/>
  <c r="D35"/>
  <c r="D87"/>
  <c r="F73"/>
  <c r="F76" s="1"/>
  <c r="F61"/>
  <c r="F46" i="19" s="1"/>
  <c r="G19" i="1"/>
  <c r="G5" i="8"/>
  <c r="O112"/>
  <c r="N112"/>
  <c r="Q112"/>
  <c r="P112"/>
  <c r="D73"/>
  <c r="D76" s="1"/>
  <c r="D61"/>
  <c r="D46" i="19" s="1"/>
  <c r="H73" i="8"/>
  <c r="H76" s="1"/>
  <c r="H61"/>
  <c r="H46" i="19" s="1"/>
  <c r="J19" i="1"/>
  <c r="J5" i="8"/>
  <c r="E89"/>
  <c r="E49"/>
  <c r="E35"/>
  <c r="E87"/>
  <c r="G89"/>
  <c r="G35"/>
  <c r="G87"/>
  <c r="G49"/>
  <c r="G73"/>
  <c r="G76" s="1"/>
  <c r="G61"/>
  <c r="G46" i="19" s="1"/>
  <c r="K73" i="8"/>
  <c r="K76" s="1"/>
  <c r="K61"/>
  <c r="K46" i="19" s="1"/>
  <c r="Q44" i="8"/>
  <c r="D24" i="2"/>
  <c r="P44" i="8"/>
  <c r="P86"/>
  <c r="J85" i="7"/>
  <c r="H85"/>
  <c r="K19" i="1"/>
  <c r="K5" i="8"/>
  <c r="F89"/>
  <c r="F49"/>
  <c r="F35"/>
  <c r="F87"/>
  <c r="E73"/>
  <c r="E76" s="1"/>
  <c r="E61"/>
  <c r="E46" i="19" s="1"/>
  <c r="J73" i="8"/>
  <c r="J76" s="1"/>
  <c r="J61"/>
  <c r="J46" i="19" s="1"/>
  <c r="I19" i="1"/>
  <c r="I5" i="8"/>
  <c r="I89"/>
  <c r="I49"/>
  <c r="I35"/>
  <c r="I87"/>
  <c r="K86" i="7"/>
  <c r="J123" i="8"/>
  <c r="C73"/>
  <c r="I73"/>
  <c r="I76" s="1"/>
  <c r="I61"/>
  <c r="I46" i="19" s="1"/>
  <c r="C19" i="1"/>
  <c r="C5" i="8"/>
  <c r="E19" i="1"/>
  <c r="E5" i="8"/>
  <c r="H19" i="1"/>
  <c r="H5" i="8"/>
  <c r="F19" i="1"/>
  <c r="F5" i="8"/>
  <c r="J89"/>
  <c r="J49"/>
  <c r="J35"/>
  <c r="J87"/>
  <c r="H49"/>
  <c r="H35"/>
  <c r="H89"/>
  <c r="H87"/>
  <c r="H123"/>
  <c r="I86" i="7"/>
  <c r="I101"/>
  <c r="H77" i="9" s="1"/>
  <c r="H101" i="7"/>
  <c r="G77" i="9" s="1"/>
  <c r="K101" i="7"/>
  <c r="J77" i="9" s="1"/>
  <c r="G101" i="7"/>
  <c r="F77" i="9" s="1"/>
  <c r="E101" i="7"/>
  <c r="D77" i="9" s="1"/>
  <c r="D101" i="7"/>
  <c r="C77" i="9" s="1"/>
  <c r="F101" i="7"/>
  <c r="E77" i="9" s="1"/>
  <c r="J101" i="7"/>
  <c r="I77" i="9" s="1"/>
  <c r="L101" i="7"/>
  <c r="I14" i="1"/>
  <c r="O86" i="8"/>
  <c r="H8"/>
  <c r="F8"/>
  <c r="J8"/>
  <c r="L85" i="7"/>
  <c r="F24" i="2"/>
  <c r="I24"/>
  <c r="E24"/>
  <c r="G24"/>
  <c r="K24"/>
  <c r="J24"/>
  <c r="H24"/>
  <c r="C3" i="4"/>
  <c r="D3"/>
  <c r="E3"/>
  <c r="F3"/>
  <c r="G3"/>
  <c r="H3"/>
  <c r="I3"/>
  <c r="J3"/>
  <c r="K3"/>
  <c r="C3" i="2"/>
  <c r="D3"/>
  <c r="E3"/>
  <c r="F3"/>
  <c r="G3"/>
  <c r="H3"/>
  <c r="I3"/>
  <c r="J3"/>
  <c r="K3"/>
  <c r="C3" i="3"/>
  <c r="D3"/>
  <c r="E3"/>
  <c r="F3"/>
  <c r="G3"/>
  <c r="H3"/>
  <c r="I3"/>
  <c r="J3"/>
  <c r="K3"/>
  <c r="C3" i="1"/>
  <c r="C1" i="8" s="1"/>
  <c r="D3" i="1"/>
  <c r="D1" i="8" s="1"/>
  <c r="E3" i="1"/>
  <c r="E1" i="8" s="1"/>
  <c r="F3" i="1"/>
  <c r="F1" i="8" s="1"/>
  <c r="G3" i="1"/>
  <c r="G1" i="8" s="1"/>
  <c r="H3" i="1"/>
  <c r="H1" i="8" s="1"/>
  <c r="I3" i="1"/>
  <c r="I1" i="8" s="1"/>
  <c r="J3" i="1"/>
  <c r="J1" i="8" s="1"/>
  <c r="K3" i="1"/>
  <c r="K1" i="8" s="1"/>
  <c r="M46" i="19" l="1"/>
  <c r="Q48" i="8"/>
  <c r="M27" i="19"/>
  <c r="N26"/>
  <c r="N46"/>
  <c r="O27"/>
  <c r="O46"/>
  <c r="M26"/>
  <c r="N27"/>
  <c r="O26"/>
  <c r="O120" i="12"/>
  <c r="B89" i="13" s="1"/>
  <c r="F123" i="8"/>
  <c r="F126" s="1"/>
  <c r="K33" i="9"/>
  <c r="N120" i="12"/>
  <c r="C75" i="14" s="1"/>
  <c r="M120" i="12"/>
  <c r="D75" i="14" s="1"/>
  <c r="E75"/>
  <c r="E126" i="8"/>
  <c r="C7" i="9"/>
  <c r="R22" i="10"/>
  <c r="E86" i="7"/>
  <c r="O48" i="8"/>
  <c r="K49"/>
  <c r="K53" s="1"/>
  <c r="K67" s="1"/>
  <c r="K89"/>
  <c r="B5" i="9"/>
  <c r="O20" i="10" s="1"/>
  <c r="K87" i="8"/>
  <c r="P48"/>
  <c r="H5" i="9"/>
  <c r="H4"/>
  <c r="H3"/>
  <c r="K35" i="8"/>
  <c r="L77" i="9"/>
  <c r="K77"/>
  <c r="N35" i="8"/>
  <c r="I33" i="9" s="1"/>
  <c r="J126" i="8"/>
  <c r="F86" i="7"/>
  <c r="I23" i="10"/>
  <c r="I15"/>
  <c r="K12"/>
  <c r="K14" s="1"/>
  <c r="J14"/>
  <c r="G36" i="8"/>
  <c r="G63" s="1"/>
  <c r="G80" s="1"/>
  <c r="G108" s="1"/>
  <c r="G26"/>
  <c r="J36"/>
  <c r="J63" s="1"/>
  <c r="J80" s="1"/>
  <c r="J108" s="1"/>
  <c r="J26"/>
  <c r="F36"/>
  <c r="F63" s="1"/>
  <c r="F80" s="1"/>
  <c r="F108" s="1"/>
  <c r="F26"/>
  <c r="H86" i="7"/>
  <c r="G123" i="8"/>
  <c r="G126" s="1"/>
  <c r="G53"/>
  <c r="G67" s="1"/>
  <c r="G52"/>
  <c r="G66" s="1"/>
  <c r="D52"/>
  <c r="D53"/>
  <c r="K36"/>
  <c r="K63" s="1"/>
  <c r="K80" s="1"/>
  <c r="K108" s="1"/>
  <c r="K26"/>
  <c r="L86" i="7"/>
  <c r="K123" i="8"/>
  <c r="K126" s="1"/>
  <c r="F52"/>
  <c r="F66" s="1"/>
  <c r="F53"/>
  <c r="F67" s="1"/>
  <c r="H36"/>
  <c r="H63" s="1"/>
  <c r="H80" s="1"/>
  <c r="H108" s="1"/>
  <c r="H26"/>
  <c r="D36"/>
  <c r="D63" s="1"/>
  <c r="D80" s="1"/>
  <c r="D108" s="1"/>
  <c r="D26"/>
  <c r="C76"/>
  <c r="D126"/>
  <c r="E53"/>
  <c r="E67" s="1"/>
  <c r="E52"/>
  <c r="E66" s="1"/>
  <c r="H126"/>
  <c r="C36"/>
  <c r="C63" s="1"/>
  <c r="C80" s="1"/>
  <c r="C108" s="1"/>
  <c r="C26"/>
  <c r="H52"/>
  <c r="H53"/>
  <c r="J52"/>
  <c r="J53"/>
  <c r="I53"/>
  <c r="I67" s="1"/>
  <c r="I52"/>
  <c r="I66" s="1"/>
  <c r="I36"/>
  <c r="I63" s="1"/>
  <c r="I80" s="1"/>
  <c r="I108" s="1"/>
  <c r="I26"/>
  <c r="E36"/>
  <c r="E63" s="1"/>
  <c r="E80" s="1"/>
  <c r="E108" s="1"/>
  <c r="E26"/>
  <c r="J86" i="7"/>
  <c r="I123" i="8"/>
  <c r="I126" s="1"/>
  <c r="C89"/>
  <c r="C35"/>
  <c r="C49"/>
  <c r="C87"/>
  <c r="N48"/>
  <c r="B7" i="4"/>
  <c r="B6"/>
  <c r="B5"/>
  <c r="C11" i="8" s="1"/>
  <c r="B4" i="4"/>
  <c r="C10" i="8" s="1"/>
  <c r="B3" i="4"/>
  <c r="K21" i="2"/>
  <c r="J21"/>
  <c r="I21"/>
  <c r="H21"/>
  <c r="G21"/>
  <c r="F21"/>
  <c r="E21"/>
  <c r="D21"/>
  <c r="C21"/>
  <c r="B18"/>
  <c r="B21" s="1"/>
  <c r="B13"/>
  <c r="B12"/>
  <c r="B11"/>
  <c r="B10"/>
  <c r="B8"/>
  <c r="B7"/>
  <c r="B6"/>
  <c r="B3"/>
  <c r="J14" i="3"/>
  <c r="H14"/>
  <c r="F14"/>
  <c r="D14"/>
  <c r="B12"/>
  <c r="B11"/>
  <c r="B10"/>
  <c r="B9"/>
  <c r="B8"/>
  <c r="B7"/>
  <c r="B4"/>
  <c r="B3"/>
  <c r="L15" i="1"/>
  <c r="B12"/>
  <c r="R18" i="12" s="1"/>
  <c r="B11" i="1"/>
  <c r="B10"/>
  <c r="B9"/>
  <c r="B8"/>
  <c r="B20" i="2"/>
  <c r="B3" i="1"/>
  <c r="B75" i="14" l="1"/>
  <c r="B90" i="13"/>
  <c r="B91"/>
  <c r="B5"/>
  <c r="B3" i="14"/>
  <c r="O49" i="8"/>
  <c r="L52"/>
  <c r="L66" s="1"/>
  <c r="L53"/>
  <c r="L67" s="1"/>
  <c r="Q49"/>
  <c r="N7"/>
  <c r="C18" i="12"/>
  <c r="C7" i="8"/>
  <c r="R18" i="10"/>
  <c r="R17"/>
  <c r="R19"/>
  <c r="R26"/>
  <c r="R27"/>
  <c r="P49" i="8"/>
  <c r="K52"/>
  <c r="K66" s="1"/>
  <c r="C6"/>
  <c r="N6"/>
  <c r="I4" i="9"/>
  <c r="I3"/>
  <c r="J5"/>
  <c r="K23" i="10"/>
  <c r="K15"/>
  <c r="J23"/>
  <c r="J15"/>
  <c r="B13" i="1"/>
  <c r="B23" i="2"/>
  <c r="J67" i="8"/>
  <c r="Q53"/>
  <c r="H66"/>
  <c r="H67"/>
  <c r="D66"/>
  <c r="N49"/>
  <c r="C52"/>
  <c r="C53"/>
  <c r="P108"/>
  <c r="O108"/>
  <c r="Q108"/>
  <c r="D67"/>
  <c r="J66"/>
  <c r="B16" i="2"/>
  <c r="B24" s="1"/>
  <c r="B14" i="3"/>
  <c r="E14"/>
  <c r="I14"/>
  <c r="C14"/>
  <c r="G14"/>
  <c r="K14"/>
  <c r="K23" i="1"/>
  <c r="G20" i="2"/>
  <c r="I20"/>
  <c r="K20"/>
  <c r="D20"/>
  <c r="F20"/>
  <c r="H20"/>
  <c r="J20"/>
  <c r="C20"/>
  <c r="E20"/>
  <c r="L12" i="1"/>
  <c r="K24"/>
  <c r="L11"/>
  <c r="L10"/>
  <c r="L9"/>
  <c r="L8"/>
  <c r="L7"/>
  <c r="L6"/>
  <c r="D6" i="9" s="1"/>
  <c r="D7" s="1"/>
  <c r="A1" i="3"/>
  <c r="A1" i="2"/>
  <c r="A1" i="4" s="1"/>
  <c r="H23" i="1"/>
  <c r="I24"/>
  <c r="I23"/>
  <c r="J24"/>
  <c r="J23"/>
  <c r="B19"/>
  <c r="H24" s="1"/>
  <c r="N8" i="8" l="1"/>
  <c r="C85" i="7"/>
  <c r="D86"/>
  <c r="O53" i="8"/>
  <c r="P53"/>
  <c r="M8" i="1"/>
  <c r="Q52" i="8"/>
  <c r="P52"/>
  <c r="O52"/>
  <c r="Q6"/>
  <c r="L30"/>
  <c r="L6"/>
  <c r="C66"/>
  <c r="N52"/>
  <c r="B14" i="1"/>
  <c r="C8" i="8"/>
  <c r="L5"/>
  <c r="Q5"/>
  <c r="L23" i="1"/>
  <c r="N23" s="1"/>
  <c r="N4" s="1"/>
  <c r="L3" i="8"/>
  <c r="N11" i="9"/>
  <c r="N12"/>
  <c r="N13"/>
  <c r="L88" i="8"/>
  <c r="L87"/>
  <c r="M9" i="1"/>
  <c r="L29" i="8"/>
  <c r="L110"/>
  <c r="P6" i="9" s="1"/>
  <c r="L13" i="1"/>
  <c r="M85" i="7" s="1"/>
  <c r="M86" s="1"/>
  <c r="L7" i="8"/>
  <c r="Q7"/>
  <c r="L31"/>
  <c r="N6" i="9" s="1"/>
  <c r="L90" i="8"/>
  <c r="L89"/>
  <c r="N53"/>
  <c r="C67"/>
  <c r="L19" i="1"/>
  <c r="L24" s="1"/>
  <c r="M24" s="1"/>
  <c r="L5"/>
  <c r="N11"/>
  <c r="M11"/>
  <c r="N9"/>
  <c r="N8"/>
  <c r="B97" i="9" l="1"/>
  <c r="B7" i="10"/>
  <c r="B6" i="9"/>
  <c r="B8" s="1"/>
  <c r="N29" i="8"/>
  <c r="O29"/>
  <c r="F3" i="10"/>
  <c r="L61" i="8"/>
  <c r="H6" i="9" s="1"/>
  <c r="P7"/>
  <c r="M23" i="1"/>
  <c r="M4" s="1"/>
  <c r="M6" s="1"/>
  <c r="N67" i="8"/>
  <c r="Q67"/>
  <c r="P67"/>
  <c r="O67"/>
  <c r="O90"/>
  <c r="Q90"/>
  <c r="P90"/>
  <c r="N30"/>
  <c r="O30"/>
  <c r="Q30"/>
  <c r="P30"/>
  <c r="L27"/>
  <c r="K6" i="9" s="1"/>
  <c r="L4" i="8"/>
  <c r="Q4"/>
  <c r="O89"/>
  <c r="Q89"/>
  <c r="P89"/>
  <c r="N110"/>
  <c r="Q110"/>
  <c r="O110"/>
  <c r="P110"/>
  <c r="O88"/>
  <c r="Q88"/>
  <c r="P88"/>
  <c r="P29"/>
  <c r="Q29"/>
  <c r="N66"/>
  <c r="O66"/>
  <c r="Q66"/>
  <c r="P66"/>
  <c r="N31"/>
  <c r="L73"/>
  <c r="P31"/>
  <c r="O31"/>
  <c r="M31"/>
  <c r="M61" s="1"/>
  <c r="Q31"/>
  <c r="L14" i="1"/>
  <c r="O13" i="9"/>
  <c r="L8" i="8"/>
  <c r="Q87"/>
  <c r="O87"/>
  <c r="P87"/>
  <c r="Q14"/>
  <c r="Q3"/>
  <c r="Q13"/>
  <c r="N24" i="1"/>
  <c r="N6" s="1"/>
  <c r="A30" i="9" l="1"/>
  <c r="B7"/>
  <c r="J6"/>
  <c r="J8" s="1"/>
  <c r="G17" i="10"/>
  <c r="G19" s="1"/>
  <c r="G20" s="1"/>
  <c r="H17"/>
  <c r="H19" s="1"/>
  <c r="H20" s="1"/>
  <c r="F17"/>
  <c r="F19" s="1"/>
  <c r="F20" s="1"/>
  <c r="K17"/>
  <c r="K19" s="1"/>
  <c r="K20" s="1"/>
  <c r="I17"/>
  <c r="I19" s="1"/>
  <c r="I20" s="1"/>
  <c r="D17"/>
  <c r="D19" s="1"/>
  <c r="D20" s="1"/>
  <c r="B17"/>
  <c r="B19" s="1"/>
  <c r="B20" s="1"/>
  <c r="B21" s="1"/>
  <c r="J17"/>
  <c r="J19" s="1"/>
  <c r="J20" s="1"/>
  <c r="E17"/>
  <c r="E19" s="1"/>
  <c r="E20" s="1"/>
  <c r="C17"/>
  <c r="C19" s="1"/>
  <c r="C20" s="1"/>
  <c r="B3" i="9"/>
  <c r="J4" s="1"/>
  <c r="L123" i="8"/>
  <c r="L126" s="1"/>
  <c r="B4" i="9"/>
  <c r="J3" s="1"/>
  <c r="N27" i="8"/>
  <c r="O27"/>
  <c r="P27"/>
  <c r="N7" i="9"/>
  <c r="C33"/>
  <c r="D33"/>
  <c r="K7"/>
  <c r="C27"/>
  <c r="F27" s="1"/>
  <c r="O12"/>
  <c r="Q8" i="8"/>
  <c r="O11" i="9"/>
  <c r="L25" i="1"/>
  <c r="H25"/>
  <c r="J25"/>
  <c r="I25"/>
  <c r="K25"/>
  <c r="M25" s="1"/>
  <c r="M14" s="1"/>
  <c r="L28" i="8"/>
  <c r="Q27"/>
  <c r="N73"/>
  <c r="L76"/>
  <c r="O73"/>
  <c r="Q73"/>
  <c r="P73"/>
  <c r="M10" i="1"/>
  <c r="M12" s="1"/>
  <c r="M13" s="1"/>
  <c r="N10"/>
  <c r="N12" s="1"/>
  <c r="N13" s="1"/>
  <c r="N5"/>
  <c r="M5"/>
  <c r="C30" i="9" l="1"/>
  <c r="J7"/>
  <c r="Q123" i="8"/>
  <c r="O123"/>
  <c r="P123"/>
  <c r="C16" i="10"/>
  <c r="B24"/>
  <c r="O126" i="8"/>
  <c r="I6" i="9"/>
  <c r="Q126" i="8"/>
  <c r="N28"/>
  <c r="P28"/>
  <c r="O28"/>
  <c r="P126"/>
  <c r="M30" i="9"/>
  <c r="G27"/>
  <c r="G30"/>
  <c r="G33"/>
  <c r="N25" i="1"/>
  <c r="N14" s="1"/>
  <c r="N15" s="1"/>
  <c r="Q28" i="8"/>
  <c r="N76"/>
  <c r="P76"/>
  <c r="O76"/>
  <c r="Q76"/>
  <c r="M15" i="1"/>
  <c r="C21" i="10" l="1"/>
  <c r="C24" s="1"/>
  <c r="B25"/>
  <c r="B26"/>
  <c r="C36" s="1"/>
  <c r="B36"/>
  <c r="D36" s="1"/>
  <c r="I8" i="9"/>
  <c r="B30"/>
  <c r="I7"/>
  <c r="G36" i="10" l="1"/>
  <c r="I36" s="1"/>
  <c r="B27"/>
  <c r="H36" s="1"/>
  <c r="C26"/>
  <c r="C25"/>
  <c r="B37"/>
  <c r="D16"/>
  <c r="C37" l="1"/>
  <c r="D37"/>
  <c r="G37"/>
  <c r="C27"/>
  <c r="D21"/>
  <c r="D24" s="1"/>
  <c r="E16" l="1"/>
  <c r="E21" s="1"/>
  <c r="E24" s="1"/>
  <c r="I37"/>
  <c r="H37"/>
  <c r="D26"/>
  <c r="D25"/>
  <c r="B38"/>
  <c r="D38" l="1"/>
  <c r="C38"/>
  <c r="G38"/>
  <c r="D27"/>
  <c r="F16"/>
  <c r="E25"/>
  <c r="E26"/>
  <c r="B39"/>
  <c r="F21" l="1"/>
  <c r="F24" s="1"/>
  <c r="D39"/>
  <c r="C39"/>
  <c r="I38"/>
  <c r="H38"/>
  <c r="G39"/>
  <c r="E27"/>
  <c r="G16" l="1"/>
  <c r="I39"/>
  <c r="H39"/>
  <c r="B40"/>
  <c r="F26"/>
  <c r="F25"/>
  <c r="G40" l="1"/>
  <c r="F27"/>
  <c r="G21"/>
  <c r="G24" s="1"/>
  <c r="C40"/>
  <c r="D40"/>
  <c r="H16" l="1"/>
  <c r="B41"/>
  <c r="G26"/>
  <c r="G25"/>
  <c r="I40"/>
  <c r="H40"/>
  <c r="C41" l="1"/>
  <c r="D41"/>
  <c r="G27"/>
  <c r="G41"/>
  <c r="H21"/>
  <c r="H24" s="1"/>
  <c r="I16" l="1"/>
  <c r="I21" s="1"/>
  <c r="I24" s="1"/>
  <c r="H41"/>
  <c r="I41"/>
  <c r="H25"/>
  <c r="B42"/>
  <c r="H26"/>
  <c r="D42" l="1"/>
  <c r="C42"/>
  <c r="H27"/>
  <c r="G42"/>
  <c r="J16"/>
  <c r="I25"/>
  <c r="B43"/>
  <c r="I26"/>
  <c r="I42" l="1"/>
  <c r="H42"/>
  <c r="C43"/>
  <c r="D43"/>
  <c r="I27"/>
  <c r="G43"/>
  <c r="J21"/>
  <c r="J24" s="1"/>
  <c r="J26" l="1"/>
  <c r="B44"/>
  <c r="J25"/>
  <c r="I43"/>
  <c r="H43"/>
  <c r="K16"/>
  <c r="K21" s="1"/>
  <c r="K24" s="1"/>
  <c r="G44" l="1"/>
  <c r="J27"/>
  <c r="K26"/>
  <c r="K25"/>
  <c r="B45"/>
  <c r="C44"/>
  <c r="D44"/>
  <c r="G45" l="1"/>
  <c r="K27"/>
  <c r="D45"/>
  <c r="O5" s="1"/>
  <c r="C45"/>
  <c r="O4"/>
  <c r="O6" s="1"/>
  <c r="H44"/>
  <c r="I44"/>
  <c r="O7" l="1"/>
  <c r="O10" s="1"/>
  <c r="R4"/>
  <c r="R6" s="1"/>
  <c r="I45"/>
  <c r="R5" s="1"/>
  <c r="H45"/>
  <c r="R7" l="1"/>
  <c r="R9" s="1"/>
  <c r="R15" s="1"/>
  <c r="O11"/>
  <c r="O9"/>
  <c r="O15" s="1"/>
  <c r="R11" l="1"/>
  <c r="R10"/>
  <c r="I24" i="21" l="1"/>
  <c r="I23" s="1"/>
  <c r="I29" l="1"/>
  <c r="I32" s="1"/>
  <c r="I26"/>
  <c r="I31" s="1"/>
  <c r="I30"/>
  <c r="I33" l="1"/>
  <c r="I34" s="1"/>
  <c r="I35" s="1"/>
</calcChain>
</file>

<file path=xl/comments1.xml><?xml version="1.0" encoding="utf-8"?>
<comments xmlns="http://schemas.openxmlformats.org/spreadsheetml/2006/main">
  <authors>
    <author>Kumar Saurabh</author>
  </authors>
  <commentList>
    <comment ref="B95" authorId="0">
      <text>
        <r>
          <rPr>
            <b/>
            <sz val="9"/>
            <color indexed="81"/>
            <rFont val="Tahoma"/>
            <family val="2"/>
          </rPr>
          <t>Kumar Saurabh:</t>
        </r>
        <r>
          <rPr>
            <sz val="9"/>
            <color indexed="81"/>
            <rFont val="Tahoma"/>
            <family val="2"/>
          </rPr>
          <t xml:space="preserve">
COGS or Sales?</t>
        </r>
      </text>
    </comment>
    <comment ref="B98" author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9" authorId="0">
      <text>
        <r>
          <rPr>
            <b/>
            <sz val="9"/>
            <color indexed="81"/>
            <rFont val="Tahoma"/>
            <family val="2"/>
          </rPr>
          <t>Kumar Saurabh:</t>
        </r>
        <r>
          <rPr>
            <sz val="9"/>
            <color indexed="81"/>
            <rFont val="Tahoma"/>
            <family val="2"/>
          </rPr>
          <t xml:space="preserve">
Trades Receiavbles</t>
        </r>
      </text>
    </comment>
    <comment ref="A65" author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
  </authors>
  <commentList>
    <comment ref="A43" authorId="0">
      <text>
        <r>
          <rPr>
            <b/>
            <sz val="9"/>
            <color indexed="81"/>
            <rFont val="Tahoma"/>
            <family val="2"/>
          </rPr>
          <t>Kumar Saurabh:</t>
        </r>
        <r>
          <rPr>
            <sz val="9"/>
            <color indexed="81"/>
            <rFont val="Tahoma"/>
            <family val="2"/>
          </rPr>
          <t xml:space="preserve">
asset/(shareholder equity + liability)</t>
        </r>
      </text>
    </comment>
    <comment ref="A44" authorId="0">
      <text>
        <r>
          <rPr>
            <b/>
            <sz val="9"/>
            <color indexed="81"/>
            <rFont val="Tahoma"/>
            <family val="2"/>
          </rPr>
          <t>Kumar Saurabh:</t>
        </r>
        <r>
          <rPr>
            <sz val="9"/>
            <color indexed="81"/>
            <rFont val="Tahoma"/>
            <family val="2"/>
          </rPr>
          <t xml:space="preserve">
borrowing/pat</t>
        </r>
      </text>
    </comment>
    <comment ref="A45" authorId="0">
      <text>
        <r>
          <rPr>
            <b/>
            <sz val="9"/>
            <color indexed="81"/>
            <rFont val="Tahoma"/>
            <family val="2"/>
          </rPr>
          <t>Kumar Saurabh:</t>
        </r>
        <r>
          <rPr>
            <sz val="9"/>
            <color indexed="81"/>
            <rFont val="Tahoma"/>
            <family val="2"/>
          </rPr>
          <t xml:space="preserve">
working capital/pat</t>
        </r>
      </text>
    </comment>
    <comment ref="A46" authorId="1">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text>
        <r>
          <rPr>
            <sz val="9"/>
            <color indexed="8"/>
            <rFont val="Tahoma"/>
            <family val="2"/>
            <charset val="1"/>
          </rPr>
          <t xml:space="preserve">
</t>
        </r>
      </text>
    </comment>
    <comment ref="A50" authorId="0">
      <text>
        <r>
          <rPr>
            <b/>
            <sz val="9"/>
            <color indexed="81"/>
            <rFont val="Tahoma"/>
            <family val="2"/>
          </rPr>
          <t>Kumar Saurabh:</t>
        </r>
        <r>
          <rPr>
            <sz val="9"/>
            <color indexed="81"/>
            <rFont val="Tahoma"/>
            <family val="2"/>
          </rPr>
          <t xml:space="preserve">
how quickly cash is being collcted from debtors</t>
        </r>
      </text>
    </comment>
    <comment ref="A51" authorId="0">
      <text>
        <r>
          <rPr>
            <b/>
            <sz val="9"/>
            <color indexed="81"/>
            <rFont val="Tahoma"/>
            <family val="2"/>
          </rPr>
          <t>Kumar Saurabh:</t>
        </r>
        <r>
          <rPr>
            <sz val="9"/>
            <color indexed="81"/>
            <rFont val="Tahoma"/>
            <family val="2"/>
          </rPr>
          <t xml:space="preserve">
how quickly inventory is converted to sales</t>
        </r>
      </text>
    </comment>
    <comment ref="A52" authorId="1">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Vishal</author>
    <author>Safal Niveshak</author>
  </authors>
  <commentList>
    <comment ref="A10" author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<sst xmlns="http://schemas.openxmlformats.org/spreadsheetml/2006/main" count="1803" uniqueCount="979">
  <si>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</si>
  <si>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</si>
  <si>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</si>
  <si>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</si>
  <si>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</si>
  <si>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</si>
  <si>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</si>
  <si>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</si>
  <si>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</si>
  <si>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</si>
  <si>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</si>
  <si>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</si>
  <si>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</si>
  <si>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</si>
  <si>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</si>
  <si>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</si>
  <si>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</si>
  <si>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</si>
  <si>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</si>
  <si>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</si>
  <si>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</si>
  <si>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</si>
  <si>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</si>
  <si>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</si>
  <si>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</si>
  <si>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</si>
  <si>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</si>
  <si>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</si>
  <si>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</si>
  <si>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</si>
  <si>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</si>
  <si>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</si>
  <si>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</si>
  <si>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</si>
  <si>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</si>
  <si>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</si>
  <si>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</si>
  <si>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</si>
  <si>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</si>
  <si>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</si>
  <si>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</si>
  <si>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</si>
  <si>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</si>
  <si>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</si>
  <si>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</si>
  <si>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</si>
  <si>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</si>
  <si>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</si>
  <si>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</si>
  <si>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</si>
  <si>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</si>
  <si>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</si>
  <si>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</si>
  <si>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</si>
  <si>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</si>
  <si>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</si>
  <si>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</si>
  <si>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</si>
  <si>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</si>
  <si>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</si>
  <si>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</si>
  <si>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</si>
  <si>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</si>
  <si>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</si>
  <si>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AMBIKA COTTON MILLS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</si>
  <si>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</si>
  <si>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</si>
  <si>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</si>
  <si>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</si>
  <si>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</si>
  <si>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</si>
  <si>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</si>
  <si>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</si>
  <si>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</si>
  <si>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</si>
  <si>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</si>
  <si>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</si>
  <si>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</si>
  <si>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</si>
  <si>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</si>
  <si>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</si>
  <si>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</si>
  <si>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</si>
  <si>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</si>
  <si>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</si>
  <si>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</si>
  <si>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</si>
  <si>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</si>
  <si>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</si>
  <si>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</si>
  <si>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</si>
  <si>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</si>
  <si>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</si>
  <si>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</si>
  <si>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</si>
  <si>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</si>
  <si>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</si>
  <si>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</si>
  <si>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</si>
  <si>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</si>
  <si>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</si>
  <si>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</si>
  <si>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</si>
  <si>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</si>
  <si>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</si>
  <si>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</si>
  <si>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</si>
  <si>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</si>
  <si>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</si>
  <si>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</si>
  <si>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</si>
  <si>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</si>
  <si>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</si>
  <si>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</si>
  <si>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</si>
  <si>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</si>
  <si>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</si>
  <si>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</si>
  <si>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</si>
  <si>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</si>
  <si>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</si>
  <si>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</si>
  <si>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</si>
  <si>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</si>
  <si>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</si>
  <si>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</si>
  <si>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</si>
  <si>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</si>
  <si>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</si>
  <si>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</si>
  <si>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</si>
  <si>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</si>
  <si>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</si>
  <si>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</si>
  <si>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</si>
  <si>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</si>
  <si>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</si>
  <si>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</si>
  <si>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</si>
  <si>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</si>
  <si>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</si>
  <si>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</si>
  <si>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</si>
  <si>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</si>
  <si>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</si>
  <si>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</si>
  <si>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</si>
  <si>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</si>
  <si>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</si>
  <si>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</si>
  <si>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</si>
  <si>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</si>
  <si>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</si>
  <si>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</si>
  <si>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</si>
  <si>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</si>
  <si>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</si>
  <si>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</si>
  <si>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</si>
  <si>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</si>
  <si>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</si>
  <si>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</si>
  <si>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</si>
  <si>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</si>
  <si>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</si>
  <si>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</si>
  <si>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</si>
  <si>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</si>
  <si>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</si>
  <si>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</si>
  <si>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</si>
  <si>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</si>
  <si>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</si>
  <si>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</si>
  <si>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</si>
  <si>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</si>
  <si>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</si>
  <si>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</si>
  <si>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</si>
  <si>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</si>
  <si>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</si>
  <si>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</si>
  <si>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</si>
  <si>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</si>
  <si>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</si>
  <si>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</si>
  <si>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</si>
  <si>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</si>
  <si>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</si>
  <si>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</si>
  <si>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</si>
  <si>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</si>
  <si>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</si>
  <si>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</si>
  <si>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</si>
  <si>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</si>
  <si>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</si>
  <si>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</si>
  <si>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</si>
  <si>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</si>
  <si>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</si>
  <si>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</si>
  <si>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</si>
  <si>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</si>
  <si>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</si>
  <si>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</si>
  <si>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</si>
  <si>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</si>
  <si>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</si>
  <si>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</si>
  <si>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</si>
  <si>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</si>
  <si>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</si>
  <si>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</si>
  <si>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</si>
  <si>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</si>
  <si>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</si>
  <si>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</si>
  <si>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</si>
  <si>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</si>
  <si>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</si>
  <si>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</si>
  <si>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</si>
  <si>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</si>
  <si>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</si>
  <si>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</si>
  <si>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</si>
  <si>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</si>
  <si>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</si>
  <si>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</si>
  <si>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</si>
  <si>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</si>
  <si>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</si>
  <si>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</si>
  <si>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</si>
  <si>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</si>
  <si>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</si>
  <si>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</si>
  <si>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</si>
  <si>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</si>
  <si>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</si>
  <si>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</si>
  <si>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</si>
  <si>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</si>
  <si>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</si>
  <si>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</si>
  <si>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</si>
  <si>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</si>
  <si>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</si>
  <si>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</si>
  <si>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</si>
  <si>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</si>
  <si>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</si>
  <si>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</si>
  <si>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</si>
  <si>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</si>
  <si>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</si>
  <si>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</si>
  <si>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</si>
  <si>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</si>
  <si>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</si>
  <si>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</si>
  <si>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</si>
  <si>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</si>
  <si>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</si>
  <si>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</si>
  <si>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</si>
  <si>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</si>
  <si>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</si>
  <si>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</si>
  <si>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</si>
  <si>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</si>
  <si>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</si>
  <si>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</si>
  <si>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</si>
  <si>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</si>
  <si>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</si>
  <si>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</si>
  <si>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</si>
  <si>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</si>
  <si>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</si>
  <si>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</si>
  <si>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</si>
  <si>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</si>
  <si>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</si>
  <si>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</si>
  <si>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</si>
  <si>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</si>
  <si>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</si>
  <si>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</si>
  <si>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</si>
  <si>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</si>
  <si>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</si>
  <si>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</si>
  <si>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</si>
  <si>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</si>
  <si>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</si>
  <si>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</si>
  <si>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</si>
  <si>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</si>
  <si>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</si>
  <si>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</si>
  <si>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</si>
  <si>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</si>
  <si>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</si>
  <si>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</si>
  <si>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</si>
  <si>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</si>
  <si>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</si>
  <si>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</si>
  <si>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</si>
  <si>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</si>
  <si>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</si>
  <si>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</si>
  <si>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</si>
  <si>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</si>
  <si>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</si>
  <si>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</si>
  <si>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</si>
  <si>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</si>
  <si>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</si>
  <si>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</si>
  <si>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</si>
  <si>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</si>
  <si>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</si>
  <si>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</si>
  <si>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</si>
  <si>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</si>
  <si>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</si>
  <si>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</si>
  <si>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</si>
  <si>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</si>
  <si>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</si>
  <si>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</si>
  <si>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</si>
  <si>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</si>
  <si>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</si>
  <si>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</si>
  <si>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</si>
  <si>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</si>
  <si>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</si>
  <si>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</si>
  <si>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</si>
  <si>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</si>
  <si>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</si>
  <si>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</si>
  <si>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</si>
  <si>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</si>
  <si>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</si>
  <si>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</si>
  <si>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</si>
  <si>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</si>
  <si>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</si>
  <si>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</si>
  <si>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</si>
  <si>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</si>
  <si>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</si>
  <si>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</si>
  <si>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</si>
  <si>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</si>
  <si>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</si>
  <si>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</si>
  <si>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</si>
  <si>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</si>
  <si>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</si>
  <si>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</si>
  <si>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</si>
  <si>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</si>
  <si>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</si>
  <si>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</si>
  <si>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</si>
  <si>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</si>
  <si>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</si>
  <si>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</si>
  <si>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</si>
  <si>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</si>
  <si>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</si>
  <si>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</si>
  <si>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</si>
  <si>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</si>
  <si>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</si>
  <si>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</si>
  <si>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</si>
  <si>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</si>
  <si>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</si>
  <si>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</si>
  <si>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</si>
  <si>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</si>
  <si>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</si>
  <si>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</si>
  <si>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</si>
  <si>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</si>
  <si>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</si>
  <si>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</si>
  <si>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</si>
  <si>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</si>
  <si>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</si>
  <si>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</si>
  <si>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</si>
  <si>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</si>
  <si>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</si>
  <si>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</si>
  <si>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</si>
  <si>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</si>
  <si>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</si>
  <si>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</si>
  <si>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</si>
  <si>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</si>
  <si>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</si>
  <si>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</si>
  <si>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</si>
  <si>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</si>
  <si>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</si>
  <si>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</si>
  <si>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</si>
  <si>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</si>
  <si>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</si>
  <si>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</si>
  <si>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</si>
  <si>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</si>
  <si>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</si>
  <si>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</si>
  <si>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</si>
  <si>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</si>
  <si>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</si>
  <si>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</si>
  <si>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</si>
  <si>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</si>
  <si>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</si>
  <si>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</si>
  <si>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</si>
  <si>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</si>
  <si>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</si>
  <si>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</si>
  <si>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</si>
  <si>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</si>
  <si>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</si>
  <si>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</si>
  <si>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</si>
  <si>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</si>
  <si>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</si>
  <si>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</si>
  <si>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</si>
  <si>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</si>
  <si>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</si>
  <si>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</si>
  <si>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</si>
  <si>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</si>
  <si>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</si>
  <si>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</si>
  <si>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</si>
  <si>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</si>
  <si>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</si>
  <si>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</si>
  <si>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</si>
  <si>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</si>
  <si>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</si>
  <si>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</si>
  <si>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</si>
  <si>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</si>
  <si>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</si>
  <si>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</si>
  <si>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</si>
  <si>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</si>
  <si>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</si>
  <si>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</si>
  <si>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</si>
  <si>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</si>
  <si>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</si>
  <si>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</si>
  <si>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</si>
  <si>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</si>
  <si>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</si>
  <si>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</si>
  <si>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</si>
  <si>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</si>
  <si>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</si>
  <si>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</si>
  <si>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</si>
  <si>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</si>
  <si>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</si>
  <si>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</si>
  <si>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</si>
  <si>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</si>
  <si>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</si>
  <si>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</si>
  <si>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</si>
  <si>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</si>
  <si>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</si>
  <si>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</si>
  <si>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</si>
  <si>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</si>
  <si>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</si>
  <si>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</si>
  <si>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</si>
  <si>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</si>
  <si>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</si>
  <si>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</si>
  <si>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</si>
  <si>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</si>
  <si>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</si>
  <si>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</si>
  <si>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</si>
  <si>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</si>
  <si>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</si>
  <si>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</si>
  <si>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</si>
  <si>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</si>
  <si>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</si>
  <si>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</si>
  <si>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</si>
  <si>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</si>
  <si>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</si>
  <si>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</si>
  <si>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</si>
  <si>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</si>
  <si>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</si>
  <si>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</si>
  <si>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</si>
  <si>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</si>
  <si>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</si>
  <si>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</si>
  <si>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</si>
  <si>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</si>
  <si>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</si>
  <si>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</si>
  <si>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</si>
  <si>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</si>
  <si>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</si>
  <si>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</si>
  <si>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</si>
  <si>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</si>
  <si>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</si>
  <si>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</si>
  <si>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</si>
  <si>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</si>
  <si>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</si>
  <si>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</si>
  <si>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</si>
  <si>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</si>
  <si>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</si>
  <si>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</si>
  <si>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</si>
  <si>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</si>
  <si>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</si>
  <si>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</si>
  <si>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</si>
  <si>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</si>
  <si>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</si>
  <si>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</si>
  <si>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</si>
  <si>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</si>
  <si>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</si>
  <si>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</si>
  <si>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</si>
  <si>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</si>
  <si>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</si>
  <si>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</si>
  <si>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</si>
  <si>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</si>
  <si>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</si>
  <si>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</si>
  <si>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</si>
  <si>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</si>
  <si>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</si>
  <si>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</si>
  <si>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</si>
  <si>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</si>
  <si>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</si>
  <si>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</si>
  <si>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</si>
  <si>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</si>
  <si>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</si>
  <si>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</si>
  <si>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</si>
  <si>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</si>
  <si>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</si>
  <si>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</si>
  <si>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</si>
  <si>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</si>
  <si>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</si>
  <si>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</si>
  <si>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</si>
  <si>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</si>
  <si>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</si>
  <si>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</si>
  <si>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</si>
  <si>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</si>
  <si>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</si>
  <si>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</si>
  <si>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</si>
  <si>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</si>
  <si>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</si>
  <si>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</si>
  <si>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</si>
  <si>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</si>
  <si>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</si>
  <si>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</si>
  <si>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</si>
  <si>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</si>
  <si>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</si>
  <si>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</si>
  <si>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</si>
  <si>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</si>
  <si>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</si>
  <si>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</si>
  <si>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</si>
  <si>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</si>
  <si>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</si>
  <si>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</si>
  <si>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</si>
  <si>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</si>
  <si>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</si>
  <si>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</si>
  <si>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</si>
  <si>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</si>
  <si>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</si>
  <si>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</si>
  <si>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</si>
  <si>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</si>
  <si>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</si>
  <si>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</si>
  <si>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</si>
  <si>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</si>
  <si>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</si>
  <si>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CFO/Sales</t>
  </si>
  <si>
    <t>CAPEX/PAT</t>
  </si>
  <si>
    <t>Dividend/PAT</t>
  </si>
  <si>
    <t>FCF/Sales</t>
  </si>
  <si>
    <t>Return on Assets</t>
  </si>
  <si>
    <t>Asset Turnover</t>
  </si>
  <si>
    <t>Return on Capital</t>
  </si>
  <si>
    <t>Short term Debt Coverage</t>
  </si>
  <si>
    <t>3-Year CAGR</t>
  </si>
  <si>
    <t>5-Year CAGR</t>
  </si>
  <si>
    <t>Overall CAGR</t>
  </si>
  <si>
    <t>Expense</t>
  </si>
  <si>
    <t>Other Expense</t>
  </si>
  <si>
    <t>FCF including Dividend</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</si>
  <si>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</si>
  <si>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</si>
  <si>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</si>
  <si>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</si>
  <si>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</si>
  <si>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</si>
  <si>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</si>
  <si>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</si>
  <si>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</si>
  <si>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</si>
  <si>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</si>
  <si>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</si>
  <si>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</si>
  <si>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</si>
  <si>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</si>
  <si>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</si>
  <si>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</si>
  <si>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</si>
  <si>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</si>
  <si>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</si>
  <si>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</si>
  <si>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</si>
  <si>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</si>
  <si>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</si>
  <si>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</si>
  <si>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</si>
  <si>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</si>
  <si>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</si>
  <si>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</si>
  <si>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</si>
  <si>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</si>
  <si>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</si>
  <si>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</si>
  <si>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</si>
  <si>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</si>
  <si>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</si>
  <si>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</si>
  <si>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</si>
  <si>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</si>
  <si>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</si>
  <si>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</si>
  <si>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</si>
  <si>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</si>
  <si>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</si>
  <si>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</si>
  <si>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</si>
  <si>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</si>
  <si>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</si>
  <si>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</si>
  <si>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</si>
  <si>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</si>
  <si>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</si>
  <si>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</si>
  <si>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</si>
  <si>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</si>
  <si>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</si>
  <si>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</si>
  <si>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</si>
  <si>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</si>
  <si>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</si>
  <si>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</si>
  <si>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</si>
  <si>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</si>
  <si>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</si>
  <si>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</si>
  <si>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</si>
  <si>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</si>
  <si>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</si>
  <si>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</si>
  <si>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</si>
  <si>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</si>
  <si>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</si>
  <si>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</si>
  <si>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</si>
  <si>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</si>
  <si>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</si>
  <si>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</si>
  <si>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</si>
  <si>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</si>
  <si>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</si>
  <si>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</si>
  <si>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</si>
  <si>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</si>
  <si>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</si>
  <si>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</si>
  <si>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</si>
  <si>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</si>
  <si>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</si>
  <si>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</si>
  <si>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</si>
  <si>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</si>
  <si>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</si>
  <si>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</si>
  <si>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</si>
  <si>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</si>
  <si>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</si>
  <si>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</si>
  <si>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</si>
  <si>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</si>
  <si>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</si>
  <si>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</si>
  <si>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</si>
  <si>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</si>
  <si>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</si>
  <si>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</si>
  <si>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</si>
  <si>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</si>
  <si>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</si>
  <si>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</si>
  <si>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</si>
  <si>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</si>
  <si>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</si>
  <si>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</si>
  <si>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</si>
  <si>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</si>
  <si>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</si>
  <si>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</si>
  <si>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</si>
  <si>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</si>
  <si>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</si>
  <si>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</si>
  <si>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</si>
  <si>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</si>
  <si>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</si>
  <si>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</si>
  <si>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</si>
  <si>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</si>
  <si>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</si>
  <si>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</si>
  <si>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</si>
  <si>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</si>
  <si>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</si>
  <si>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</si>
  <si>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</si>
  <si>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</si>
  <si>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</si>
  <si>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</si>
  <si>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</si>
  <si>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</si>
  <si>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</si>
  <si>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</si>
  <si>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</si>
  <si>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</si>
  <si>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</si>
  <si>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</si>
  <si>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</si>
  <si>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</si>
  <si>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</si>
  <si>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</si>
  <si>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</si>
  <si>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</si>
  <si>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</si>
  <si>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</si>
  <si>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</si>
  <si>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</si>
  <si>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</si>
  <si>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</si>
  <si>
    <t>COMPANY_NAME</t>
  </si>
  <si>
    <t>DATE</t>
  </si>
  <si>
    <t>cash to Market Cap</t>
  </si>
  <si>
    <t>Investments to Market Cap</t>
  </si>
  <si>
    <t>ID</t>
  </si>
  <si>
    <t>TTM</t>
  </si>
  <si>
    <t>Direct</t>
  </si>
  <si>
    <t>Sales-COGS</t>
  </si>
  <si>
    <t>GP-All Expenses + Change in Inventory + Other Income</t>
  </si>
  <si>
    <t>EBITDA - D&amp;A</t>
  </si>
  <si>
    <t>EBIT - Interest</t>
  </si>
  <si>
    <t>PBT - Tax</t>
  </si>
  <si>
    <t>Price*No. of Shares Outstanding</t>
  </si>
  <si>
    <t>Equity + Reserves &amp; Surplus</t>
  </si>
  <si>
    <t>Net Block + CWIP + Investment + Other Assets</t>
  </si>
  <si>
    <t>Current Asset - Current Liability</t>
  </si>
  <si>
    <t>Equity + Reserves &amp; Surplus + Debt</t>
  </si>
  <si>
    <t>Total Asset - Current Asset</t>
  </si>
  <si>
    <t>Current Liability</t>
  </si>
  <si>
    <t>Change in NFA + Change in CWIP + Depreciation</t>
  </si>
  <si>
    <t>CFO - CAPEX</t>
  </si>
  <si>
    <t>Tax/PBT</t>
  </si>
  <si>
    <t>EBIT*(1-Tax Rate)</t>
  </si>
  <si>
    <t>PAT - Dividend</t>
  </si>
  <si>
    <t>Price/EPS</t>
  </si>
  <si>
    <t>PE/Growth in EPS</t>
  </si>
  <si>
    <t>Market Cap/(Equity + Reserves &amp; Surplus)</t>
  </si>
  <si>
    <t>Market Cap/ CFO</t>
  </si>
  <si>
    <t>Market Cap/FCF</t>
  </si>
  <si>
    <t>Market Cap/Revenue</t>
  </si>
  <si>
    <t>Dividend/Market Cap</t>
  </si>
  <si>
    <t>Enterprise Value1</t>
  </si>
  <si>
    <t>Enterprise Value2</t>
  </si>
  <si>
    <t>Market Cap + Debt - Cash</t>
  </si>
  <si>
    <t>Market Cap + Debt - (Current Asset - Current Liability)</t>
  </si>
  <si>
    <t>(Total Asset  LY + Total Asset CY)/2</t>
  </si>
  <si>
    <t>Average Total Net Asset</t>
  </si>
  <si>
    <t>Total Productive Net Asset</t>
  </si>
  <si>
    <t>Average Total Productive Net Asset</t>
  </si>
  <si>
    <t>Net Block + CWIP</t>
  </si>
  <si>
    <t>(Total Productive Net Asset LY + Total Productive Net Asset LY)/2</t>
  </si>
  <si>
    <t>Capital Employed1 - CWIP</t>
  </si>
  <si>
    <t>(CE1 LY + CE1 CY)/2</t>
  </si>
  <si>
    <t>(CE2 LY + CE2 CY)/2</t>
  </si>
  <si>
    <t>Return on Total Net Asset (EBIT)</t>
  </si>
  <si>
    <t>Return on Total Average Net Asset (EBIT)</t>
  </si>
  <si>
    <t>Return on Total Productive  Net Asset (EBIT)</t>
  </si>
  <si>
    <t>Return on Total Average Productive Net Asset (EBIT)</t>
  </si>
  <si>
    <t>1 Year forward Incremental Total Net Asset to Revenue Ratio</t>
  </si>
  <si>
    <t>2 Year forward Incremental Total Net Asset to Revenue Ratio</t>
  </si>
  <si>
    <t>1 Year forward Incremental Total Net Asset to EBIT Ratio</t>
  </si>
  <si>
    <t>2 Year forward Incremental Total Net Asset to EBIT Ratio</t>
  </si>
  <si>
    <t>1 Year forward Incremental Total Net Productive Asset to Revenue Ratio</t>
  </si>
  <si>
    <t>2 Year forward Incremental Total Net Productive Asset to Revenue Ratio</t>
  </si>
  <si>
    <t>1 Year forward Incremental Total Net Productive Asset to EBIT Ratio</t>
  </si>
  <si>
    <t>2 Year forward Incremental Total Net Productive Asset to EBIT Ratio</t>
  </si>
  <si>
    <t>Total Net Asset Turns</t>
  </si>
  <si>
    <t>Total Avregae Net Asset Turns</t>
  </si>
  <si>
    <t>Total Net Productive Asset Turns</t>
  </si>
  <si>
    <t>Total Avregae Net Productive Asset Turns</t>
  </si>
  <si>
    <t>CFO Return on Assets</t>
  </si>
  <si>
    <t>Cash Return on Total Net Asset (CFO)</t>
  </si>
  <si>
    <t>Cash Return on Total Average Net Asset (CFO)</t>
  </si>
  <si>
    <t>Cash Return on Total Productive  Net Asset (CFO)</t>
  </si>
  <si>
    <t>Cash Return on Total Average Productive Net Asset (CFO)</t>
  </si>
  <si>
    <t>Cash Return on Total Net Asset (FCF)</t>
  </si>
  <si>
    <t>Cash Return on Total Average Net Asset (FCF)</t>
  </si>
  <si>
    <t>Cash Return on Total Productive  Net Asset (FCF)</t>
  </si>
  <si>
    <t>Cash Return on Total Average Productive Net Asset (FCF)</t>
  </si>
  <si>
    <t>EV/CFO</t>
  </si>
  <si>
    <t>EV/FCF</t>
  </si>
  <si>
    <t>Asset Tunrover</t>
  </si>
  <si>
    <t>Finance Leverage</t>
  </si>
  <si>
    <t>Average Invested Capital</t>
  </si>
  <si>
    <t>Avg. ROIC</t>
  </si>
  <si>
    <t>ROCE1</t>
  </si>
  <si>
    <t>Capital Employed3</t>
  </si>
  <si>
    <t>NFA + Investments + CA</t>
  </si>
  <si>
    <t>Capital Employed2 (Net)</t>
  </si>
  <si>
    <t>Capital Employed1 (Gross)</t>
  </si>
  <si>
    <t>Average Capital Employed1 (Gross)</t>
  </si>
  <si>
    <t>Average Capital Employed2 (Net)</t>
  </si>
  <si>
    <t>Average Capital Employed3</t>
  </si>
  <si>
    <t>ROCE2</t>
  </si>
  <si>
    <t>ROCE3</t>
  </si>
  <si>
    <t>ROACE1</t>
  </si>
  <si>
    <t>ROACE2</t>
  </si>
  <si>
    <t>ROACE3</t>
  </si>
  <si>
    <t>CFO/Average Invested Capital</t>
  </si>
  <si>
    <t>FCF/Average Invested Capital</t>
  </si>
  <si>
    <t>CFO/Average Capital Employed1</t>
  </si>
  <si>
    <t>CFO/Average Capital Employed3</t>
  </si>
  <si>
    <t>CFO/Average Capital Employed2</t>
  </si>
  <si>
    <t>FCF/Average Capital Employed1</t>
  </si>
  <si>
    <t>FCF/Average Capital Employed2</t>
  </si>
  <si>
    <t>FCF/Average Capital Employed3</t>
  </si>
  <si>
    <t>Sales/Avg. Invested Capital</t>
  </si>
  <si>
    <t>PAT/Avg. invested Capital</t>
  </si>
  <si>
    <t>CFO/Avg. Invested Capital</t>
  </si>
  <si>
    <t>FCF/Avg. Invested Capital</t>
  </si>
  <si>
    <t>Sales Growth/Invested Capital Growth</t>
  </si>
  <si>
    <t>PAT Growth/Invested Capital Growth</t>
  </si>
  <si>
    <t>CFO Growth/Invested Capital Growth</t>
  </si>
  <si>
    <t>FCF Growth/Invested Capital Growth</t>
  </si>
  <si>
    <t>Possible Growth Rate</t>
  </si>
  <si>
    <t>PY1</t>
  </si>
  <si>
    <t>PY2</t>
  </si>
  <si>
    <t>PY3</t>
  </si>
  <si>
    <t>PY4</t>
  </si>
  <si>
    <t>PY5</t>
  </si>
  <si>
    <t>PY6</t>
  </si>
  <si>
    <t>PY7</t>
  </si>
  <si>
    <t>PY8</t>
  </si>
  <si>
    <t>PY9</t>
  </si>
  <si>
    <t>LY</t>
  </si>
  <si>
    <t>Total_Expenses</t>
  </si>
  <si>
    <t>Type1</t>
  </si>
  <si>
    <t>Type2</t>
  </si>
  <si>
    <t>Annual</t>
  </si>
  <si>
    <t>LQ1</t>
  </si>
  <si>
    <t>LQ2</t>
  </si>
  <si>
    <t>LQ3</t>
  </si>
  <si>
    <t>LQ4</t>
  </si>
  <si>
    <t>LQ5</t>
  </si>
  <si>
    <t>LQ6</t>
  </si>
  <si>
    <t>LQ7</t>
  </si>
  <si>
    <t>LQ8</t>
  </si>
  <si>
    <t>LQ9</t>
  </si>
  <si>
    <t>LQ10</t>
  </si>
  <si>
    <t>Quarter</t>
  </si>
  <si>
    <t>Company_Name</t>
  </si>
  <si>
    <t>Current: No of shares</t>
  </si>
  <si>
    <t>Current: Price</t>
  </si>
  <si>
    <t>Current: Market Cap</t>
  </si>
  <si>
    <t>Operating Expense %</t>
  </si>
  <si>
    <t>Capacity</t>
  </si>
  <si>
    <t>Knitting (Lakh Kg)</t>
  </si>
  <si>
    <t>Spinning</t>
  </si>
  <si>
    <t>Knitting</t>
  </si>
  <si>
    <t>Spinning (Cotton Yarn)</t>
  </si>
  <si>
    <t>Knitting (Fabric)</t>
  </si>
  <si>
    <t>Waste Cotton</t>
  </si>
  <si>
    <t>Knitting Capacity Utilization</t>
  </si>
  <si>
    <t>Revenue (Rs Cr)</t>
  </si>
  <si>
    <t>New Knitting Capacity (Kg/Day)</t>
  </si>
  <si>
    <t>Total Knitting Capacity (Kg/Day)</t>
  </si>
  <si>
    <t>Production</t>
  </si>
  <si>
    <t>Total Spindle (Count)</t>
  </si>
  <si>
    <t>New Spindle (Count)</t>
  </si>
  <si>
    <t>Mar'2016</t>
  </si>
  <si>
    <t>Mar'2017</t>
  </si>
  <si>
    <t>Mar'2018</t>
  </si>
  <si>
    <t>Mar'2019</t>
  </si>
  <si>
    <t>Mar'2020</t>
  </si>
  <si>
    <t>Mar'2021</t>
  </si>
  <si>
    <t>Mar'2015</t>
  </si>
  <si>
    <t>Capex for Spinning (Rs Cr)</t>
  </si>
  <si>
    <t>Capex for Knitting (Rs Cr)</t>
  </si>
  <si>
    <t>Revenue per Unit (Rs Cr)</t>
  </si>
  <si>
    <t>Per Spindle</t>
  </si>
  <si>
    <t>Per Kg Yarn</t>
  </si>
  <si>
    <t>Per Kg Fabric</t>
  </si>
  <si>
    <t>Metric</t>
  </si>
  <si>
    <t>Per Kg Waste Cotton</t>
  </si>
  <si>
    <t>Spinning (Lakh Kg) for Spinning</t>
  </si>
  <si>
    <t>Spinning (Lakh Kg) for Knitting</t>
  </si>
  <si>
    <t>Per Spindle production in Kgs</t>
  </si>
  <si>
    <t>Total Revenue</t>
  </si>
  <si>
    <t>Other Revenue</t>
  </si>
  <si>
    <t>Final Total Revenue</t>
  </si>
  <si>
    <t>PAT CAGR</t>
  </si>
  <si>
    <t>Margin Multiple</t>
  </si>
  <si>
    <t>Revenue CAGR</t>
  </si>
  <si>
    <t>PE Multiple - Low</t>
  </si>
  <si>
    <t>PE Multiple - Medium</t>
  </si>
  <si>
    <t>PE Multiple - High</t>
  </si>
  <si>
    <t>Low</t>
  </si>
  <si>
    <t>Medium</t>
  </si>
  <si>
    <t>High</t>
  </si>
  <si>
    <t>Price Gain</t>
  </si>
  <si>
    <t>Input</t>
  </si>
  <si>
    <t>Output:</t>
  </si>
  <si>
    <r>
      <rPr>
        <b/>
        <i/>
        <u/>
        <sz val="11"/>
        <color theme="1"/>
        <rFont val="Calibri"/>
        <family val="2"/>
        <scheme val="minor"/>
      </rPr>
      <t xml:space="preserve">Assumptions:
</t>
    </r>
    <r>
      <rPr>
        <sz val="11"/>
        <color theme="1"/>
        <rFont val="Calibri"/>
        <family val="2"/>
        <scheme val="minor"/>
      </rPr>
      <t>1. Additional 30000 spindle capacity would be ready by Mar'2020 mostly through internal accrual
2. Additional 7000 kg/day knitting capacity would be ready by Mar'19
3. 1% of additional margin improvement taken based on :
a. Lower employee salary growth than revenue growth as current year salary growth was 32%
b. Raw material prices will cool off
c. Better margins on higher economies of scale and
d. Higher contribution from high margin value added products
4. The rates per Kg for spinning, knitting and waste cotton would remain same as Mar'2018
5. Wherever needed, extrapolation based on last 2 years of numbers has been done (Historical numbers are also more or less consistently uniform)
6. Knitting capacity utilization assumptions are rough estimates</t>
    </r>
  </si>
</sst>
</file>

<file path=xl/styles.xml><?xml version="1.0" encoding="utf-8"?>
<styleSheet xmlns="http://schemas.openxmlformats.org/spreadsheetml/2006/main">
  <numFmts count="10">
    <numFmt numFmtId="43" formatCode="_(* #,##0.00_);_(* \(#,##0.00\);_(* &quot;-&quot;??_);_(@_)"/>
    <numFmt numFmtId="164" formatCode="_ * #,##0.00_ ;_ * \-#,##0.00_ ;_ * &quot;-&quot;??_ ;_ @_ "/>
    <numFmt numFmtId="165" formatCode="[$-409]mmm\-yy;@"/>
    <numFmt numFmtId="166" formatCode="_(* #,##0.0_);_(* \(#,##0.0\);_(* &quot;-&quot;??_);_(@_)"/>
    <numFmt numFmtId="167" formatCode="[$-409]d\-mmm\-yy;@"/>
    <numFmt numFmtId="168" formatCode="0.0"/>
    <numFmt numFmtId="169" formatCode="0.0%"/>
    <numFmt numFmtId="170" formatCode="_(* #,##0_);_(* \(#,##0\);_(* &quot;-&quot;??_);_(@_)"/>
    <numFmt numFmtId="171" formatCode="0.000"/>
    <numFmt numFmtId="172" formatCode="_ * #,##0.0_ ;_ * \-#,##0.0_ ;_ * &quot;-&quot;??_ ;_ @_ "/>
  </numFmts>
  <fonts count="47">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sz val="9"/>
      <name val="Arial"/>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
      <b/>
      <i/>
      <sz val="9"/>
      <color theme="1"/>
      <name val="Calibri"/>
      <family val="2"/>
      <scheme val="minor"/>
    </font>
    <font>
      <sz val="9"/>
      <color indexed="59"/>
      <name val="Calibri"/>
      <family val="2"/>
      <charset val="1"/>
    </font>
    <font>
      <b/>
      <u/>
      <sz val="10"/>
      <color theme="1"/>
      <name val="Calibri"/>
      <family val="2"/>
      <scheme val="minor"/>
    </font>
    <font>
      <i/>
      <sz val="10"/>
      <color theme="1"/>
      <name val="Calibri"/>
      <family val="2"/>
      <scheme val="minor"/>
    </font>
    <font>
      <b/>
      <i/>
      <sz val="10"/>
      <color theme="1"/>
      <name val="Calibri"/>
      <family val="2"/>
      <scheme val="minor"/>
    </font>
    <font>
      <b/>
      <i/>
      <u/>
      <sz val="11"/>
      <color theme="1"/>
      <name val="Calibri"/>
      <family val="2"/>
      <scheme val="minor"/>
    </font>
    <font>
      <sz val="8"/>
      <color rgb="FF222222"/>
      <name val="Arial"/>
      <family val="2"/>
    </font>
  </fonts>
  <fills count="30">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99FF99"/>
        <bgColor indexed="64"/>
      </patternFill>
    </fill>
    <fill>
      <patternFill patternType="solid">
        <fgColor theme="6" tint="0.39997558519241921"/>
        <bgColor indexed="64"/>
      </patternFill>
    </fill>
  </fills>
  <borders count="36">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13" fillId="0" borderId="0"/>
    <xf numFmtId="9" fontId="14" fillId="0" borderId="0"/>
  </cellStyleXfs>
  <cellXfs count="470">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10" borderId="3" xfId="0" applyFont="1" applyFill="1" applyBorder="1" applyAlignment="1">
      <alignment horizontal="right" vertical="center" wrapText="1"/>
    </xf>
    <xf numFmtId="0" fontId="1" fillId="0" borderId="0" xfId="0" applyFont="1" applyAlignment="1">
      <alignment horizontal="center" vertical="center"/>
    </xf>
    <xf numFmtId="9" fontId="0" fillId="0" borderId="0" xfId="6" applyFont="1" applyAlignment="1">
      <alignment horizontal="center" vertical="center"/>
    </xf>
    <xf numFmtId="9" fontId="0" fillId="0" borderId="0" xfId="0" applyNumberFormat="1" applyAlignment="1">
      <alignment horizontal="center" vertical="center"/>
    </xf>
    <xf numFmtId="9" fontId="0" fillId="0" borderId="0" xfId="0" applyNumberFormat="1"/>
    <xf numFmtId="0" fontId="0" fillId="0" borderId="0" xfId="0" applyAlignment="1">
      <alignment horizontal="center" vertical="center"/>
    </xf>
    <xf numFmtId="168" fontId="0" fillId="0" borderId="0" xfId="0" applyNumberFormat="1"/>
    <xf numFmtId="169" fontId="0" fillId="0" borderId="0" xfId="6" applyNumberFormat="1" applyFont="1" applyAlignment="1">
      <alignment horizontal="center" vertical="center"/>
    </xf>
    <xf numFmtId="9" fontId="0" fillId="0" borderId="0" xfId="6" applyFont="1"/>
    <xf numFmtId="2" fontId="0" fillId="0" borderId="0" xfId="6" applyNumberFormat="1" applyFont="1" applyAlignment="1">
      <alignment horizontal="center" vertical="center"/>
    </xf>
    <xf numFmtId="168" fontId="0" fillId="0" borderId="0" xfId="0" applyNumberFormat="1" applyAlignment="1">
      <alignment horizontal="center" vertical="center"/>
    </xf>
    <xf numFmtId="1" fontId="0" fillId="0" borderId="0" xfId="0" applyNumberFormat="1" applyAlignment="1">
      <alignment horizontal="center" vertical="center"/>
    </xf>
    <xf numFmtId="0" fontId="16" fillId="0" borderId="0" xfId="7" applyFont="1" applyAlignment="1">
      <alignment wrapText="1"/>
    </xf>
    <xf numFmtId="0" fontId="16" fillId="0" borderId="10" xfId="7" applyFont="1" applyBorder="1" applyAlignment="1">
      <alignment wrapText="1"/>
    </xf>
    <xf numFmtId="0" fontId="17" fillId="14" borderId="10" xfId="7" applyFont="1" applyFill="1" applyBorder="1" applyAlignment="1">
      <alignment horizontal="center" wrapText="1"/>
    </xf>
    <xf numFmtId="0" fontId="18" fillId="0" borderId="3" xfId="7" applyFont="1" applyBorder="1" applyAlignment="1">
      <alignment wrapText="1"/>
    </xf>
    <xf numFmtId="2" fontId="19" fillId="15" borderId="3" xfId="7" applyNumberFormat="1" applyFont="1" applyFill="1" applyBorder="1" applyAlignment="1">
      <alignment horizontal="center" wrapText="1"/>
    </xf>
    <xf numFmtId="10" fontId="19" fillId="15" borderId="3" xfId="7" applyNumberFormat="1" applyFont="1" applyFill="1" applyBorder="1" applyAlignment="1">
      <alignment horizontal="center" wrapText="1"/>
    </xf>
    <xf numFmtId="1" fontId="19" fillId="15" borderId="3" xfId="7" applyNumberFormat="1" applyFont="1" applyFill="1" applyBorder="1" applyAlignment="1">
      <alignment horizontal="center" wrapText="1"/>
    </xf>
    <xf numFmtId="2" fontId="19" fillId="15" borderId="0" xfId="7" applyNumberFormat="1" applyFont="1" applyFill="1" applyBorder="1" applyAlignment="1">
      <alignment horizontal="center" wrapText="1"/>
    </xf>
    <xf numFmtId="10" fontId="19" fillId="15" borderId="0" xfId="7" applyNumberFormat="1" applyFont="1" applyFill="1" applyBorder="1" applyAlignment="1">
      <alignment horizontal="center" wrapText="1"/>
    </xf>
    <xf numFmtId="168" fontId="19" fillId="15" borderId="0" xfId="7" applyNumberFormat="1" applyFont="1" applyFill="1" applyBorder="1" applyAlignment="1">
      <alignment horizontal="center" wrapText="1"/>
    </xf>
    <xf numFmtId="9" fontId="19" fillId="15" borderId="0" xfId="6" applyFont="1" applyFill="1" applyBorder="1" applyAlignment="1">
      <alignment horizontal="center" wrapText="1"/>
    </xf>
    <xf numFmtId="168" fontId="19" fillId="15" borderId="3" xfId="7" applyNumberFormat="1" applyFont="1" applyFill="1" applyBorder="1" applyAlignment="1">
      <alignment horizontal="center" wrapText="1"/>
    </xf>
    <xf numFmtId="9" fontId="19" fillId="15" borderId="3" xfId="6" applyFont="1" applyFill="1" applyBorder="1" applyAlignment="1">
      <alignment horizontal="center" wrapText="1"/>
    </xf>
    <xf numFmtId="0" fontId="18" fillId="0" borderId="2" xfId="7" applyFont="1" applyBorder="1" applyAlignment="1">
      <alignment wrapText="1"/>
    </xf>
    <xf numFmtId="2" fontId="19" fillId="15" borderId="2" xfId="7" applyNumberFormat="1" applyFont="1" applyFill="1" applyBorder="1" applyAlignment="1">
      <alignment horizontal="center" wrapText="1"/>
    </xf>
    <xf numFmtId="10" fontId="19" fillId="15" borderId="2" xfId="7" applyNumberFormat="1" applyFont="1" applyFill="1" applyBorder="1" applyAlignment="1">
      <alignment horizontal="center" wrapText="1"/>
    </xf>
    <xf numFmtId="0" fontId="16" fillId="0" borderId="2" xfId="7" applyFont="1" applyBorder="1" applyAlignment="1">
      <alignment wrapText="1"/>
    </xf>
    <xf numFmtId="168" fontId="19" fillId="15" borderId="2" xfId="7" applyNumberFormat="1" applyFont="1" applyFill="1" applyBorder="1" applyAlignment="1">
      <alignment horizontal="center" wrapText="1"/>
    </xf>
    <xf numFmtId="9" fontId="19" fillId="15" borderId="2" xfId="6" applyFont="1" applyFill="1" applyBorder="1" applyAlignment="1">
      <alignment horizontal="center" wrapText="1"/>
    </xf>
    <xf numFmtId="0" fontId="18" fillId="0" borderId="11" xfId="7" applyFont="1" applyBorder="1" applyAlignment="1">
      <alignment wrapText="1"/>
    </xf>
    <xf numFmtId="2" fontId="19" fillId="15" borderId="11" xfId="7" applyNumberFormat="1" applyFont="1" applyFill="1" applyBorder="1" applyAlignment="1">
      <alignment horizontal="center" wrapText="1"/>
    </xf>
    <xf numFmtId="10" fontId="19" fillId="15" borderId="11" xfId="7" applyNumberFormat="1" applyFont="1" applyFill="1" applyBorder="1" applyAlignment="1">
      <alignment horizontal="center" wrapText="1"/>
    </xf>
    <xf numFmtId="1" fontId="19" fillId="15" borderId="11" xfId="7" applyNumberFormat="1" applyFont="1" applyFill="1" applyBorder="1" applyAlignment="1">
      <alignment horizontal="center" wrapText="1"/>
    </xf>
    <xf numFmtId="168" fontId="19" fillId="15" borderId="11" xfId="7" applyNumberFormat="1" applyFont="1" applyFill="1" applyBorder="1" applyAlignment="1">
      <alignment horizontal="center" wrapText="1"/>
    </xf>
    <xf numFmtId="9" fontId="19" fillId="15" borderId="11" xfId="6" applyFont="1" applyFill="1" applyBorder="1" applyAlignment="1">
      <alignment horizontal="center" wrapText="1"/>
    </xf>
    <xf numFmtId="169" fontId="17" fillId="15" borderId="2" xfId="7" applyNumberFormat="1" applyFont="1" applyFill="1" applyBorder="1" applyAlignment="1">
      <alignment horizontal="center" vertical="center" wrapText="1"/>
    </xf>
    <xf numFmtId="169" fontId="17" fillId="16" borderId="2" xfId="7" applyNumberFormat="1" applyFont="1" applyFill="1" applyBorder="1" applyAlignment="1">
      <alignment horizontal="center" vertical="center" wrapText="1"/>
    </xf>
    <xf numFmtId="10" fontId="18" fillId="0" borderId="2" xfId="7" applyNumberFormat="1" applyFont="1" applyBorder="1" applyAlignment="1">
      <alignment horizontal="center" vertical="center" wrapText="1"/>
    </xf>
    <xf numFmtId="0" fontId="18" fillId="0" borderId="2" xfId="7" applyFont="1" applyBorder="1" applyAlignment="1">
      <alignment horizontal="center" vertical="center" wrapText="1"/>
    </xf>
    <xf numFmtId="2" fontId="18" fillId="0" borderId="2" xfId="7" applyNumberFormat="1" applyFont="1" applyBorder="1" applyAlignment="1">
      <alignment horizontal="center" vertical="center" wrapText="1"/>
    </xf>
    <xf numFmtId="169" fontId="18" fillId="0" borderId="2" xfId="7" applyNumberFormat="1" applyFont="1" applyBorder="1" applyAlignment="1">
      <alignment horizontal="center" vertical="center" wrapText="1"/>
    </xf>
    <xf numFmtId="0" fontId="16" fillId="0" borderId="0" xfId="7" applyFont="1" applyBorder="1" applyAlignment="1">
      <alignment horizontal="center" wrapText="1"/>
    </xf>
    <xf numFmtId="0" fontId="16" fillId="0" borderId="0" xfId="7" applyFont="1" applyBorder="1" applyAlignment="1">
      <alignment wrapText="1"/>
    </xf>
    <xf numFmtId="0" fontId="18" fillId="0" borderId="0" xfId="7" applyFont="1" applyBorder="1" applyAlignment="1">
      <alignment wrapText="1"/>
    </xf>
    <xf numFmtId="0" fontId="15" fillId="8" borderId="3" xfId="7" applyFont="1" applyFill="1" applyBorder="1" applyAlignment="1">
      <alignment horizontal="center" wrapText="1"/>
    </xf>
    <xf numFmtId="0" fontId="15" fillId="8" borderId="12" xfId="7" applyFont="1" applyFill="1" applyBorder="1" applyAlignment="1">
      <alignment horizontal="center" wrapText="1"/>
    </xf>
    <xf numFmtId="0" fontId="20" fillId="0" borderId="3" xfId="7" applyFont="1" applyFill="1" applyBorder="1" applyAlignment="1">
      <alignment horizontal="right" wrapText="1"/>
    </xf>
    <xf numFmtId="1" fontId="19" fillId="15" borderId="3" xfId="7" applyNumberFormat="1" applyFont="1" applyFill="1" applyBorder="1" applyAlignment="1">
      <alignment horizontal="center" vertical="center" wrapText="1"/>
    </xf>
    <xf numFmtId="2" fontId="19" fillId="15" borderId="3" xfId="7" applyNumberFormat="1" applyFont="1" applyFill="1" applyBorder="1" applyAlignment="1">
      <alignment horizontal="center" vertical="center" wrapText="1"/>
    </xf>
    <xf numFmtId="2" fontId="15" fillId="15" borderId="3" xfId="7" applyNumberFormat="1" applyFont="1" applyFill="1" applyBorder="1" applyAlignment="1">
      <alignment horizontal="center" wrapText="1"/>
    </xf>
    <xf numFmtId="168" fontId="15" fillId="15" borderId="3" xfId="7" applyNumberFormat="1" applyFont="1" applyFill="1" applyBorder="1" applyAlignment="1">
      <alignment horizontal="center" wrapText="1"/>
    </xf>
    <xf numFmtId="9" fontId="15" fillId="15" borderId="3" xfId="6" applyFont="1" applyFill="1" applyBorder="1" applyAlignment="1">
      <alignment horizontal="center" wrapText="1"/>
    </xf>
    <xf numFmtId="0" fontId="16" fillId="0" borderId="7" xfId="7" applyFont="1" applyBorder="1" applyAlignment="1">
      <alignment horizontal="left" wrapText="1"/>
    </xf>
    <xf numFmtId="0" fontId="15" fillId="8" borderId="1" xfId="7" applyFont="1" applyFill="1" applyBorder="1" applyAlignment="1">
      <alignment horizontal="center" wrapText="1"/>
    </xf>
    <xf numFmtId="0" fontId="15" fillId="8" borderId="2" xfId="7" applyFont="1" applyFill="1" applyBorder="1" applyAlignment="1">
      <alignment horizontal="center" wrapText="1"/>
    </xf>
    <xf numFmtId="0" fontId="18" fillId="0" borderId="1" xfId="7" applyFont="1" applyBorder="1" applyAlignment="1">
      <alignment horizontal="right" wrapText="1"/>
    </xf>
    <xf numFmtId="169" fontId="15" fillId="17" borderId="3" xfId="7" applyNumberFormat="1" applyFont="1" applyFill="1" applyBorder="1" applyAlignment="1">
      <alignment horizontal="center" vertical="center" wrapText="1"/>
    </xf>
    <xf numFmtId="169" fontId="19" fillId="15" borderId="3" xfId="7" applyNumberFormat="1" applyFont="1" applyFill="1" applyBorder="1" applyAlignment="1">
      <alignment horizontal="center" wrapText="1"/>
    </xf>
    <xf numFmtId="0" fontId="19" fillId="15" borderId="3" xfId="7" applyFont="1" applyFill="1" applyBorder="1" applyAlignment="1">
      <alignment wrapText="1"/>
    </xf>
    <xf numFmtId="9" fontId="19" fillId="15" borderId="3" xfId="7" applyNumberFormat="1" applyFont="1" applyFill="1" applyBorder="1" applyAlignment="1">
      <alignment horizontal="center" wrapText="1"/>
    </xf>
    <xf numFmtId="0" fontId="19" fillId="15" borderId="0" xfId="7" applyFont="1" applyFill="1" applyAlignment="1">
      <alignment wrapText="1"/>
    </xf>
    <xf numFmtId="0" fontId="19" fillId="15" borderId="3" xfId="7" applyFont="1" applyFill="1" applyBorder="1" applyAlignment="1">
      <alignment horizontal="left" wrapText="1"/>
    </xf>
    <xf numFmtId="10" fontId="15" fillId="17" borderId="3" xfId="7" applyNumberFormat="1" applyFont="1" applyFill="1" applyBorder="1" applyAlignment="1">
      <alignment horizontal="center" vertical="center" wrapText="1"/>
    </xf>
    <xf numFmtId="0" fontId="18" fillId="18" borderId="0" xfId="7" applyFont="1" applyFill="1" applyBorder="1" applyAlignment="1">
      <alignment horizontal="right" wrapText="1"/>
    </xf>
    <xf numFmtId="169" fontId="17" fillId="16" borderId="0" xfId="7" applyNumberFormat="1" applyFont="1" applyFill="1" applyBorder="1" applyAlignment="1">
      <alignment horizontal="center" vertical="center" wrapText="1"/>
    </xf>
    <xf numFmtId="169" fontId="15" fillId="19" borderId="0" xfId="7" applyNumberFormat="1" applyFont="1" applyFill="1" applyBorder="1" applyAlignment="1">
      <alignment horizontal="center" vertical="center" wrapText="1"/>
    </xf>
    <xf numFmtId="169" fontId="19" fillId="16" borderId="0" xfId="7" applyNumberFormat="1" applyFont="1" applyFill="1" applyBorder="1" applyAlignment="1">
      <alignment horizontal="center" wrapText="1"/>
    </xf>
    <xf numFmtId="0" fontId="16" fillId="18" borderId="0" xfId="7" applyFont="1" applyFill="1" applyAlignment="1">
      <alignment wrapText="1"/>
    </xf>
    <xf numFmtId="0" fontId="15" fillId="8" borderId="2" xfId="7" applyFont="1" applyFill="1" applyBorder="1" applyAlignment="1">
      <alignment horizontal="center" vertical="center" wrapText="1"/>
    </xf>
    <xf numFmtId="168" fontId="17" fillId="16" borderId="2" xfId="7" applyNumberFormat="1" applyFont="1" applyFill="1" applyBorder="1" applyAlignment="1">
      <alignment horizontal="center" vertical="center" wrapText="1"/>
    </xf>
    <xf numFmtId="1" fontId="18" fillId="18" borderId="2" xfId="7" applyNumberFormat="1" applyFont="1" applyFill="1" applyBorder="1" applyAlignment="1">
      <alignment horizontal="center" vertical="center" wrapText="1"/>
    </xf>
    <xf numFmtId="168" fontId="18" fillId="18" borderId="2" xfId="7" applyNumberFormat="1" applyFont="1" applyFill="1" applyBorder="1" applyAlignment="1">
      <alignment horizontal="center" vertical="center" wrapText="1"/>
    </xf>
    <xf numFmtId="2" fontId="18" fillId="18" borderId="2" xfId="7" applyNumberFormat="1" applyFont="1" applyFill="1" applyBorder="1" applyAlignment="1">
      <alignment horizontal="center" vertical="center" wrapText="1"/>
    </xf>
    <xf numFmtId="169" fontId="21" fillId="16" borderId="2" xfId="7" applyNumberFormat="1" applyFont="1" applyFill="1" applyBorder="1" applyAlignment="1">
      <alignment horizontal="center" vertical="center" wrapText="1"/>
    </xf>
    <xf numFmtId="168" fontId="17" fillId="16" borderId="0" xfId="7" applyNumberFormat="1" applyFont="1" applyFill="1" applyBorder="1" applyAlignment="1">
      <alignment horizontal="center" vertical="center" wrapText="1"/>
    </xf>
    <xf numFmtId="1" fontId="18" fillId="18" borderId="0" xfId="7" applyNumberFormat="1" applyFont="1" applyFill="1" applyBorder="1" applyAlignment="1">
      <alignment horizontal="center" vertical="center" wrapText="1"/>
    </xf>
    <xf numFmtId="168" fontId="18" fillId="18" borderId="0" xfId="7" applyNumberFormat="1" applyFont="1" applyFill="1" applyBorder="1" applyAlignment="1">
      <alignment horizontal="center" vertical="center" wrapText="1"/>
    </xf>
    <xf numFmtId="2" fontId="18" fillId="18" borderId="0" xfId="7" applyNumberFormat="1" applyFont="1" applyFill="1" applyBorder="1" applyAlignment="1">
      <alignment horizontal="center" vertical="center" wrapText="1"/>
    </xf>
    <xf numFmtId="169" fontId="18" fillId="18" borderId="2" xfId="7" applyNumberFormat="1" applyFont="1" applyFill="1" applyBorder="1" applyAlignment="1">
      <alignment horizontal="center" vertical="center" wrapText="1"/>
    </xf>
    <xf numFmtId="0" fontId="16" fillId="18" borderId="2" xfId="7" applyFont="1" applyFill="1" applyBorder="1" applyAlignment="1">
      <alignment wrapText="1"/>
    </xf>
    <xf numFmtId="168" fontId="17" fillId="19" borderId="2" xfId="7" applyNumberFormat="1" applyFont="1" applyFill="1" applyBorder="1" applyAlignment="1">
      <alignment horizontal="center" vertical="center" wrapText="1"/>
    </xf>
    <xf numFmtId="169" fontId="17" fillId="19" borderId="2" xfId="7" applyNumberFormat="1" applyFont="1" applyFill="1" applyBorder="1" applyAlignment="1">
      <alignment horizontal="center" vertical="center" wrapText="1"/>
    </xf>
    <xf numFmtId="169" fontId="22" fillId="16" borderId="2" xfId="7" applyNumberFormat="1" applyFont="1" applyFill="1" applyBorder="1" applyAlignment="1">
      <alignment horizontal="center" wrapText="1"/>
    </xf>
    <xf numFmtId="169" fontId="19" fillId="16" borderId="2" xfId="7" applyNumberFormat="1" applyFont="1" applyFill="1" applyBorder="1" applyAlignment="1">
      <alignment horizontal="center" wrapText="1"/>
    </xf>
    <xf numFmtId="169" fontId="18" fillId="18" borderId="0" xfId="7" applyNumberFormat="1" applyFont="1" applyFill="1" applyBorder="1" applyAlignment="1">
      <alignment horizontal="center" vertical="center" wrapText="1"/>
    </xf>
    <xf numFmtId="0" fontId="16" fillId="18" borderId="0" xfId="7" applyFont="1" applyFill="1" applyBorder="1" applyAlignment="1">
      <alignment wrapText="1"/>
    </xf>
    <xf numFmtId="168" fontId="17" fillId="19" borderId="0" xfId="7" applyNumberFormat="1" applyFont="1" applyFill="1" applyBorder="1" applyAlignment="1">
      <alignment horizontal="center" vertical="center" wrapText="1"/>
    </xf>
    <xf numFmtId="169" fontId="17" fillId="19" borderId="0" xfId="7" applyNumberFormat="1" applyFont="1" applyFill="1" applyBorder="1" applyAlignment="1">
      <alignment horizontal="center" vertical="center" wrapText="1"/>
    </xf>
    <xf numFmtId="169" fontId="22" fillId="16" borderId="0" xfId="7" applyNumberFormat="1" applyFont="1" applyFill="1" applyBorder="1" applyAlignment="1">
      <alignment horizontal="center" wrapText="1"/>
    </xf>
    <xf numFmtId="168" fontId="18" fillId="0" borderId="2" xfId="7" applyNumberFormat="1" applyFont="1" applyBorder="1" applyAlignment="1">
      <alignment horizontal="center" vertical="center" wrapText="1"/>
    </xf>
    <xf numFmtId="169" fontId="16" fillId="0" borderId="2" xfId="7" applyNumberFormat="1" applyFont="1" applyBorder="1" applyAlignment="1">
      <alignment horizontal="center" vertical="center" wrapText="1"/>
    </xf>
    <xf numFmtId="168" fontId="18" fillId="0" borderId="0" xfId="7" applyNumberFormat="1" applyFont="1" applyBorder="1" applyAlignment="1">
      <alignment horizontal="center" vertical="center" wrapText="1"/>
    </xf>
    <xf numFmtId="2" fontId="18" fillId="0" borderId="0" xfId="7" applyNumberFormat="1" applyFont="1" applyAlignment="1">
      <alignment horizontal="center" vertical="center" wrapText="1"/>
    </xf>
    <xf numFmtId="10" fontId="18" fillId="0" borderId="0" xfId="7" applyNumberFormat="1" applyFont="1" applyAlignment="1">
      <alignment horizontal="center" vertical="center" wrapText="1"/>
    </xf>
    <xf numFmtId="169" fontId="18" fillId="0" borderId="0" xfId="7" applyNumberFormat="1" applyFont="1" applyAlignment="1">
      <alignment horizontal="center" vertical="center" wrapText="1"/>
    </xf>
    <xf numFmtId="169" fontId="16" fillId="0" borderId="0" xfId="7" applyNumberFormat="1" applyFont="1" applyAlignment="1">
      <alignment horizontal="center" wrapText="1"/>
    </xf>
    <xf numFmtId="0" fontId="18" fillId="0" borderId="0" xfId="7" applyFont="1" applyAlignment="1">
      <alignment horizontal="center" vertical="center" wrapText="1"/>
    </xf>
    <xf numFmtId="0" fontId="16" fillId="18" borderId="2" xfId="7" applyFont="1" applyFill="1" applyBorder="1" applyAlignment="1">
      <alignment horizontal="center" vertical="center" wrapText="1"/>
    </xf>
    <xf numFmtId="10" fontId="18" fillId="0" borderId="0" xfId="7" applyNumberFormat="1" applyFont="1" applyBorder="1" applyAlignment="1">
      <alignment wrapText="1"/>
    </xf>
    <xf numFmtId="14" fontId="15" fillId="8" borderId="1" xfId="7" applyNumberFormat="1" applyFont="1" applyFill="1" applyBorder="1" applyAlignment="1">
      <alignment horizontal="center" wrapText="1"/>
    </xf>
    <xf numFmtId="2" fontId="15" fillId="15" borderId="1" xfId="7" applyNumberFormat="1" applyFont="1" applyFill="1" applyBorder="1" applyAlignment="1">
      <alignment horizontal="center" vertical="center" wrapText="1"/>
    </xf>
    <xf numFmtId="168" fontId="15" fillId="15" borderId="1" xfId="7" applyNumberFormat="1" applyFont="1" applyFill="1" applyBorder="1" applyAlignment="1">
      <alignment horizontal="center" vertical="center" wrapText="1"/>
    </xf>
    <xf numFmtId="9" fontId="16" fillId="0" borderId="0" xfId="6" applyFont="1" applyAlignment="1">
      <alignment wrapText="1"/>
    </xf>
    <xf numFmtId="0" fontId="18" fillId="20" borderId="1" xfId="7" applyFont="1" applyFill="1" applyBorder="1" applyAlignment="1">
      <alignment horizontal="right" wrapText="1"/>
    </xf>
    <xf numFmtId="0" fontId="18" fillId="0" borderId="0" xfId="7" applyFont="1" applyAlignment="1">
      <alignment wrapText="1"/>
    </xf>
    <xf numFmtId="1" fontId="15" fillId="15" borderId="1" xfId="7" applyNumberFormat="1" applyFont="1" applyFill="1" applyBorder="1" applyAlignment="1">
      <alignment horizontal="center" vertical="center" wrapText="1"/>
    </xf>
    <xf numFmtId="0" fontId="18" fillId="0" borderId="0" xfId="7" applyFont="1" applyBorder="1" applyAlignment="1">
      <alignment horizontal="right" wrapText="1"/>
    </xf>
    <xf numFmtId="0" fontId="18" fillId="0" borderId="0" xfId="7" applyFont="1" applyAlignment="1">
      <alignment horizontal="right" wrapText="1"/>
    </xf>
    <xf numFmtId="0" fontId="18" fillId="0" borderId="1" xfId="7" applyFont="1" applyFill="1" applyBorder="1" applyAlignment="1">
      <alignment horizontal="right" wrapText="1"/>
    </xf>
    <xf numFmtId="10" fontId="19" fillId="17" borderId="1" xfId="7" applyNumberFormat="1" applyFont="1" applyFill="1" applyBorder="1" applyAlignment="1">
      <alignment horizontal="center" vertical="center" wrapText="1"/>
    </xf>
    <xf numFmtId="169" fontId="19" fillId="17" borderId="1" xfId="7" applyNumberFormat="1" applyFont="1" applyFill="1" applyBorder="1" applyAlignment="1">
      <alignment horizontal="center" vertical="center" wrapText="1"/>
    </xf>
    <xf numFmtId="10" fontId="16" fillId="0" borderId="0" xfId="7" applyNumberFormat="1" applyFont="1" applyAlignment="1">
      <alignment wrapText="1"/>
    </xf>
    <xf numFmtId="10" fontId="15" fillId="17" borderId="1" xfId="7" applyNumberFormat="1" applyFont="1" applyFill="1" applyBorder="1" applyAlignment="1">
      <alignment horizontal="center" vertical="center" wrapText="1"/>
    </xf>
    <xf numFmtId="169" fontId="15" fillId="17" borderId="1" xfId="7" applyNumberFormat="1" applyFont="1" applyFill="1" applyBorder="1" applyAlignment="1">
      <alignment horizontal="center" vertical="center" wrapText="1"/>
    </xf>
    <xf numFmtId="169" fontId="15" fillId="17" borderId="16" xfId="7" applyNumberFormat="1" applyFont="1" applyFill="1" applyBorder="1" applyAlignment="1">
      <alignment vertical="center" wrapText="1"/>
    </xf>
    <xf numFmtId="10" fontId="15" fillId="17" borderId="1" xfId="7" applyNumberFormat="1" applyFont="1" applyFill="1" applyBorder="1" applyAlignment="1">
      <alignment wrapText="1"/>
    </xf>
    <xf numFmtId="10" fontId="15" fillId="17" borderId="14" xfId="7" applyNumberFormat="1" applyFont="1" applyFill="1" applyBorder="1" applyAlignment="1">
      <alignment horizontal="center" wrapText="1"/>
    </xf>
    <xf numFmtId="10" fontId="15" fillId="17" borderId="15" xfId="7" applyNumberFormat="1" applyFont="1" applyFill="1" applyBorder="1" applyAlignment="1">
      <alignment horizontal="center" wrapText="1"/>
    </xf>
    <xf numFmtId="10" fontId="15" fillId="17" borderId="16" xfId="7" applyNumberFormat="1" applyFont="1" applyFill="1" applyBorder="1" applyAlignment="1">
      <alignment horizontal="center" wrapText="1"/>
    </xf>
    <xf numFmtId="0" fontId="16" fillId="21" borderId="1" xfId="7" applyFont="1" applyFill="1" applyBorder="1" applyAlignment="1">
      <alignment wrapText="1"/>
    </xf>
    <xf numFmtId="14" fontId="16" fillId="21" borderId="1" xfId="7" applyNumberFormat="1" applyFont="1" applyFill="1" applyBorder="1" applyAlignment="1">
      <alignment wrapText="1"/>
    </xf>
    <xf numFmtId="0" fontId="16" fillId="0" borderId="1" xfId="7" applyFont="1" applyFill="1" applyBorder="1" applyAlignment="1">
      <alignment horizontal="left" wrapText="1"/>
    </xf>
    <xf numFmtId="2" fontId="16" fillId="0" borderId="1" xfId="7" applyNumberFormat="1" applyFont="1" applyFill="1" applyBorder="1" applyAlignment="1">
      <alignment horizontal="center" vertical="center" wrapText="1"/>
    </xf>
    <xf numFmtId="168" fontId="16" fillId="0" borderId="1" xfId="7" applyNumberFormat="1" applyFont="1" applyFill="1" applyBorder="1" applyAlignment="1">
      <alignment horizontal="center" vertical="center" wrapText="1"/>
    </xf>
    <xf numFmtId="0" fontId="16" fillId="0" borderId="1" xfId="7" applyFont="1" applyBorder="1" applyAlignment="1">
      <alignment wrapText="1"/>
    </xf>
    <xf numFmtId="10" fontId="16" fillId="0" borderId="1" xfId="7" applyNumberFormat="1" applyFont="1" applyBorder="1" applyAlignment="1">
      <alignment horizontal="center" vertical="center" wrapText="1"/>
    </xf>
    <xf numFmtId="2" fontId="16" fillId="0" borderId="1" xfId="7" applyNumberFormat="1" applyFont="1" applyBorder="1" applyAlignment="1">
      <alignment horizontal="center" vertical="center" wrapText="1"/>
    </xf>
    <xf numFmtId="9" fontId="16" fillId="0" borderId="1" xfId="6" applyFont="1" applyBorder="1" applyAlignment="1">
      <alignment horizontal="center" vertical="center" wrapText="1"/>
    </xf>
    <xf numFmtId="9" fontId="16" fillId="0" borderId="0" xfId="7" applyNumberFormat="1" applyFont="1" applyAlignment="1">
      <alignment horizontal="center" vertical="center" wrapText="1"/>
    </xf>
    <xf numFmtId="0" fontId="16" fillId="0" borderId="1" xfId="7" applyFont="1" applyFill="1" applyBorder="1" applyAlignment="1">
      <alignment wrapText="1"/>
    </xf>
    <xf numFmtId="43" fontId="16" fillId="0" borderId="1" xfId="7" applyNumberFormat="1" applyFont="1" applyFill="1" applyBorder="1" applyAlignment="1">
      <alignment horizontal="center" vertical="center" wrapText="1"/>
    </xf>
    <xf numFmtId="0" fontId="16" fillId="0" borderId="3" xfId="7" applyFont="1" applyFill="1" applyBorder="1" applyAlignment="1">
      <alignment wrapText="1"/>
    </xf>
    <xf numFmtId="0" fontId="16" fillId="0" borderId="3" xfId="7" applyFont="1" applyFill="1" applyBorder="1" applyAlignment="1">
      <alignment horizontal="center" vertical="center" wrapText="1"/>
    </xf>
    <xf numFmtId="43" fontId="16" fillId="0" borderId="3" xfId="7" applyNumberFormat="1" applyFont="1" applyFill="1" applyBorder="1" applyAlignment="1">
      <alignment horizontal="center" vertical="center" wrapText="1"/>
    </xf>
    <xf numFmtId="0" fontId="16" fillId="0" borderId="3" xfId="7" applyFont="1" applyBorder="1" applyAlignment="1">
      <alignment wrapText="1"/>
    </xf>
    <xf numFmtId="2" fontId="16" fillId="0" borderId="3" xfId="7" applyNumberFormat="1" applyFont="1" applyBorder="1" applyAlignment="1">
      <alignment horizontal="center" vertical="center" wrapText="1"/>
    </xf>
    <xf numFmtId="2" fontId="16" fillId="0" borderId="0" xfId="7" applyNumberFormat="1" applyFont="1" applyBorder="1" applyAlignment="1">
      <alignment wrapText="1"/>
    </xf>
    <xf numFmtId="10" fontId="16" fillId="0" borderId="3" xfId="7" applyNumberFormat="1" applyFont="1" applyFill="1" applyBorder="1" applyAlignment="1">
      <alignment horizontal="center" vertical="center" wrapText="1"/>
    </xf>
    <xf numFmtId="2" fontId="16" fillId="0" borderId="0" xfId="7" applyNumberFormat="1" applyFont="1" applyFill="1" applyBorder="1" applyAlignment="1">
      <alignment wrapText="1"/>
    </xf>
    <xf numFmtId="2" fontId="16" fillId="0" borderId="0" xfId="7" applyNumberFormat="1" applyFont="1" applyFill="1" applyAlignment="1">
      <alignment wrapText="1"/>
    </xf>
    <xf numFmtId="10" fontId="16" fillId="0" borderId="0" xfId="7" applyNumberFormat="1" applyFont="1" applyFill="1" applyAlignment="1">
      <alignment wrapText="1"/>
    </xf>
    <xf numFmtId="0" fontId="16" fillId="0" borderId="0" xfId="7" applyFont="1" applyFill="1" applyAlignment="1">
      <alignment wrapText="1"/>
    </xf>
    <xf numFmtId="0" fontId="16" fillId="0" borderId="0" xfId="7" applyFont="1" applyAlignment="1">
      <alignment horizontal="center" vertical="center" wrapText="1"/>
    </xf>
    <xf numFmtId="10" fontId="16" fillId="0" borderId="2" xfId="7" applyNumberFormat="1" applyFont="1" applyBorder="1" applyAlignment="1">
      <alignment horizontal="center" vertical="center" wrapText="1"/>
    </xf>
    <xf numFmtId="2" fontId="16" fillId="0" borderId="2" xfId="7" applyNumberFormat="1" applyFont="1" applyBorder="1" applyAlignment="1">
      <alignment horizontal="center" vertical="center" wrapText="1"/>
    </xf>
    <xf numFmtId="10" fontId="23" fillId="0" borderId="2" xfId="8" applyNumberFormat="1" applyFont="1" applyBorder="1" applyAlignment="1">
      <alignment horizontal="center" vertical="center" wrapText="1"/>
    </xf>
    <xf numFmtId="164" fontId="15" fillId="8" borderId="1" xfId="7" applyNumberFormat="1" applyFont="1" applyFill="1" applyBorder="1" applyAlignment="1">
      <alignment horizontal="center" wrapText="1"/>
    </xf>
    <xf numFmtId="164" fontId="16" fillId="0" borderId="1" xfId="7"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0" fontId="27" fillId="0" borderId="0" xfId="0" applyFont="1"/>
    <xf numFmtId="0" fontId="29" fillId="0" borderId="0" xfId="0" applyFont="1" applyAlignment="1">
      <alignment horizontal="left" vertical="center"/>
    </xf>
    <xf numFmtId="9" fontId="0" fillId="23" borderId="0" xfId="6" applyFont="1" applyFill="1" applyAlignment="1">
      <alignment horizontal="center" vertical="center"/>
    </xf>
    <xf numFmtId="0" fontId="13" fillId="0" borderId="23" xfId="0" applyFont="1" applyBorder="1" applyAlignment="1">
      <alignment horizontal="left"/>
    </xf>
    <xf numFmtId="170" fontId="13" fillId="0" borderId="24" xfId="0" applyNumberFormat="1" applyFont="1" applyBorder="1" applyAlignment="1">
      <alignment horizontal="center"/>
    </xf>
    <xf numFmtId="0" fontId="30" fillId="0" borderId="0" xfId="0" applyFont="1"/>
    <xf numFmtId="9" fontId="27" fillId="23" borderId="0" xfId="0" applyNumberFormat="1" applyFont="1" applyFill="1" applyAlignment="1">
      <alignment horizontal="center" vertical="center"/>
    </xf>
    <xf numFmtId="1" fontId="0" fillId="0" borderId="0" xfId="0" applyNumberFormat="1"/>
    <xf numFmtId="0" fontId="13" fillId="0" borderId="23" xfId="0" quotePrefix="1" applyFont="1" applyBorder="1" applyAlignment="1">
      <alignment horizontal="left"/>
    </xf>
    <xf numFmtId="9" fontId="27"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27" fillId="0" borderId="0" xfId="0" applyNumberFormat="1" applyFont="1" applyAlignment="1">
      <alignment horizontal="center" vertical="center"/>
    </xf>
    <xf numFmtId="43" fontId="13" fillId="0" borderId="24" xfId="0" applyNumberFormat="1" applyFont="1" applyBorder="1" applyAlignment="1">
      <alignment horizontal="center"/>
    </xf>
    <xf numFmtId="0" fontId="31" fillId="25" borderId="20" xfId="0" applyFont="1" applyFill="1" applyBorder="1" applyAlignment="1">
      <alignment horizontal="left"/>
    </xf>
    <xf numFmtId="170" fontId="31" fillId="25" borderId="22" xfId="0" applyNumberFormat="1" applyFont="1" applyFill="1" applyBorder="1" applyAlignment="1">
      <alignment horizontal="center"/>
    </xf>
    <xf numFmtId="0" fontId="30" fillId="0" borderId="0" xfId="0" applyFont="1" applyAlignment="1">
      <alignment horizontal="left"/>
    </xf>
    <xf numFmtId="0" fontId="26" fillId="23" borderId="25" xfId="0" applyNumberFormat="1" applyFont="1" applyFill="1" applyBorder="1" applyAlignment="1">
      <alignment horizontal="center"/>
    </xf>
    <xf numFmtId="0" fontId="26" fillId="23" borderId="26" xfId="0" applyNumberFormat="1" applyFont="1" applyFill="1" applyBorder="1" applyAlignment="1">
      <alignment horizontal="center"/>
    </xf>
    <xf numFmtId="49" fontId="26" fillId="23" borderId="25" xfId="0" applyNumberFormat="1" applyFont="1" applyFill="1" applyBorder="1" applyAlignment="1">
      <alignment horizontal="center"/>
    </xf>
    <xf numFmtId="0" fontId="13" fillId="0" borderId="27" xfId="0" applyFont="1" applyFill="1" applyBorder="1" applyAlignment="1">
      <alignment horizontal="left"/>
    </xf>
    <xf numFmtId="9" fontId="27" fillId="0" borderId="0" xfId="6" applyFont="1"/>
    <xf numFmtId="1" fontId="27" fillId="23" borderId="0" xfId="0" applyNumberFormat="1" applyFont="1" applyFill="1" applyAlignment="1">
      <alignment horizontal="center" vertical="center"/>
    </xf>
    <xf numFmtId="169" fontId="0" fillId="24" borderId="0" xfId="6" applyNumberFormat="1" applyFont="1" applyFill="1" applyAlignment="1">
      <alignment horizontal="center" vertical="center"/>
    </xf>
    <xf numFmtId="168" fontId="13" fillId="23" borderId="0" xfId="0" applyNumberFormat="1" applyFont="1" applyFill="1" applyBorder="1" applyAlignment="1">
      <alignment horizontal="center"/>
    </xf>
    <xf numFmtId="9" fontId="13" fillId="24" borderId="0" xfId="6" applyFont="1" applyFill="1" applyBorder="1" applyAlignment="1">
      <alignment horizontal="center"/>
    </xf>
    <xf numFmtId="168" fontId="13" fillId="24" borderId="0" xfId="0" applyNumberFormat="1" applyFont="1" applyFill="1" applyBorder="1" applyAlignment="1">
      <alignment horizontal="center"/>
    </xf>
    <xf numFmtId="9" fontId="13" fillId="23" borderId="0" xfId="6" applyFont="1" applyFill="1" applyBorder="1" applyAlignment="1">
      <alignment horizontal="center"/>
    </xf>
    <xf numFmtId="9" fontId="3" fillId="24" borderId="0" xfId="6" applyFont="1" applyFill="1" applyAlignment="1">
      <alignment horizontal="center" vertical="center"/>
    </xf>
    <xf numFmtId="0" fontId="27" fillId="0" borderId="0" xfId="0" applyFont="1" applyAlignment="1">
      <alignment horizontal="center" vertical="center"/>
    </xf>
    <xf numFmtId="2" fontId="27" fillId="23" borderId="0" xfId="0" applyNumberFormat="1" applyFont="1" applyFill="1" applyAlignment="1">
      <alignment horizontal="center" vertical="center"/>
    </xf>
    <xf numFmtId="0" fontId="13" fillId="0" borderId="0" xfId="0" applyFont="1"/>
    <xf numFmtId="0" fontId="26" fillId="23" borderId="17" xfId="0" applyFont="1" applyFill="1" applyBorder="1" applyAlignment="1">
      <alignment horizontal="center"/>
    </xf>
    <xf numFmtId="0" fontId="26" fillId="23" borderId="18" xfId="0" applyFont="1" applyFill="1" applyBorder="1" applyAlignment="1">
      <alignment horizontal="center"/>
    </xf>
    <xf numFmtId="0" fontId="26" fillId="23" borderId="19" xfId="0" applyFont="1" applyFill="1" applyBorder="1" applyAlignment="1">
      <alignment horizontal="center"/>
    </xf>
    <xf numFmtId="0" fontId="13" fillId="0" borderId="23" xfId="0" applyFont="1" applyBorder="1" applyAlignment="1">
      <alignment horizontal="center"/>
    </xf>
    <xf numFmtId="38" fontId="13" fillId="0" borderId="2" xfId="0" applyNumberFormat="1" applyFont="1" applyBorder="1" applyAlignment="1">
      <alignment horizontal="center" vertical="center"/>
    </xf>
    <xf numFmtId="9" fontId="13" fillId="0" borderId="2" xfId="0" applyNumberFormat="1" applyFont="1" applyBorder="1" applyAlignment="1">
      <alignment horizontal="center" vertical="center"/>
    </xf>
    <xf numFmtId="166" fontId="13" fillId="0" borderId="24" xfId="0" applyNumberFormat="1" applyFont="1" applyBorder="1" applyAlignment="1">
      <alignment horizontal="center" vertical="center"/>
    </xf>
    <xf numFmtId="0" fontId="13" fillId="0" borderId="20" xfId="0" applyFont="1" applyBorder="1" applyAlignment="1">
      <alignment horizontal="center"/>
    </xf>
    <xf numFmtId="166" fontId="13" fillId="0" borderId="22"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2" xfId="0" applyNumberFormat="1" applyFont="1" applyBorder="1" applyAlignment="1">
      <alignment horizontal="center"/>
    </xf>
    <xf numFmtId="9" fontId="13"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19" fillId="15" borderId="0" xfId="6" applyNumberFormat="1" applyFont="1" applyFill="1" applyBorder="1" applyAlignment="1">
      <alignment horizontal="center" wrapText="1"/>
    </xf>
    <xf numFmtId="10" fontId="19" fillId="15" borderId="3" xfId="6" applyNumberFormat="1" applyFont="1" applyFill="1" applyBorder="1" applyAlignment="1">
      <alignment horizontal="center" wrapText="1"/>
    </xf>
    <xf numFmtId="10" fontId="19" fillId="15" borderId="2" xfId="6" applyNumberFormat="1" applyFont="1" applyFill="1" applyBorder="1" applyAlignment="1">
      <alignment horizontal="center" wrapText="1"/>
    </xf>
    <xf numFmtId="10" fontId="19" fillId="15" borderId="11" xfId="6" applyNumberFormat="1" applyFont="1" applyFill="1" applyBorder="1" applyAlignment="1">
      <alignment horizontal="center" wrapText="1"/>
    </xf>
    <xf numFmtId="9" fontId="16" fillId="13" borderId="0" xfId="6" applyFont="1" applyFill="1" applyBorder="1" applyAlignment="1">
      <alignment wrapText="1"/>
    </xf>
    <xf numFmtId="43" fontId="0" fillId="0" borderId="0" xfId="0" applyNumberFormat="1" applyAlignment="1">
      <alignment horizontal="center" vertical="center"/>
    </xf>
    <xf numFmtId="166" fontId="0" fillId="0" borderId="0" xfId="0" applyNumberFormat="1" applyAlignment="1">
      <alignment horizontal="center" vertical="center"/>
    </xf>
    <xf numFmtId="0" fontId="13" fillId="0" borderId="0" xfId="0" applyFont="1" applyFill="1" applyBorder="1" applyAlignment="1">
      <alignment horizontal="left"/>
    </xf>
    <xf numFmtId="1" fontId="0" fillId="0" borderId="0" xfId="0" applyNumberFormat="1" applyAlignment="1"/>
    <xf numFmtId="0" fontId="31"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1" fontId="0" fillId="0" borderId="0" xfId="0" applyNumberFormat="1" applyAlignment="1">
      <alignment horizontal="center" vertical="center"/>
    </xf>
    <xf numFmtId="169"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0" fontId="32" fillId="0" borderId="0" xfId="0" applyFont="1"/>
    <xf numFmtId="165" fontId="33" fillId="5" borderId="0" xfId="0" applyNumberFormat="1" applyFont="1" applyFill="1" applyBorder="1" applyAlignment="1">
      <alignment horizontal="center"/>
    </xf>
    <xf numFmtId="1" fontId="32" fillId="0" borderId="0" xfId="0" applyNumberFormat="1" applyFont="1" applyAlignment="1">
      <alignment horizontal="center" vertical="center"/>
    </xf>
    <xf numFmtId="168" fontId="32" fillId="0" borderId="0" xfId="0" applyNumberFormat="1" applyFont="1" applyAlignment="1">
      <alignment horizontal="center" vertical="center"/>
    </xf>
    <xf numFmtId="9" fontId="32" fillId="0" borderId="0" xfId="6" applyFont="1" applyAlignment="1">
      <alignment horizontal="center" vertical="center"/>
    </xf>
    <xf numFmtId="9" fontId="34" fillId="0" borderId="0" xfId="6" applyFont="1" applyAlignment="1">
      <alignment horizontal="center" vertical="center"/>
    </xf>
    <xf numFmtId="9" fontId="32" fillId="0" borderId="0" xfId="6" applyFont="1"/>
    <xf numFmtId="9" fontId="35" fillId="0" borderId="0" xfId="6" applyFont="1" applyAlignment="1">
      <alignment horizontal="center" vertical="center"/>
    </xf>
    <xf numFmtId="9" fontId="36" fillId="0" borderId="0" xfId="6" applyFont="1" applyAlignment="1">
      <alignment horizontal="center" vertical="center"/>
    </xf>
    <xf numFmtId="169" fontId="32" fillId="0" borderId="0" xfId="6" applyNumberFormat="1" applyFont="1" applyAlignment="1">
      <alignment horizontal="center" vertical="center"/>
    </xf>
    <xf numFmtId="169" fontId="35" fillId="0" borderId="0" xfId="6" applyNumberFormat="1" applyFont="1" applyAlignment="1">
      <alignment horizontal="center" vertical="center"/>
    </xf>
    <xf numFmtId="0" fontId="38" fillId="0" borderId="0" xfId="0" applyFont="1" applyAlignment="1">
      <alignment vertical="center"/>
    </xf>
    <xf numFmtId="164" fontId="32" fillId="0" borderId="0" xfId="1" applyFont="1" applyBorder="1"/>
    <xf numFmtId="169" fontId="36" fillId="0" borderId="0" xfId="6" applyNumberFormat="1" applyFont="1" applyAlignment="1">
      <alignment horizontal="center" vertical="center"/>
    </xf>
    <xf numFmtId="0" fontId="38" fillId="0" borderId="0" xfId="0" applyFont="1"/>
    <xf numFmtId="168" fontId="35" fillId="0" borderId="0" xfId="0" applyNumberFormat="1" applyFont="1" applyAlignment="1">
      <alignment horizontal="center" vertical="center"/>
    </xf>
    <xf numFmtId="168" fontId="32" fillId="0" borderId="0" xfId="6" applyNumberFormat="1" applyFont="1" applyAlignment="1">
      <alignment horizontal="center" vertical="center"/>
    </xf>
    <xf numFmtId="1" fontId="35" fillId="0" borderId="0" xfId="0" applyNumberFormat="1" applyFont="1" applyAlignment="1">
      <alignment horizontal="center" vertical="center"/>
    </xf>
    <xf numFmtId="1" fontId="36" fillId="0" borderId="0" xfId="0" applyNumberFormat="1" applyFont="1" applyAlignment="1">
      <alignment horizontal="center" vertical="center"/>
    </xf>
    <xf numFmtId="169" fontId="34" fillId="0" borderId="0" xfId="6" applyNumberFormat="1" applyFont="1" applyAlignment="1">
      <alignment horizontal="center" vertical="center"/>
    </xf>
    <xf numFmtId="168" fontId="36" fillId="0" borderId="0" xfId="0" applyNumberFormat="1" applyFont="1" applyAlignment="1">
      <alignment horizontal="center" vertical="center"/>
    </xf>
    <xf numFmtId="168" fontId="36" fillId="0" borderId="0" xfId="6" applyNumberFormat="1" applyFont="1" applyAlignment="1">
      <alignment horizontal="center" vertical="center"/>
    </xf>
    <xf numFmtId="0" fontId="37" fillId="0" borderId="0" xfId="0" applyFont="1" applyAlignment="1">
      <alignment horizontal="left" vertical="center"/>
    </xf>
    <xf numFmtId="2" fontId="32" fillId="0" borderId="0" xfId="6" applyNumberFormat="1" applyFont="1" applyAlignment="1">
      <alignment horizontal="center" vertical="center"/>
    </xf>
    <xf numFmtId="2" fontId="36" fillId="0" borderId="0" xfId="6" applyNumberFormat="1" applyFont="1" applyAlignment="1">
      <alignment horizontal="center" vertical="center"/>
    </xf>
    <xf numFmtId="168" fontId="35" fillId="0" borderId="0" xfId="6" applyNumberFormat="1" applyFont="1" applyAlignment="1">
      <alignment horizontal="center" vertical="center"/>
    </xf>
    <xf numFmtId="0" fontId="39" fillId="0" borderId="0" xfId="0" applyFont="1"/>
    <xf numFmtId="9" fontId="32" fillId="0" borderId="0" xfId="0" applyNumberFormat="1" applyFont="1" applyAlignment="1">
      <alignment horizontal="center" vertical="center"/>
    </xf>
    <xf numFmtId="2" fontId="0" fillId="0" borderId="0" xfId="0" applyNumberFormat="1"/>
    <xf numFmtId="164" fontId="39" fillId="0" borderId="0" xfId="1" applyFont="1" applyBorder="1"/>
    <xf numFmtId="0" fontId="32" fillId="0" borderId="0" xfId="6" applyNumberFormat="1" applyFont="1"/>
    <xf numFmtId="0" fontId="40" fillId="0" borderId="0" xfId="0" applyFont="1" applyAlignment="1">
      <alignment horizontal="left" vertical="center"/>
    </xf>
    <xf numFmtId="167" fontId="0" fillId="0" borderId="0" xfId="0" applyNumberFormat="1"/>
    <xf numFmtId="168" fontId="33" fillId="5" borderId="0" xfId="0" applyNumberFormat="1" applyFont="1" applyFill="1" applyBorder="1" applyAlignment="1">
      <alignment horizontal="center"/>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4" fontId="41" fillId="0" borderId="2" xfId="0" applyNumberFormat="1" applyFont="1" applyFill="1" applyBorder="1" applyAlignment="1">
      <alignment horizontal="right" vertical="center" wrapText="1"/>
    </xf>
    <xf numFmtId="164" fontId="18" fillId="0" borderId="0" xfId="0" applyNumberFormat="1" applyFont="1" applyBorder="1" applyAlignment="1">
      <alignment wrapText="1"/>
    </xf>
    <xf numFmtId="0" fontId="16" fillId="0" borderId="0" xfId="0" applyFont="1" applyBorder="1" applyAlignment="1">
      <alignment wrapText="1"/>
    </xf>
    <xf numFmtId="0" fontId="32" fillId="0" borderId="0" xfId="0" applyFont="1" applyAlignment="1">
      <alignment wrapText="1"/>
    </xf>
    <xf numFmtId="0" fontId="18" fillId="0" borderId="0" xfId="0" applyFont="1" applyBorder="1" applyAlignment="1">
      <alignment wrapText="1"/>
    </xf>
    <xf numFmtId="0" fontId="16" fillId="7" borderId="0" xfId="0" applyFont="1" applyFill="1" applyAlignment="1">
      <alignment wrapText="1"/>
    </xf>
    <xf numFmtId="0" fontId="16" fillId="0" borderId="0" xfId="0" applyFont="1" applyAlignment="1">
      <alignment wrapText="1"/>
    </xf>
    <xf numFmtId="164" fontId="15" fillId="8" borderId="1" xfId="0" applyNumberFormat="1" applyFont="1" applyFill="1" applyBorder="1" applyAlignment="1">
      <alignment horizontal="center" wrapText="1"/>
    </xf>
    <xf numFmtId="14" fontId="15" fillId="8" borderId="1" xfId="0" applyNumberFormat="1" applyFont="1" applyFill="1" applyBorder="1" applyAlignment="1">
      <alignment horizontal="center" wrapText="1"/>
    </xf>
    <xf numFmtId="0" fontId="18" fillId="0" borderId="1" xfId="0" applyFont="1" applyBorder="1" applyAlignment="1">
      <alignment wrapText="1"/>
    </xf>
    <xf numFmtId="0" fontId="16" fillId="0" borderId="1" xfId="0" applyFont="1" applyBorder="1" applyAlignment="1">
      <alignment wrapText="1"/>
    </xf>
    <xf numFmtId="0" fontId="15" fillId="11" borderId="3" xfId="0" applyFont="1" applyFill="1" applyBorder="1" applyAlignment="1">
      <alignment wrapText="1"/>
    </xf>
    <xf numFmtId="14" fontId="15" fillId="8" borderId="3" xfId="0" applyNumberFormat="1" applyFont="1" applyFill="1" applyBorder="1" applyAlignment="1">
      <alignment horizontal="center" wrapText="1"/>
    </xf>
    <xf numFmtId="0" fontId="16" fillId="0" borderId="3" xfId="0" applyFont="1" applyFill="1" applyBorder="1" applyAlignment="1">
      <alignment wrapText="1"/>
    </xf>
    <xf numFmtId="2" fontId="16" fillId="0" borderId="3" xfId="0" applyNumberFormat="1" applyFont="1" applyFill="1" applyBorder="1" applyAlignment="1">
      <alignment wrapText="1"/>
    </xf>
    <xf numFmtId="164" fontId="32" fillId="0" borderId="0" xfId="1" applyFont="1" applyBorder="1" applyAlignment="1">
      <alignment wrapText="1"/>
    </xf>
    <xf numFmtId="2" fontId="16" fillId="0" borderId="3" xfId="0" applyNumberFormat="1" applyFont="1" applyFill="1" applyBorder="1" applyAlignment="1">
      <alignment horizontal="right" wrapText="1"/>
    </xf>
    <xf numFmtId="0" fontId="16" fillId="12" borderId="3" xfId="0" applyFont="1" applyFill="1" applyBorder="1" applyAlignment="1">
      <alignment wrapText="1"/>
    </xf>
    <xf numFmtId="164" fontId="15" fillId="8" borderId="4" xfId="0" applyNumberFormat="1" applyFont="1" applyFill="1" applyBorder="1" applyAlignment="1">
      <alignment horizontal="center" wrapText="1"/>
    </xf>
    <xf numFmtId="14" fontId="15" fillId="8" borderId="4" xfId="0" applyNumberFormat="1" applyFont="1" applyFill="1" applyBorder="1" applyAlignment="1">
      <alignment horizontal="center" wrapText="1"/>
    </xf>
    <xf numFmtId="0" fontId="16" fillId="0" borderId="2" xfId="0" applyFont="1" applyBorder="1" applyAlignment="1">
      <alignment wrapText="1"/>
    </xf>
    <xf numFmtId="164" fontId="16" fillId="0" borderId="2" xfId="0" applyNumberFormat="1" applyFont="1" applyBorder="1" applyAlignment="1">
      <alignment wrapText="1"/>
    </xf>
    <xf numFmtId="43" fontId="16" fillId="0" borderId="2" xfId="0" applyNumberFormat="1" applyFont="1" applyBorder="1" applyAlignment="1">
      <alignment wrapText="1"/>
    </xf>
    <xf numFmtId="0" fontId="16" fillId="7" borderId="5" xfId="0" applyFont="1" applyFill="1" applyBorder="1" applyAlignment="1">
      <alignment wrapText="1"/>
    </xf>
    <xf numFmtId="0" fontId="16" fillId="0" borderId="2" xfId="0" applyFont="1" applyFill="1" applyBorder="1" applyAlignment="1">
      <alignment wrapText="1"/>
    </xf>
    <xf numFmtId="0" fontId="16" fillId="12" borderId="2" xfId="0" applyFont="1" applyFill="1" applyBorder="1" applyAlignment="1">
      <alignment wrapText="1"/>
    </xf>
    <xf numFmtId="0" fontId="16" fillId="13" borderId="2" xfId="0" applyFont="1" applyFill="1" applyBorder="1" applyAlignment="1">
      <alignment wrapText="1"/>
    </xf>
    <xf numFmtId="164" fontId="16" fillId="0" borderId="2" xfId="0" applyNumberFormat="1" applyFont="1" applyFill="1" applyBorder="1" applyAlignment="1">
      <alignment wrapText="1"/>
    </xf>
    <xf numFmtId="2" fontId="16" fillId="0" borderId="2" xfId="0" applyNumberFormat="1" applyFont="1" applyBorder="1" applyAlignment="1">
      <alignment wrapText="1"/>
    </xf>
    <xf numFmtId="9" fontId="23" fillId="0" borderId="2" xfId="6" applyFont="1" applyBorder="1" applyAlignment="1">
      <alignment wrapText="1"/>
    </xf>
    <xf numFmtId="0" fontId="16" fillId="0" borderId="3" xfId="0" applyFont="1" applyFill="1" applyBorder="1" applyAlignment="1">
      <alignment horizontal="left" wrapText="1"/>
    </xf>
    <xf numFmtId="0" fontId="16" fillId="0" borderId="3" xfId="0" applyFont="1" applyBorder="1" applyAlignment="1">
      <alignment wrapText="1"/>
    </xf>
    <xf numFmtId="2" fontId="16" fillId="0" borderId="2" xfId="0" applyNumberFormat="1" applyFont="1" applyFill="1" applyBorder="1" applyAlignment="1">
      <alignment horizontal="center" vertical="center" wrapText="1"/>
    </xf>
    <xf numFmtId="0" fontId="16" fillId="0" borderId="0" xfId="0" applyFont="1" applyFill="1" applyBorder="1" applyAlignment="1">
      <alignment wrapText="1"/>
    </xf>
    <xf numFmtId="2" fontId="16" fillId="0" borderId="2" xfId="0" applyNumberFormat="1" applyFont="1" applyBorder="1" applyAlignment="1">
      <alignment horizontal="center" vertical="center" wrapText="1"/>
    </xf>
    <xf numFmtId="10" fontId="16" fillId="0" borderId="2" xfId="0" applyNumberFormat="1" applyFont="1" applyBorder="1" applyAlignment="1">
      <alignment wrapText="1"/>
    </xf>
    <xf numFmtId="166" fontId="16" fillId="0" borderId="0" xfId="0" applyNumberFormat="1" applyFont="1" applyBorder="1" applyAlignment="1">
      <alignment wrapText="1"/>
    </xf>
    <xf numFmtId="0" fontId="16" fillId="13" borderId="0" xfId="0" applyFont="1" applyFill="1" applyBorder="1" applyAlignment="1">
      <alignment wrapText="1"/>
    </xf>
    <xf numFmtId="0" fontId="16" fillId="12" borderId="0" xfId="0" applyFont="1" applyFill="1" applyBorder="1" applyAlignment="1">
      <alignment wrapText="1"/>
    </xf>
    <xf numFmtId="1" fontId="16" fillId="0" borderId="0" xfId="0" applyNumberFormat="1" applyFont="1" applyBorder="1" applyAlignment="1">
      <alignment wrapText="1"/>
    </xf>
    <xf numFmtId="170" fontId="16" fillId="0" borderId="0" xfId="0" applyNumberFormat="1" applyFont="1" applyBorder="1" applyAlignment="1">
      <alignment horizontal="center" vertical="center" wrapText="1"/>
    </xf>
    <xf numFmtId="170" fontId="16" fillId="0" borderId="2" xfId="0" applyNumberFormat="1" applyFont="1" applyBorder="1" applyAlignment="1">
      <alignment wrapText="1"/>
    </xf>
    <xf numFmtId="9" fontId="32" fillId="0" borderId="0" xfId="6" applyNumberFormat="1" applyFont="1" applyAlignment="1">
      <alignment horizontal="center" vertical="center"/>
    </xf>
    <xf numFmtId="9" fontId="32" fillId="0" borderId="0" xfId="6" applyFont="1" applyAlignment="1">
      <alignment horizontal="center"/>
    </xf>
    <xf numFmtId="9" fontId="0" fillId="0" borderId="0" xfId="6" applyFont="1" applyBorder="1"/>
    <xf numFmtId="172" fontId="0" fillId="0" borderId="0" xfId="1" applyNumberFormat="1" applyFont="1" applyBorder="1"/>
    <xf numFmtId="1" fontId="16" fillId="0" borderId="2" xfId="0" applyNumberFormat="1" applyFont="1" applyBorder="1" applyAlignment="1">
      <alignment wrapText="1"/>
    </xf>
    <xf numFmtId="168" fontId="0" fillId="0" borderId="0" xfId="6" applyNumberFormat="1" applyFont="1" applyBorder="1"/>
    <xf numFmtId="168" fontId="0" fillId="0" borderId="0" xfId="6" applyNumberFormat="1" applyFont="1" applyBorder="1" applyAlignment="1">
      <alignment horizontal="center" vertical="center"/>
    </xf>
    <xf numFmtId="9" fontId="0" fillId="0" borderId="0" xfId="6" applyFont="1" applyBorder="1" applyAlignment="1">
      <alignment horizontal="center" vertical="center"/>
    </xf>
    <xf numFmtId="168" fontId="0" fillId="0" borderId="0" xfId="1" applyNumberFormat="1" applyFont="1" applyBorder="1" applyAlignment="1">
      <alignment horizontal="center" vertical="center"/>
    </xf>
    <xf numFmtId="168" fontId="32" fillId="0" borderId="0" xfId="0" applyNumberFormat="1" applyFont="1" applyAlignment="1">
      <alignment horizontal="center"/>
    </xf>
    <xf numFmtId="168" fontId="32" fillId="0" borderId="0" xfId="6" applyNumberFormat="1" applyFont="1" applyAlignment="1">
      <alignment horizontal="center"/>
    </xf>
    <xf numFmtId="0" fontId="32" fillId="0" borderId="0" xfId="0" applyFont="1" applyAlignment="1">
      <alignment horizontal="left" vertical="center"/>
    </xf>
    <xf numFmtId="0" fontId="42" fillId="0" borderId="0" xfId="0" applyFont="1" applyAlignment="1">
      <alignment horizontal="left" vertical="center"/>
    </xf>
    <xf numFmtId="0" fontId="29" fillId="0" borderId="0" xfId="0" applyFont="1" applyAlignment="1">
      <alignment wrapText="1"/>
    </xf>
    <xf numFmtId="167" fontId="29" fillId="0" borderId="0" xfId="0" applyNumberFormat="1" applyFont="1"/>
    <xf numFmtId="0" fontId="29" fillId="0" borderId="0" xfId="0" applyFont="1"/>
    <xf numFmtId="0" fontId="29"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wrapText="1"/>
    </xf>
    <xf numFmtId="9" fontId="27" fillId="0" borderId="0" xfId="6" applyFont="1" applyAlignment="1">
      <alignment horizontal="center" vertical="center"/>
    </xf>
    <xf numFmtId="0" fontId="43" fillId="0" borderId="0" xfId="0" applyFont="1" applyFill="1" applyAlignment="1">
      <alignment horizontal="left" vertical="center"/>
    </xf>
    <xf numFmtId="167" fontId="29" fillId="0" borderId="0" xfId="0" applyNumberFormat="1" applyFont="1" applyAlignment="1">
      <alignment horizontal="center" vertical="center"/>
    </xf>
    <xf numFmtId="9" fontId="27" fillId="0" borderId="0" xfId="0" applyNumberFormat="1" applyFont="1"/>
    <xf numFmtId="164" fontId="27" fillId="0" borderId="0" xfId="6" applyNumberFormat="1" applyFont="1" applyAlignment="1">
      <alignment horizontal="center" vertical="center"/>
    </xf>
    <xf numFmtId="2" fontId="27" fillId="0" borderId="0" xfId="6" applyNumberFormat="1" applyFont="1" applyAlignment="1">
      <alignment horizontal="center" vertical="center"/>
    </xf>
    <xf numFmtId="10" fontId="27" fillId="0" borderId="0" xfId="6" applyNumberFormat="1" applyFont="1" applyAlignment="1">
      <alignment horizontal="center" vertical="center"/>
    </xf>
    <xf numFmtId="167" fontId="29" fillId="0" borderId="0" xfId="6" applyNumberFormat="1" applyFont="1" applyAlignment="1">
      <alignment horizontal="center" vertical="center"/>
    </xf>
    <xf numFmtId="1" fontId="27" fillId="0" borderId="0" xfId="6" applyNumberFormat="1" applyFont="1" applyAlignment="1">
      <alignment horizontal="center" vertical="center"/>
    </xf>
    <xf numFmtId="1" fontId="27" fillId="13" borderId="0" xfId="6" applyNumberFormat="1" applyFont="1" applyFill="1" applyAlignment="1">
      <alignment horizontal="center" vertical="center"/>
    </xf>
    <xf numFmtId="0" fontId="27" fillId="0" borderId="0" xfId="0" applyFont="1" applyFill="1" applyAlignment="1">
      <alignment horizontal="center" vertical="center"/>
    </xf>
    <xf numFmtId="164" fontId="27" fillId="0" borderId="0" xfId="0" applyNumberFormat="1" applyFont="1" applyFill="1" applyAlignment="1">
      <alignment horizontal="center" vertical="center"/>
    </xf>
    <xf numFmtId="0" fontId="27" fillId="0" borderId="0" xfId="0" applyFont="1" applyAlignment="1">
      <alignment wrapText="1"/>
    </xf>
    <xf numFmtId="0" fontId="27" fillId="0" borderId="0" xfId="0" applyFont="1" applyFill="1" applyAlignment="1">
      <alignment horizontal="center"/>
    </xf>
    <xf numFmtId="164" fontId="27" fillId="0" borderId="0" xfId="0" applyNumberFormat="1" applyFont="1" applyFill="1" applyAlignment="1">
      <alignment horizontal="center"/>
    </xf>
    <xf numFmtId="1" fontId="27" fillId="0" borderId="0" xfId="0" applyNumberFormat="1" applyFont="1" applyFill="1" applyAlignment="1">
      <alignment horizontal="center" vertical="center"/>
    </xf>
    <xf numFmtId="168" fontId="27" fillId="0" borderId="0" xfId="0" applyNumberFormat="1" applyFont="1" applyFill="1" applyAlignment="1">
      <alignment horizontal="center" vertical="center"/>
    </xf>
    <xf numFmtId="168" fontId="27" fillId="0" borderId="0" xfId="6" applyNumberFormat="1" applyFont="1" applyAlignment="1">
      <alignment horizontal="center" vertical="center"/>
    </xf>
    <xf numFmtId="168" fontId="27" fillId="0" borderId="0" xfId="0" applyNumberFormat="1" applyFont="1"/>
    <xf numFmtId="9" fontId="27" fillId="0" borderId="0" xfId="6" applyFont="1" applyFill="1" applyAlignment="1">
      <alignment horizontal="center" vertical="center"/>
    </xf>
    <xf numFmtId="2" fontId="27" fillId="0" borderId="0" xfId="6" applyNumberFormat="1" applyFont="1" applyFill="1" applyAlignment="1">
      <alignment horizontal="center" vertical="center"/>
    </xf>
    <xf numFmtId="9" fontId="29" fillId="0" borderId="0" xfId="6" applyFont="1" applyAlignment="1">
      <alignment horizontal="center" vertical="center"/>
    </xf>
    <xf numFmtId="169" fontId="27" fillId="0" borderId="0" xfId="6" applyNumberFormat="1" applyFont="1" applyAlignment="1">
      <alignment horizontal="center" vertical="center"/>
    </xf>
    <xf numFmtId="0" fontId="44" fillId="0" borderId="0" xfId="0" applyFont="1" applyAlignment="1">
      <alignment wrapText="1"/>
    </xf>
    <xf numFmtId="2" fontId="27" fillId="0" borderId="0" xfId="0" applyNumberFormat="1" applyFont="1" applyAlignment="1">
      <alignment horizontal="center" vertical="center"/>
    </xf>
    <xf numFmtId="168" fontId="27" fillId="0" borderId="0" xfId="0" applyNumberFormat="1" applyFont="1" applyAlignment="1">
      <alignment horizontal="center" vertical="center"/>
    </xf>
    <xf numFmtId="164" fontId="27" fillId="0" borderId="0" xfId="0" applyNumberFormat="1" applyFont="1"/>
    <xf numFmtId="2" fontId="27" fillId="0" borderId="0" xfId="6" applyNumberFormat="1" applyFont="1"/>
    <xf numFmtId="0" fontId="27" fillId="0" borderId="0" xfId="0" applyFont="1" applyAlignment="1">
      <alignment horizontal="left" vertical="center"/>
    </xf>
    <xf numFmtId="1" fontId="27" fillId="0" borderId="0" xfId="0" applyNumberFormat="1" applyFont="1" applyAlignment="1">
      <alignment horizontal="center" vertical="center"/>
    </xf>
    <xf numFmtId="0" fontId="44" fillId="0" borderId="0" xfId="0" applyFont="1" applyAlignment="1">
      <alignment horizontal="left" vertical="center"/>
    </xf>
    <xf numFmtId="165" fontId="2" fillId="5" borderId="0" xfId="0" applyNumberFormat="1" applyFont="1" applyFill="1" applyBorder="1" applyAlignment="1">
      <alignment horizontal="center" vertical="center"/>
    </xf>
    <xf numFmtId="164" fontId="3" fillId="0" borderId="0" xfId="1" applyFont="1" applyBorder="1" applyAlignment="1">
      <alignment horizontal="center" vertical="center"/>
    </xf>
    <xf numFmtId="164" fontId="0" fillId="0" borderId="0" xfId="1" applyFont="1" applyBorder="1" applyAlignment="1">
      <alignment horizontal="center" vertical="center"/>
    </xf>
    <xf numFmtId="164" fontId="1" fillId="0" borderId="0" xfId="1" applyFont="1" applyBorder="1" applyAlignment="1">
      <alignment horizontal="center" vertical="center"/>
    </xf>
    <xf numFmtId="168" fontId="32" fillId="26" borderId="0" xfId="0" applyNumberFormat="1" applyFont="1" applyFill="1" applyAlignment="1">
      <alignment horizontal="center" vertical="center"/>
    </xf>
    <xf numFmtId="2" fontId="33" fillId="5" borderId="0" xfId="0" applyNumberFormat="1" applyFont="1" applyFill="1" applyBorder="1" applyAlignment="1">
      <alignment horizontal="center"/>
    </xf>
    <xf numFmtId="9" fontId="32" fillId="27" borderId="0" xfId="6" applyFont="1" applyFill="1" applyAlignment="1">
      <alignment horizontal="center" vertical="center"/>
    </xf>
    <xf numFmtId="169" fontId="34" fillId="13" borderId="0" xfId="6" applyNumberFormat="1" applyFont="1" applyFill="1" applyAlignment="1">
      <alignment horizontal="center" vertical="center"/>
    </xf>
    <xf numFmtId="168" fontId="36" fillId="13" borderId="0" xfId="0" applyNumberFormat="1" applyFont="1" applyFill="1" applyAlignment="1">
      <alignment horizontal="center" vertical="center"/>
    </xf>
    <xf numFmtId="168" fontId="32" fillId="13" borderId="0" xfId="0" applyNumberFormat="1" applyFont="1" applyFill="1" applyAlignment="1">
      <alignment horizontal="center" vertical="center"/>
    </xf>
    <xf numFmtId="9" fontId="32" fillId="13" borderId="0" xfId="6" applyFont="1" applyFill="1" applyAlignment="1">
      <alignment horizontal="center" vertical="center"/>
    </xf>
    <xf numFmtId="9" fontId="32" fillId="12" borderId="0" xfId="6" applyFont="1" applyFill="1" applyAlignment="1">
      <alignment horizontal="center" vertical="center"/>
    </xf>
    <xf numFmtId="168" fontId="32" fillId="12" borderId="0" xfId="0" applyNumberFormat="1" applyFont="1" applyFill="1" applyAlignment="1">
      <alignment horizontal="center" vertical="center"/>
    </xf>
    <xf numFmtId="0" fontId="1" fillId="0" borderId="0" xfId="0" applyFont="1"/>
    <xf numFmtId="0" fontId="45" fillId="29" borderId="29" xfId="0" applyFont="1" applyFill="1" applyBorder="1"/>
    <xf numFmtId="0" fontId="0" fillId="0" borderId="30" xfId="0" applyBorder="1"/>
    <xf numFmtId="0" fontId="0" fillId="0" borderId="31" xfId="0" applyBorder="1"/>
    <xf numFmtId="0" fontId="1" fillId="0" borderId="32" xfId="0" applyFont="1" applyBorder="1"/>
    <xf numFmtId="0" fontId="0" fillId="22" borderId="0" xfId="0" applyFill="1" applyBorder="1" applyAlignment="1">
      <alignment horizontal="center" vertical="center"/>
    </xf>
    <xf numFmtId="0" fontId="0" fillId="22" borderId="33" xfId="0" applyFill="1" applyBorder="1" applyAlignment="1">
      <alignment horizontal="center" vertical="center"/>
    </xf>
    <xf numFmtId="0" fontId="1" fillId="0" borderId="34" xfId="0" applyFont="1" applyBorder="1"/>
    <xf numFmtId="0" fontId="0" fillId="0" borderId="28" xfId="0" applyBorder="1"/>
    <xf numFmtId="0" fontId="0" fillId="22" borderId="28" xfId="0" applyFill="1" applyBorder="1" applyAlignment="1">
      <alignment horizontal="center" vertical="center"/>
    </xf>
    <xf numFmtId="0" fontId="0" fillId="22" borderId="35" xfId="0" applyFill="1" applyBorder="1" applyAlignment="1">
      <alignment horizontal="center" vertical="center"/>
    </xf>
    <xf numFmtId="0" fontId="45" fillId="28" borderId="29" xfId="0" applyFont="1" applyFill="1" applyBorder="1"/>
    <xf numFmtId="169" fontId="46" fillId="28" borderId="0" xfId="6" applyNumberFormat="1" applyFont="1" applyFill="1" applyBorder="1" applyAlignment="1">
      <alignment horizontal="center" vertical="center"/>
    </xf>
    <xf numFmtId="0" fontId="0" fillId="0" borderId="33" xfId="0" applyBorder="1"/>
    <xf numFmtId="169" fontId="0" fillId="28" borderId="0" xfId="6" applyNumberFormat="1" applyFont="1" applyFill="1" applyBorder="1" applyAlignment="1">
      <alignment horizontal="center" vertical="center"/>
    </xf>
    <xf numFmtId="0" fontId="0" fillId="0" borderId="32" xfId="0" applyBorder="1"/>
    <xf numFmtId="0" fontId="1" fillId="0" borderId="0" xfId="0" applyFont="1" applyBorder="1" applyAlignment="1">
      <alignment horizontal="center" vertical="center"/>
    </xf>
    <xf numFmtId="0" fontId="1" fillId="0" borderId="33" xfId="0" applyFont="1" applyBorder="1" applyAlignment="1">
      <alignment horizontal="center" vertical="center"/>
    </xf>
    <xf numFmtId="1" fontId="0" fillId="28" borderId="0" xfId="0" applyNumberFormat="1" applyFill="1" applyBorder="1" applyAlignment="1">
      <alignment horizontal="center" vertical="center"/>
    </xf>
    <xf numFmtId="1" fontId="0" fillId="28" borderId="33" xfId="0" applyNumberFormat="1" applyFill="1" applyBorder="1" applyAlignment="1">
      <alignment horizontal="center" vertical="center"/>
    </xf>
    <xf numFmtId="0" fontId="1" fillId="23" borderId="29" xfId="0" applyFont="1" applyFill="1" applyBorder="1" applyAlignment="1">
      <alignment horizontal="center" vertical="center"/>
    </xf>
    <xf numFmtId="0" fontId="1" fillId="23" borderId="30" xfId="0" applyFont="1" applyFill="1" applyBorder="1" applyAlignment="1">
      <alignment horizontal="center" vertical="center"/>
    </xf>
    <xf numFmtId="0" fontId="1" fillId="23" borderId="31" xfId="0" applyFont="1" applyFill="1" applyBorder="1" applyAlignment="1">
      <alignment horizontal="center" vertical="center"/>
    </xf>
    <xf numFmtId="0" fontId="45" fillId="0" borderId="32" xfId="0" applyFont="1" applyBorder="1"/>
    <xf numFmtId="1" fontId="0" fillId="0" borderId="0" xfId="0" applyNumberFormat="1" applyBorder="1"/>
    <xf numFmtId="1" fontId="0" fillId="0" borderId="0" xfId="0" applyNumberFormat="1" applyBorder="1" applyAlignment="1">
      <alignment horizontal="center" vertical="center"/>
    </xf>
    <xf numFmtId="1" fontId="0" fillId="0" borderId="33" xfId="0" applyNumberFormat="1" applyBorder="1" applyAlignment="1">
      <alignment horizontal="center" vertical="center"/>
    </xf>
    <xf numFmtId="169" fontId="0" fillId="0" borderId="0" xfId="6" applyNumberFormat="1" applyFont="1" applyBorder="1"/>
    <xf numFmtId="1" fontId="0" fillId="0" borderId="33" xfId="0" applyNumberFormat="1" applyBorder="1"/>
    <xf numFmtId="0" fontId="0" fillId="0" borderId="34" xfId="0" applyBorder="1"/>
    <xf numFmtId="1" fontId="0" fillId="0" borderId="28" xfId="0" applyNumberFormat="1" applyBorder="1" applyAlignment="1">
      <alignment horizontal="center" vertical="center"/>
    </xf>
    <xf numFmtId="1" fontId="0" fillId="0" borderId="35" xfId="0" applyNumberFormat="1" applyBorder="1" applyAlignment="1">
      <alignment horizontal="center" vertical="center"/>
    </xf>
    <xf numFmtId="168" fontId="0" fillId="0" borderId="0" xfId="0" applyNumberFormat="1" applyBorder="1" applyAlignment="1">
      <alignment horizontal="center" vertical="center"/>
    </xf>
    <xf numFmtId="0" fontId="0" fillId="13" borderId="0" xfId="0" applyFill="1" applyBorder="1"/>
    <xf numFmtId="1" fontId="0" fillId="13" borderId="0" xfId="0" applyNumberFormat="1" applyFill="1" applyBorder="1" applyAlignment="1">
      <alignment horizontal="center" vertical="center"/>
    </xf>
    <xf numFmtId="1" fontId="0" fillId="13" borderId="33" xfId="0" applyNumberFormat="1" applyFill="1" applyBorder="1" applyAlignment="1">
      <alignment horizontal="center" vertical="center"/>
    </xf>
    <xf numFmtId="168" fontId="0" fillId="13" borderId="0" xfId="0" applyNumberFormat="1" applyFill="1" applyBorder="1" applyAlignment="1">
      <alignment horizontal="center" vertical="center"/>
    </xf>
    <xf numFmtId="168" fontId="0" fillId="13" borderId="33" xfId="0" applyNumberFormat="1" applyFill="1" applyBorder="1" applyAlignment="1">
      <alignment horizontal="center" vertical="center"/>
    </xf>
    <xf numFmtId="169" fontId="0" fillId="13" borderId="28" xfId="6" applyNumberFormat="1" applyFont="1" applyFill="1" applyBorder="1" applyAlignment="1">
      <alignment horizontal="center" vertical="center"/>
    </xf>
    <xf numFmtId="0" fontId="0" fillId="26" borderId="0" xfId="0" applyFill="1" applyBorder="1"/>
    <xf numFmtId="9" fontId="0" fillId="26" borderId="0" xfId="6" applyFont="1" applyFill="1" applyBorder="1"/>
    <xf numFmtId="9" fontId="0" fillId="26" borderId="0" xfId="0" applyNumberFormat="1" applyFill="1" applyBorder="1"/>
    <xf numFmtId="9" fontId="0" fillId="26" borderId="33" xfId="0" applyNumberFormat="1" applyFill="1" applyBorder="1"/>
    <xf numFmtId="0" fontId="0" fillId="26" borderId="33" xfId="0" applyFill="1" applyBorder="1"/>
    <xf numFmtId="169" fontId="0" fillId="0" borderId="0" xfId="0" applyNumberFormat="1" applyBorder="1"/>
    <xf numFmtId="169" fontId="0" fillId="0" borderId="33" xfId="0" applyNumberFormat="1" applyBorder="1"/>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6" fillId="9" borderId="5" xfId="0" applyFont="1" applyFill="1" applyBorder="1" applyAlignment="1">
      <alignment wrapText="1"/>
    </xf>
    <xf numFmtId="0" fontId="16" fillId="9" borderId="4" xfId="0" applyFont="1" applyFill="1" applyBorder="1" applyAlignment="1">
      <alignment wrapText="1"/>
    </xf>
    <xf numFmtId="0" fontId="15" fillId="6" borderId="0" xfId="0" applyFont="1" applyFill="1" applyBorder="1" applyAlignment="1">
      <alignment horizontal="center" wrapText="1"/>
    </xf>
    <xf numFmtId="0" fontId="16" fillId="9" borderId="1" xfId="0" applyFont="1" applyFill="1" applyBorder="1" applyAlignment="1">
      <alignment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9" borderId="9" xfId="0" applyFont="1" applyFill="1" applyBorder="1" applyAlignment="1">
      <alignment wrapText="1"/>
    </xf>
    <xf numFmtId="169" fontId="15" fillId="17" borderId="14" xfId="7" applyNumberFormat="1" applyFont="1" applyFill="1" applyBorder="1" applyAlignment="1">
      <alignment horizontal="center" vertical="center" wrapText="1"/>
    </xf>
    <xf numFmtId="169" fontId="15" fillId="17" borderId="15" xfId="7" applyNumberFormat="1" applyFont="1" applyFill="1" applyBorder="1" applyAlignment="1">
      <alignment horizontal="center" vertical="center" wrapText="1"/>
    </xf>
    <xf numFmtId="169" fontId="15" fillId="17" borderId="16" xfId="7" applyNumberFormat="1" applyFont="1" applyFill="1" applyBorder="1" applyAlignment="1">
      <alignment horizontal="center" vertical="center" wrapText="1"/>
    </xf>
    <xf numFmtId="0" fontId="15" fillId="8" borderId="2" xfId="7" applyFont="1" applyFill="1" applyBorder="1" applyAlignment="1">
      <alignment horizontal="center" vertical="center" wrapText="1"/>
    </xf>
    <xf numFmtId="0" fontId="16" fillId="0" borderId="13" xfId="7" applyFont="1" applyBorder="1" applyAlignment="1">
      <alignment horizontal="center" wrapText="1"/>
    </xf>
    <xf numFmtId="0" fontId="16" fillId="9" borderId="1" xfId="7" applyFont="1" applyFill="1" applyBorder="1" applyAlignment="1">
      <alignment horizontal="right" wrapText="1"/>
    </xf>
    <xf numFmtId="0" fontId="29" fillId="0" borderId="0" xfId="0" applyFont="1" applyAlignment="1">
      <alignment horizontal="left" vertical="center"/>
    </xf>
    <xf numFmtId="0" fontId="29" fillId="22" borderId="28" xfId="0" applyFont="1" applyFill="1" applyBorder="1" applyAlignment="1">
      <alignment horizontal="center"/>
    </xf>
    <xf numFmtId="0" fontId="26" fillId="22" borderId="17" xfId="0" applyFont="1" applyFill="1" applyBorder="1" applyAlignment="1">
      <alignment horizontal="center" vertical="center"/>
    </xf>
    <xf numFmtId="0" fontId="26" fillId="22" borderId="18" xfId="0" applyFont="1" applyFill="1" applyBorder="1" applyAlignment="1">
      <alignment horizontal="center" vertical="center"/>
    </xf>
    <xf numFmtId="0" fontId="26" fillId="22" borderId="19" xfId="0" applyFont="1" applyFill="1" applyBorder="1" applyAlignment="1">
      <alignment horizontal="center" vertical="center"/>
    </xf>
    <xf numFmtId="0" fontId="26" fillId="22" borderId="20" xfId="0" applyFont="1" applyFill="1" applyBorder="1" applyAlignment="1">
      <alignment horizontal="center" vertical="center"/>
    </xf>
    <xf numFmtId="0" fontId="26" fillId="22" borderId="21" xfId="0" applyFont="1" applyFill="1" applyBorder="1" applyAlignment="1">
      <alignment horizontal="center" vertical="center"/>
    </xf>
    <xf numFmtId="0" fontId="26" fillId="22" borderId="22" xfId="0" applyFont="1" applyFill="1" applyBorder="1" applyAlignment="1">
      <alignment horizontal="center" vertical="center"/>
    </xf>
    <xf numFmtId="0" fontId="28" fillId="0" borderId="0" xfId="0" applyFont="1" applyBorder="1" applyAlignment="1">
      <alignment horizontal="center"/>
    </xf>
    <xf numFmtId="0" fontId="26" fillId="23" borderId="17" xfId="0" applyFont="1" applyFill="1" applyBorder="1" applyAlignment="1">
      <alignment horizontal="center"/>
    </xf>
    <xf numFmtId="0" fontId="26" fillId="23" borderId="19" xfId="0" applyFont="1" applyFill="1" applyBorder="1" applyAlignment="1">
      <alignment horizont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inden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indent="0" relativeIndent="0" justifyLastLine="0" shrinkToFit="0" readingOrder="0"/>
    </dxf>
  </dxfs>
  <tableStyles count="0" defaultTableStyle="TableStyleMedium9" defaultPivotStyle="PivotStyleLight16"/>
  <colors>
    <mruColors>
      <color rgb="FF99FF99"/>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v>0</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screener.in/exce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creener.i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S42"/>
  <sheetViews>
    <sheetView tabSelected="1" zoomScale="80" zoomScaleNormal="80" workbookViewId="0">
      <selection activeCell="J13" sqref="J13"/>
    </sheetView>
  </sheetViews>
  <sheetFormatPr defaultRowHeight="15"/>
  <cols>
    <col min="1" max="1" width="8.7109375" customWidth="1"/>
    <col min="2" max="2" width="26.85546875" customWidth="1"/>
    <col min="5" max="5" width="12.85546875" customWidth="1"/>
    <col min="6" max="6" width="9.85546875" customWidth="1"/>
    <col min="7" max="7" width="10.42578125" bestFit="1" customWidth="1"/>
    <col min="8" max="8" width="11.42578125" customWidth="1"/>
    <col min="9" max="9" width="12.7109375" customWidth="1"/>
    <col min="10" max="10" width="12.42578125" customWidth="1"/>
    <col min="11" max="11" width="13.5703125" customWidth="1"/>
    <col min="13" max="13" width="22.85546875" customWidth="1"/>
  </cols>
  <sheetData>
    <row r="1" spans="2:19" ht="15.75" thickBot="1"/>
    <row r="2" spans="2:19">
      <c r="B2" s="389" t="s">
        <v>976</v>
      </c>
      <c r="C2" s="390"/>
      <c r="D2" s="390"/>
      <c r="E2" s="390"/>
      <c r="F2" s="390"/>
      <c r="G2" s="390"/>
      <c r="H2" s="390"/>
      <c r="I2" s="390"/>
      <c r="J2" s="390"/>
      <c r="K2" s="391"/>
      <c r="M2" s="399" t="s">
        <v>977</v>
      </c>
      <c r="N2" s="390"/>
      <c r="O2" s="390"/>
      <c r="P2" s="391"/>
    </row>
    <row r="3" spans="2:19">
      <c r="B3" s="392" t="s">
        <v>933</v>
      </c>
      <c r="C3" s="11"/>
      <c r="D3" s="11"/>
      <c r="E3" s="11"/>
      <c r="F3" s="11"/>
      <c r="G3" s="11"/>
      <c r="H3" s="11"/>
      <c r="I3" s="393">
        <v>1</v>
      </c>
      <c r="J3" s="393">
        <v>1</v>
      </c>
      <c r="K3" s="394">
        <v>1</v>
      </c>
      <c r="M3" s="392" t="s">
        <v>968</v>
      </c>
      <c r="N3" s="400">
        <f>(K34/H34)^(1/(3-1))-1</f>
        <v>0.13610911930914105</v>
      </c>
      <c r="O3" s="11"/>
      <c r="P3" s="401"/>
    </row>
    <row r="4" spans="2:19">
      <c r="B4" s="392" t="s">
        <v>934</v>
      </c>
      <c r="C4" s="11"/>
      <c r="D4" s="11"/>
      <c r="E4" s="11"/>
      <c r="F4" s="11"/>
      <c r="G4" s="11"/>
      <c r="H4" s="11"/>
      <c r="I4" s="393">
        <v>1</v>
      </c>
      <c r="J4" s="393">
        <v>1</v>
      </c>
      <c r="K4" s="394">
        <v>1</v>
      </c>
      <c r="M4" s="392" t="s">
        <v>966</v>
      </c>
      <c r="N4" s="402">
        <f>(K35/H35)^(1/(3-1))-1</f>
        <v>0.19557024257698719</v>
      </c>
      <c r="O4" s="11"/>
      <c r="P4" s="401"/>
    </row>
    <row r="5" spans="2:19">
      <c r="B5" s="392" t="s">
        <v>937</v>
      </c>
      <c r="C5" s="11"/>
      <c r="D5" s="11"/>
      <c r="E5" s="11"/>
      <c r="F5" s="11"/>
      <c r="G5" s="11"/>
      <c r="H5" s="11"/>
      <c r="I5" s="393">
        <v>1</v>
      </c>
      <c r="J5" s="393">
        <v>1</v>
      </c>
      <c r="K5" s="394">
        <v>1</v>
      </c>
      <c r="M5" s="403"/>
      <c r="N5" s="11"/>
      <c r="O5" s="11"/>
      <c r="P5" s="401"/>
    </row>
    <row r="6" spans="2:19">
      <c r="B6" s="392" t="s">
        <v>967</v>
      </c>
      <c r="C6" s="11"/>
      <c r="D6" s="11"/>
      <c r="E6" s="11"/>
      <c r="F6" s="11"/>
      <c r="G6" s="11"/>
      <c r="H6" s="11"/>
      <c r="I6" s="393">
        <v>1.1000000000000001</v>
      </c>
      <c r="J6" s="393">
        <v>1.1000000000000001</v>
      </c>
      <c r="K6" s="394">
        <v>1.1000000000000001</v>
      </c>
      <c r="M6" s="403"/>
      <c r="N6" s="404" t="s">
        <v>972</v>
      </c>
      <c r="O6" s="404" t="s">
        <v>973</v>
      </c>
      <c r="P6" s="405" t="s">
        <v>974</v>
      </c>
    </row>
    <row r="7" spans="2:19">
      <c r="B7" s="392" t="s">
        <v>969</v>
      </c>
      <c r="C7" s="11"/>
      <c r="D7" s="11"/>
      <c r="E7" s="11"/>
      <c r="F7" s="11"/>
      <c r="G7" s="11"/>
      <c r="H7" s="11"/>
      <c r="I7" s="393"/>
      <c r="J7" s="393"/>
      <c r="K7" s="394">
        <v>10</v>
      </c>
      <c r="M7" s="392" t="s">
        <v>117</v>
      </c>
      <c r="N7" s="406">
        <f>$K$35*K7</f>
        <v>871.92680501071368</v>
      </c>
      <c r="O7" s="406">
        <f>$K$35*K8</f>
        <v>1133.5048465139278</v>
      </c>
      <c r="P7" s="407">
        <f>$K$35*K9</f>
        <v>1395.0828880171418</v>
      </c>
    </row>
    <row r="8" spans="2:19" ht="15.75" thickBot="1">
      <c r="B8" s="392" t="s">
        <v>970</v>
      </c>
      <c r="C8" s="11"/>
      <c r="D8" s="11"/>
      <c r="E8" s="11"/>
      <c r="F8" s="11"/>
      <c r="G8" s="11"/>
      <c r="H8" s="11"/>
      <c r="I8" s="393"/>
      <c r="J8" s="393"/>
      <c r="K8" s="394">
        <v>13</v>
      </c>
      <c r="M8" s="395" t="s">
        <v>975</v>
      </c>
      <c r="N8" s="426">
        <f>(N7/'Data Sheet'!$B$9)^(1/(3.5-1))-1</f>
        <v>7.8715970728338025E-2</v>
      </c>
      <c r="O8" s="426">
        <f>(O7/'Data Sheet'!$B$9)^(1/(3.5-1))-1</f>
        <v>0.19807622387651236</v>
      </c>
      <c r="P8" s="426">
        <f>(P7/'Data Sheet'!$B$9)^(1/(3.5-1))-1</f>
        <v>0.30183247688445647</v>
      </c>
    </row>
    <row r="9" spans="2:19" ht="15.75" thickBot="1">
      <c r="B9" s="395" t="s">
        <v>971</v>
      </c>
      <c r="C9" s="396"/>
      <c r="D9" s="396"/>
      <c r="E9" s="396"/>
      <c r="F9" s="396"/>
      <c r="G9" s="396"/>
      <c r="H9" s="396"/>
      <c r="I9" s="397"/>
      <c r="J9" s="397"/>
      <c r="K9" s="398">
        <v>16</v>
      </c>
    </row>
    <row r="10" spans="2:19" ht="15.75" thickBot="1">
      <c r="B10" s="388"/>
    </row>
    <row r="11" spans="2:19" ht="14.45" customHeight="1">
      <c r="B11" s="408" t="s">
        <v>958</v>
      </c>
      <c r="C11" s="409">
        <v>2013</v>
      </c>
      <c r="D11" s="409">
        <v>2014</v>
      </c>
      <c r="E11" s="409" t="s">
        <v>951</v>
      </c>
      <c r="F11" s="409" t="s">
        <v>945</v>
      </c>
      <c r="G11" s="409" t="s">
        <v>946</v>
      </c>
      <c r="H11" s="409" t="s">
        <v>947</v>
      </c>
      <c r="I11" s="409" t="s">
        <v>948</v>
      </c>
      <c r="J11" s="409" t="s">
        <v>949</v>
      </c>
      <c r="K11" s="410" t="s">
        <v>950</v>
      </c>
      <c r="M11" s="434" t="s">
        <v>978</v>
      </c>
      <c r="N11" s="435"/>
      <c r="O11" s="435"/>
      <c r="P11" s="435"/>
      <c r="Q11" s="435"/>
      <c r="R11" s="435"/>
      <c r="S11" s="436"/>
    </row>
    <row r="12" spans="2:19">
      <c r="B12" s="411" t="s">
        <v>931</v>
      </c>
      <c r="C12" s="11"/>
      <c r="D12" s="11"/>
      <c r="E12" s="11"/>
      <c r="F12" s="11"/>
      <c r="G12" s="11"/>
      <c r="H12" s="11"/>
      <c r="I12" s="11"/>
      <c r="J12" s="11"/>
      <c r="K12" s="401"/>
      <c r="M12" s="437"/>
      <c r="N12" s="438"/>
      <c r="O12" s="438"/>
      <c r="P12" s="438"/>
      <c r="Q12" s="438"/>
      <c r="R12" s="438"/>
      <c r="S12" s="439"/>
    </row>
    <row r="13" spans="2:19">
      <c r="B13" s="403" t="s">
        <v>944</v>
      </c>
      <c r="C13" s="11"/>
      <c r="D13" s="11"/>
      <c r="E13" s="11">
        <v>0</v>
      </c>
      <c r="F13" s="11">
        <v>0</v>
      </c>
      <c r="G13" s="11">
        <v>0</v>
      </c>
      <c r="H13" s="11">
        <v>0</v>
      </c>
      <c r="I13" s="11">
        <v>0</v>
      </c>
      <c r="J13" s="427">
        <v>10000</v>
      </c>
      <c r="K13" s="431">
        <v>20000</v>
      </c>
      <c r="M13" s="437"/>
      <c r="N13" s="438"/>
      <c r="O13" s="438"/>
      <c r="P13" s="438"/>
      <c r="Q13" s="438"/>
      <c r="R13" s="438"/>
      <c r="S13" s="439"/>
    </row>
    <row r="14" spans="2:19">
      <c r="B14" s="403" t="s">
        <v>943</v>
      </c>
      <c r="C14" s="11"/>
      <c r="D14" s="11"/>
      <c r="E14" s="11"/>
      <c r="F14" s="11">
        <v>108288</v>
      </c>
      <c r="G14" s="11">
        <f>F14+G13</f>
        <v>108288</v>
      </c>
      <c r="H14" s="11">
        <f t="shared" ref="H14:K14" si="0">G14+H13</f>
        <v>108288</v>
      </c>
      <c r="I14" s="11">
        <f t="shared" si="0"/>
        <v>108288</v>
      </c>
      <c r="J14" s="11">
        <f t="shared" si="0"/>
        <v>118288</v>
      </c>
      <c r="K14" s="401">
        <f t="shared" si="0"/>
        <v>138288</v>
      </c>
      <c r="M14" s="437"/>
      <c r="N14" s="438"/>
      <c r="O14" s="438"/>
      <c r="P14" s="438"/>
      <c r="Q14" s="438"/>
      <c r="R14" s="438"/>
      <c r="S14" s="439"/>
    </row>
    <row r="15" spans="2:19">
      <c r="B15" s="403" t="s">
        <v>952</v>
      </c>
      <c r="C15" s="11"/>
      <c r="D15" s="11"/>
      <c r="E15" s="11"/>
      <c r="F15" s="11"/>
      <c r="G15" s="11"/>
      <c r="H15" s="11"/>
      <c r="I15" s="11"/>
      <c r="J15" s="11">
        <f>43000*J13/10000000</f>
        <v>43</v>
      </c>
      <c r="K15" s="401"/>
      <c r="M15" s="437"/>
      <c r="N15" s="438"/>
      <c r="O15" s="438"/>
      <c r="P15" s="438"/>
      <c r="Q15" s="438"/>
      <c r="R15" s="438"/>
      <c r="S15" s="439"/>
    </row>
    <row r="16" spans="2:19">
      <c r="B16" s="403" t="s">
        <v>940</v>
      </c>
      <c r="C16" s="11"/>
      <c r="D16" s="11"/>
      <c r="E16" s="427">
        <v>3000</v>
      </c>
      <c r="F16" s="427">
        <v>0</v>
      </c>
      <c r="G16" s="427">
        <v>5000</v>
      </c>
      <c r="H16" s="427">
        <v>22000</v>
      </c>
      <c r="I16" s="421">
        <v>7000</v>
      </c>
      <c r="J16" s="11">
        <v>0</v>
      </c>
      <c r="K16" s="401">
        <v>0</v>
      </c>
      <c r="M16" s="437"/>
      <c r="N16" s="438"/>
      <c r="O16" s="438"/>
      <c r="P16" s="438"/>
      <c r="Q16" s="438"/>
      <c r="R16" s="438"/>
      <c r="S16" s="439"/>
    </row>
    <row r="17" spans="2:19">
      <c r="B17" s="403" t="s">
        <v>953</v>
      </c>
      <c r="C17" s="11"/>
      <c r="D17" s="11"/>
      <c r="E17" s="11">
        <v>10</v>
      </c>
      <c r="F17" s="11">
        <v>20</v>
      </c>
      <c r="G17" s="11">
        <v>2</v>
      </c>
      <c r="H17" s="11"/>
      <c r="I17" s="11">
        <v>13</v>
      </c>
      <c r="J17" s="11"/>
      <c r="K17" s="401"/>
      <c r="M17" s="437"/>
      <c r="N17" s="438"/>
      <c r="O17" s="438"/>
      <c r="P17" s="438"/>
      <c r="Q17" s="438"/>
      <c r="R17" s="438"/>
      <c r="S17" s="439"/>
    </row>
    <row r="18" spans="2:19">
      <c r="B18" s="403" t="s">
        <v>941</v>
      </c>
      <c r="C18" s="11"/>
      <c r="D18" s="11"/>
      <c r="E18" s="11">
        <f>SUM($E$16:E16)</f>
        <v>3000</v>
      </c>
      <c r="F18" s="11">
        <f>SUM($E$16:F16)</f>
        <v>3000</v>
      </c>
      <c r="G18" s="11">
        <f>SUM($E$16:G16)</f>
        <v>8000</v>
      </c>
      <c r="H18" s="11">
        <f>SUM($E$16:H16)</f>
        <v>30000</v>
      </c>
      <c r="I18" s="11">
        <f>SUM($E$16:I16)</f>
        <v>37000</v>
      </c>
      <c r="J18" s="11">
        <f>SUM($E$16:J16)</f>
        <v>37000</v>
      </c>
      <c r="K18" s="401">
        <f>SUM($E$16:K16)</f>
        <v>37000</v>
      </c>
      <c r="M18" s="437"/>
      <c r="N18" s="438"/>
      <c r="O18" s="438"/>
      <c r="P18" s="438"/>
      <c r="Q18" s="438"/>
      <c r="R18" s="438"/>
      <c r="S18" s="439"/>
    </row>
    <row r="19" spans="2:19">
      <c r="B19" s="403" t="s">
        <v>938</v>
      </c>
      <c r="C19" s="11"/>
      <c r="D19" s="11"/>
      <c r="E19" s="11"/>
      <c r="F19" s="428">
        <f>F25/(AVERAGE(E18:F18)*365/100000)</f>
        <v>0.70319634703196354</v>
      </c>
      <c r="G19" s="428">
        <f>G25/((F18*6+G18*6)/12*365/100000)</f>
        <v>0.46077210460772106</v>
      </c>
      <c r="H19" s="428">
        <f>H25/((G18*6+20000*3+H18*3)/12*365/100000)</f>
        <v>0.81361560813615608</v>
      </c>
      <c r="I19" s="429">
        <f>H19</f>
        <v>0.81361560813615608</v>
      </c>
      <c r="J19" s="429">
        <v>0.85</v>
      </c>
      <c r="K19" s="430">
        <f t="shared" ref="K19" si="1">J19</f>
        <v>0.85</v>
      </c>
      <c r="M19" s="437"/>
      <c r="N19" s="438"/>
      <c r="O19" s="438"/>
      <c r="P19" s="438"/>
      <c r="Q19" s="438"/>
      <c r="R19" s="438"/>
      <c r="S19" s="439"/>
    </row>
    <row r="20" spans="2:19">
      <c r="B20" s="403"/>
      <c r="C20" s="11"/>
      <c r="D20" s="11"/>
      <c r="E20" s="11"/>
      <c r="F20" s="327"/>
      <c r="G20" s="327"/>
      <c r="H20" s="11"/>
      <c r="I20" s="11"/>
      <c r="J20" s="11"/>
      <c r="K20" s="401"/>
      <c r="M20" s="437"/>
      <c r="N20" s="438"/>
      <c r="O20" s="438"/>
      <c r="P20" s="438"/>
      <c r="Q20" s="438"/>
      <c r="R20" s="438"/>
      <c r="S20" s="439"/>
    </row>
    <row r="21" spans="2:19">
      <c r="B21" s="411" t="s">
        <v>942</v>
      </c>
      <c r="C21" s="11"/>
      <c r="D21" s="11"/>
      <c r="E21" s="11"/>
      <c r="F21" s="327"/>
      <c r="G21" s="327"/>
      <c r="H21" s="11"/>
      <c r="I21" s="11"/>
      <c r="J21" s="11"/>
      <c r="K21" s="401"/>
      <c r="M21" s="437"/>
      <c r="N21" s="438"/>
      <c r="O21" s="438"/>
      <c r="P21" s="438"/>
      <c r="Q21" s="438"/>
      <c r="R21" s="438"/>
      <c r="S21" s="439"/>
    </row>
    <row r="22" spans="2:19">
      <c r="B22" s="403" t="s">
        <v>962</v>
      </c>
      <c r="C22" s="11"/>
      <c r="D22" s="11"/>
      <c r="E22" s="11"/>
      <c r="F22" s="327"/>
      <c r="G22" s="327"/>
      <c r="H22" s="412">
        <f>(H23+H24)*100000/H14</f>
        <v>178.2284278959811</v>
      </c>
      <c r="I22" s="413">
        <f>$H$22*I14/100000</f>
        <v>193</v>
      </c>
      <c r="J22" s="413">
        <f>$H$22*J14/100000</f>
        <v>210.8228427895981</v>
      </c>
      <c r="K22" s="414">
        <f>$H$22*K14/100000</f>
        <v>246.46852836879435</v>
      </c>
      <c r="M22" s="437"/>
      <c r="N22" s="438"/>
      <c r="O22" s="438"/>
      <c r="P22" s="438"/>
      <c r="Q22" s="438"/>
      <c r="R22" s="438"/>
      <c r="S22" s="439"/>
    </row>
    <row r="23" spans="2:19">
      <c r="B23" s="403" t="s">
        <v>960</v>
      </c>
      <c r="C23" s="11"/>
      <c r="D23" s="11"/>
      <c r="E23" s="11"/>
      <c r="F23" s="11">
        <v>165</v>
      </c>
      <c r="G23" s="11">
        <v>173</v>
      </c>
      <c r="H23" s="11">
        <v>154</v>
      </c>
      <c r="I23" s="413">
        <f>(H23+H24)-I24</f>
        <v>122.09090909090909</v>
      </c>
      <c r="J23" s="413">
        <f>J22-J24</f>
        <v>119.45738360592463</v>
      </c>
      <c r="K23" s="414">
        <f>K22-K24</f>
        <v>155.10306918512089</v>
      </c>
      <c r="M23" s="437"/>
      <c r="N23" s="438"/>
      <c r="O23" s="438"/>
      <c r="P23" s="438"/>
      <c r="Q23" s="438"/>
      <c r="R23" s="438"/>
      <c r="S23" s="439"/>
    </row>
    <row r="24" spans="2:19">
      <c r="B24" s="403" t="s">
        <v>961</v>
      </c>
      <c r="C24" s="11"/>
      <c r="D24" s="11"/>
      <c r="E24" s="11"/>
      <c r="F24" s="11"/>
      <c r="G24" s="11">
        <v>9.5</v>
      </c>
      <c r="H24" s="11">
        <v>39</v>
      </c>
      <c r="I24" s="413">
        <f>($H$24/$H$25)*I25</f>
        <v>70.909090909090907</v>
      </c>
      <c r="J24" s="413">
        <f t="shared" ref="J24:K24" si="2">($H$24/$H$25)*J25</f>
        <v>91.365459183673465</v>
      </c>
      <c r="K24" s="414">
        <f t="shared" si="2"/>
        <v>91.365459183673465</v>
      </c>
      <c r="M24" s="437"/>
      <c r="N24" s="438"/>
      <c r="O24" s="438"/>
      <c r="P24" s="438"/>
      <c r="Q24" s="438"/>
      <c r="R24" s="438"/>
      <c r="S24" s="439"/>
    </row>
    <row r="25" spans="2:19">
      <c r="B25" s="403" t="s">
        <v>932</v>
      </c>
      <c r="C25" s="11"/>
      <c r="D25" s="11"/>
      <c r="E25" s="11"/>
      <c r="F25" s="11">
        <v>7.7</v>
      </c>
      <c r="G25" s="11">
        <v>9.25</v>
      </c>
      <c r="H25" s="11">
        <v>49</v>
      </c>
      <c r="I25" s="413">
        <f>(H18*12+I18*0)/12*I19*365/100000</f>
        <v>89.090909090909079</v>
      </c>
      <c r="J25" s="413">
        <f>I18*J19*365/100000</f>
        <v>114.7925</v>
      </c>
      <c r="K25" s="414">
        <f>J18*K19*365/100000</f>
        <v>114.7925</v>
      </c>
      <c r="M25" s="437"/>
      <c r="N25" s="438"/>
      <c r="O25" s="438"/>
      <c r="P25" s="438"/>
      <c r="Q25" s="438"/>
      <c r="R25" s="438"/>
      <c r="S25" s="439"/>
    </row>
    <row r="26" spans="2:19">
      <c r="B26" s="403" t="s">
        <v>937</v>
      </c>
      <c r="C26" s="11"/>
      <c r="D26" s="11"/>
      <c r="E26" s="11"/>
      <c r="F26" s="11"/>
      <c r="G26" s="11">
        <v>63</v>
      </c>
      <c r="H26" s="11">
        <v>77</v>
      </c>
      <c r="I26" s="413">
        <f>($H$26/SUM($H$23:$H$25))*SUM(I23:I25)</f>
        <v>89.756198347107429</v>
      </c>
      <c r="J26" s="413">
        <f t="shared" ref="J26:K26" si="3">($H$26/SUM($H$23:$H$25))*SUM(J23:J25)</f>
        <v>103.60488179669031</v>
      </c>
      <c r="K26" s="414">
        <f t="shared" si="3"/>
        <v>114.94669084461638</v>
      </c>
      <c r="M26" s="437"/>
      <c r="N26" s="438"/>
      <c r="O26" s="438"/>
      <c r="P26" s="438"/>
      <c r="Q26" s="438"/>
      <c r="R26" s="438"/>
      <c r="S26" s="439"/>
    </row>
    <row r="27" spans="2:19">
      <c r="B27" s="403"/>
      <c r="C27" s="11"/>
      <c r="D27" s="11"/>
      <c r="E27" s="11"/>
      <c r="F27" s="11"/>
      <c r="G27" s="11"/>
      <c r="H27" s="11"/>
      <c r="I27" s="413"/>
      <c r="J27" s="413"/>
      <c r="K27" s="414"/>
      <c r="M27" s="437"/>
      <c r="N27" s="438"/>
      <c r="O27" s="438"/>
      <c r="P27" s="438"/>
      <c r="Q27" s="438"/>
      <c r="R27" s="438"/>
      <c r="S27" s="439"/>
    </row>
    <row r="28" spans="2:19">
      <c r="B28" s="411" t="s">
        <v>939</v>
      </c>
      <c r="C28" s="11"/>
      <c r="D28" s="11"/>
      <c r="E28" s="11"/>
      <c r="F28" s="11"/>
      <c r="G28" s="11"/>
      <c r="H28" s="11"/>
      <c r="I28" s="11"/>
      <c r="J28" s="11"/>
      <c r="K28" s="401"/>
      <c r="M28" s="437"/>
      <c r="N28" s="438"/>
      <c r="O28" s="438"/>
      <c r="P28" s="438"/>
      <c r="Q28" s="438"/>
      <c r="R28" s="438"/>
      <c r="S28" s="439"/>
    </row>
    <row r="29" spans="2:19" ht="15.75" thickBot="1">
      <c r="B29" s="403" t="s">
        <v>935</v>
      </c>
      <c r="C29" s="11"/>
      <c r="D29" s="11"/>
      <c r="E29" s="11"/>
      <c r="F29" s="11">
        <v>432</v>
      </c>
      <c r="G29" s="11">
        <v>457</v>
      </c>
      <c r="H29" s="11">
        <v>410</v>
      </c>
      <c r="I29" s="413">
        <f>I23*I40/100</f>
        <v>325.04722550177098</v>
      </c>
      <c r="J29" s="422">
        <f t="shared" ref="J29:K29" si="4">J23*J40/100</f>
        <v>318.0358914183708</v>
      </c>
      <c r="K29" s="423">
        <f t="shared" si="4"/>
        <v>412.93674263571143</v>
      </c>
      <c r="M29" s="440"/>
      <c r="N29" s="441"/>
      <c r="O29" s="441"/>
      <c r="P29" s="441"/>
      <c r="Q29" s="441"/>
      <c r="R29" s="441"/>
      <c r="S29" s="442"/>
    </row>
    <row r="30" spans="2:19">
      <c r="B30" s="403" t="s">
        <v>936</v>
      </c>
      <c r="C30" s="11"/>
      <c r="D30" s="11"/>
      <c r="E30" s="11"/>
      <c r="F30" s="11">
        <v>15</v>
      </c>
      <c r="G30" s="11">
        <v>18</v>
      </c>
      <c r="H30" s="11">
        <v>99</v>
      </c>
      <c r="I30" s="413">
        <f>I25*I41/100</f>
        <v>179.99999999999997</v>
      </c>
      <c r="J30" s="422">
        <f t="shared" ref="J30:K30" si="5">J25*J41/100</f>
        <v>231.92770408163267</v>
      </c>
      <c r="K30" s="423">
        <f t="shared" si="5"/>
        <v>231.92770408163267</v>
      </c>
    </row>
    <row r="31" spans="2:19">
      <c r="B31" s="403" t="s">
        <v>937</v>
      </c>
      <c r="C31" s="11"/>
      <c r="D31" s="11"/>
      <c r="E31" s="11"/>
      <c r="F31" s="11">
        <v>36</v>
      </c>
      <c r="G31" s="11">
        <v>41</v>
      </c>
      <c r="H31" s="11">
        <v>60</v>
      </c>
      <c r="I31" s="413">
        <f>I26*I42/100</f>
        <v>69.939894815927858</v>
      </c>
      <c r="J31" s="422">
        <f t="shared" ref="J31:K31" si="6">J26*J42/100</f>
        <v>80.731076724693736</v>
      </c>
      <c r="K31" s="423">
        <f t="shared" si="6"/>
        <v>89.568850008791983</v>
      </c>
    </row>
    <row r="32" spans="2:19">
      <c r="B32" s="403" t="s">
        <v>963</v>
      </c>
      <c r="C32" s="11"/>
      <c r="D32" s="11"/>
      <c r="E32" s="11"/>
      <c r="F32" s="412">
        <f>SUM(F29:F31)</f>
        <v>483</v>
      </c>
      <c r="G32" s="412">
        <f t="shared" ref="G32:K32" si="7">SUM(G29:G31)</f>
        <v>516</v>
      </c>
      <c r="H32" s="412">
        <f t="shared" si="7"/>
        <v>569</v>
      </c>
      <c r="I32" s="413">
        <f t="shared" si="7"/>
        <v>574.98712031769878</v>
      </c>
      <c r="J32" s="422">
        <f t="shared" si="7"/>
        <v>630.69467222469723</v>
      </c>
      <c r="K32" s="423">
        <f t="shared" si="7"/>
        <v>734.43329672613606</v>
      </c>
    </row>
    <row r="33" spans="2:14">
      <c r="B33" s="403" t="s">
        <v>964</v>
      </c>
      <c r="C33" s="11"/>
      <c r="D33" s="11"/>
      <c r="E33" s="11"/>
      <c r="F33" s="11"/>
      <c r="G33" s="11">
        <v>13</v>
      </c>
      <c r="H33" s="11">
        <v>15</v>
      </c>
      <c r="I33" s="413">
        <f>I32*(1+($H$33/$H$32))-I32</f>
        <v>15.157832697303093</v>
      </c>
      <c r="J33" s="422">
        <f t="shared" ref="J33:K33" si="8">J32*(1+($H$33/$H$32))-J32</f>
        <v>16.626397334570129</v>
      </c>
      <c r="K33" s="423">
        <f t="shared" si="8"/>
        <v>19.361158964660831</v>
      </c>
    </row>
    <row r="34" spans="2:14">
      <c r="B34" s="403" t="s">
        <v>965</v>
      </c>
      <c r="C34" s="11"/>
      <c r="D34" s="11"/>
      <c r="E34" s="11"/>
      <c r="F34" s="11"/>
      <c r="G34" s="412">
        <f>G32+G33</f>
        <v>529</v>
      </c>
      <c r="H34" s="412">
        <f t="shared" ref="H34:K34" si="9">H32+H33</f>
        <v>584</v>
      </c>
      <c r="I34" s="413">
        <f t="shared" si="9"/>
        <v>590.14495301500187</v>
      </c>
      <c r="J34" s="422">
        <f t="shared" si="9"/>
        <v>647.32106955926736</v>
      </c>
      <c r="K34" s="423">
        <f t="shared" si="9"/>
        <v>753.79445569079689</v>
      </c>
    </row>
    <row r="35" spans="2:14">
      <c r="B35" s="403" t="s">
        <v>115</v>
      </c>
      <c r="C35" s="11"/>
      <c r="D35" s="11"/>
      <c r="E35" s="11"/>
      <c r="F35" s="11"/>
      <c r="G35" s="412">
        <v>56</v>
      </c>
      <c r="H35" s="412">
        <v>61</v>
      </c>
      <c r="I35" s="420">
        <f>I34*AVERAGE($G$36:$H$36)*I6</f>
        <v>68.263065546695898</v>
      </c>
      <c r="J35" s="424">
        <f>J34*(AVERAGE($G$36:$H$36))*J6</f>
        <v>74.876723719025478</v>
      </c>
      <c r="K35" s="425">
        <f>K34*(AVERAGE($G$36:$H$36))*K6</f>
        <v>87.192680501071365</v>
      </c>
    </row>
    <row r="36" spans="2:14">
      <c r="B36" s="403" t="s">
        <v>199</v>
      </c>
      <c r="C36" s="11"/>
      <c r="D36" s="11"/>
      <c r="E36" s="11"/>
      <c r="F36" s="11"/>
      <c r="G36" s="415">
        <f>G35/G34</f>
        <v>0.10586011342155009</v>
      </c>
      <c r="H36" s="415">
        <f>H35/H34</f>
        <v>0.10445205479452055</v>
      </c>
      <c r="I36" s="432"/>
      <c r="J36" s="432"/>
      <c r="K36" s="433"/>
    </row>
    <row r="37" spans="2:14">
      <c r="B37" s="403"/>
      <c r="C37" s="11"/>
      <c r="D37" s="11"/>
      <c r="E37" s="11"/>
      <c r="F37" s="11"/>
      <c r="G37" s="412"/>
      <c r="H37" s="412"/>
      <c r="I37" s="412"/>
      <c r="J37" s="412"/>
      <c r="K37" s="416"/>
    </row>
    <row r="38" spans="2:14">
      <c r="B38" s="411" t="s">
        <v>954</v>
      </c>
      <c r="C38" s="11"/>
      <c r="D38" s="11"/>
      <c r="E38" s="11"/>
      <c r="F38" s="11"/>
      <c r="G38" s="11"/>
      <c r="H38" s="11"/>
      <c r="I38" s="11"/>
      <c r="J38" s="11"/>
      <c r="K38" s="401"/>
      <c r="L38" s="40">
        <f>I30/I34</f>
        <v>0.30500981001429367</v>
      </c>
      <c r="M38" s="40">
        <f>J30/J34</f>
        <v>0.35828851398200606</v>
      </c>
      <c r="N38" s="40">
        <f>K30/K34</f>
        <v>0.30768029975636801</v>
      </c>
    </row>
    <row r="39" spans="2:14">
      <c r="B39" s="403" t="s">
        <v>955</v>
      </c>
      <c r="C39" s="11"/>
      <c r="D39" s="11"/>
      <c r="E39" s="11"/>
      <c r="F39" s="413">
        <f>(F29/F14)*10000000</f>
        <v>39893.617021276594</v>
      </c>
      <c r="G39" s="413">
        <f>(G29/G14)*10000000</f>
        <v>42202.275413711577</v>
      </c>
      <c r="H39" s="413">
        <f>(H29/H14)*10000000</f>
        <v>37861.997635933803</v>
      </c>
      <c r="I39" s="11"/>
      <c r="J39" s="11"/>
      <c r="K39" s="401"/>
    </row>
    <row r="40" spans="2:14">
      <c r="B40" s="403" t="s">
        <v>956</v>
      </c>
      <c r="C40" s="11"/>
      <c r="D40" s="11"/>
      <c r="E40" s="11"/>
      <c r="F40" s="413">
        <f>F29*100/F23</f>
        <v>261.81818181818181</v>
      </c>
      <c r="G40" s="413">
        <f t="shared" ref="G40:H40" si="10">G29*100/G23</f>
        <v>264.16184971098266</v>
      </c>
      <c r="H40" s="413">
        <f t="shared" si="10"/>
        <v>266.23376623376623</v>
      </c>
      <c r="I40" s="413">
        <f>$H40*I3</f>
        <v>266.23376623376623</v>
      </c>
      <c r="J40" s="413">
        <f t="shared" ref="J40:K40" si="11">$H40*J3</f>
        <v>266.23376623376623</v>
      </c>
      <c r="K40" s="414">
        <f t="shared" si="11"/>
        <v>266.23376623376623</v>
      </c>
    </row>
    <row r="41" spans="2:14">
      <c r="B41" s="403" t="s">
        <v>957</v>
      </c>
      <c r="C41" s="11"/>
      <c r="D41" s="11"/>
      <c r="E41" s="11"/>
      <c r="F41" s="413">
        <f>F30*100/F25</f>
        <v>194.80519480519479</v>
      </c>
      <c r="G41" s="413">
        <f>G30*100/G25</f>
        <v>194.59459459459458</v>
      </c>
      <c r="H41" s="413">
        <f>H30*100/H25</f>
        <v>202.0408163265306</v>
      </c>
      <c r="I41" s="413">
        <f t="shared" ref="I41:K41" si="12">$H41*I4</f>
        <v>202.0408163265306</v>
      </c>
      <c r="J41" s="413">
        <f t="shared" si="12"/>
        <v>202.0408163265306</v>
      </c>
      <c r="K41" s="414">
        <f t="shared" si="12"/>
        <v>202.0408163265306</v>
      </c>
    </row>
    <row r="42" spans="2:14" ht="15.75" thickBot="1">
      <c r="B42" s="417" t="s">
        <v>959</v>
      </c>
      <c r="C42" s="396"/>
      <c r="D42" s="396"/>
      <c r="E42" s="396"/>
      <c r="F42" s="396"/>
      <c r="G42" s="418">
        <f>G31*100/G26</f>
        <v>65.079365079365076</v>
      </c>
      <c r="H42" s="418">
        <f>H31*100/H26</f>
        <v>77.922077922077918</v>
      </c>
      <c r="I42" s="418">
        <f t="shared" ref="I42:K42" si="13">$H42*I5</f>
        <v>77.922077922077918</v>
      </c>
      <c r="J42" s="418">
        <f t="shared" si="13"/>
        <v>77.922077922077918</v>
      </c>
      <c r="K42" s="419">
        <f t="shared" si="13"/>
        <v>77.922077922077918</v>
      </c>
    </row>
  </sheetData>
  <mergeCells count="1">
    <mergeCell ref="M11:S29"/>
  </mergeCells>
  <pageMargins left="0.7" right="0.7" top="0.75" bottom="0.75" header="0.3" footer="0.3"/>
  <pageSetup orientation="portrait" r:id="rId1"/>
  <ignoredErrors>
    <ignoredError sqref="F18:J18" formulaRange="1"/>
  </ignoredErrors>
</worksheet>
</file>

<file path=xl/worksheets/sheet10.xml><?xml version="1.0" encoding="utf-8"?>
<worksheet xmlns="http://schemas.openxmlformats.org/spreadsheetml/2006/main" xmlns:r="http://schemas.openxmlformats.org/officeDocument/2006/relationships">
  <dimension ref="A1:K93"/>
  <sheetViews>
    <sheetView workbookViewId="0">
      <pane xSplit="1" ySplit="1" topLeftCell="B2" activePane="bottomRight" state="frozen"/>
      <selection activeCell="C4" sqref="C4"/>
      <selection pane="topRight" activeCell="C4" sqref="C4"/>
      <selection pane="bottomLeft" activeCell="C4" sqref="C4"/>
      <selection pane="bottomRight"/>
    </sheetView>
  </sheetViews>
  <sheetFormatPr defaultColWidth="9.140625" defaultRowHeight="15"/>
  <cols>
    <col min="1" max="1" width="24.28515625" style="5" customWidth="1"/>
    <col min="2" max="11" width="13.5703125" style="5" bestFit="1" customWidth="1"/>
    <col min="12" max="16384" width="9.140625" style="5"/>
  </cols>
  <sheetData>
    <row r="1" spans="1:11" s="1" customFormat="1">
      <c r="A1" s="1" t="s">
        <v>0</v>
      </c>
      <c r="B1" s="1" t="s">
        <v>64</v>
      </c>
      <c r="E1" s="443" t="str">
        <f>IF(B2&lt;&gt;B3, "A NEW VERSION OF THE WORKSHEET IS AVAILABLE", "")</f>
        <v/>
      </c>
      <c r="F1" s="443"/>
      <c r="G1" s="443"/>
      <c r="H1" s="443"/>
      <c r="I1" s="443"/>
      <c r="J1" s="443"/>
      <c r="K1" s="443"/>
    </row>
    <row r="2" spans="1:11">
      <c r="A2" s="1" t="s">
        <v>62</v>
      </c>
      <c r="B2" s="5">
        <v>2.1</v>
      </c>
      <c r="E2" s="444" t="s">
        <v>36</v>
      </c>
      <c r="F2" s="444"/>
      <c r="G2" s="444"/>
      <c r="H2" s="444"/>
      <c r="I2" s="444"/>
      <c r="J2" s="444"/>
      <c r="K2" s="444"/>
    </row>
    <row r="3" spans="1:11">
      <c r="A3" s="1" t="s">
        <v>63</v>
      </c>
      <c r="B3" s="5">
        <v>2.1</v>
      </c>
    </row>
    <row r="4" spans="1:11">
      <c r="A4" s="1"/>
    </row>
    <row r="5" spans="1:11">
      <c r="A5" s="1" t="s">
        <v>65</v>
      </c>
    </row>
    <row r="6" spans="1:11">
      <c r="A6" s="5" t="s">
        <v>42</v>
      </c>
      <c r="B6" s="5">
        <f>IF(B9&gt;0, B9/B8, 0)</f>
        <v>0.57249642913823207</v>
      </c>
    </row>
    <row r="7" spans="1:11">
      <c r="A7" s="5" t="s">
        <v>31</v>
      </c>
      <c r="B7">
        <v>10</v>
      </c>
    </row>
    <row r="8" spans="1:11">
      <c r="A8" s="5" t="s">
        <v>43</v>
      </c>
      <c r="B8">
        <v>1260.2</v>
      </c>
    </row>
    <row r="9" spans="1:11">
      <c r="A9" s="5" t="s">
        <v>80</v>
      </c>
      <c r="B9">
        <v>721.46</v>
      </c>
    </row>
    <row r="15" spans="1:11">
      <c r="A15" s="1" t="s">
        <v>37</v>
      </c>
    </row>
    <row r="16" spans="1:11" s="24" customFormat="1">
      <c r="A16" s="23" t="s">
        <v>38</v>
      </c>
      <c r="B16" s="16">
        <v>39538</v>
      </c>
      <c r="C16" s="16">
        <v>39903</v>
      </c>
      <c r="D16" s="16">
        <v>40268</v>
      </c>
      <c r="E16" s="16">
        <v>40633</v>
      </c>
      <c r="F16" s="16">
        <v>40999</v>
      </c>
      <c r="G16" s="16">
        <v>41364</v>
      </c>
      <c r="H16" s="16">
        <v>41729</v>
      </c>
      <c r="I16" s="16">
        <v>42094</v>
      </c>
      <c r="J16" s="16">
        <v>42460</v>
      </c>
      <c r="K16" s="16">
        <v>42825</v>
      </c>
    </row>
    <row r="17" spans="1:11" s="9" customFormat="1">
      <c r="A17" s="9" t="s">
        <v>6</v>
      </c>
      <c r="B17">
        <v>155.74</v>
      </c>
      <c r="C17">
        <v>177.75</v>
      </c>
      <c r="D17">
        <v>208.07</v>
      </c>
      <c r="E17">
        <v>326.77999999999997</v>
      </c>
      <c r="F17">
        <v>389.44</v>
      </c>
      <c r="G17">
        <v>397.79</v>
      </c>
      <c r="H17">
        <v>476.78</v>
      </c>
      <c r="I17">
        <v>494.97</v>
      </c>
      <c r="J17">
        <v>492.14</v>
      </c>
      <c r="K17">
        <v>528.26</v>
      </c>
    </row>
    <row r="18" spans="1:11" s="9" customFormat="1">
      <c r="A18" s="5" t="s">
        <v>81</v>
      </c>
      <c r="B18">
        <v>83.82</v>
      </c>
      <c r="C18">
        <v>94.89</v>
      </c>
      <c r="D18">
        <v>120.94</v>
      </c>
      <c r="E18">
        <v>170.74</v>
      </c>
      <c r="F18">
        <v>238.21</v>
      </c>
      <c r="G18">
        <v>238.01</v>
      </c>
      <c r="H18">
        <v>285.92</v>
      </c>
      <c r="I18">
        <v>294.16000000000003</v>
      </c>
      <c r="J18">
        <v>305.98</v>
      </c>
      <c r="K18">
        <v>336.1</v>
      </c>
    </row>
    <row r="19" spans="1:11" s="9" customFormat="1">
      <c r="A19" s="5" t="s">
        <v>82</v>
      </c>
      <c r="B19">
        <v>0.41</v>
      </c>
      <c r="C19">
        <v>-0.68</v>
      </c>
      <c r="D19">
        <v>2.92</v>
      </c>
      <c r="E19">
        <v>1.01</v>
      </c>
      <c r="F19">
        <v>0.21</v>
      </c>
      <c r="G19">
        <v>3.07</v>
      </c>
      <c r="H19">
        <v>8.3800000000000008</v>
      </c>
      <c r="I19">
        <v>-10.91</v>
      </c>
      <c r="J19">
        <v>4.54</v>
      </c>
      <c r="K19">
        <v>4.26</v>
      </c>
    </row>
    <row r="20" spans="1:11" s="9" customFormat="1">
      <c r="A20" s="5" t="s">
        <v>83</v>
      </c>
      <c r="B20">
        <v>11.38</v>
      </c>
      <c r="C20">
        <v>14.94</v>
      </c>
      <c r="D20">
        <v>16.34</v>
      </c>
      <c r="E20">
        <v>20.46</v>
      </c>
      <c r="F20">
        <v>14.16</v>
      </c>
      <c r="G20">
        <v>20.8</v>
      </c>
      <c r="H20">
        <v>26.11</v>
      </c>
      <c r="I20">
        <v>25.35</v>
      </c>
      <c r="J20">
        <v>32.69</v>
      </c>
      <c r="K20">
        <v>23.69</v>
      </c>
    </row>
    <row r="21" spans="1:11" s="9" customFormat="1">
      <c r="A21" s="5" t="s">
        <v>84</v>
      </c>
      <c r="B21">
        <v>4.5</v>
      </c>
      <c r="C21">
        <v>4.7</v>
      </c>
      <c r="D21">
        <v>6.79</v>
      </c>
      <c r="E21">
        <v>10.42</v>
      </c>
      <c r="F21">
        <v>8.26</v>
      </c>
      <c r="G21">
        <v>14.69</v>
      </c>
      <c r="H21">
        <v>11.94</v>
      </c>
      <c r="I21">
        <v>11.85</v>
      </c>
      <c r="J21">
        <v>11.78</v>
      </c>
      <c r="K21">
        <v>11.93</v>
      </c>
    </row>
    <row r="22" spans="1:11" s="9" customFormat="1">
      <c r="A22" s="5" t="s">
        <v>85</v>
      </c>
      <c r="B22">
        <v>9.39</v>
      </c>
      <c r="C22">
        <v>9.81</v>
      </c>
      <c r="D22">
        <v>11.03</v>
      </c>
      <c r="E22">
        <v>16.25</v>
      </c>
      <c r="F22">
        <v>19.59</v>
      </c>
      <c r="G22">
        <v>21.17</v>
      </c>
      <c r="H22">
        <v>24.08</v>
      </c>
      <c r="I22">
        <v>24.34</v>
      </c>
      <c r="J22">
        <v>25.11</v>
      </c>
      <c r="K22">
        <v>26.38</v>
      </c>
    </row>
    <row r="23" spans="1:11" s="9" customFormat="1">
      <c r="A23" s="5" t="s">
        <v>86</v>
      </c>
      <c r="B23">
        <v>7.25</v>
      </c>
      <c r="C23">
        <v>6.91</v>
      </c>
      <c r="D23">
        <v>8.7899999999999991</v>
      </c>
      <c r="E23">
        <v>10.28</v>
      </c>
      <c r="F23">
        <v>18.62</v>
      </c>
      <c r="G23">
        <v>14.43</v>
      </c>
      <c r="H23">
        <v>23.47</v>
      </c>
      <c r="I23">
        <v>26.44</v>
      </c>
      <c r="J23">
        <v>27.24</v>
      </c>
      <c r="K23">
        <v>29.34</v>
      </c>
    </row>
    <row r="24" spans="1:11" s="9" customFormat="1">
      <c r="A24" s="5" t="s">
        <v>87</v>
      </c>
      <c r="B24">
        <v>0.92</v>
      </c>
      <c r="C24">
        <v>4.7699999999999996</v>
      </c>
      <c r="D24">
        <v>0.79</v>
      </c>
      <c r="E24">
        <v>0.57999999999999996</v>
      </c>
      <c r="F24">
        <v>12.47</v>
      </c>
      <c r="G24">
        <v>4.58</v>
      </c>
      <c r="H24">
        <v>9.7100000000000009</v>
      </c>
      <c r="I24">
        <v>2.21</v>
      </c>
      <c r="J24">
        <v>0.92</v>
      </c>
      <c r="K24">
        <v>0.15</v>
      </c>
    </row>
    <row r="25" spans="1:11" s="9" customFormat="1">
      <c r="A25" s="9" t="s">
        <v>9</v>
      </c>
      <c r="B25">
        <v>7.01</v>
      </c>
      <c r="C25">
        <v>7.51</v>
      </c>
      <c r="D25">
        <v>15.07</v>
      </c>
      <c r="E25">
        <v>0.46</v>
      </c>
      <c r="F25">
        <v>0.69</v>
      </c>
      <c r="G25">
        <v>0.27</v>
      </c>
      <c r="H25">
        <v>0.22</v>
      </c>
      <c r="I25">
        <v>0.55000000000000004</v>
      </c>
      <c r="J25">
        <v>1.77</v>
      </c>
      <c r="K25">
        <v>0.78</v>
      </c>
    </row>
    <row r="26" spans="1:11" s="9" customFormat="1">
      <c r="A26" s="9" t="s">
        <v>10</v>
      </c>
      <c r="B26">
        <v>13.85</v>
      </c>
      <c r="C26">
        <v>18.059999999999999</v>
      </c>
      <c r="D26">
        <v>20.95</v>
      </c>
      <c r="E26">
        <v>24.22</v>
      </c>
      <c r="F26">
        <v>26.8</v>
      </c>
      <c r="G26">
        <v>27.43</v>
      </c>
      <c r="H26">
        <v>31.62</v>
      </c>
      <c r="I26">
        <v>29.33</v>
      </c>
      <c r="J26">
        <v>29.92</v>
      </c>
      <c r="K26">
        <v>29.35</v>
      </c>
    </row>
    <row r="27" spans="1:11" s="9" customFormat="1">
      <c r="A27" s="9" t="s">
        <v>11</v>
      </c>
      <c r="B27">
        <v>13.01</v>
      </c>
      <c r="C27">
        <v>17.34</v>
      </c>
      <c r="D27">
        <v>16.739999999999998</v>
      </c>
      <c r="E27">
        <v>15.49</v>
      </c>
      <c r="F27">
        <v>20.079999999999998</v>
      </c>
      <c r="G27">
        <v>19.37</v>
      </c>
      <c r="H27">
        <v>12.87</v>
      </c>
      <c r="I27">
        <v>7.17</v>
      </c>
      <c r="J27">
        <v>5.87</v>
      </c>
      <c r="K27">
        <v>4.43</v>
      </c>
    </row>
    <row r="28" spans="1:11" s="9" customFormat="1">
      <c r="A28" s="9" t="s">
        <v>12</v>
      </c>
      <c r="B28">
        <v>19.04</v>
      </c>
      <c r="C28">
        <v>13.16</v>
      </c>
      <c r="D28">
        <v>23.69</v>
      </c>
      <c r="E28">
        <v>59.81</v>
      </c>
      <c r="F28">
        <v>32.15</v>
      </c>
      <c r="G28">
        <v>40.659999999999997</v>
      </c>
      <c r="H28">
        <v>59.66</v>
      </c>
      <c r="I28">
        <v>63.77</v>
      </c>
      <c r="J28">
        <v>58.96</v>
      </c>
      <c r="K28">
        <v>71.94</v>
      </c>
    </row>
    <row r="29" spans="1:11" s="9" customFormat="1">
      <c r="A29" s="9" t="s">
        <v>13</v>
      </c>
      <c r="B29">
        <v>5.8</v>
      </c>
      <c r="C29">
        <v>3.74</v>
      </c>
      <c r="D29">
        <v>5.16</v>
      </c>
      <c r="E29">
        <v>17.37</v>
      </c>
      <c r="F29">
        <v>8.27</v>
      </c>
      <c r="G29">
        <v>9.68</v>
      </c>
      <c r="H29">
        <v>11.52</v>
      </c>
      <c r="I29">
        <v>12.59</v>
      </c>
      <c r="J29">
        <v>14.5</v>
      </c>
      <c r="K29">
        <v>16.29</v>
      </c>
    </row>
    <row r="30" spans="1:11" s="9" customFormat="1">
      <c r="A30" s="9" t="s">
        <v>14</v>
      </c>
      <c r="B30">
        <v>13.24</v>
      </c>
      <c r="C30">
        <v>9.42</v>
      </c>
      <c r="D30">
        <v>18.53</v>
      </c>
      <c r="E30">
        <v>42.44</v>
      </c>
      <c r="F30">
        <v>23.88</v>
      </c>
      <c r="G30">
        <v>30.98</v>
      </c>
      <c r="H30">
        <v>48.14</v>
      </c>
      <c r="I30">
        <v>51.18</v>
      </c>
      <c r="J30">
        <v>44.46</v>
      </c>
      <c r="K30">
        <v>55.65</v>
      </c>
    </row>
    <row r="31" spans="1:11" s="9" customFormat="1">
      <c r="A31" s="9" t="s">
        <v>71</v>
      </c>
      <c r="B31">
        <v>1.175</v>
      </c>
      <c r="C31">
        <v>1.175</v>
      </c>
      <c r="D31">
        <v>1.7625</v>
      </c>
      <c r="E31">
        <v>2.9375</v>
      </c>
      <c r="F31">
        <v>2.9375</v>
      </c>
      <c r="G31">
        <v>5.5812499999999998</v>
      </c>
      <c r="H31">
        <v>7.34375</v>
      </c>
      <c r="I31">
        <v>8.2249999999999996</v>
      </c>
      <c r="J31">
        <v>8.8125</v>
      </c>
      <c r="K31"/>
    </row>
    <row r="32" spans="1:11" s="9" customFormat="1"/>
    <row r="33" spans="1:11">
      <c r="A33" s="9"/>
    </row>
    <row r="34" spans="1:11">
      <c r="A34" s="9"/>
    </row>
    <row r="35" spans="1:11">
      <c r="A35" s="9"/>
    </row>
    <row r="36" spans="1:11">
      <c r="A36" s="9"/>
    </row>
    <row r="37" spans="1:11">
      <c r="A37" s="9"/>
    </row>
    <row r="38" spans="1:11">
      <c r="A38" s="9"/>
    </row>
    <row r="39" spans="1:11">
      <c r="A39" s="9"/>
    </row>
    <row r="40" spans="1:11">
      <c r="A40" s="1" t="s">
        <v>39</v>
      </c>
    </row>
    <row r="41" spans="1:11" s="24" customFormat="1">
      <c r="A41" s="23" t="s">
        <v>38</v>
      </c>
      <c r="B41" s="16">
        <v>42460</v>
      </c>
      <c r="C41" s="16">
        <v>42551</v>
      </c>
      <c r="D41" s="16">
        <v>42643</v>
      </c>
      <c r="E41" s="16">
        <v>42735</v>
      </c>
      <c r="F41" s="16">
        <v>42825</v>
      </c>
      <c r="G41" s="16">
        <v>42916</v>
      </c>
      <c r="H41" s="16">
        <v>43008</v>
      </c>
      <c r="I41" s="16">
        <v>43100</v>
      </c>
      <c r="J41" s="16">
        <v>43190</v>
      </c>
      <c r="K41" s="16">
        <v>43281</v>
      </c>
    </row>
    <row r="42" spans="1:11" s="9" customFormat="1">
      <c r="A42" s="9" t="s">
        <v>6</v>
      </c>
      <c r="B42">
        <v>120.38</v>
      </c>
      <c r="C42">
        <v>125.57</v>
      </c>
      <c r="D42">
        <v>132.93</v>
      </c>
      <c r="E42">
        <v>127.36</v>
      </c>
      <c r="F42">
        <v>142.75</v>
      </c>
      <c r="G42">
        <v>137.72999999999999</v>
      </c>
      <c r="H42">
        <v>139.61000000000001</v>
      </c>
      <c r="I42">
        <v>148.01</v>
      </c>
      <c r="J42">
        <v>159.12</v>
      </c>
      <c r="K42">
        <v>163.09</v>
      </c>
    </row>
    <row r="43" spans="1:11" s="9" customFormat="1">
      <c r="A43" s="9" t="s">
        <v>7</v>
      </c>
      <c r="B43">
        <v>98.56</v>
      </c>
      <c r="C43">
        <v>100.23</v>
      </c>
      <c r="D43">
        <v>106.23</v>
      </c>
      <c r="E43">
        <v>101.63</v>
      </c>
      <c r="F43">
        <v>116.1</v>
      </c>
      <c r="G43">
        <v>110.61</v>
      </c>
      <c r="H43">
        <v>112.19</v>
      </c>
      <c r="I43">
        <v>119.6</v>
      </c>
      <c r="J43">
        <v>129.88</v>
      </c>
      <c r="K43">
        <v>130.86000000000001</v>
      </c>
    </row>
    <row r="44" spans="1:11" s="9" customFormat="1">
      <c r="A44" s="9" t="s">
        <v>9</v>
      </c>
      <c r="B44">
        <v>1.54</v>
      </c>
      <c r="C44">
        <v>0.1</v>
      </c>
      <c r="D44">
        <v>0.24</v>
      </c>
      <c r="E44">
        <v>0.38</v>
      </c>
      <c r="F44">
        <v>0.11</v>
      </c>
      <c r="G44">
        <v>0.33</v>
      </c>
      <c r="H44">
        <v>0.06</v>
      </c>
      <c r="I44">
        <v>0.34</v>
      </c>
      <c r="J44">
        <v>0.5</v>
      </c>
      <c r="K44">
        <v>0.13</v>
      </c>
    </row>
    <row r="45" spans="1:11" s="9" customFormat="1">
      <c r="A45" s="9" t="s">
        <v>10</v>
      </c>
      <c r="B45">
        <v>7.61</v>
      </c>
      <c r="C45">
        <v>7.22</v>
      </c>
      <c r="D45">
        <v>7.24</v>
      </c>
      <c r="E45">
        <v>7.41</v>
      </c>
      <c r="F45">
        <v>7.48</v>
      </c>
      <c r="G45">
        <v>7.06</v>
      </c>
      <c r="H45">
        <v>7.11</v>
      </c>
      <c r="I45">
        <v>7.24</v>
      </c>
      <c r="J45">
        <v>7.46</v>
      </c>
      <c r="K45">
        <v>7.06</v>
      </c>
    </row>
    <row r="46" spans="1:11" s="9" customFormat="1">
      <c r="A46" s="9" t="s">
        <v>11</v>
      </c>
      <c r="B46">
        <v>1.48</v>
      </c>
      <c r="C46">
        <v>1.44</v>
      </c>
      <c r="D46">
        <v>1.05</v>
      </c>
      <c r="E46">
        <v>0.37</v>
      </c>
      <c r="F46">
        <v>0.98</v>
      </c>
      <c r="G46">
        <v>0.86</v>
      </c>
      <c r="H46">
        <v>0.92</v>
      </c>
      <c r="I46">
        <v>0.94</v>
      </c>
      <c r="J46">
        <v>2.21</v>
      </c>
      <c r="K46">
        <v>2.06</v>
      </c>
    </row>
    <row r="47" spans="1:11" s="9" customFormat="1">
      <c r="A47" s="9" t="s">
        <v>12</v>
      </c>
      <c r="B47">
        <v>14.27</v>
      </c>
      <c r="C47">
        <v>16.78</v>
      </c>
      <c r="D47">
        <v>18.649999999999999</v>
      </c>
      <c r="E47">
        <v>18.329999999999998</v>
      </c>
      <c r="F47">
        <v>18.3</v>
      </c>
      <c r="G47">
        <v>19.53</v>
      </c>
      <c r="H47">
        <v>19.45</v>
      </c>
      <c r="I47">
        <v>20.57</v>
      </c>
      <c r="J47">
        <v>20.07</v>
      </c>
      <c r="K47">
        <v>23.24</v>
      </c>
    </row>
    <row r="48" spans="1:11" s="9" customFormat="1">
      <c r="A48" s="9" t="s">
        <v>13</v>
      </c>
      <c r="B48">
        <v>3.74</v>
      </c>
      <c r="C48">
        <v>4.24</v>
      </c>
      <c r="D48">
        <v>3.85</v>
      </c>
      <c r="E48">
        <v>3.93</v>
      </c>
      <c r="F48">
        <v>4.3099999999999996</v>
      </c>
      <c r="G48">
        <v>5.0999999999999996</v>
      </c>
      <c r="H48">
        <v>4.68</v>
      </c>
      <c r="I48">
        <v>4.72</v>
      </c>
      <c r="J48">
        <v>4.05</v>
      </c>
      <c r="K48">
        <v>6.46</v>
      </c>
    </row>
    <row r="49" spans="1:11" s="9" customFormat="1">
      <c r="A49" s="9" t="s">
        <v>14</v>
      </c>
      <c r="B49">
        <v>10.53</v>
      </c>
      <c r="C49">
        <v>12.54</v>
      </c>
      <c r="D49">
        <v>14.8</v>
      </c>
      <c r="E49">
        <v>14.4</v>
      </c>
      <c r="F49">
        <v>13.99</v>
      </c>
      <c r="G49">
        <v>14.43</v>
      </c>
      <c r="H49">
        <v>14.77</v>
      </c>
      <c r="I49">
        <v>15.85</v>
      </c>
      <c r="J49">
        <v>16.02</v>
      </c>
      <c r="K49">
        <v>16.78</v>
      </c>
    </row>
    <row r="50" spans="1:11">
      <c r="A50" s="9" t="s">
        <v>8</v>
      </c>
      <c r="B50">
        <v>21.82</v>
      </c>
      <c r="C50">
        <v>25.34</v>
      </c>
      <c r="D50">
        <v>26.7</v>
      </c>
      <c r="E50">
        <v>25.73</v>
      </c>
      <c r="F50">
        <v>26.65</v>
      </c>
      <c r="G50">
        <v>27.12</v>
      </c>
      <c r="H50">
        <v>27.42</v>
      </c>
      <c r="I50">
        <v>28.41</v>
      </c>
      <c r="J50">
        <v>29.24</v>
      </c>
      <c r="K50">
        <v>32.229999999999997</v>
      </c>
    </row>
    <row r="51" spans="1:11">
      <c r="A51" s="9"/>
    </row>
    <row r="52" spans="1:11">
      <c r="A52" s="9"/>
    </row>
    <row r="53" spans="1:11">
      <c r="A53" s="9"/>
    </row>
    <row r="54" spans="1:11">
      <c r="A54" s="9"/>
    </row>
    <row r="55" spans="1:11">
      <c r="A55" s="1" t="s">
        <v>40</v>
      </c>
    </row>
    <row r="56" spans="1:11" s="24" customFormat="1">
      <c r="A56" s="23" t="s">
        <v>38</v>
      </c>
      <c r="B56" s="16">
        <v>39538</v>
      </c>
      <c r="C56" s="16">
        <v>39903</v>
      </c>
      <c r="D56" s="16">
        <v>40268</v>
      </c>
      <c r="E56" s="16">
        <v>40633</v>
      </c>
      <c r="F56" s="16">
        <v>40999</v>
      </c>
      <c r="G56" s="16">
        <v>41364</v>
      </c>
      <c r="H56" s="16">
        <v>41729</v>
      </c>
      <c r="I56" s="16">
        <v>42094</v>
      </c>
      <c r="J56" s="16">
        <v>42460</v>
      </c>
      <c r="K56" s="16">
        <v>42825</v>
      </c>
    </row>
    <row r="57" spans="1:11">
      <c r="A57" s="9" t="s">
        <v>24</v>
      </c>
      <c r="B57">
        <v>5.88</v>
      </c>
      <c r="C57">
        <v>5.88</v>
      </c>
      <c r="D57">
        <v>5.88</v>
      </c>
      <c r="E57">
        <v>5.88</v>
      </c>
      <c r="F57">
        <v>5.88</v>
      </c>
      <c r="G57">
        <v>5.88</v>
      </c>
      <c r="H57">
        <v>5.88</v>
      </c>
      <c r="I57">
        <v>5.88</v>
      </c>
      <c r="J57">
        <v>5.88</v>
      </c>
      <c r="K57">
        <v>5.73</v>
      </c>
    </row>
    <row r="58" spans="1:11">
      <c r="A58" s="9" t="s">
        <v>25</v>
      </c>
      <c r="B58">
        <v>105.34</v>
      </c>
      <c r="C58">
        <v>115.13</v>
      </c>
      <c r="D58">
        <v>130.44</v>
      </c>
      <c r="E58">
        <v>169.55</v>
      </c>
      <c r="F58">
        <v>190.01</v>
      </c>
      <c r="G58">
        <v>214.51</v>
      </c>
      <c r="H58">
        <v>254.06</v>
      </c>
      <c r="I58">
        <v>295.33</v>
      </c>
      <c r="J58">
        <v>329.17</v>
      </c>
      <c r="K58">
        <v>368.86</v>
      </c>
    </row>
    <row r="59" spans="1:11">
      <c r="A59" s="9" t="s">
        <v>72</v>
      </c>
      <c r="B59">
        <v>279.2</v>
      </c>
      <c r="C59">
        <v>251.55</v>
      </c>
      <c r="D59">
        <v>233.96</v>
      </c>
      <c r="E59">
        <v>260.10000000000002</v>
      </c>
      <c r="F59">
        <v>152.19999999999999</v>
      </c>
      <c r="G59">
        <v>93.75</v>
      </c>
      <c r="H59">
        <v>100.25</v>
      </c>
      <c r="I59">
        <v>62.63</v>
      </c>
      <c r="J59">
        <v>19.71</v>
      </c>
      <c r="K59">
        <v>7.49</v>
      </c>
    </row>
    <row r="60" spans="1:11">
      <c r="A60" s="9" t="s">
        <v>73</v>
      </c>
      <c r="B60">
        <v>66.959999999999994</v>
      </c>
      <c r="C60">
        <v>65.319999999999993</v>
      </c>
      <c r="D60">
        <v>94.58</v>
      </c>
      <c r="E60">
        <v>105.14</v>
      </c>
      <c r="F60">
        <v>89.97</v>
      </c>
      <c r="G60">
        <v>108.38</v>
      </c>
      <c r="H60">
        <v>94.58</v>
      </c>
      <c r="I60">
        <v>86.02</v>
      </c>
      <c r="J60">
        <v>69.3</v>
      </c>
      <c r="K60">
        <v>93.93</v>
      </c>
    </row>
    <row r="61" spans="1:11" s="1" customFormat="1">
      <c r="A61" s="1" t="s">
        <v>26</v>
      </c>
      <c r="B61">
        <v>457.38</v>
      </c>
      <c r="C61">
        <v>437.88</v>
      </c>
      <c r="D61">
        <v>464.86</v>
      </c>
      <c r="E61">
        <v>540.66999999999996</v>
      </c>
      <c r="F61">
        <v>438.06</v>
      </c>
      <c r="G61">
        <v>422.52</v>
      </c>
      <c r="H61">
        <v>454.77</v>
      </c>
      <c r="I61">
        <v>449.86</v>
      </c>
      <c r="J61">
        <v>424.06</v>
      </c>
      <c r="K61">
        <v>476.01</v>
      </c>
    </row>
    <row r="62" spans="1:11">
      <c r="A62" s="9" t="s">
        <v>27</v>
      </c>
      <c r="B62">
        <v>272.57</v>
      </c>
      <c r="C62">
        <v>290.8</v>
      </c>
      <c r="D62">
        <v>271.52999999999997</v>
      </c>
      <c r="E62">
        <v>331.37</v>
      </c>
      <c r="F62">
        <v>310.12</v>
      </c>
      <c r="G62">
        <v>291.31</v>
      </c>
      <c r="H62">
        <v>288.86</v>
      </c>
      <c r="I62">
        <v>269.97000000000003</v>
      </c>
      <c r="J62">
        <v>255.14</v>
      </c>
      <c r="K62">
        <v>253.93</v>
      </c>
    </row>
    <row r="63" spans="1:11">
      <c r="A63" s="9" t="s">
        <v>28</v>
      </c>
      <c r="B63">
        <v>20.93</v>
      </c>
      <c r="C63">
        <v>0.38</v>
      </c>
      <c r="D63">
        <v>0.66</v>
      </c>
      <c r="E63">
        <v>0.57999999999999996</v>
      </c>
      <c r="F63"/>
      <c r="G63">
        <v>0.36</v>
      </c>
      <c r="H63">
        <v>1</v>
      </c>
      <c r="I63">
        <v>0.01</v>
      </c>
      <c r="J63"/>
      <c r="K63"/>
    </row>
    <row r="64" spans="1:11">
      <c r="A64" s="9" t="s">
        <v>29</v>
      </c>
      <c r="B64">
        <v>0.21</v>
      </c>
      <c r="C64">
        <v>0.11</v>
      </c>
      <c r="D64">
        <v>0.05</v>
      </c>
      <c r="E64">
        <v>0.06</v>
      </c>
      <c r="F64">
        <v>0.05</v>
      </c>
      <c r="G64">
        <v>0.06</v>
      </c>
      <c r="H64">
        <v>7.0000000000000007E-2</v>
      </c>
      <c r="I64">
        <v>0.08</v>
      </c>
      <c r="J64">
        <v>0.11</v>
      </c>
      <c r="K64">
        <v>0.11</v>
      </c>
    </row>
    <row r="65" spans="1:11">
      <c r="A65" s="9" t="s">
        <v>74</v>
      </c>
      <c r="B65">
        <v>163.66999999999999</v>
      </c>
      <c r="C65">
        <v>146.59</v>
      </c>
      <c r="D65">
        <v>192.62</v>
      </c>
      <c r="E65">
        <v>208.66</v>
      </c>
      <c r="F65">
        <v>127.89</v>
      </c>
      <c r="G65">
        <v>130.79</v>
      </c>
      <c r="H65">
        <v>164.84</v>
      </c>
      <c r="I65">
        <v>179.8</v>
      </c>
      <c r="J65">
        <v>168.81</v>
      </c>
      <c r="K65">
        <v>221.97</v>
      </c>
    </row>
    <row r="66" spans="1:11" s="1" customFormat="1">
      <c r="A66" s="1" t="s">
        <v>26</v>
      </c>
      <c r="B66">
        <v>457.38</v>
      </c>
      <c r="C66">
        <v>437.88</v>
      </c>
      <c r="D66">
        <v>464.86</v>
      </c>
      <c r="E66">
        <v>540.66999999999996</v>
      </c>
      <c r="F66">
        <v>438.06</v>
      </c>
      <c r="G66">
        <v>422.52</v>
      </c>
      <c r="H66">
        <v>454.77</v>
      </c>
      <c r="I66">
        <v>449.86</v>
      </c>
      <c r="J66">
        <v>424.06</v>
      </c>
      <c r="K66">
        <v>476.01</v>
      </c>
    </row>
    <row r="67" spans="1:11" s="9" customFormat="1">
      <c r="A67" s="9" t="s">
        <v>79</v>
      </c>
      <c r="B67">
        <v>4.26</v>
      </c>
      <c r="C67">
        <v>7.22</v>
      </c>
      <c r="D67">
        <v>23.66</v>
      </c>
      <c r="E67">
        <v>21.17</v>
      </c>
      <c r="F67">
        <v>10.53</v>
      </c>
      <c r="G67">
        <v>6.53</v>
      </c>
      <c r="H67">
        <v>5.7</v>
      </c>
      <c r="I67">
        <v>6.04</v>
      </c>
      <c r="J67">
        <v>18.5</v>
      </c>
      <c r="K67">
        <v>41.04</v>
      </c>
    </row>
    <row r="68" spans="1:11">
      <c r="A68" s="9" t="s">
        <v>45</v>
      </c>
      <c r="B68">
        <v>108.11</v>
      </c>
      <c r="C68">
        <v>108.92</v>
      </c>
      <c r="D68">
        <v>136.62</v>
      </c>
      <c r="E68">
        <v>150.43</v>
      </c>
      <c r="F68">
        <v>82.72</v>
      </c>
      <c r="G68">
        <v>92.18</v>
      </c>
      <c r="H68">
        <v>132.9</v>
      </c>
      <c r="I68">
        <v>144.53</v>
      </c>
      <c r="J68">
        <v>124.17</v>
      </c>
      <c r="K68">
        <v>151.5</v>
      </c>
    </row>
    <row r="69" spans="1:11">
      <c r="A69" s="5" t="s">
        <v>88</v>
      </c>
      <c r="B69">
        <v>13.02</v>
      </c>
      <c r="C69">
        <v>2.23</v>
      </c>
      <c r="D69">
        <v>5.6</v>
      </c>
      <c r="E69">
        <v>2.65</v>
      </c>
      <c r="F69">
        <v>2.04</v>
      </c>
      <c r="G69">
        <v>1.53</v>
      </c>
      <c r="H69">
        <v>2.74</v>
      </c>
      <c r="I69">
        <v>2.84</v>
      </c>
      <c r="J69">
        <v>4.78</v>
      </c>
      <c r="K69">
        <v>13.47</v>
      </c>
    </row>
    <row r="70" spans="1:11">
      <c r="A70" s="5" t="s">
        <v>75</v>
      </c>
      <c r="B70">
        <v>5875000</v>
      </c>
      <c r="C70">
        <v>5875000</v>
      </c>
      <c r="D70">
        <v>5875000</v>
      </c>
      <c r="E70">
        <v>5875000</v>
      </c>
      <c r="F70">
        <v>5875000</v>
      </c>
      <c r="G70">
        <v>5875000</v>
      </c>
      <c r="H70">
        <v>5875000</v>
      </c>
      <c r="I70">
        <v>5875000</v>
      </c>
      <c r="J70">
        <v>5875000</v>
      </c>
      <c r="K70">
        <v>5725000</v>
      </c>
    </row>
    <row r="71" spans="1:11">
      <c r="A71" s="5" t="s">
        <v>76</v>
      </c>
    </row>
    <row r="72" spans="1:11">
      <c r="A72" s="5" t="s">
        <v>89</v>
      </c>
      <c r="B72">
        <v>10</v>
      </c>
      <c r="C72">
        <v>10</v>
      </c>
      <c r="D72">
        <v>10</v>
      </c>
      <c r="E72">
        <v>10</v>
      </c>
      <c r="F72">
        <v>10</v>
      </c>
      <c r="G72">
        <v>10</v>
      </c>
      <c r="H72">
        <v>10</v>
      </c>
      <c r="I72">
        <v>10</v>
      </c>
      <c r="J72">
        <v>10</v>
      </c>
      <c r="K72">
        <v>10</v>
      </c>
    </row>
    <row r="74" spans="1:11">
      <c r="A74" s="9"/>
    </row>
    <row r="75" spans="1:11">
      <c r="A75" s="9"/>
    </row>
    <row r="76" spans="1:11">
      <c r="A76" s="9"/>
    </row>
    <row r="77" spans="1:11">
      <c r="A77" s="9"/>
    </row>
    <row r="78" spans="1:11">
      <c r="A78" s="9"/>
    </row>
    <row r="79" spans="1:11">
      <c r="A79" s="9"/>
    </row>
    <row r="80" spans="1:11">
      <c r="A80" s="1" t="s">
        <v>41</v>
      </c>
    </row>
    <row r="81" spans="1:11" s="24" customFormat="1">
      <c r="A81" s="23" t="s">
        <v>38</v>
      </c>
      <c r="B81" s="16">
        <v>39538</v>
      </c>
      <c r="C81" s="16">
        <v>39903</v>
      </c>
      <c r="D81" s="16">
        <v>40268</v>
      </c>
      <c r="E81" s="16">
        <v>40633</v>
      </c>
      <c r="F81" s="16">
        <v>40999</v>
      </c>
      <c r="G81" s="16">
        <v>41364</v>
      </c>
      <c r="H81" s="16">
        <v>41729</v>
      </c>
      <c r="I81" s="16">
        <v>42094</v>
      </c>
      <c r="J81" s="16">
        <v>42460</v>
      </c>
      <c r="K81" s="16">
        <v>42825</v>
      </c>
    </row>
    <row r="82" spans="1:11" s="1" customFormat="1">
      <c r="A82" s="9" t="s">
        <v>32</v>
      </c>
      <c r="B82">
        <v>40.479999999999997</v>
      </c>
      <c r="C82">
        <v>50.79</v>
      </c>
      <c r="D82">
        <v>38.630000000000003</v>
      </c>
      <c r="E82">
        <v>72.69</v>
      </c>
      <c r="F82">
        <v>135.4</v>
      </c>
      <c r="G82">
        <v>87.41</v>
      </c>
      <c r="H82">
        <v>37.82</v>
      </c>
      <c r="I82">
        <v>42.95</v>
      </c>
      <c r="J82">
        <v>66.98</v>
      </c>
      <c r="K82">
        <v>68.540000000000006</v>
      </c>
    </row>
    <row r="83" spans="1:11" s="9" customFormat="1">
      <c r="A83" s="9" t="s">
        <v>33</v>
      </c>
      <c r="B83">
        <v>-92.95</v>
      </c>
      <c r="C83">
        <v>-14.98</v>
      </c>
      <c r="D83">
        <v>-1.57</v>
      </c>
      <c r="E83">
        <v>-82.51</v>
      </c>
      <c r="F83">
        <v>-4.3099999999999996</v>
      </c>
      <c r="G83">
        <v>-8.73</v>
      </c>
      <c r="H83">
        <v>-28.48</v>
      </c>
      <c r="I83">
        <v>-9.2799999999999994</v>
      </c>
      <c r="J83">
        <v>-12.91</v>
      </c>
      <c r="K83">
        <v>-27.67</v>
      </c>
    </row>
    <row r="84" spans="1:11" s="9" customFormat="1">
      <c r="A84" s="9" t="s">
        <v>34</v>
      </c>
      <c r="B84">
        <v>59.98</v>
      </c>
      <c r="C84">
        <v>-46.6</v>
      </c>
      <c r="D84">
        <v>-33.700000000000003</v>
      </c>
      <c r="E84">
        <v>6.87</v>
      </c>
      <c r="F84">
        <v>-131.69</v>
      </c>
      <c r="G84">
        <v>-79.19</v>
      </c>
      <c r="H84">
        <v>-8.1199999999999992</v>
      </c>
      <c r="I84">
        <v>-33.56</v>
      </c>
      <c r="J84">
        <v>-52.14</v>
      </c>
      <c r="K84">
        <v>-32.18</v>
      </c>
    </row>
    <row r="85" spans="1:11" s="1" customFormat="1">
      <c r="A85" s="9" t="s">
        <v>35</v>
      </c>
      <c r="B85">
        <v>7.51</v>
      </c>
      <c r="C85">
        <v>-10.79</v>
      </c>
      <c r="D85">
        <v>3.36</v>
      </c>
      <c r="E85">
        <v>-2.95</v>
      </c>
      <c r="F85">
        <v>-0.6</v>
      </c>
      <c r="G85">
        <v>-0.51</v>
      </c>
      <c r="H85">
        <v>1.22</v>
      </c>
      <c r="I85">
        <v>0.1</v>
      </c>
      <c r="J85">
        <v>1.94</v>
      </c>
      <c r="K85">
        <v>8.69</v>
      </c>
    </row>
    <row r="86" spans="1:11">
      <c r="A86" s="9"/>
    </row>
    <row r="87" spans="1:11">
      <c r="A87" s="9"/>
    </row>
    <row r="88" spans="1:11">
      <c r="A88" s="9"/>
    </row>
    <row r="89" spans="1:11">
      <c r="A89" s="9"/>
    </row>
    <row r="90" spans="1:11" s="1" customFormat="1">
      <c r="A90" s="1" t="s">
        <v>78</v>
      </c>
      <c r="B90">
        <v>109.42381</v>
      </c>
      <c r="C90">
        <v>51.241667</v>
      </c>
      <c r="D90">
        <v>168.31428600000001</v>
      </c>
      <c r="E90">
        <v>218.2</v>
      </c>
      <c r="F90">
        <v>146.73421099999999</v>
      </c>
      <c r="G90">
        <v>198.59722199999999</v>
      </c>
      <c r="H90">
        <v>294.52631600000001</v>
      </c>
      <c r="I90">
        <v>869.3</v>
      </c>
      <c r="J90">
        <v>844.25</v>
      </c>
      <c r="K90">
        <v>1363.4605260000001</v>
      </c>
    </row>
    <row r="92" spans="1:11" s="1" customFormat="1">
      <c r="A92" s="1" t="s">
        <v>77</v>
      </c>
    </row>
    <row r="93" spans="1:11">
      <c r="A93" s="5" t="s">
        <v>90</v>
      </c>
      <c r="B93" s="31">
        <f>IF($B7&gt;0,(B70*B72/$B7)+SUM(C71:$K71),0)/10000000</f>
        <v>0.58750000000000002</v>
      </c>
      <c r="C93" s="31">
        <f>IF($B7&gt;0,(C70*C72/$B7)+SUM(D71:$K71),0)/10000000</f>
        <v>0.58750000000000002</v>
      </c>
      <c r="D93" s="31">
        <f>IF($B7&gt;0,(D70*D72/$B7)+SUM(E71:$K71),0)/10000000</f>
        <v>0.58750000000000002</v>
      </c>
      <c r="E93" s="31">
        <f>IF($B7&gt;0,(E70*E72/$B7)+SUM(F71:$K71),0)/10000000</f>
        <v>0.58750000000000002</v>
      </c>
      <c r="F93" s="31">
        <f>IF($B7&gt;0,(F70*F72/$B7)+SUM(G71:$K71),0)/10000000</f>
        <v>0.58750000000000002</v>
      </c>
      <c r="G93" s="31">
        <f>IF($B7&gt;0,(G70*G72/$B7)+SUM(H71:$K71),0)/10000000</f>
        <v>0.58750000000000002</v>
      </c>
      <c r="H93" s="31">
        <f>IF($B7&gt;0,(H70*H72/$B7)+SUM(I71:$K71),0)/10000000</f>
        <v>0.58750000000000002</v>
      </c>
      <c r="I93" s="31">
        <f>IF($B7&gt;0,(I70*I72/$B7)+SUM(J71:$K71),0)/10000000</f>
        <v>0.58750000000000002</v>
      </c>
      <c r="J93" s="31">
        <f>IF($B7&gt;0,(J70*J72/$B7)+SUM(K71:$K71),0)/10000000</f>
        <v>0.58750000000000002</v>
      </c>
      <c r="K93" s="31">
        <f>IF($B7&gt;0,(K70*K72/$B7),0)/10000000</f>
        <v>0.57250000000000001</v>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dimension ref="A1:NJ5"/>
  <sheetViews>
    <sheetView workbookViewId="0">
      <selection activeCell="D9" sqref="D9"/>
    </sheetView>
  </sheetViews>
  <sheetFormatPr defaultRowHeight="15"/>
  <cols>
    <col min="1" max="1" width="23.140625" bestFit="1" customWidth="1"/>
    <col min="2" max="4" width="23.140625" customWidth="1"/>
    <col min="5" max="374" width="30.140625" style="37" customWidth="1"/>
  </cols>
  <sheetData>
    <row r="1" spans="1:374">
      <c r="E1" s="37">
        <v>0</v>
      </c>
      <c r="F1" s="37">
        <v>1</v>
      </c>
      <c r="G1" s="37">
        <v>2</v>
      </c>
      <c r="H1" s="37">
        <v>3</v>
      </c>
      <c r="I1" s="37">
        <v>4</v>
      </c>
      <c r="J1" s="37">
        <v>5</v>
      </c>
      <c r="K1" s="37">
        <v>6</v>
      </c>
      <c r="L1" s="37">
        <v>7</v>
      </c>
      <c r="M1" s="37">
        <v>8</v>
      </c>
      <c r="N1" s="37">
        <v>9</v>
      </c>
      <c r="O1" s="37">
        <v>10</v>
      </c>
      <c r="P1" s="37">
        <v>11</v>
      </c>
      <c r="Q1" s="37">
        <v>12</v>
      </c>
      <c r="R1" s="37">
        <v>13</v>
      </c>
      <c r="S1" s="37">
        <v>14</v>
      </c>
      <c r="T1" s="37">
        <v>40</v>
      </c>
      <c r="U1" s="37">
        <v>41</v>
      </c>
      <c r="V1" s="37">
        <v>42</v>
      </c>
      <c r="W1" s="37">
        <v>43</v>
      </c>
      <c r="X1" s="37">
        <v>44</v>
      </c>
      <c r="Y1" s="37">
        <v>45</v>
      </c>
      <c r="Z1" s="37">
        <v>46</v>
      </c>
      <c r="AA1" s="37">
        <v>47</v>
      </c>
      <c r="AB1" s="37">
        <v>48</v>
      </c>
      <c r="AC1" s="37">
        <v>49</v>
      </c>
      <c r="AD1" s="37">
        <v>50</v>
      </c>
      <c r="AE1" s="37">
        <v>51</v>
      </c>
      <c r="AF1" s="37">
        <v>52</v>
      </c>
      <c r="AG1" s="37">
        <v>53</v>
      </c>
      <c r="AH1" s="37">
        <v>54</v>
      </c>
      <c r="AI1" s="37">
        <v>55</v>
      </c>
      <c r="AJ1" s="37">
        <v>65</v>
      </c>
      <c r="AK1" s="37">
        <v>66</v>
      </c>
      <c r="AL1" s="37">
        <v>67</v>
      </c>
      <c r="AM1" s="37">
        <v>68</v>
      </c>
      <c r="AN1" s="37">
        <v>73</v>
      </c>
      <c r="AO1" s="37">
        <v>76</v>
      </c>
      <c r="AP1" s="37">
        <v>0</v>
      </c>
      <c r="AQ1" s="37">
        <v>1</v>
      </c>
      <c r="AR1" s="37">
        <v>2</v>
      </c>
      <c r="AS1" s="37">
        <v>3</v>
      </c>
      <c r="AT1" s="37">
        <v>4</v>
      </c>
      <c r="AU1" s="37">
        <v>5</v>
      </c>
      <c r="AV1" s="37">
        <v>6</v>
      </c>
      <c r="AW1" s="37">
        <v>7</v>
      </c>
      <c r="AX1" s="37">
        <v>8</v>
      </c>
      <c r="AY1" s="37">
        <v>9</v>
      </c>
      <c r="AZ1" s="37">
        <v>10</v>
      </c>
      <c r="BA1" s="37">
        <v>11</v>
      </c>
      <c r="BB1" s="37">
        <v>12</v>
      </c>
      <c r="BC1" s="37">
        <v>13</v>
      </c>
      <c r="BD1" s="37">
        <v>14</v>
      </c>
      <c r="BE1" s="37">
        <v>40</v>
      </c>
      <c r="BF1" s="37">
        <v>41</v>
      </c>
      <c r="BG1" s="37">
        <v>42</v>
      </c>
      <c r="BH1" s="37">
        <v>43</v>
      </c>
      <c r="BI1" s="37">
        <v>44</v>
      </c>
      <c r="BJ1" s="37">
        <v>45</v>
      </c>
      <c r="BK1" s="37">
        <v>46</v>
      </c>
      <c r="BL1" s="37">
        <v>47</v>
      </c>
      <c r="BM1" s="37">
        <v>48</v>
      </c>
      <c r="BN1" s="37">
        <v>49</v>
      </c>
      <c r="BO1" s="37">
        <v>50</v>
      </c>
      <c r="BP1" s="37">
        <v>51</v>
      </c>
      <c r="BQ1" s="37">
        <v>52</v>
      </c>
      <c r="BR1" s="37">
        <v>53</v>
      </c>
      <c r="BS1" s="37">
        <v>54</v>
      </c>
      <c r="BT1" s="37">
        <v>55</v>
      </c>
      <c r="BU1" s="37">
        <v>65</v>
      </c>
      <c r="BV1" s="37">
        <v>66</v>
      </c>
      <c r="BW1" s="37">
        <v>67</v>
      </c>
      <c r="BX1" s="37">
        <v>68</v>
      </c>
      <c r="BY1" s="37">
        <v>73</v>
      </c>
      <c r="BZ1" s="37">
        <v>76</v>
      </c>
      <c r="CA1" s="37">
        <v>0</v>
      </c>
      <c r="CB1" s="37">
        <v>1</v>
      </c>
      <c r="CC1" s="37">
        <v>2</v>
      </c>
      <c r="CD1" s="37">
        <v>3</v>
      </c>
      <c r="CE1" s="37">
        <v>4</v>
      </c>
      <c r="CF1" s="37">
        <v>5</v>
      </c>
      <c r="CG1" s="37">
        <v>6</v>
      </c>
      <c r="CH1" s="37">
        <v>7</v>
      </c>
      <c r="CI1" s="37">
        <v>8</v>
      </c>
      <c r="CJ1" s="37">
        <v>9</v>
      </c>
      <c r="CK1" s="37">
        <v>10</v>
      </c>
      <c r="CL1" s="37">
        <v>11</v>
      </c>
      <c r="CM1" s="37">
        <v>12</v>
      </c>
      <c r="CN1" s="37">
        <v>13</v>
      </c>
      <c r="CO1" s="37">
        <v>14</v>
      </c>
      <c r="CP1" s="37">
        <v>40</v>
      </c>
      <c r="CQ1" s="37">
        <v>41</v>
      </c>
      <c r="CR1" s="37">
        <v>42</v>
      </c>
      <c r="CS1" s="37">
        <v>43</v>
      </c>
      <c r="CT1" s="37">
        <v>44</v>
      </c>
      <c r="CU1" s="37">
        <v>45</v>
      </c>
      <c r="CV1" s="37">
        <v>46</v>
      </c>
      <c r="CW1" s="37">
        <v>47</v>
      </c>
      <c r="CX1" s="37">
        <v>48</v>
      </c>
      <c r="CY1" s="37">
        <v>49</v>
      </c>
      <c r="CZ1" s="37">
        <v>50</v>
      </c>
      <c r="DA1" s="37">
        <v>51</v>
      </c>
      <c r="DB1" s="37">
        <v>52</v>
      </c>
      <c r="DC1" s="37">
        <v>53</v>
      </c>
      <c r="DD1" s="37">
        <v>54</v>
      </c>
      <c r="DE1" s="37">
        <v>55</v>
      </c>
      <c r="DF1" s="37">
        <v>65</v>
      </c>
      <c r="DG1" s="37">
        <v>66</v>
      </c>
      <c r="DH1" s="37">
        <v>67</v>
      </c>
      <c r="DI1" s="37">
        <v>68</v>
      </c>
      <c r="DJ1" s="37">
        <v>73</v>
      </c>
      <c r="DK1" s="37">
        <v>76</v>
      </c>
      <c r="DL1" s="37">
        <v>0</v>
      </c>
      <c r="DM1" s="37">
        <v>1</v>
      </c>
      <c r="DN1" s="37">
        <v>2</v>
      </c>
      <c r="DO1" s="37">
        <v>3</v>
      </c>
      <c r="DP1" s="37">
        <v>4</v>
      </c>
      <c r="DQ1" s="37">
        <v>5</v>
      </c>
      <c r="DR1" s="37">
        <v>6</v>
      </c>
      <c r="DS1" s="37">
        <v>7</v>
      </c>
      <c r="DT1" s="37">
        <v>8</v>
      </c>
      <c r="DU1" s="37">
        <v>9</v>
      </c>
      <c r="DV1" s="37">
        <v>10</v>
      </c>
      <c r="DW1" s="37">
        <v>11</v>
      </c>
      <c r="DX1" s="37">
        <v>12</v>
      </c>
      <c r="DY1" s="37">
        <v>13</v>
      </c>
      <c r="DZ1" s="37">
        <v>14</v>
      </c>
      <c r="EA1" s="37">
        <v>40</v>
      </c>
      <c r="EB1" s="37">
        <v>41</v>
      </c>
      <c r="EC1" s="37">
        <v>42</v>
      </c>
      <c r="ED1" s="37">
        <v>43</v>
      </c>
      <c r="EE1" s="37">
        <v>44</v>
      </c>
      <c r="EF1" s="37">
        <v>45</v>
      </c>
      <c r="EG1" s="37">
        <v>46</v>
      </c>
      <c r="EH1" s="37">
        <v>47</v>
      </c>
      <c r="EI1" s="37">
        <v>48</v>
      </c>
      <c r="EJ1" s="37">
        <v>49</v>
      </c>
      <c r="EK1" s="37">
        <v>50</v>
      </c>
      <c r="EL1" s="37">
        <v>51</v>
      </c>
      <c r="EM1" s="37">
        <v>52</v>
      </c>
      <c r="EN1" s="37">
        <v>53</v>
      </c>
      <c r="EO1" s="37">
        <v>54</v>
      </c>
      <c r="EP1" s="37">
        <v>55</v>
      </c>
      <c r="EQ1" s="37">
        <v>65</v>
      </c>
      <c r="ER1" s="37">
        <v>66</v>
      </c>
      <c r="ES1" s="37">
        <v>67</v>
      </c>
      <c r="ET1" s="37">
        <v>68</v>
      </c>
      <c r="EU1" s="37">
        <v>73</v>
      </c>
      <c r="EV1" s="37">
        <v>76</v>
      </c>
      <c r="EW1" s="37">
        <v>0</v>
      </c>
      <c r="EX1" s="37">
        <v>1</v>
      </c>
      <c r="EY1" s="37">
        <v>2</v>
      </c>
      <c r="EZ1" s="37">
        <v>3</v>
      </c>
      <c r="FA1" s="37">
        <v>4</v>
      </c>
      <c r="FB1" s="37">
        <v>5</v>
      </c>
      <c r="FC1" s="37">
        <v>6</v>
      </c>
      <c r="FD1" s="37">
        <v>7</v>
      </c>
      <c r="FE1" s="37">
        <v>8</v>
      </c>
      <c r="FF1" s="37">
        <v>9</v>
      </c>
      <c r="FG1" s="37">
        <v>10</v>
      </c>
      <c r="FH1" s="37">
        <v>11</v>
      </c>
      <c r="FI1" s="37">
        <v>12</v>
      </c>
      <c r="FJ1" s="37">
        <v>13</v>
      </c>
      <c r="FK1" s="37">
        <v>14</v>
      </c>
      <c r="FL1" s="37">
        <v>40</v>
      </c>
      <c r="FM1" s="37">
        <v>41</v>
      </c>
      <c r="FN1" s="37">
        <v>42</v>
      </c>
      <c r="FO1" s="37">
        <v>43</v>
      </c>
      <c r="FP1" s="37">
        <v>44</v>
      </c>
      <c r="FQ1" s="37">
        <v>45</v>
      </c>
      <c r="FR1" s="37">
        <v>46</v>
      </c>
      <c r="FS1" s="37">
        <v>47</v>
      </c>
      <c r="FT1" s="37">
        <v>48</v>
      </c>
      <c r="FU1" s="37">
        <v>49</v>
      </c>
      <c r="FV1" s="37">
        <v>50</v>
      </c>
      <c r="FW1" s="37">
        <v>51</v>
      </c>
      <c r="FX1" s="37">
        <v>52</v>
      </c>
      <c r="FY1" s="37">
        <v>53</v>
      </c>
      <c r="FZ1" s="37">
        <v>54</v>
      </c>
      <c r="GA1" s="37">
        <v>55</v>
      </c>
      <c r="GB1" s="37">
        <v>65</v>
      </c>
      <c r="GC1" s="37">
        <v>66</v>
      </c>
      <c r="GD1" s="37">
        <v>67</v>
      </c>
      <c r="GE1" s="37">
        <v>68</v>
      </c>
      <c r="GF1" s="37">
        <v>73</v>
      </c>
      <c r="GG1" s="37">
        <v>76</v>
      </c>
      <c r="GH1" s="37">
        <v>0</v>
      </c>
      <c r="GI1" s="37">
        <v>1</v>
      </c>
      <c r="GJ1" s="37">
        <v>2</v>
      </c>
      <c r="GK1" s="37">
        <v>3</v>
      </c>
      <c r="GL1" s="37">
        <v>4</v>
      </c>
      <c r="GM1" s="37">
        <v>5</v>
      </c>
      <c r="GN1" s="37">
        <v>6</v>
      </c>
      <c r="GO1" s="37">
        <v>7</v>
      </c>
      <c r="GP1" s="37">
        <v>8</v>
      </c>
      <c r="GQ1" s="37">
        <v>9</v>
      </c>
      <c r="GR1" s="37">
        <v>10</v>
      </c>
      <c r="GS1" s="37">
        <v>11</v>
      </c>
      <c r="GT1" s="37">
        <v>12</v>
      </c>
      <c r="GU1" s="37">
        <v>13</v>
      </c>
      <c r="GV1" s="37">
        <v>14</v>
      </c>
      <c r="GW1" s="37">
        <v>40</v>
      </c>
      <c r="GX1" s="37">
        <v>41</v>
      </c>
      <c r="GY1" s="37">
        <v>42</v>
      </c>
      <c r="GZ1" s="37">
        <v>43</v>
      </c>
      <c r="HA1" s="37">
        <v>44</v>
      </c>
      <c r="HB1" s="37">
        <v>45</v>
      </c>
      <c r="HC1" s="37">
        <v>46</v>
      </c>
      <c r="HD1" s="37">
        <v>47</v>
      </c>
      <c r="HE1" s="37">
        <v>48</v>
      </c>
      <c r="HF1" s="37">
        <v>49</v>
      </c>
      <c r="HG1" s="37">
        <v>50</v>
      </c>
      <c r="HH1" s="37">
        <v>51</v>
      </c>
      <c r="HI1" s="37">
        <v>52</v>
      </c>
      <c r="HJ1" s="37">
        <v>53</v>
      </c>
      <c r="HK1" s="37">
        <v>54</v>
      </c>
      <c r="HL1" s="37">
        <v>55</v>
      </c>
      <c r="HM1" s="37">
        <v>65</v>
      </c>
      <c r="HN1" s="37">
        <v>66</v>
      </c>
      <c r="HO1" s="37">
        <v>67</v>
      </c>
      <c r="HP1" s="37">
        <v>68</v>
      </c>
      <c r="HQ1" s="37">
        <v>73</v>
      </c>
      <c r="HR1" s="37">
        <v>76</v>
      </c>
      <c r="HS1" s="37">
        <v>0</v>
      </c>
      <c r="HT1" s="37">
        <v>1</v>
      </c>
      <c r="HU1" s="37">
        <v>2</v>
      </c>
      <c r="HV1" s="37">
        <v>3</v>
      </c>
      <c r="HW1" s="37">
        <v>4</v>
      </c>
      <c r="HX1" s="37">
        <v>5</v>
      </c>
      <c r="HY1" s="37">
        <v>6</v>
      </c>
      <c r="HZ1" s="37">
        <v>7</v>
      </c>
      <c r="IA1" s="37">
        <v>8</v>
      </c>
      <c r="IB1" s="37">
        <v>9</v>
      </c>
      <c r="IC1" s="37">
        <v>10</v>
      </c>
      <c r="ID1" s="37">
        <v>11</v>
      </c>
      <c r="IE1" s="37">
        <v>12</v>
      </c>
      <c r="IF1" s="37">
        <v>13</v>
      </c>
      <c r="IG1" s="37">
        <v>14</v>
      </c>
      <c r="IH1" s="37">
        <v>40</v>
      </c>
      <c r="II1" s="37">
        <v>41</v>
      </c>
      <c r="IJ1" s="37">
        <v>42</v>
      </c>
      <c r="IK1" s="37">
        <v>43</v>
      </c>
      <c r="IL1" s="37">
        <v>44</v>
      </c>
      <c r="IM1" s="37">
        <v>45</v>
      </c>
      <c r="IN1" s="37">
        <v>46</v>
      </c>
      <c r="IO1" s="37">
        <v>47</v>
      </c>
      <c r="IP1" s="37">
        <v>48</v>
      </c>
      <c r="IQ1" s="37">
        <v>49</v>
      </c>
      <c r="IR1" s="37">
        <v>50</v>
      </c>
      <c r="IS1" s="37">
        <v>51</v>
      </c>
      <c r="IT1" s="37">
        <v>52</v>
      </c>
      <c r="IU1" s="37">
        <v>53</v>
      </c>
      <c r="IV1" s="37">
        <v>54</v>
      </c>
      <c r="IW1" s="37">
        <v>55</v>
      </c>
      <c r="IX1" s="37">
        <v>65</v>
      </c>
      <c r="IY1" s="37">
        <v>66</v>
      </c>
      <c r="IZ1" s="37">
        <v>67</v>
      </c>
      <c r="JA1" s="37">
        <v>68</v>
      </c>
      <c r="JB1" s="37">
        <v>73</v>
      </c>
      <c r="JC1" s="37">
        <v>76</v>
      </c>
      <c r="JD1" s="37">
        <v>0</v>
      </c>
      <c r="JE1" s="37">
        <v>1</v>
      </c>
      <c r="JF1" s="37">
        <v>2</v>
      </c>
      <c r="JG1" s="37">
        <v>3</v>
      </c>
      <c r="JH1" s="37">
        <v>4</v>
      </c>
      <c r="JI1" s="37">
        <v>5</v>
      </c>
      <c r="JJ1" s="37">
        <v>6</v>
      </c>
      <c r="JK1" s="37">
        <v>7</v>
      </c>
      <c r="JL1" s="37">
        <v>8</v>
      </c>
      <c r="JM1" s="37">
        <v>9</v>
      </c>
      <c r="JN1" s="37">
        <v>10</v>
      </c>
      <c r="JO1" s="37">
        <v>11</v>
      </c>
      <c r="JP1" s="37">
        <v>12</v>
      </c>
      <c r="JQ1" s="37">
        <v>13</v>
      </c>
      <c r="JR1" s="37">
        <v>14</v>
      </c>
      <c r="JS1" s="37">
        <v>40</v>
      </c>
      <c r="JT1" s="37">
        <v>41</v>
      </c>
      <c r="JU1" s="37">
        <v>42</v>
      </c>
      <c r="JV1" s="37">
        <v>43</v>
      </c>
      <c r="JW1" s="37">
        <v>44</v>
      </c>
      <c r="JX1" s="37">
        <v>45</v>
      </c>
      <c r="JY1" s="37">
        <v>46</v>
      </c>
      <c r="JZ1" s="37">
        <v>47</v>
      </c>
      <c r="KA1" s="37">
        <v>48</v>
      </c>
      <c r="KB1" s="37">
        <v>49</v>
      </c>
      <c r="KC1" s="37">
        <v>50</v>
      </c>
      <c r="KD1" s="37">
        <v>51</v>
      </c>
      <c r="KE1" s="37">
        <v>52</v>
      </c>
      <c r="KF1" s="37">
        <v>53</v>
      </c>
      <c r="KG1" s="37">
        <v>54</v>
      </c>
      <c r="KH1" s="37">
        <v>55</v>
      </c>
      <c r="KI1" s="37">
        <v>65</v>
      </c>
      <c r="KJ1" s="37">
        <v>66</v>
      </c>
      <c r="KK1" s="37">
        <v>67</v>
      </c>
      <c r="KL1" s="37">
        <v>68</v>
      </c>
      <c r="KM1" s="37">
        <v>73</v>
      </c>
      <c r="KN1" s="37">
        <v>76</v>
      </c>
      <c r="KO1" s="37">
        <v>0</v>
      </c>
      <c r="KP1" s="37">
        <v>1</v>
      </c>
      <c r="KQ1" s="37">
        <v>2</v>
      </c>
      <c r="KR1" s="37">
        <v>3</v>
      </c>
      <c r="KS1" s="37">
        <v>4</v>
      </c>
      <c r="KT1" s="37">
        <v>5</v>
      </c>
      <c r="KU1" s="37">
        <v>6</v>
      </c>
      <c r="KV1" s="37">
        <v>7</v>
      </c>
      <c r="KW1" s="37">
        <v>8</v>
      </c>
      <c r="KX1" s="37">
        <v>9</v>
      </c>
      <c r="KY1" s="37">
        <v>10</v>
      </c>
      <c r="KZ1" s="37">
        <v>11</v>
      </c>
      <c r="LA1" s="37">
        <v>12</v>
      </c>
      <c r="LB1" s="37">
        <v>13</v>
      </c>
      <c r="LC1" s="37">
        <v>14</v>
      </c>
      <c r="LD1" s="37">
        <v>40</v>
      </c>
      <c r="LE1" s="37">
        <v>41</v>
      </c>
      <c r="LF1" s="37">
        <v>42</v>
      </c>
      <c r="LG1" s="37">
        <v>43</v>
      </c>
      <c r="LH1" s="37">
        <v>44</v>
      </c>
      <c r="LI1" s="37">
        <v>45</v>
      </c>
      <c r="LJ1" s="37">
        <v>46</v>
      </c>
      <c r="LK1" s="37">
        <v>47</v>
      </c>
      <c r="LL1" s="37">
        <v>48</v>
      </c>
      <c r="LM1" s="37">
        <v>49</v>
      </c>
      <c r="LN1" s="37">
        <v>50</v>
      </c>
      <c r="LO1" s="37">
        <v>51</v>
      </c>
      <c r="LP1" s="37">
        <v>52</v>
      </c>
      <c r="LQ1" s="37">
        <v>53</v>
      </c>
      <c r="LR1" s="37">
        <v>54</v>
      </c>
      <c r="LS1" s="37">
        <v>55</v>
      </c>
      <c r="LT1" s="37">
        <v>65</v>
      </c>
      <c r="LU1" s="37">
        <v>66</v>
      </c>
      <c r="LV1" s="37">
        <v>67</v>
      </c>
      <c r="LW1" s="37">
        <v>68</v>
      </c>
      <c r="LX1" s="37">
        <v>73</v>
      </c>
      <c r="LY1" s="37">
        <v>76</v>
      </c>
      <c r="LZ1" s="37">
        <v>0</v>
      </c>
      <c r="MA1" s="37">
        <v>1</v>
      </c>
      <c r="MB1" s="37">
        <v>2</v>
      </c>
      <c r="MC1" s="37">
        <v>3</v>
      </c>
      <c r="MD1" s="37">
        <v>4</v>
      </c>
      <c r="ME1" s="37">
        <v>5</v>
      </c>
      <c r="MF1" s="37">
        <v>6</v>
      </c>
      <c r="MG1" s="37">
        <v>7</v>
      </c>
      <c r="MH1" s="37">
        <v>8</v>
      </c>
      <c r="MI1" s="37">
        <v>9</v>
      </c>
      <c r="MJ1" s="37">
        <v>10</v>
      </c>
      <c r="MK1" s="37">
        <v>11</v>
      </c>
      <c r="ML1" s="37">
        <v>12</v>
      </c>
      <c r="MM1" s="37">
        <v>13</v>
      </c>
      <c r="MN1" s="37">
        <v>14</v>
      </c>
      <c r="MO1" s="37">
        <v>40</v>
      </c>
      <c r="MP1" s="37">
        <v>41</v>
      </c>
      <c r="MQ1" s="37">
        <v>42</v>
      </c>
      <c r="MR1" s="37">
        <v>43</v>
      </c>
      <c r="MS1" s="37">
        <v>44</v>
      </c>
      <c r="MT1" s="37">
        <v>45</v>
      </c>
      <c r="MU1" s="37">
        <v>46</v>
      </c>
      <c r="MV1" s="37">
        <v>47</v>
      </c>
      <c r="MW1" s="37">
        <v>48</v>
      </c>
      <c r="MX1" s="37">
        <v>49</v>
      </c>
      <c r="MY1" s="37">
        <v>50</v>
      </c>
      <c r="MZ1" s="37">
        <v>51</v>
      </c>
      <c r="NA1" s="37">
        <v>52</v>
      </c>
      <c r="NB1" s="37">
        <v>53</v>
      </c>
      <c r="NC1" s="37">
        <v>54</v>
      </c>
      <c r="ND1" s="37">
        <v>55</v>
      </c>
      <c r="NE1" s="37">
        <v>65</v>
      </c>
      <c r="NF1" s="37">
        <v>66</v>
      </c>
      <c r="NG1" s="37">
        <v>67</v>
      </c>
      <c r="NH1" s="37">
        <v>68</v>
      </c>
      <c r="NI1" s="37">
        <v>73</v>
      </c>
      <c r="NJ1" s="37">
        <v>76</v>
      </c>
    </row>
    <row r="2" spans="1:374">
      <c r="A2" t="s">
        <v>926</v>
      </c>
      <c r="E2" s="375">
        <f>'Data Sheet'!$B$16</f>
        <v>39538</v>
      </c>
      <c r="F2" s="375">
        <f>'Data Sheet'!$B$16</f>
        <v>39538</v>
      </c>
      <c r="G2" s="375">
        <f>'Data Sheet'!$B$16</f>
        <v>39538</v>
      </c>
      <c r="H2" s="375">
        <f>'Data Sheet'!$B$16</f>
        <v>39538</v>
      </c>
      <c r="I2" s="375">
        <f>'Data Sheet'!$B$16</f>
        <v>39538</v>
      </c>
      <c r="J2" s="375">
        <f>'Data Sheet'!$B$16</f>
        <v>39538</v>
      </c>
      <c r="K2" s="375">
        <f>'Data Sheet'!$B$16</f>
        <v>39538</v>
      </c>
      <c r="L2" s="375">
        <f>'Data Sheet'!$B$16</f>
        <v>39538</v>
      </c>
      <c r="M2" s="375">
        <f>'Data Sheet'!$B$16</f>
        <v>39538</v>
      </c>
      <c r="N2" s="375">
        <f>'Data Sheet'!$B$16</f>
        <v>39538</v>
      </c>
      <c r="O2" s="375">
        <f>'Data Sheet'!$B$16</f>
        <v>39538</v>
      </c>
      <c r="P2" s="375">
        <f>'Data Sheet'!$B$16</f>
        <v>39538</v>
      </c>
      <c r="Q2" s="375">
        <f>'Data Sheet'!$B$16</f>
        <v>39538</v>
      </c>
      <c r="R2" s="375">
        <f>'Data Sheet'!$B$16</f>
        <v>39538</v>
      </c>
      <c r="S2" s="375">
        <f>'Data Sheet'!$B$16</f>
        <v>39538</v>
      </c>
      <c r="T2" s="375">
        <f>'Data Sheet'!$B$16</f>
        <v>39538</v>
      </c>
      <c r="U2" s="375">
        <f>'Data Sheet'!$B$16</f>
        <v>39538</v>
      </c>
      <c r="V2" s="375">
        <f>'Data Sheet'!$B$16</f>
        <v>39538</v>
      </c>
      <c r="W2" s="375">
        <f>'Data Sheet'!$B$16</f>
        <v>39538</v>
      </c>
      <c r="X2" s="375">
        <f>'Data Sheet'!$B$16</f>
        <v>39538</v>
      </c>
      <c r="Y2" s="375">
        <f>'Data Sheet'!$B$16</f>
        <v>39538</v>
      </c>
      <c r="Z2" s="375">
        <f>'Data Sheet'!$B$16</f>
        <v>39538</v>
      </c>
      <c r="AA2" s="375">
        <f>'Data Sheet'!$B$16</f>
        <v>39538</v>
      </c>
      <c r="AB2" s="375">
        <f>'Data Sheet'!$B$16</f>
        <v>39538</v>
      </c>
      <c r="AC2" s="375">
        <f>'Data Sheet'!$B$16</f>
        <v>39538</v>
      </c>
      <c r="AD2" s="375">
        <f>'Data Sheet'!$B$16</f>
        <v>39538</v>
      </c>
      <c r="AE2" s="375">
        <f>'Data Sheet'!$B$16</f>
        <v>39538</v>
      </c>
      <c r="AF2" s="375">
        <f>'Data Sheet'!$B$16</f>
        <v>39538</v>
      </c>
      <c r="AG2" s="375">
        <f>'Data Sheet'!$B$16</f>
        <v>39538</v>
      </c>
      <c r="AH2" s="375">
        <f>'Data Sheet'!$B$16</f>
        <v>39538</v>
      </c>
      <c r="AI2" s="375">
        <f>'Data Sheet'!$B$16</f>
        <v>39538</v>
      </c>
      <c r="AJ2" s="375">
        <f>'Data Sheet'!$B$16</f>
        <v>39538</v>
      </c>
      <c r="AK2" s="375">
        <f>'Data Sheet'!$B$16</f>
        <v>39538</v>
      </c>
      <c r="AL2" s="375">
        <f>'Data Sheet'!$B$16</f>
        <v>39538</v>
      </c>
      <c r="AM2" s="375">
        <f>'Data Sheet'!$B$16</f>
        <v>39538</v>
      </c>
      <c r="AN2" s="375">
        <f>'Data Sheet'!$B$16</f>
        <v>39538</v>
      </c>
      <c r="AO2" s="375">
        <f>'Data Sheet'!$B$16</f>
        <v>39538</v>
      </c>
      <c r="AP2" s="375">
        <f>'Data Sheet'!$C$16</f>
        <v>39903</v>
      </c>
      <c r="AQ2" s="375">
        <f>'Data Sheet'!$C$16</f>
        <v>39903</v>
      </c>
      <c r="AR2" s="375">
        <f>'Data Sheet'!$C$16</f>
        <v>39903</v>
      </c>
      <c r="AS2" s="375">
        <f>'Data Sheet'!$C$16</f>
        <v>39903</v>
      </c>
      <c r="AT2" s="375">
        <f>'Data Sheet'!$C$16</f>
        <v>39903</v>
      </c>
      <c r="AU2" s="375">
        <f>'Data Sheet'!$C$16</f>
        <v>39903</v>
      </c>
      <c r="AV2" s="375">
        <f>'Data Sheet'!$C$16</f>
        <v>39903</v>
      </c>
      <c r="AW2" s="375">
        <f>'Data Sheet'!$C$16</f>
        <v>39903</v>
      </c>
      <c r="AX2" s="375">
        <f>'Data Sheet'!$C$16</f>
        <v>39903</v>
      </c>
      <c r="AY2" s="375">
        <f>'Data Sheet'!$C$16</f>
        <v>39903</v>
      </c>
      <c r="AZ2" s="375">
        <f>'Data Sheet'!$C$16</f>
        <v>39903</v>
      </c>
      <c r="BA2" s="375">
        <f>'Data Sheet'!$C$16</f>
        <v>39903</v>
      </c>
      <c r="BB2" s="375">
        <f>'Data Sheet'!$C$16</f>
        <v>39903</v>
      </c>
      <c r="BC2" s="375">
        <f>'Data Sheet'!$C$16</f>
        <v>39903</v>
      </c>
      <c r="BD2" s="375">
        <f>'Data Sheet'!$C$16</f>
        <v>39903</v>
      </c>
      <c r="BE2" s="375">
        <f>'Data Sheet'!$C$16</f>
        <v>39903</v>
      </c>
      <c r="BF2" s="375">
        <f>'Data Sheet'!$C$16</f>
        <v>39903</v>
      </c>
      <c r="BG2" s="375">
        <f>'Data Sheet'!$C$16</f>
        <v>39903</v>
      </c>
      <c r="BH2" s="375">
        <f>'Data Sheet'!$C$16</f>
        <v>39903</v>
      </c>
      <c r="BI2" s="375">
        <f>'Data Sheet'!$C$16</f>
        <v>39903</v>
      </c>
      <c r="BJ2" s="375">
        <f>'Data Sheet'!$C$16</f>
        <v>39903</v>
      </c>
      <c r="BK2" s="375">
        <f>'Data Sheet'!$C$16</f>
        <v>39903</v>
      </c>
      <c r="BL2" s="375">
        <f>'Data Sheet'!$C$16</f>
        <v>39903</v>
      </c>
      <c r="BM2" s="375">
        <f>'Data Sheet'!$C$16</f>
        <v>39903</v>
      </c>
      <c r="BN2" s="375">
        <f>'Data Sheet'!$C$16</f>
        <v>39903</v>
      </c>
      <c r="BO2" s="375">
        <f>'Data Sheet'!$C$16</f>
        <v>39903</v>
      </c>
      <c r="BP2" s="375">
        <f>'Data Sheet'!$C$16</f>
        <v>39903</v>
      </c>
      <c r="BQ2" s="375">
        <f>'Data Sheet'!$C$16</f>
        <v>39903</v>
      </c>
      <c r="BR2" s="375">
        <f>'Data Sheet'!$C$16</f>
        <v>39903</v>
      </c>
      <c r="BS2" s="375">
        <f>'Data Sheet'!$C$16</f>
        <v>39903</v>
      </c>
      <c r="BT2" s="375">
        <f>'Data Sheet'!$C$16</f>
        <v>39903</v>
      </c>
      <c r="BU2" s="375">
        <f>'Data Sheet'!$C$16</f>
        <v>39903</v>
      </c>
      <c r="BV2" s="375">
        <f>'Data Sheet'!$C$16</f>
        <v>39903</v>
      </c>
      <c r="BW2" s="375">
        <f>'Data Sheet'!$C$16</f>
        <v>39903</v>
      </c>
      <c r="BX2" s="375">
        <f>'Data Sheet'!$C$16</f>
        <v>39903</v>
      </c>
      <c r="BY2" s="375">
        <f>'Data Sheet'!$C$16</f>
        <v>39903</v>
      </c>
      <c r="BZ2" s="375">
        <f>'Data Sheet'!$C$16</f>
        <v>39903</v>
      </c>
      <c r="CA2" s="375">
        <f>'Data Sheet'!$D$16</f>
        <v>40268</v>
      </c>
      <c r="CB2" s="375">
        <f>'Data Sheet'!$D$16</f>
        <v>40268</v>
      </c>
      <c r="CC2" s="375">
        <f>'Data Sheet'!$D$16</f>
        <v>40268</v>
      </c>
      <c r="CD2" s="375">
        <f>'Data Sheet'!$D$16</f>
        <v>40268</v>
      </c>
      <c r="CE2" s="375">
        <f>'Data Sheet'!$D$16</f>
        <v>40268</v>
      </c>
      <c r="CF2" s="375">
        <f>'Data Sheet'!$D$16</f>
        <v>40268</v>
      </c>
      <c r="CG2" s="375">
        <f>'Data Sheet'!$D$16</f>
        <v>40268</v>
      </c>
      <c r="CH2" s="375">
        <f>'Data Sheet'!$D$16</f>
        <v>40268</v>
      </c>
      <c r="CI2" s="375">
        <f>'Data Sheet'!$D$16</f>
        <v>40268</v>
      </c>
      <c r="CJ2" s="375">
        <f>'Data Sheet'!$D$16</f>
        <v>40268</v>
      </c>
      <c r="CK2" s="375">
        <f>'Data Sheet'!$D$16</f>
        <v>40268</v>
      </c>
      <c r="CL2" s="375">
        <f>'Data Sheet'!$D$16</f>
        <v>40268</v>
      </c>
      <c r="CM2" s="375">
        <f>'Data Sheet'!$D$16</f>
        <v>40268</v>
      </c>
      <c r="CN2" s="375">
        <f>'Data Sheet'!$D$16</f>
        <v>40268</v>
      </c>
      <c r="CO2" s="375">
        <f>'Data Sheet'!$D$16</f>
        <v>40268</v>
      </c>
      <c r="CP2" s="375">
        <f>'Data Sheet'!$D$16</f>
        <v>40268</v>
      </c>
      <c r="CQ2" s="375">
        <f>'Data Sheet'!$D$16</f>
        <v>40268</v>
      </c>
      <c r="CR2" s="375">
        <f>'Data Sheet'!$D$16</f>
        <v>40268</v>
      </c>
      <c r="CS2" s="375">
        <f>'Data Sheet'!$D$16</f>
        <v>40268</v>
      </c>
      <c r="CT2" s="375">
        <f>'Data Sheet'!$D$16</f>
        <v>40268</v>
      </c>
      <c r="CU2" s="375">
        <f>'Data Sheet'!$D$16</f>
        <v>40268</v>
      </c>
      <c r="CV2" s="375">
        <f>'Data Sheet'!$D$16</f>
        <v>40268</v>
      </c>
      <c r="CW2" s="375">
        <f>'Data Sheet'!$D$16</f>
        <v>40268</v>
      </c>
      <c r="CX2" s="375">
        <f>'Data Sheet'!$D$16</f>
        <v>40268</v>
      </c>
      <c r="CY2" s="375">
        <f>'Data Sheet'!$D$16</f>
        <v>40268</v>
      </c>
      <c r="CZ2" s="375">
        <f>'Data Sheet'!$D$16</f>
        <v>40268</v>
      </c>
      <c r="DA2" s="375">
        <f>'Data Sheet'!$D$16</f>
        <v>40268</v>
      </c>
      <c r="DB2" s="375">
        <f>'Data Sheet'!$D$16</f>
        <v>40268</v>
      </c>
      <c r="DC2" s="375">
        <f>'Data Sheet'!$D$16</f>
        <v>40268</v>
      </c>
      <c r="DD2" s="375">
        <f>'Data Sheet'!$D$16</f>
        <v>40268</v>
      </c>
      <c r="DE2" s="375">
        <f>'Data Sheet'!$D$16</f>
        <v>40268</v>
      </c>
      <c r="DF2" s="375">
        <f>'Data Sheet'!$D$16</f>
        <v>40268</v>
      </c>
      <c r="DG2" s="375">
        <f>'Data Sheet'!$D$16</f>
        <v>40268</v>
      </c>
      <c r="DH2" s="375">
        <f>'Data Sheet'!$D$16</f>
        <v>40268</v>
      </c>
      <c r="DI2" s="375">
        <f>'Data Sheet'!$D$16</f>
        <v>40268</v>
      </c>
      <c r="DJ2" s="375">
        <f>'Data Sheet'!$D$16</f>
        <v>40268</v>
      </c>
      <c r="DK2" s="375">
        <f>'Data Sheet'!$D$16</f>
        <v>40268</v>
      </c>
      <c r="DL2" s="375">
        <f>'Data Sheet'!$E$16</f>
        <v>40633</v>
      </c>
      <c r="DM2" s="375">
        <f>'Data Sheet'!$E$16</f>
        <v>40633</v>
      </c>
      <c r="DN2" s="375">
        <f>'Data Sheet'!$E$16</f>
        <v>40633</v>
      </c>
      <c r="DO2" s="375">
        <f>'Data Sheet'!$E$16</f>
        <v>40633</v>
      </c>
      <c r="DP2" s="375">
        <f>'Data Sheet'!$E$16</f>
        <v>40633</v>
      </c>
      <c r="DQ2" s="375">
        <f>'Data Sheet'!$E$16</f>
        <v>40633</v>
      </c>
      <c r="DR2" s="375">
        <f>'Data Sheet'!$E$16</f>
        <v>40633</v>
      </c>
      <c r="DS2" s="375">
        <f>'Data Sheet'!$E$16</f>
        <v>40633</v>
      </c>
      <c r="DT2" s="375">
        <f>'Data Sheet'!$E$16</f>
        <v>40633</v>
      </c>
      <c r="DU2" s="375">
        <f>'Data Sheet'!$E$16</f>
        <v>40633</v>
      </c>
      <c r="DV2" s="375">
        <f>'Data Sheet'!$E$16</f>
        <v>40633</v>
      </c>
      <c r="DW2" s="375">
        <f>'Data Sheet'!$E$16</f>
        <v>40633</v>
      </c>
      <c r="DX2" s="375">
        <f>'Data Sheet'!$E$16</f>
        <v>40633</v>
      </c>
      <c r="DY2" s="375">
        <f>'Data Sheet'!$E$16</f>
        <v>40633</v>
      </c>
      <c r="DZ2" s="375">
        <f>'Data Sheet'!$E$16</f>
        <v>40633</v>
      </c>
      <c r="EA2" s="375">
        <f>'Data Sheet'!$E$16</f>
        <v>40633</v>
      </c>
      <c r="EB2" s="375">
        <f>'Data Sheet'!$E$16</f>
        <v>40633</v>
      </c>
      <c r="EC2" s="375">
        <f>'Data Sheet'!$E$16</f>
        <v>40633</v>
      </c>
      <c r="ED2" s="375">
        <f>'Data Sheet'!$E$16</f>
        <v>40633</v>
      </c>
      <c r="EE2" s="375">
        <f>'Data Sheet'!$E$16</f>
        <v>40633</v>
      </c>
      <c r="EF2" s="375">
        <f>'Data Sheet'!$E$16</f>
        <v>40633</v>
      </c>
      <c r="EG2" s="375">
        <f>'Data Sheet'!$E$16</f>
        <v>40633</v>
      </c>
      <c r="EH2" s="375">
        <f>'Data Sheet'!$E$16</f>
        <v>40633</v>
      </c>
      <c r="EI2" s="375">
        <f>'Data Sheet'!$E$16</f>
        <v>40633</v>
      </c>
      <c r="EJ2" s="375">
        <f>'Data Sheet'!$E$16</f>
        <v>40633</v>
      </c>
      <c r="EK2" s="375">
        <f>'Data Sheet'!$E$16</f>
        <v>40633</v>
      </c>
      <c r="EL2" s="375">
        <f>'Data Sheet'!$E$16</f>
        <v>40633</v>
      </c>
      <c r="EM2" s="375">
        <f>'Data Sheet'!$E$16</f>
        <v>40633</v>
      </c>
      <c r="EN2" s="375">
        <f>'Data Sheet'!$E$16</f>
        <v>40633</v>
      </c>
      <c r="EO2" s="375">
        <f>'Data Sheet'!$E$16</f>
        <v>40633</v>
      </c>
      <c r="EP2" s="375">
        <f>'Data Sheet'!$E$16</f>
        <v>40633</v>
      </c>
      <c r="EQ2" s="375">
        <f>'Data Sheet'!$E$16</f>
        <v>40633</v>
      </c>
      <c r="ER2" s="375">
        <f>'Data Sheet'!$E$16</f>
        <v>40633</v>
      </c>
      <c r="ES2" s="375">
        <f>'Data Sheet'!$E$16</f>
        <v>40633</v>
      </c>
      <c r="ET2" s="375">
        <f>'Data Sheet'!$E$16</f>
        <v>40633</v>
      </c>
      <c r="EU2" s="375">
        <f>'Data Sheet'!$E$16</f>
        <v>40633</v>
      </c>
      <c r="EV2" s="375">
        <f>'Data Sheet'!$E$16</f>
        <v>40633</v>
      </c>
      <c r="EW2" s="375">
        <f>'Data Sheet'!$F$16</f>
        <v>40999</v>
      </c>
      <c r="EX2" s="375">
        <f>'Data Sheet'!$F$16</f>
        <v>40999</v>
      </c>
      <c r="EY2" s="375">
        <f>'Data Sheet'!$F$16</f>
        <v>40999</v>
      </c>
      <c r="EZ2" s="375">
        <f>'Data Sheet'!$F$16</f>
        <v>40999</v>
      </c>
      <c r="FA2" s="375">
        <f>'Data Sheet'!$F$16</f>
        <v>40999</v>
      </c>
      <c r="FB2" s="375">
        <f>'Data Sheet'!$F$16</f>
        <v>40999</v>
      </c>
      <c r="FC2" s="375">
        <f>'Data Sheet'!$F$16</f>
        <v>40999</v>
      </c>
      <c r="FD2" s="375">
        <f>'Data Sheet'!$F$16</f>
        <v>40999</v>
      </c>
      <c r="FE2" s="375">
        <f>'Data Sheet'!$F$16</f>
        <v>40999</v>
      </c>
      <c r="FF2" s="375">
        <f>'Data Sheet'!$F$16</f>
        <v>40999</v>
      </c>
      <c r="FG2" s="375">
        <f>'Data Sheet'!$F$16</f>
        <v>40999</v>
      </c>
      <c r="FH2" s="375">
        <f>'Data Sheet'!$F$16</f>
        <v>40999</v>
      </c>
      <c r="FI2" s="375">
        <f>'Data Sheet'!$F$16</f>
        <v>40999</v>
      </c>
      <c r="FJ2" s="375">
        <f>'Data Sheet'!$F$16</f>
        <v>40999</v>
      </c>
      <c r="FK2" s="375">
        <f>'Data Sheet'!$F$16</f>
        <v>40999</v>
      </c>
      <c r="FL2" s="375">
        <f>'Data Sheet'!$F$16</f>
        <v>40999</v>
      </c>
      <c r="FM2" s="375">
        <f>'Data Sheet'!$F$16</f>
        <v>40999</v>
      </c>
      <c r="FN2" s="375">
        <f>'Data Sheet'!$F$16</f>
        <v>40999</v>
      </c>
      <c r="FO2" s="375">
        <f>'Data Sheet'!$F$16</f>
        <v>40999</v>
      </c>
      <c r="FP2" s="375">
        <f>'Data Sheet'!$F$16</f>
        <v>40999</v>
      </c>
      <c r="FQ2" s="375">
        <f>'Data Sheet'!$F$16</f>
        <v>40999</v>
      </c>
      <c r="FR2" s="375">
        <f>'Data Sheet'!$F$16</f>
        <v>40999</v>
      </c>
      <c r="FS2" s="375">
        <f>'Data Sheet'!$F$16</f>
        <v>40999</v>
      </c>
      <c r="FT2" s="375">
        <f>'Data Sheet'!$F$16</f>
        <v>40999</v>
      </c>
      <c r="FU2" s="375">
        <f>'Data Sheet'!$F$16</f>
        <v>40999</v>
      </c>
      <c r="FV2" s="375">
        <f>'Data Sheet'!$F$16</f>
        <v>40999</v>
      </c>
      <c r="FW2" s="375">
        <f>'Data Sheet'!$F$16</f>
        <v>40999</v>
      </c>
      <c r="FX2" s="375">
        <f>'Data Sheet'!$F$16</f>
        <v>40999</v>
      </c>
      <c r="FY2" s="375">
        <f>'Data Sheet'!$F$16</f>
        <v>40999</v>
      </c>
      <c r="FZ2" s="375">
        <f>'Data Sheet'!$F$16</f>
        <v>40999</v>
      </c>
      <c r="GA2" s="375">
        <f>'Data Sheet'!$F$16</f>
        <v>40999</v>
      </c>
      <c r="GB2" s="375">
        <f>'Data Sheet'!$F$16</f>
        <v>40999</v>
      </c>
      <c r="GC2" s="375">
        <f>'Data Sheet'!$F$16</f>
        <v>40999</v>
      </c>
      <c r="GD2" s="375">
        <f>'Data Sheet'!$F$16</f>
        <v>40999</v>
      </c>
      <c r="GE2" s="375">
        <f>'Data Sheet'!$F$16</f>
        <v>40999</v>
      </c>
      <c r="GF2" s="375">
        <f>'Data Sheet'!$F$16</f>
        <v>40999</v>
      </c>
      <c r="GG2" s="375">
        <f>'Data Sheet'!$F$16</f>
        <v>40999</v>
      </c>
      <c r="GH2" s="375">
        <f>'Data Sheet'!$G$16</f>
        <v>41364</v>
      </c>
      <c r="GI2" s="375">
        <f>'Data Sheet'!$G$16</f>
        <v>41364</v>
      </c>
      <c r="GJ2" s="375">
        <f>'Data Sheet'!$G$16</f>
        <v>41364</v>
      </c>
      <c r="GK2" s="375">
        <f>'Data Sheet'!$G$16</f>
        <v>41364</v>
      </c>
      <c r="GL2" s="375">
        <f>'Data Sheet'!$G$16</f>
        <v>41364</v>
      </c>
      <c r="GM2" s="375">
        <f>'Data Sheet'!$G$16</f>
        <v>41364</v>
      </c>
      <c r="GN2" s="375">
        <f>'Data Sheet'!$G$16</f>
        <v>41364</v>
      </c>
      <c r="GO2" s="375">
        <f>'Data Sheet'!$G$16</f>
        <v>41364</v>
      </c>
      <c r="GP2" s="375">
        <f>'Data Sheet'!$G$16</f>
        <v>41364</v>
      </c>
      <c r="GQ2" s="375">
        <f>'Data Sheet'!$G$16</f>
        <v>41364</v>
      </c>
      <c r="GR2" s="375">
        <f>'Data Sheet'!$G$16</f>
        <v>41364</v>
      </c>
      <c r="GS2" s="375">
        <f>'Data Sheet'!$G$16</f>
        <v>41364</v>
      </c>
      <c r="GT2" s="375">
        <f>'Data Sheet'!$G$16</f>
        <v>41364</v>
      </c>
      <c r="GU2" s="375">
        <f>'Data Sheet'!$G$16</f>
        <v>41364</v>
      </c>
      <c r="GV2" s="375">
        <f>'Data Sheet'!$G$16</f>
        <v>41364</v>
      </c>
      <c r="GW2" s="375">
        <f>'Data Sheet'!$G$16</f>
        <v>41364</v>
      </c>
      <c r="GX2" s="375">
        <f>'Data Sheet'!$G$16</f>
        <v>41364</v>
      </c>
      <c r="GY2" s="375">
        <f>'Data Sheet'!$G$16</f>
        <v>41364</v>
      </c>
      <c r="GZ2" s="375">
        <f>'Data Sheet'!$G$16</f>
        <v>41364</v>
      </c>
      <c r="HA2" s="375">
        <f>'Data Sheet'!$G$16</f>
        <v>41364</v>
      </c>
      <c r="HB2" s="375">
        <f>'Data Sheet'!$G$16</f>
        <v>41364</v>
      </c>
      <c r="HC2" s="375">
        <f>'Data Sheet'!$G$16</f>
        <v>41364</v>
      </c>
      <c r="HD2" s="375">
        <f>'Data Sheet'!$G$16</f>
        <v>41364</v>
      </c>
      <c r="HE2" s="375">
        <f>'Data Sheet'!$G$16</f>
        <v>41364</v>
      </c>
      <c r="HF2" s="375">
        <f>'Data Sheet'!$G$16</f>
        <v>41364</v>
      </c>
      <c r="HG2" s="375">
        <f>'Data Sheet'!$G$16</f>
        <v>41364</v>
      </c>
      <c r="HH2" s="375">
        <f>'Data Sheet'!$G$16</f>
        <v>41364</v>
      </c>
      <c r="HI2" s="375">
        <f>'Data Sheet'!$G$16</f>
        <v>41364</v>
      </c>
      <c r="HJ2" s="375">
        <f>'Data Sheet'!$G$16</f>
        <v>41364</v>
      </c>
      <c r="HK2" s="375">
        <f>'Data Sheet'!$G$16</f>
        <v>41364</v>
      </c>
      <c r="HL2" s="375">
        <f>'Data Sheet'!$G$16</f>
        <v>41364</v>
      </c>
      <c r="HM2" s="375">
        <f>'Data Sheet'!$G$16</f>
        <v>41364</v>
      </c>
      <c r="HN2" s="375">
        <f>'Data Sheet'!$G$16</f>
        <v>41364</v>
      </c>
      <c r="HO2" s="375">
        <f>'Data Sheet'!$G$16</f>
        <v>41364</v>
      </c>
      <c r="HP2" s="375">
        <f>'Data Sheet'!$G$16</f>
        <v>41364</v>
      </c>
      <c r="HQ2" s="375">
        <f>'Data Sheet'!$G$16</f>
        <v>41364</v>
      </c>
      <c r="HR2" s="375">
        <f>'Data Sheet'!$G$16</f>
        <v>41364</v>
      </c>
      <c r="HS2" s="375">
        <f>'Data Sheet'!$H$16</f>
        <v>41729</v>
      </c>
      <c r="HT2" s="375">
        <f>'Data Sheet'!$H$16</f>
        <v>41729</v>
      </c>
      <c r="HU2" s="375">
        <f>'Data Sheet'!$H$16</f>
        <v>41729</v>
      </c>
      <c r="HV2" s="375">
        <f>'Data Sheet'!$H$16</f>
        <v>41729</v>
      </c>
      <c r="HW2" s="375">
        <f>'Data Sheet'!$H$16</f>
        <v>41729</v>
      </c>
      <c r="HX2" s="375">
        <f>'Data Sheet'!$H$16</f>
        <v>41729</v>
      </c>
      <c r="HY2" s="375">
        <f>'Data Sheet'!$H$16</f>
        <v>41729</v>
      </c>
      <c r="HZ2" s="375">
        <f>'Data Sheet'!$H$16</f>
        <v>41729</v>
      </c>
      <c r="IA2" s="375">
        <f>'Data Sheet'!$H$16</f>
        <v>41729</v>
      </c>
      <c r="IB2" s="375">
        <f>'Data Sheet'!$H$16</f>
        <v>41729</v>
      </c>
      <c r="IC2" s="375">
        <f>'Data Sheet'!$H$16</f>
        <v>41729</v>
      </c>
      <c r="ID2" s="375">
        <f>'Data Sheet'!$H$16</f>
        <v>41729</v>
      </c>
      <c r="IE2" s="375">
        <f>'Data Sheet'!$H$16</f>
        <v>41729</v>
      </c>
      <c r="IF2" s="375">
        <f>'Data Sheet'!$H$16</f>
        <v>41729</v>
      </c>
      <c r="IG2" s="375">
        <f>'Data Sheet'!$H$16</f>
        <v>41729</v>
      </c>
      <c r="IH2" s="375">
        <f>'Data Sheet'!$H$16</f>
        <v>41729</v>
      </c>
      <c r="II2" s="375">
        <f>'Data Sheet'!$H$16</f>
        <v>41729</v>
      </c>
      <c r="IJ2" s="375">
        <f>'Data Sheet'!$H$16</f>
        <v>41729</v>
      </c>
      <c r="IK2" s="375">
        <f>'Data Sheet'!$H$16</f>
        <v>41729</v>
      </c>
      <c r="IL2" s="375">
        <f>'Data Sheet'!$H$16</f>
        <v>41729</v>
      </c>
      <c r="IM2" s="375">
        <f>'Data Sheet'!$H$16</f>
        <v>41729</v>
      </c>
      <c r="IN2" s="375">
        <f>'Data Sheet'!$H$16</f>
        <v>41729</v>
      </c>
      <c r="IO2" s="375">
        <f>'Data Sheet'!$H$16</f>
        <v>41729</v>
      </c>
      <c r="IP2" s="375">
        <f>'Data Sheet'!$H$16</f>
        <v>41729</v>
      </c>
      <c r="IQ2" s="375">
        <f>'Data Sheet'!$H$16</f>
        <v>41729</v>
      </c>
      <c r="IR2" s="375">
        <f>'Data Sheet'!$H$16</f>
        <v>41729</v>
      </c>
      <c r="IS2" s="375">
        <f>'Data Sheet'!$H$16</f>
        <v>41729</v>
      </c>
      <c r="IT2" s="375">
        <f>'Data Sheet'!$H$16</f>
        <v>41729</v>
      </c>
      <c r="IU2" s="375">
        <f>'Data Sheet'!$H$16</f>
        <v>41729</v>
      </c>
      <c r="IV2" s="375">
        <f>'Data Sheet'!$H$16</f>
        <v>41729</v>
      </c>
      <c r="IW2" s="375">
        <f>'Data Sheet'!$H$16</f>
        <v>41729</v>
      </c>
      <c r="IX2" s="375">
        <f>'Data Sheet'!$H$16</f>
        <v>41729</v>
      </c>
      <c r="IY2" s="375">
        <f>'Data Sheet'!$H$16</f>
        <v>41729</v>
      </c>
      <c r="IZ2" s="375">
        <f>'Data Sheet'!$H$16</f>
        <v>41729</v>
      </c>
      <c r="JA2" s="375">
        <f>'Data Sheet'!$H$16</f>
        <v>41729</v>
      </c>
      <c r="JB2" s="375">
        <f>'Data Sheet'!$H$16</f>
        <v>41729</v>
      </c>
      <c r="JC2" s="375">
        <f>'Data Sheet'!$H$16</f>
        <v>41729</v>
      </c>
      <c r="JD2" s="375">
        <f>'Data Sheet'!$I$16</f>
        <v>42094</v>
      </c>
      <c r="JE2" s="375">
        <f>'Data Sheet'!$I$16</f>
        <v>42094</v>
      </c>
      <c r="JF2" s="375">
        <f>'Data Sheet'!$I$16</f>
        <v>42094</v>
      </c>
      <c r="JG2" s="375">
        <f>'Data Sheet'!$I$16</f>
        <v>42094</v>
      </c>
      <c r="JH2" s="375">
        <f>'Data Sheet'!$I$16</f>
        <v>42094</v>
      </c>
      <c r="JI2" s="375">
        <f>'Data Sheet'!$I$16</f>
        <v>42094</v>
      </c>
      <c r="JJ2" s="375">
        <f>'Data Sheet'!$I$16</f>
        <v>42094</v>
      </c>
      <c r="JK2" s="375">
        <f>'Data Sheet'!$I$16</f>
        <v>42094</v>
      </c>
      <c r="JL2" s="375">
        <f>'Data Sheet'!$I$16</f>
        <v>42094</v>
      </c>
      <c r="JM2" s="375">
        <f>'Data Sheet'!$I$16</f>
        <v>42094</v>
      </c>
      <c r="JN2" s="375">
        <f>'Data Sheet'!$I$16</f>
        <v>42094</v>
      </c>
      <c r="JO2" s="375">
        <f>'Data Sheet'!$I$16</f>
        <v>42094</v>
      </c>
      <c r="JP2" s="375">
        <f>'Data Sheet'!$I$16</f>
        <v>42094</v>
      </c>
      <c r="JQ2" s="375">
        <f>'Data Sheet'!$I$16</f>
        <v>42094</v>
      </c>
      <c r="JR2" s="375">
        <f>'Data Sheet'!$I$16</f>
        <v>42094</v>
      </c>
      <c r="JS2" s="375">
        <f>'Data Sheet'!$I$16</f>
        <v>42094</v>
      </c>
      <c r="JT2" s="375">
        <f>'Data Sheet'!$I$16</f>
        <v>42094</v>
      </c>
      <c r="JU2" s="375">
        <f>'Data Sheet'!$I$16</f>
        <v>42094</v>
      </c>
      <c r="JV2" s="375">
        <f>'Data Sheet'!$I$16</f>
        <v>42094</v>
      </c>
      <c r="JW2" s="375">
        <f>'Data Sheet'!$I$16</f>
        <v>42094</v>
      </c>
      <c r="JX2" s="375">
        <f>'Data Sheet'!$I$16</f>
        <v>42094</v>
      </c>
      <c r="JY2" s="375">
        <f>'Data Sheet'!$I$16</f>
        <v>42094</v>
      </c>
      <c r="JZ2" s="375">
        <f>'Data Sheet'!$I$16</f>
        <v>42094</v>
      </c>
      <c r="KA2" s="375">
        <f>'Data Sheet'!$I$16</f>
        <v>42094</v>
      </c>
      <c r="KB2" s="375">
        <f>'Data Sheet'!$I$16</f>
        <v>42094</v>
      </c>
      <c r="KC2" s="375">
        <f>'Data Sheet'!$I$16</f>
        <v>42094</v>
      </c>
      <c r="KD2" s="375">
        <f>'Data Sheet'!$I$16</f>
        <v>42094</v>
      </c>
      <c r="KE2" s="375">
        <f>'Data Sheet'!$I$16</f>
        <v>42094</v>
      </c>
      <c r="KF2" s="375">
        <f>'Data Sheet'!$I$16</f>
        <v>42094</v>
      </c>
      <c r="KG2" s="375">
        <f>'Data Sheet'!$I$16</f>
        <v>42094</v>
      </c>
      <c r="KH2" s="375">
        <f>'Data Sheet'!$I$16</f>
        <v>42094</v>
      </c>
      <c r="KI2" s="375">
        <f>'Data Sheet'!$I$16</f>
        <v>42094</v>
      </c>
      <c r="KJ2" s="375">
        <f>'Data Sheet'!$I$16</f>
        <v>42094</v>
      </c>
      <c r="KK2" s="375">
        <f>'Data Sheet'!$I$16</f>
        <v>42094</v>
      </c>
      <c r="KL2" s="375">
        <f>'Data Sheet'!$I$16</f>
        <v>42094</v>
      </c>
      <c r="KM2" s="375">
        <f>'Data Sheet'!$I$16</f>
        <v>42094</v>
      </c>
      <c r="KN2" s="375">
        <f>'Data Sheet'!$I$16</f>
        <v>42094</v>
      </c>
      <c r="KO2" s="375">
        <f>'Data Sheet'!$J$16</f>
        <v>42460</v>
      </c>
      <c r="KP2" s="375">
        <f>'Data Sheet'!$J$16</f>
        <v>42460</v>
      </c>
      <c r="KQ2" s="375">
        <f>'Data Sheet'!$J$16</f>
        <v>42460</v>
      </c>
      <c r="KR2" s="375">
        <f>'Data Sheet'!$J$16</f>
        <v>42460</v>
      </c>
      <c r="KS2" s="375">
        <f>'Data Sheet'!$J$16</f>
        <v>42460</v>
      </c>
      <c r="KT2" s="375">
        <f>'Data Sheet'!$J$16</f>
        <v>42460</v>
      </c>
      <c r="KU2" s="375">
        <f>'Data Sheet'!$J$16</f>
        <v>42460</v>
      </c>
      <c r="KV2" s="375">
        <f>'Data Sheet'!$J$16</f>
        <v>42460</v>
      </c>
      <c r="KW2" s="375">
        <f>'Data Sheet'!$J$16</f>
        <v>42460</v>
      </c>
      <c r="KX2" s="375">
        <f>'Data Sheet'!$J$16</f>
        <v>42460</v>
      </c>
      <c r="KY2" s="375">
        <f>'Data Sheet'!$J$16</f>
        <v>42460</v>
      </c>
      <c r="KZ2" s="375">
        <f>'Data Sheet'!$J$16</f>
        <v>42460</v>
      </c>
      <c r="LA2" s="375">
        <f>'Data Sheet'!$J$16</f>
        <v>42460</v>
      </c>
      <c r="LB2" s="375">
        <f>'Data Sheet'!$J$16</f>
        <v>42460</v>
      </c>
      <c r="LC2" s="375">
        <f>'Data Sheet'!$J$16</f>
        <v>42460</v>
      </c>
      <c r="LD2" s="375">
        <f>'Data Sheet'!$J$16</f>
        <v>42460</v>
      </c>
      <c r="LE2" s="375">
        <f>'Data Sheet'!$J$16</f>
        <v>42460</v>
      </c>
      <c r="LF2" s="375">
        <f>'Data Sheet'!$J$16</f>
        <v>42460</v>
      </c>
      <c r="LG2" s="375">
        <f>'Data Sheet'!$J$16</f>
        <v>42460</v>
      </c>
      <c r="LH2" s="375">
        <f>'Data Sheet'!$J$16</f>
        <v>42460</v>
      </c>
      <c r="LI2" s="375">
        <f>'Data Sheet'!$J$16</f>
        <v>42460</v>
      </c>
      <c r="LJ2" s="375">
        <f>'Data Sheet'!$J$16</f>
        <v>42460</v>
      </c>
      <c r="LK2" s="375">
        <f>'Data Sheet'!$J$16</f>
        <v>42460</v>
      </c>
      <c r="LL2" s="375">
        <f>'Data Sheet'!$J$16</f>
        <v>42460</v>
      </c>
      <c r="LM2" s="375">
        <f>'Data Sheet'!$J$16</f>
        <v>42460</v>
      </c>
      <c r="LN2" s="375">
        <f>'Data Sheet'!$J$16</f>
        <v>42460</v>
      </c>
      <c r="LO2" s="375">
        <f>'Data Sheet'!$J$16</f>
        <v>42460</v>
      </c>
      <c r="LP2" s="375">
        <f>'Data Sheet'!$J$16</f>
        <v>42460</v>
      </c>
      <c r="LQ2" s="375">
        <f>'Data Sheet'!$J$16</f>
        <v>42460</v>
      </c>
      <c r="LR2" s="375">
        <f>'Data Sheet'!$J$16</f>
        <v>42460</v>
      </c>
      <c r="LS2" s="375">
        <f>'Data Sheet'!$J$16</f>
        <v>42460</v>
      </c>
      <c r="LT2" s="375">
        <f>'Data Sheet'!$J$16</f>
        <v>42460</v>
      </c>
      <c r="LU2" s="375">
        <f>'Data Sheet'!$J$16</f>
        <v>42460</v>
      </c>
      <c r="LV2" s="375">
        <f>'Data Sheet'!$J$16</f>
        <v>42460</v>
      </c>
      <c r="LW2" s="375">
        <f>'Data Sheet'!$J$16</f>
        <v>42460</v>
      </c>
      <c r="LX2" s="375">
        <f>'Data Sheet'!$J$16</f>
        <v>42460</v>
      </c>
      <c r="LY2" s="375">
        <f>'Data Sheet'!$J$16</f>
        <v>42460</v>
      </c>
      <c r="LZ2" s="375">
        <f>'Data Sheet'!$K$16</f>
        <v>42825</v>
      </c>
      <c r="MA2" s="375">
        <f>'Data Sheet'!$K$16</f>
        <v>42825</v>
      </c>
      <c r="MB2" s="375">
        <f>'Data Sheet'!$K$16</f>
        <v>42825</v>
      </c>
      <c r="MC2" s="375">
        <f>'Data Sheet'!$K$16</f>
        <v>42825</v>
      </c>
      <c r="MD2" s="375">
        <f>'Data Sheet'!$K$16</f>
        <v>42825</v>
      </c>
      <c r="ME2" s="375">
        <f>'Data Sheet'!$K$16</f>
        <v>42825</v>
      </c>
      <c r="MF2" s="375">
        <f>'Data Sheet'!$K$16</f>
        <v>42825</v>
      </c>
      <c r="MG2" s="375">
        <f>'Data Sheet'!$K$16</f>
        <v>42825</v>
      </c>
      <c r="MH2" s="375">
        <f>'Data Sheet'!$K$16</f>
        <v>42825</v>
      </c>
      <c r="MI2" s="375">
        <f>'Data Sheet'!$K$16</f>
        <v>42825</v>
      </c>
      <c r="MJ2" s="375">
        <f>'Data Sheet'!$K$16</f>
        <v>42825</v>
      </c>
      <c r="MK2" s="375">
        <f>'Data Sheet'!$K$16</f>
        <v>42825</v>
      </c>
      <c r="ML2" s="375">
        <f>'Data Sheet'!$K$16</f>
        <v>42825</v>
      </c>
      <c r="MM2" s="375">
        <f>'Data Sheet'!$K$16</f>
        <v>42825</v>
      </c>
      <c r="MN2" s="375">
        <f>'Data Sheet'!$K$16</f>
        <v>42825</v>
      </c>
      <c r="MO2" s="375">
        <f>'Data Sheet'!$K$16</f>
        <v>42825</v>
      </c>
      <c r="MP2" s="375">
        <f>'Data Sheet'!$K$16</f>
        <v>42825</v>
      </c>
      <c r="MQ2" s="375">
        <f>'Data Sheet'!$K$16</f>
        <v>42825</v>
      </c>
      <c r="MR2" s="375">
        <f>'Data Sheet'!$K$16</f>
        <v>42825</v>
      </c>
      <c r="MS2" s="375">
        <f>'Data Sheet'!$K$16</f>
        <v>42825</v>
      </c>
      <c r="MT2" s="375">
        <f>'Data Sheet'!$K$16</f>
        <v>42825</v>
      </c>
      <c r="MU2" s="375">
        <f>'Data Sheet'!$K$16</f>
        <v>42825</v>
      </c>
      <c r="MV2" s="375">
        <f>'Data Sheet'!$K$16</f>
        <v>42825</v>
      </c>
      <c r="MW2" s="375">
        <f>'Data Sheet'!$K$16</f>
        <v>42825</v>
      </c>
      <c r="MX2" s="375">
        <f>'Data Sheet'!$K$16</f>
        <v>42825</v>
      </c>
      <c r="MY2" s="375">
        <f>'Data Sheet'!$K$16</f>
        <v>42825</v>
      </c>
      <c r="MZ2" s="375">
        <f>'Data Sheet'!$K$16</f>
        <v>42825</v>
      </c>
      <c r="NA2" s="375">
        <f>'Data Sheet'!$K$16</f>
        <v>42825</v>
      </c>
      <c r="NB2" s="375">
        <f>'Data Sheet'!$K$16</f>
        <v>42825</v>
      </c>
      <c r="NC2" s="375">
        <f>'Data Sheet'!$K$16</f>
        <v>42825</v>
      </c>
      <c r="ND2" s="375">
        <f>'Data Sheet'!$K$16</f>
        <v>42825</v>
      </c>
      <c r="NE2" s="375">
        <f>'Data Sheet'!$K$16</f>
        <v>42825</v>
      </c>
      <c r="NF2" s="375">
        <f>'Data Sheet'!$K$16</f>
        <v>42825</v>
      </c>
      <c r="NG2" s="375">
        <f>'Data Sheet'!$K$16</f>
        <v>42825</v>
      </c>
      <c r="NH2" s="375">
        <f>'Data Sheet'!$K$16</f>
        <v>42825</v>
      </c>
      <c r="NI2" s="375">
        <f>'Data Sheet'!$K$16</f>
        <v>42825</v>
      </c>
      <c r="NJ2" s="375">
        <f>'Data Sheet'!$K$16</f>
        <v>42825</v>
      </c>
    </row>
    <row r="3" spans="1:374">
      <c r="A3" t="str">
        <f>'Data Sheet'!B1</f>
        <v>AMBIKA COTTON MILLS LTD</v>
      </c>
      <c r="E3" s="376" t="s">
        <v>6</v>
      </c>
      <c r="F3" s="377" t="s">
        <v>81</v>
      </c>
      <c r="G3" s="377" t="s">
        <v>82</v>
      </c>
      <c r="H3" s="377" t="s">
        <v>83</v>
      </c>
      <c r="I3" s="377" t="s">
        <v>84</v>
      </c>
      <c r="J3" s="377" t="s">
        <v>85</v>
      </c>
      <c r="K3" s="377" t="s">
        <v>86</v>
      </c>
      <c r="L3" s="377" t="s">
        <v>87</v>
      </c>
      <c r="M3" s="376" t="s">
        <v>9</v>
      </c>
      <c r="N3" s="376" t="s">
        <v>10</v>
      </c>
      <c r="O3" s="376" t="s">
        <v>11</v>
      </c>
      <c r="P3" s="376" t="s">
        <v>12</v>
      </c>
      <c r="Q3" s="376" t="s">
        <v>13</v>
      </c>
      <c r="R3" s="376" t="s">
        <v>14</v>
      </c>
      <c r="S3" s="376" t="s">
        <v>71</v>
      </c>
      <c r="T3" s="376" t="s">
        <v>24</v>
      </c>
      <c r="U3" s="376" t="s">
        <v>25</v>
      </c>
      <c r="V3" s="376" t="s">
        <v>72</v>
      </c>
      <c r="W3" s="376" t="s">
        <v>73</v>
      </c>
      <c r="X3" s="378" t="s">
        <v>26</v>
      </c>
      <c r="Y3" s="376" t="s">
        <v>27</v>
      </c>
      <c r="Z3" s="376" t="s">
        <v>28</v>
      </c>
      <c r="AA3" s="376" t="s">
        <v>29</v>
      </c>
      <c r="AB3" s="376" t="s">
        <v>74</v>
      </c>
      <c r="AC3" s="378" t="s">
        <v>26</v>
      </c>
      <c r="AD3" s="376" t="s">
        <v>79</v>
      </c>
      <c r="AE3" s="376" t="s">
        <v>45</v>
      </c>
      <c r="AF3" s="377" t="s">
        <v>88</v>
      </c>
      <c r="AG3" s="377" t="s">
        <v>75</v>
      </c>
      <c r="AH3" s="377" t="s">
        <v>76</v>
      </c>
      <c r="AI3" s="377" t="s">
        <v>89</v>
      </c>
      <c r="AJ3" s="376" t="s">
        <v>32</v>
      </c>
      <c r="AK3" s="376" t="s">
        <v>33</v>
      </c>
      <c r="AL3" s="376" t="s">
        <v>34</v>
      </c>
      <c r="AM3" s="376" t="s">
        <v>35</v>
      </c>
      <c r="AN3" s="378" t="s">
        <v>78</v>
      </c>
      <c r="AO3" s="377" t="s">
        <v>90</v>
      </c>
      <c r="AP3" s="376" t="s">
        <v>6</v>
      </c>
      <c r="AQ3" s="377" t="s">
        <v>81</v>
      </c>
      <c r="AR3" s="377" t="s">
        <v>82</v>
      </c>
      <c r="AS3" s="377" t="s">
        <v>83</v>
      </c>
      <c r="AT3" s="377" t="s">
        <v>84</v>
      </c>
      <c r="AU3" s="377" t="s">
        <v>85</v>
      </c>
      <c r="AV3" s="377" t="s">
        <v>86</v>
      </c>
      <c r="AW3" s="377" t="s">
        <v>87</v>
      </c>
      <c r="AX3" s="376" t="s">
        <v>9</v>
      </c>
      <c r="AY3" s="376" t="s">
        <v>10</v>
      </c>
      <c r="AZ3" s="376" t="s">
        <v>11</v>
      </c>
      <c r="BA3" s="376" t="s">
        <v>12</v>
      </c>
      <c r="BB3" s="376" t="s">
        <v>13</v>
      </c>
      <c r="BC3" s="376" t="s">
        <v>14</v>
      </c>
      <c r="BD3" s="376" t="s">
        <v>71</v>
      </c>
      <c r="BE3" s="376" t="s">
        <v>24</v>
      </c>
      <c r="BF3" s="376" t="s">
        <v>25</v>
      </c>
      <c r="BG3" s="376" t="s">
        <v>72</v>
      </c>
      <c r="BH3" s="376" t="s">
        <v>73</v>
      </c>
      <c r="BI3" s="378" t="s">
        <v>26</v>
      </c>
      <c r="BJ3" s="376" t="s">
        <v>27</v>
      </c>
      <c r="BK3" s="376" t="s">
        <v>28</v>
      </c>
      <c r="BL3" s="376" t="s">
        <v>29</v>
      </c>
      <c r="BM3" s="376" t="s">
        <v>74</v>
      </c>
      <c r="BN3" s="378" t="s">
        <v>26</v>
      </c>
      <c r="BO3" s="376" t="s">
        <v>79</v>
      </c>
      <c r="BP3" s="376" t="s">
        <v>45</v>
      </c>
      <c r="BQ3" s="377" t="s">
        <v>88</v>
      </c>
      <c r="BR3" s="377" t="s">
        <v>75</v>
      </c>
      <c r="BS3" s="377" t="s">
        <v>76</v>
      </c>
      <c r="BT3" s="377" t="s">
        <v>89</v>
      </c>
      <c r="BU3" s="376" t="s">
        <v>32</v>
      </c>
      <c r="BV3" s="376" t="s">
        <v>33</v>
      </c>
      <c r="BW3" s="376" t="s">
        <v>34</v>
      </c>
      <c r="BX3" s="376" t="s">
        <v>35</v>
      </c>
      <c r="BY3" s="378" t="s">
        <v>78</v>
      </c>
      <c r="BZ3" s="377" t="s">
        <v>90</v>
      </c>
      <c r="CA3" s="376" t="s">
        <v>6</v>
      </c>
      <c r="CB3" s="377" t="s">
        <v>81</v>
      </c>
      <c r="CC3" s="377" t="s">
        <v>82</v>
      </c>
      <c r="CD3" s="377" t="s">
        <v>83</v>
      </c>
      <c r="CE3" s="377" t="s">
        <v>84</v>
      </c>
      <c r="CF3" s="377" t="s">
        <v>85</v>
      </c>
      <c r="CG3" s="377" t="s">
        <v>86</v>
      </c>
      <c r="CH3" s="377" t="s">
        <v>87</v>
      </c>
      <c r="CI3" s="376" t="s">
        <v>9</v>
      </c>
      <c r="CJ3" s="376" t="s">
        <v>10</v>
      </c>
      <c r="CK3" s="376" t="s">
        <v>11</v>
      </c>
      <c r="CL3" s="376" t="s">
        <v>12</v>
      </c>
      <c r="CM3" s="376" t="s">
        <v>13</v>
      </c>
      <c r="CN3" s="376" t="s">
        <v>14</v>
      </c>
      <c r="CO3" s="376" t="s">
        <v>71</v>
      </c>
      <c r="CP3" s="376" t="s">
        <v>24</v>
      </c>
      <c r="CQ3" s="376" t="s">
        <v>25</v>
      </c>
      <c r="CR3" s="376" t="s">
        <v>72</v>
      </c>
      <c r="CS3" s="376" t="s">
        <v>73</v>
      </c>
      <c r="CT3" s="378" t="s">
        <v>26</v>
      </c>
      <c r="CU3" s="376" t="s">
        <v>27</v>
      </c>
      <c r="CV3" s="376" t="s">
        <v>28</v>
      </c>
      <c r="CW3" s="376" t="s">
        <v>29</v>
      </c>
      <c r="CX3" s="376" t="s">
        <v>74</v>
      </c>
      <c r="CY3" s="378" t="s">
        <v>26</v>
      </c>
      <c r="CZ3" s="376" t="s">
        <v>79</v>
      </c>
      <c r="DA3" s="376" t="s">
        <v>45</v>
      </c>
      <c r="DB3" s="377" t="s">
        <v>88</v>
      </c>
      <c r="DC3" s="377" t="s">
        <v>75</v>
      </c>
      <c r="DD3" s="377" t="s">
        <v>76</v>
      </c>
      <c r="DE3" s="377" t="s">
        <v>89</v>
      </c>
      <c r="DF3" s="376" t="s">
        <v>32</v>
      </c>
      <c r="DG3" s="376" t="s">
        <v>33</v>
      </c>
      <c r="DH3" s="376" t="s">
        <v>34</v>
      </c>
      <c r="DI3" s="376" t="s">
        <v>35</v>
      </c>
      <c r="DJ3" s="378" t="s">
        <v>78</v>
      </c>
      <c r="DK3" s="377" t="s">
        <v>90</v>
      </c>
      <c r="DL3" s="376" t="s">
        <v>6</v>
      </c>
      <c r="DM3" s="377" t="s">
        <v>81</v>
      </c>
      <c r="DN3" s="377" t="s">
        <v>82</v>
      </c>
      <c r="DO3" s="377" t="s">
        <v>83</v>
      </c>
      <c r="DP3" s="377" t="s">
        <v>84</v>
      </c>
      <c r="DQ3" s="377" t="s">
        <v>85</v>
      </c>
      <c r="DR3" s="377" t="s">
        <v>86</v>
      </c>
      <c r="DS3" s="377" t="s">
        <v>87</v>
      </c>
      <c r="DT3" s="376" t="s">
        <v>9</v>
      </c>
      <c r="DU3" s="376" t="s">
        <v>10</v>
      </c>
      <c r="DV3" s="376" t="s">
        <v>11</v>
      </c>
      <c r="DW3" s="376" t="s">
        <v>12</v>
      </c>
      <c r="DX3" s="376" t="s">
        <v>13</v>
      </c>
      <c r="DY3" s="376" t="s">
        <v>14</v>
      </c>
      <c r="DZ3" s="376" t="s">
        <v>71</v>
      </c>
      <c r="EA3" s="376" t="s">
        <v>24</v>
      </c>
      <c r="EB3" s="376" t="s">
        <v>25</v>
      </c>
      <c r="EC3" s="376" t="s">
        <v>72</v>
      </c>
      <c r="ED3" s="376" t="s">
        <v>73</v>
      </c>
      <c r="EE3" s="378" t="s">
        <v>26</v>
      </c>
      <c r="EF3" s="376" t="s">
        <v>27</v>
      </c>
      <c r="EG3" s="376" t="s">
        <v>28</v>
      </c>
      <c r="EH3" s="376" t="s">
        <v>29</v>
      </c>
      <c r="EI3" s="376" t="s">
        <v>74</v>
      </c>
      <c r="EJ3" s="378" t="s">
        <v>26</v>
      </c>
      <c r="EK3" s="376" t="s">
        <v>79</v>
      </c>
      <c r="EL3" s="376" t="s">
        <v>45</v>
      </c>
      <c r="EM3" s="377" t="s">
        <v>88</v>
      </c>
      <c r="EN3" s="377" t="s">
        <v>75</v>
      </c>
      <c r="EO3" s="377" t="s">
        <v>76</v>
      </c>
      <c r="EP3" s="377" t="s">
        <v>89</v>
      </c>
      <c r="EQ3" s="376" t="s">
        <v>32</v>
      </c>
      <c r="ER3" s="376" t="s">
        <v>33</v>
      </c>
      <c r="ES3" s="376" t="s">
        <v>34</v>
      </c>
      <c r="ET3" s="376" t="s">
        <v>35</v>
      </c>
      <c r="EU3" s="378" t="s">
        <v>78</v>
      </c>
      <c r="EV3" s="377" t="s">
        <v>90</v>
      </c>
      <c r="EW3" s="376" t="s">
        <v>6</v>
      </c>
      <c r="EX3" s="377" t="s">
        <v>81</v>
      </c>
      <c r="EY3" s="377" t="s">
        <v>82</v>
      </c>
      <c r="EZ3" s="377" t="s">
        <v>83</v>
      </c>
      <c r="FA3" s="377" t="s">
        <v>84</v>
      </c>
      <c r="FB3" s="377" t="s">
        <v>85</v>
      </c>
      <c r="FC3" s="377" t="s">
        <v>86</v>
      </c>
      <c r="FD3" s="377" t="s">
        <v>87</v>
      </c>
      <c r="FE3" s="376" t="s">
        <v>9</v>
      </c>
      <c r="FF3" s="376" t="s">
        <v>10</v>
      </c>
      <c r="FG3" s="376" t="s">
        <v>11</v>
      </c>
      <c r="FH3" s="376" t="s">
        <v>12</v>
      </c>
      <c r="FI3" s="376" t="s">
        <v>13</v>
      </c>
      <c r="FJ3" s="376" t="s">
        <v>14</v>
      </c>
      <c r="FK3" s="376" t="s">
        <v>71</v>
      </c>
      <c r="FL3" s="376" t="s">
        <v>24</v>
      </c>
      <c r="FM3" s="376" t="s">
        <v>25</v>
      </c>
      <c r="FN3" s="376" t="s">
        <v>72</v>
      </c>
      <c r="FO3" s="376" t="s">
        <v>73</v>
      </c>
      <c r="FP3" s="378" t="s">
        <v>26</v>
      </c>
      <c r="FQ3" s="376" t="s">
        <v>27</v>
      </c>
      <c r="FR3" s="376" t="s">
        <v>28</v>
      </c>
      <c r="FS3" s="376" t="s">
        <v>29</v>
      </c>
      <c r="FT3" s="376" t="s">
        <v>74</v>
      </c>
      <c r="FU3" s="378" t="s">
        <v>26</v>
      </c>
      <c r="FV3" s="376" t="s">
        <v>79</v>
      </c>
      <c r="FW3" s="376" t="s">
        <v>45</v>
      </c>
      <c r="FX3" s="377" t="s">
        <v>88</v>
      </c>
      <c r="FY3" s="377" t="s">
        <v>75</v>
      </c>
      <c r="FZ3" s="377" t="s">
        <v>76</v>
      </c>
      <c r="GA3" s="377" t="s">
        <v>89</v>
      </c>
      <c r="GB3" s="376" t="s">
        <v>32</v>
      </c>
      <c r="GC3" s="376" t="s">
        <v>33</v>
      </c>
      <c r="GD3" s="376" t="s">
        <v>34</v>
      </c>
      <c r="GE3" s="376" t="s">
        <v>35</v>
      </c>
      <c r="GF3" s="378" t="s">
        <v>78</v>
      </c>
      <c r="GG3" s="377" t="s">
        <v>90</v>
      </c>
      <c r="GH3" s="376" t="s">
        <v>6</v>
      </c>
      <c r="GI3" s="377" t="s">
        <v>81</v>
      </c>
      <c r="GJ3" s="377" t="s">
        <v>82</v>
      </c>
      <c r="GK3" s="377" t="s">
        <v>83</v>
      </c>
      <c r="GL3" s="377" t="s">
        <v>84</v>
      </c>
      <c r="GM3" s="377" t="s">
        <v>85</v>
      </c>
      <c r="GN3" s="377" t="s">
        <v>86</v>
      </c>
      <c r="GO3" s="377" t="s">
        <v>87</v>
      </c>
      <c r="GP3" s="376" t="s">
        <v>9</v>
      </c>
      <c r="GQ3" s="376" t="s">
        <v>10</v>
      </c>
      <c r="GR3" s="376" t="s">
        <v>11</v>
      </c>
      <c r="GS3" s="376" t="s">
        <v>12</v>
      </c>
      <c r="GT3" s="376" t="s">
        <v>13</v>
      </c>
      <c r="GU3" s="376" t="s">
        <v>14</v>
      </c>
      <c r="GV3" s="376" t="s">
        <v>71</v>
      </c>
      <c r="GW3" s="376" t="s">
        <v>24</v>
      </c>
      <c r="GX3" s="376" t="s">
        <v>25</v>
      </c>
      <c r="GY3" s="376" t="s">
        <v>72</v>
      </c>
      <c r="GZ3" s="376" t="s">
        <v>73</v>
      </c>
      <c r="HA3" s="378" t="s">
        <v>26</v>
      </c>
      <c r="HB3" s="376" t="s">
        <v>27</v>
      </c>
      <c r="HC3" s="376" t="s">
        <v>28</v>
      </c>
      <c r="HD3" s="376" t="s">
        <v>29</v>
      </c>
      <c r="HE3" s="376" t="s">
        <v>74</v>
      </c>
      <c r="HF3" s="378" t="s">
        <v>26</v>
      </c>
      <c r="HG3" s="376" t="s">
        <v>79</v>
      </c>
      <c r="HH3" s="376" t="s">
        <v>45</v>
      </c>
      <c r="HI3" s="377" t="s">
        <v>88</v>
      </c>
      <c r="HJ3" s="377" t="s">
        <v>75</v>
      </c>
      <c r="HK3" s="377" t="s">
        <v>76</v>
      </c>
      <c r="HL3" s="377" t="s">
        <v>89</v>
      </c>
      <c r="HM3" s="376" t="s">
        <v>32</v>
      </c>
      <c r="HN3" s="376" t="s">
        <v>33</v>
      </c>
      <c r="HO3" s="376" t="s">
        <v>34</v>
      </c>
      <c r="HP3" s="376" t="s">
        <v>35</v>
      </c>
      <c r="HQ3" s="378" t="s">
        <v>78</v>
      </c>
      <c r="HR3" s="377" t="s">
        <v>90</v>
      </c>
      <c r="HS3" s="376" t="s">
        <v>6</v>
      </c>
      <c r="HT3" s="377" t="s">
        <v>81</v>
      </c>
      <c r="HU3" s="377" t="s">
        <v>82</v>
      </c>
      <c r="HV3" s="377" t="s">
        <v>83</v>
      </c>
      <c r="HW3" s="377" t="s">
        <v>84</v>
      </c>
      <c r="HX3" s="377" t="s">
        <v>85</v>
      </c>
      <c r="HY3" s="377" t="s">
        <v>86</v>
      </c>
      <c r="HZ3" s="377" t="s">
        <v>87</v>
      </c>
      <c r="IA3" s="376" t="s">
        <v>9</v>
      </c>
      <c r="IB3" s="376" t="s">
        <v>10</v>
      </c>
      <c r="IC3" s="376" t="s">
        <v>11</v>
      </c>
      <c r="ID3" s="376" t="s">
        <v>12</v>
      </c>
      <c r="IE3" s="376" t="s">
        <v>13</v>
      </c>
      <c r="IF3" s="376" t="s">
        <v>14</v>
      </c>
      <c r="IG3" s="376" t="s">
        <v>71</v>
      </c>
      <c r="IH3" s="376" t="s">
        <v>24</v>
      </c>
      <c r="II3" s="376" t="s">
        <v>25</v>
      </c>
      <c r="IJ3" s="376" t="s">
        <v>72</v>
      </c>
      <c r="IK3" s="376" t="s">
        <v>73</v>
      </c>
      <c r="IL3" s="378" t="s">
        <v>26</v>
      </c>
      <c r="IM3" s="376" t="s">
        <v>27</v>
      </c>
      <c r="IN3" s="376" t="s">
        <v>28</v>
      </c>
      <c r="IO3" s="376" t="s">
        <v>29</v>
      </c>
      <c r="IP3" s="376" t="s">
        <v>74</v>
      </c>
      <c r="IQ3" s="378" t="s">
        <v>26</v>
      </c>
      <c r="IR3" s="376" t="s">
        <v>79</v>
      </c>
      <c r="IS3" s="376" t="s">
        <v>45</v>
      </c>
      <c r="IT3" s="377" t="s">
        <v>88</v>
      </c>
      <c r="IU3" s="377" t="s">
        <v>75</v>
      </c>
      <c r="IV3" s="377" t="s">
        <v>76</v>
      </c>
      <c r="IW3" s="377" t="s">
        <v>89</v>
      </c>
      <c r="IX3" s="376" t="s">
        <v>32</v>
      </c>
      <c r="IY3" s="376" t="s">
        <v>33</v>
      </c>
      <c r="IZ3" s="376" t="s">
        <v>34</v>
      </c>
      <c r="JA3" s="376" t="s">
        <v>35</v>
      </c>
      <c r="JB3" s="378" t="s">
        <v>78</v>
      </c>
      <c r="JC3" s="377" t="s">
        <v>90</v>
      </c>
      <c r="JD3" s="376" t="s">
        <v>6</v>
      </c>
      <c r="JE3" s="377" t="s">
        <v>81</v>
      </c>
      <c r="JF3" s="377" t="s">
        <v>82</v>
      </c>
      <c r="JG3" s="377" t="s">
        <v>83</v>
      </c>
      <c r="JH3" s="377" t="s">
        <v>84</v>
      </c>
      <c r="JI3" s="377" t="s">
        <v>85</v>
      </c>
      <c r="JJ3" s="377" t="s">
        <v>86</v>
      </c>
      <c r="JK3" s="377" t="s">
        <v>87</v>
      </c>
      <c r="JL3" s="376" t="s">
        <v>9</v>
      </c>
      <c r="JM3" s="376" t="s">
        <v>10</v>
      </c>
      <c r="JN3" s="376" t="s">
        <v>11</v>
      </c>
      <c r="JO3" s="376" t="s">
        <v>12</v>
      </c>
      <c r="JP3" s="376" t="s">
        <v>13</v>
      </c>
      <c r="JQ3" s="376" t="s">
        <v>14</v>
      </c>
      <c r="JR3" s="376" t="s">
        <v>71</v>
      </c>
      <c r="JS3" s="376" t="s">
        <v>24</v>
      </c>
      <c r="JT3" s="376" t="s">
        <v>25</v>
      </c>
      <c r="JU3" s="376" t="s">
        <v>72</v>
      </c>
      <c r="JV3" s="376" t="s">
        <v>73</v>
      </c>
      <c r="JW3" s="378" t="s">
        <v>26</v>
      </c>
      <c r="JX3" s="376" t="s">
        <v>27</v>
      </c>
      <c r="JY3" s="376" t="s">
        <v>28</v>
      </c>
      <c r="JZ3" s="376" t="s">
        <v>29</v>
      </c>
      <c r="KA3" s="376" t="s">
        <v>74</v>
      </c>
      <c r="KB3" s="378" t="s">
        <v>26</v>
      </c>
      <c r="KC3" s="376" t="s">
        <v>79</v>
      </c>
      <c r="KD3" s="376" t="s">
        <v>45</v>
      </c>
      <c r="KE3" s="377" t="s">
        <v>88</v>
      </c>
      <c r="KF3" s="377" t="s">
        <v>75</v>
      </c>
      <c r="KG3" s="377" t="s">
        <v>76</v>
      </c>
      <c r="KH3" s="377" t="s">
        <v>89</v>
      </c>
      <c r="KI3" s="376" t="s">
        <v>32</v>
      </c>
      <c r="KJ3" s="376" t="s">
        <v>33</v>
      </c>
      <c r="KK3" s="376" t="s">
        <v>34</v>
      </c>
      <c r="KL3" s="376" t="s">
        <v>35</v>
      </c>
      <c r="KM3" s="378" t="s">
        <v>78</v>
      </c>
      <c r="KN3" s="377" t="s">
        <v>90</v>
      </c>
      <c r="KO3" s="376" t="s">
        <v>6</v>
      </c>
      <c r="KP3" s="377" t="s">
        <v>81</v>
      </c>
      <c r="KQ3" s="377" t="s">
        <v>82</v>
      </c>
      <c r="KR3" s="377" t="s">
        <v>83</v>
      </c>
      <c r="KS3" s="377" t="s">
        <v>84</v>
      </c>
      <c r="KT3" s="377" t="s">
        <v>85</v>
      </c>
      <c r="KU3" s="377" t="s">
        <v>86</v>
      </c>
      <c r="KV3" s="377" t="s">
        <v>87</v>
      </c>
      <c r="KW3" s="376" t="s">
        <v>9</v>
      </c>
      <c r="KX3" s="376" t="s">
        <v>10</v>
      </c>
      <c r="KY3" s="376" t="s">
        <v>11</v>
      </c>
      <c r="KZ3" s="376" t="s">
        <v>12</v>
      </c>
      <c r="LA3" s="376" t="s">
        <v>13</v>
      </c>
      <c r="LB3" s="376" t="s">
        <v>14</v>
      </c>
      <c r="LC3" s="376" t="s">
        <v>71</v>
      </c>
      <c r="LD3" s="376" t="s">
        <v>24</v>
      </c>
      <c r="LE3" s="376" t="s">
        <v>25</v>
      </c>
      <c r="LF3" s="376" t="s">
        <v>72</v>
      </c>
      <c r="LG3" s="376" t="s">
        <v>73</v>
      </c>
      <c r="LH3" s="378" t="s">
        <v>26</v>
      </c>
      <c r="LI3" s="376" t="s">
        <v>27</v>
      </c>
      <c r="LJ3" s="376" t="s">
        <v>28</v>
      </c>
      <c r="LK3" s="376" t="s">
        <v>29</v>
      </c>
      <c r="LL3" s="376" t="s">
        <v>74</v>
      </c>
      <c r="LM3" s="378" t="s">
        <v>26</v>
      </c>
      <c r="LN3" s="376" t="s">
        <v>79</v>
      </c>
      <c r="LO3" s="376" t="s">
        <v>45</v>
      </c>
      <c r="LP3" s="377" t="s">
        <v>88</v>
      </c>
      <c r="LQ3" s="377" t="s">
        <v>75</v>
      </c>
      <c r="LR3" s="377" t="s">
        <v>76</v>
      </c>
      <c r="LS3" s="377" t="s">
        <v>89</v>
      </c>
      <c r="LT3" s="376" t="s">
        <v>32</v>
      </c>
      <c r="LU3" s="376" t="s">
        <v>33</v>
      </c>
      <c r="LV3" s="376" t="s">
        <v>34</v>
      </c>
      <c r="LW3" s="376" t="s">
        <v>35</v>
      </c>
      <c r="LX3" s="378" t="s">
        <v>78</v>
      </c>
      <c r="LY3" s="377" t="s">
        <v>90</v>
      </c>
      <c r="LZ3" s="376" t="s">
        <v>6</v>
      </c>
      <c r="MA3" s="377" t="s">
        <v>81</v>
      </c>
      <c r="MB3" s="377" t="s">
        <v>82</v>
      </c>
      <c r="MC3" s="377" t="s">
        <v>83</v>
      </c>
      <c r="MD3" s="377" t="s">
        <v>84</v>
      </c>
      <c r="ME3" s="377" t="s">
        <v>85</v>
      </c>
      <c r="MF3" s="377" t="s">
        <v>86</v>
      </c>
      <c r="MG3" s="377" t="s">
        <v>87</v>
      </c>
      <c r="MH3" s="376" t="s">
        <v>9</v>
      </c>
      <c r="MI3" s="376" t="s">
        <v>10</v>
      </c>
      <c r="MJ3" s="376" t="s">
        <v>11</v>
      </c>
      <c r="MK3" s="376" t="s">
        <v>12</v>
      </c>
      <c r="ML3" s="376" t="s">
        <v>13</v>
      </c>
      <c r="MM3" s="376" t="s">
        <v>14</v>
      </c>
      <c r="MN3" s="376" t="s">
        <v>71</v>
      </c>
      <c r="MO3" s="376" t="s">
        <v>24</v>
      </c>
      <c r="MP3" s="376" t="s">
        <v>25</v>
      </c>
      <c r="MQ3" s="376" t="s">
        <v>72</v>
      </c>
      <c r="MR3" s="376" t="s">
        <v>73</v>
      </c>
      <c r="MS3" s="378" t="s">
        <v>26</v>
      </c>
      <c r="MT3" s="376" t="s">
        <v>27</v>
      </c>
      <c r="MU3" s="376" t="s">
        <v>28</v>
      </c>
      <c r="MV3" s="376" t="s">
        <v>29</v>
      </c>
      <c r="MW3" s="376" t="s">
        <v>74</v>
      </c>
      <c r="MX3" s="378" t="s">
        <v>26</v>
      </c>
      <c r="MY3" s="376" t="s">
        <v>79</v>
      </c>
      <c r="MZ3" s="376" t="s">
        <v>45</v>
      </c>
      <c r="NA3" s="377" t="s">
        <v>88</v>
      </c>
      <c r="NB3" s="377" t="s">
        <v>75</v>
      </c>
      <c r="NC3" s="377" t="s">
        <v>76</v>
      </c>
      <c r="ND3" s="377" t="s">
        <v>89</v>
      </c>
      <c r="NE3" s="376" t="s">
        <v>32</v>
      </c>
      <c r="NF3" s="376" t="s">
        <v>33</v>
      </c>
      <c r="NG3" s="376" t="s">
        <v>34</v>
      </c>
      <c r="NH3" s="376" t="s">
        <v>35</v>
      </c>
      <c r="NI3" s="378" t="s">
        <v>78</v>
      </c>
      <c r="NJ3" s="377" t="s">
        <v>90</v>
      </c>
    </row>
    <row r="4" spans="1:374">
      <c r="A4" s="33" t="s">
        <v>926</v>
      </c>
      <c r="B4" s="33" t="s">
        <v>927</v>
      </c>
      <c r="C4" s="33" t="s">
        <v>928</v>
      </c>
      <c r="D4" s="33" t="s">
        <v>929</v>
      </c>
      <c r="E4" s="378" t="str">
        <f>CONCATENATE(YEAR(E2),":",E3)</f>
        <v>2008:Sales</v>
      </c>
      <c r="F4" s="378" t="str">
        <f t="shared" ref="F4:BQ4" si="0">CONCATENATE(YEAR(F2),":",F3)</f>
        <v>2008:Raw Material Cost</v>
      </c>
      <c r="G4" s="378" t="str">
        <f t="shared" si="0"/>
        <v>2008:Change in Inventory</v>
      </c>
      <c r="H4" s="378" t="str">
        <f t="shared" si="0"/>
        <v>2008:Power and Fuel</v>
      </c>
      <c r="I4" s="378" t="str">
        <f t="shared" si="0"/>
        <v>2008:Other Mfr. Exp</v>
      </c>
      <c r="J4" s="378" t="str">
        <f t="shared" si="0"/>
        <v>2008:Employee Cost</v>
      </c>
      <c r="K4" s="378" t="str">
        <f t="shared" si="0"/>
        <v>2008:Selling and admin</v>
      </c>
      <c r="L4" s="378" t="str">
        <f t="shared" si="0"/>
        <v>2008:Other Expenses</v>
      </c>
      <c r="M4" s="378" t="str">
        <f t="shared" si="0"/>
        <v>2008:Other Income</v>
      </c>
      <c r="N4" s="378" t="str">
        <f t="shared" si="0"/>
        <v>2008:Depreciation</v>
      </c>
      <c r="O4" s="378" t="str">
        <f t="shared" si="0"/>
        <v>2008:Interest</v>
      </c>
      <c r="P4" s="378" t="str">
        <f t="shared" si="0"/>
        <v>2008:Profit before tax</v>
      </c>
      <c r="Q4" s="378" t="str">
        <f t="shared" si="0"/>
        <v>2008:Tax</v>
      </c>
      <c r="R4" s="378" t="str">
        <f t="shared" si="0"/>
        <v>2008:Net profit</v>
      </c>
      <c r="S4" s="378" t="str">
        <f t="shared" si="0"/>
        <v>2008:Dividend Amount</v>
      </c>
      <c r="T4" s="378" t="str">
        <f t="shared" si="0"/>
        <v>2008:Equity Share Capital</v>
      </c>
      <c r="U4" s="378" t="str">
        <f t="shared" si="0"/>
        <v>2008:Reserves</v>
      </c>
      <c r="V4" s="378" t="str">
        <f t="shared" si="0"/>
        <v>2008:Borrowings</v>
      </c>
      <c r="W4" s="378" t="str">
        <f t="shared" si="0"/>
        <v>2008:Other Liabilities</v>
      </c>
      <c r="X4" s="378" t="str">
        <f t="shared" si="0"/>
        <v>2008:Total</v>
      </c>
      <c r="Y4" s="378" t="str">
        <f t="shared" si="0"/>
        <v>2008:Net Block</v>
      </c>
      <c r="Z4" s="378" t="str">
        <f t="shared" si="0"/>
        <v>2008:Capital Work in Progress</v>
      </c>
      <c r="AA4" s="378" t="str">
        <f t="shared" si="0"/>
        <v>2008:Investments</v>
      </c>
      <c r="AB4" s="378" t="str">
        <f t="shared" si="0"/>
        <v>2008:Other Assets</v>
      </c>
      <c r="AC4" s="378" t="str">
        <f t="shared" si="0"/>
        <v>2008:Total</v>
      </c>
      <c r="AD4" s="378" t="str">
        <f t="shared" si="0"/>
        <v>2008:Receivables</v>
      </c>
      <c r="AE4" s="378" t="str">
        <f t="shared" si="0"/>
        <v>2008:Inventory</v>
      </c>
      <c r="AF4" s="378" t="str">
        <f t="shared" si="0"/>
        <v>2008:Cash &amp; Bank</v>
      </c>
      <c r="AG4" s="378" t="str">
        <f t="shared" si="0"/>
        <v>2008:No. of Equity Shares</v>
      </c>
      <c r="AH4" s="378" t="str">
        <f t="shared" si="0"/>
        <v>2008:New Bonus Shares</v>
      </c>
      <c r="AI4" s="378" t="str">
        <f t="shared" si="0"/>
        <v>2008:Face value</v>
      </c>
      <c r="AJ4" s="378" t="str">
        <f t="shared" si="0"/>
        <v>2008:Cash from Operating Activity</v>
      </c>
      <c r="AK4" s="378" t="str">
        <f t="shared" si="0"/>
        <v>2008:Cash from Investing Activity</v>
      </c>
      <c r="AL4" s="378" t="str">
        <f t="shared" si="0"/>
        <v>2008:Cash from Financing Activity</v>
      </c>
      <c r="AM4" s="378" t="str">
        <f t="shared" si="0"/>
        <v>2008:Net Cash Flow</v>
      </c>
      <c r="AN4" s="378" t="str">
        <f t="shared" si="0"/>
        <v>2008:PRICE:</v>
      </c>
      <c r="AO4" s="378" t="str">
        <f t="shared" si="0"/>
        <v>2008:Adjusted Equity Shares in Cr</v>
      </c>
      <c r="AP4" s="378" t="str">
        <f t="shared" si="0"/>
        <v>2009:Sales</v>
      </c>
      <c r="AQ4" s="378" t="str">
        <f t="shared" si="0"/>
        <v>2009:Raw Material Cost</v>
      </c>
      <c r="AR4" s="378" t="str">
        <f t="shared" si="0"/>
        <v>2009:Change in Inventory</v>
      </c>
      <c r="AS4" s="378" t="str">
        <f t="shared" si="0"/>
        <v>2009:Power and Fuel</v>
      </c>
      <c r="AT4" s="378" t="str">
        <f t="shared" si="0"/>
        <v>2009:Other Mfr. Exp</v>
      </c>
      <c r="AU4" s="378" t="str">
        <f t="shared" si="0"/>
        <v>2009:Employee Cost</v>
      </c>
      <c r="AV4" s="378" t="str">
        <f t="shared" si="0"/>
        <v>2009:Selling and admin</v>
      </c>
      <c r="AW4" s="378" t="str">
        <f t="shared" si="0"/>
        <v>2009:Other Expenses</v>
      </c>
      <c r="AX4" s="378" t="str">
        <f t="shared" si="0"/>
        <v>2009:Other Income</v>
      </c>
      <c r="AY4" s="378" t="str">
        <f t="shared" si="0"/>
        <v>2009:Depreciation</v>
      </c>
      <c r="AZ4" s="378" t="str">
        <f t="shared" si="0"/>
        <v>2009:Interest</v>
      </c>
      <c r="BA4" s="378" t="str">
        <f t="shared" si="0"/>
        <v>2009:Profit before tax</v>
      </c>
      <c r="BB4" s="378" t="str">
        <f t="shared" si="0"/>
        <v>2009:Tax</v>
      </c>
      <c r="BC4" s="378" t="str">
        <f t="shared" si="0"/>
        <v>2009:Net profit</v>
      </c>
      <c r="BD4" s="378" t="str">
        <f t="shared" si="0"/>
        <v>2009:Dividend Amount</v>
      </c>
      <c r="BE4" s="378" t="str">
        <f t="shared" si="0"/>
        <v>2009:Equity Share Capital</v>
      </c>
      <c r="BF4" s="378" t="str">
        <f t="shared" si="0"/>
        <v>2009:Reserves</v>
      </c>
      <c r="BG4" s="378" t="str">
        <f t="shared" si="0"/>
        <v>2009:Borrowings</v>
      </c>
      <c r="BH4" s="378" t="str">
        <f t="shared" si="0"/>
        <v>2009:Other Liabilities</v>
      </c>
      <c r="BI4" s="378" t="str">
        <f t="shared" si="0"/>
        <v>2009:Total</v>
      </c>
      <c r="BJ4" s="378" t="str">
        <f t="shared" si="0"/>
        <v>2009:Net Block</v>
      </c>
      <c r="BK4" s="378" t="str">
        <f t="shared" si="0"/>
        <v>2009:Capital Work in Progress</v>
      </c>
      <c r="BL4" s="378" t="str">
        <f t="shared" si="0"/>
        <v>2009:Investments</v>
      </c>
      <c r="BM4" s="378" t="str">
        <f t="shared" si="0"/>
        <v>2009:Other Assets</v>
      </c>
      <c r="BN4" s="378" t="str">
        <f t="shared" si="0"/>
        <v>2009:Total</v>
      </c>
      <c r="BO4" s="378" t="str">
        <f t="shared" si="0"/>
        <v>2009:Receivables</v>
      </c>
      <c r="BP4" s="378" t="str">
        <f t="shared" si="0"/>
        <v>2009:Inventory</v>
      </c>
      <c r="BQ4" s="378" t="str">
        <f t="shared" si="0"/>
        <v>2009:Cash &amp; Bank</v>
      </c>
      <c r="BR4" s="378" t="str">
        <f t="shared" ref="BR4:EC4" si="1">CONCATENATE(YEAR(BR2),":",BR3)</f>
        <v>2009:No. of Equity Shares</v>
      </c>
      <c r="BS4" s="378" t="str">
        <f t="shared" si="1"/>
        <v>2009:New Bonus Shares</v>
      </c>
      <c r="BT4" s="378" t="str">
        <f t="shared" si="1"/>
        <v>2009:Face value</v>
      </c>
      <c r="BU4" s="378" t="str">
        <f t="shared" si="1"/>
        <v>2009:Cash from Operating Activity</v>
      </c>
      <c r="BV4" s="378" t="str">
        <f t="shared" si="1"/>
        <v>2009:Cash from Investing Activity</v>
      </c>
      <c r="BW4" s="378" t="str">
        <f t="shared" si="1"/>
        <v>2009:Cash from Financing Activity</v>
      </c>
      <c r="BX4" s="378" t="str">
        <f t="shared" si="1"/>
        <v>2009:Net Cash Flow</v>
      </c>
      <c r="BY4" s="378" t="str">
        <f t="shared" si="1"/>
        <v>2009:PRICE:</v>
      </c>
      <c r="BZ4" s="378" t="str">
        <f t="shared" si="1"/>
        <v>2009:Adjusted Equity Shares in Cr</v>
      </c>
      <c r="CA4" s="378" t="str">
        <f t="shared" si="1"/>
        <v>2010:Sales</v>
      </c>
      <c r="CB4" s="378" t="str">
        <f t="shared" si="1"/>
        <v>2010:Raw Material Cost</v>
      </c>
      <c r="CC4" s="378" t="str">
        <f t="shared" si="1"/>
        <v>2010:Change in Inventory</v>
      </c>
      <c r="CD4" s="378" t="str">
        <f t="shared" si="1"/>
        <v>2010:Power and Fuel</v>
      </c>
      <c r="CE4" s="378" t="str">
        <f t="shared" si="1"/>
        <v>2010:Other Mfr. Exp</v>
      </c>
      <c r="CF4" s="378" t="str">
        <f t="shared" si="1"/>
        <v>2010:Employee Cost</v>
      </c>
      <c r="CG4" s="378" t="str">
        <f t="shared" si="1"/>
        <v>2010:Selling and admin</v>
      </c>
      <c r="CH4" s="378" t="str">
        <f t="shared" si="1"/>
        <v>2010:Other Expenses</v>
      </c>
      <c r="CI4" s="378" t="str">
        <f t="shared" si="1"/>
        <v>2010:Other Income</v>
      </c>
      <c r="CJ4" s="378" t="str">
        <f t="shared" si="1"/>
        <v>2010:Depreciation</v>
      </c>
      <c r="CK4" s="378" t="str">
        <f t="shared" si="1"/>
        <v>2010:Interest</v>
      </c>
      <c r="CL4" s="378" t="str">
        <f t="shared" si="1"/>
        <v>2010:Profit before tax</v>
      </c>
      <c r="CM4" s="378" t="str">
        <f t="shared" si="1"/>
        <v>2010:Tax</v>
      </c>
      <c r="CN4" s="378" t="str">
        <f t="shared" si="1"/>
        <v>2010:Net profit</v>
      </c>
      <c r="CO4" s="378" t="str">
        <f t="shared" si="1"/>
        <v>2010:Dividend Amount</v>
      </c>
      <c r="CP4" s="378" t="str">
        <f t="shared" si="1"/>
        <v>2010:Equity Share Capital</v>
      </c>
      <c r="CQ4" s="378" t="str">
        <f t="shared" si="1"/>
        <v>2010:Reserves</v>
      </c>
      <c r="CR4" s="378" t="str">
        <f t="shared" si="1"/>
        <v>2010:Borrowings</v>
      </c>
      <c r="CS4" s="378" t="str">
        <f t="shared" si="1"/>
        <v>2010:Other Liabilities</v>
      </c>
      <c r="CT4" s="378" t="str">
        <f t="shared" si="1"/>
        <v>2010:Total</v>
      </c>
      <c r="CU4" s="378" t="str">
        <f t="shared" si="1"/>
        <v>2010:Net Block</v>
      </c>
      <c r="CV4" s="378" t="str">
        <f t="shared" si="1"/>
        <v>2010:Capital Work in Progress</v>
      </c>
      <c r="CW4" s="378" t="str">
        <f t="shared" si="1"/>
        <v>2010:Investments</v>
      </c>
      <c r="CX4" s="378" t="str">
        <f t="shared" si="1"/>
        <v>2010:Other Assets</v>
      </c>
      <c r="CY4" s="378" t="str">
        <f t="shared" si="1"/>
        <v>2010:Total</v>
      </c>
      <c r="CZ4" s="378" t="str">
        <f t="shared" si="1"/>
        <v>2010:Receivables</v>
      </c>
      <c r="DA4" s="378" t="str">
        <f t="shared" si="1"/>
        <v>2010:Inventory</v>
      </c>
      <c r="DB4" s="378" t="str">
        <f t="shared" si="1"/>
        <v>2010:Cash &amp; Bank</v>
      </c>
      <c r="DC4" s="378" t="str">
        <f t="shared" si="1"/>
        <v>2010:No. of Equity Shares</v>
      </c>
      <c r="DD4" s="378" t="str">
        <f t="shared" si="1"/>
        <v>2010:New Bonus Shares</v>
      </c>
      <c r="DE4" s="378" t="str">
        <f t="shared" si="1"/>
        <v>2010:Face value</v>
      </c>
      <c r="DF4" s="378" t="str">
        <f t="shared" si="1"/>
        <v>2010:Cash from Operating Activity</v>
      </c>
      <c r="DG4" s="378" t="str">
        <f t="shared" si="1"/>
        <v>2010:Cash from Investing Activity</v>
      </c>
      <c r="DH4" s="378" t="str">
        <f t="shared" si="1"/>
        <v>2010:Cash from Financing Activity</v>
      </c>
      <c r="DI4" s="378" t="str">
        <f t="shared" si="1"/>
        <v>2010:Net Cash Flow</v>
      </c>
      <c r="DJ4" s="378" t="str">
        <f t="shared" si="1"/>
        <v>2010:PRICE:</v>
      </c>
      <c r="DK4" s="378" t="str">
        <f t="shared" si="1"/>
        <v>2010:Adjusted Equity Shares in Cr</v>
      </c>
      <c r="DL4" s="378" t="str">
        <f t="shared" si="1"/>
        <v>2011:Sales</v>
      </c>
      <c r="DM4" s="378" t="str">
        <f t="shared" si="1"/>
        <v>2011:Raw Material Cost</v>
      </c>
      <c r="DN4" s="378" t="str">
        <f t="shared" si="1"/>
        <v>2011:Change in Inventory</v>
      </c>
      <c r="DO4" s="378" t="str">
        <f t="shared" si="1"/>
        <v>2011:Power and Fuel</v>
      </c>
      <c r="DP4" s="378" t="str">
        <f t="shared" si="1"/>
        <v>2011:Other Mfr. Exp</v>
      </c>
      <c r="DQ4" s="378" t="str">
        <f t="shared" si="1"/>
        <v>2011:Employee Cost</v>
      </c>
      <c r="DR4" s="378" t="str">
        <f t="shared" si="1"/>
        <v>2011:Selling and admin</v>
      </c>
      <c r="DS4" s="378" t="str">
        <f t="shared" si="1"/>
        <v>2011:Other Expenses</v>
      </c>
      <c r="DT4" s="378" t="str">
        <f t="shared" si="1"/>
        <v>2011:Other Income</v>
      </c>
      <c r="DU4" s="378" t="str">
        <f t="shared" si="1"/>
        <v>2011:Depreciation</v>
      </c>
      <c r="DV4" s="378" t="str">
        <f t="shared" si="1"/>
        <v>2011:Interest</v>
      </c>
      <c r="DW4" s="378" t="str">
        <f t="shared" si="1"/>
        <v>2011:Profit before tax</v>
      </c>
      <c r="DX4" s="378" t="str">
        <f t="shared" si="1"/>
        <v>2011:Tax</v>
      </c>
      <c r="DY4" s="378" t="str">
        <f t="shared" si="1"/>
        <v>2011:Net profit</v>
      </c>
      <c r="DZ4" s="378" t="str">
        <f t="shared" si="1"/>
        <v>2011:Dividend Amount</v>
      </c>
      <c r="EA4" s="378" t="str">
        <f t="shared" si="1"/>
        <v>2011:Equity Share Capital</v>
      </c>
      <c r="EB4" s="378" t="str">
        <f t="shared" si="1"/>
        <v>2011:Reserves</v>
      </c>
      <c r="EC4" s="378" t="str">
        <f t="shared" si="1"/>
        <v>2011:Borrowings</v>
      </c>
      <c r="ED4" s="378" t="str">
        <f t="shared" ref="ED4:GO4" si="2">CONCATENATE(YEAR(ED2),":",ED3)</f>
        <v>2011:Other Liabilities</v>
      </c>
      <c r="EE4" s="378" t="str">
        <f t="shared" si="2"/>
        <v>2011:Total</v>
      </c>
      <c r="EF4" s="378" t="str">
        <f t="shared" si="2"/>
        <v>2011:Net Block</v>
      </c>
      <c r="EG4" s="378" t="str">
        <f t="shared" si="2"/>
        <v>2011:Capital Work in Progress</v>
      </c>
      <c r="EH4" s="378" t="str">
        <f t="shared" si="2"/>
        <v>2011:Investments</v>
      </c>
      <c r="EI4" s="378" t="str">
        <f t="shared" si="2"/>
        <v>2011:Other Assets</v>
      </c>
      <c r="EJ4" s="378" t="str">
        <f t="shared" si="2"/>
        <v>2011:Total</v>
      </c>
      <c r="EK4" s="378" t="str">
        <f t="shared" si="2"/>
        <v>2011:Receivables</v>
      </c>
      <c r="EL4" s="378" t="str">
        <f t="shared" si="2"/>
        <v>2011:Inventory</v>
      </c>
      <c r="EM4" s="378" t="str">
        <f t="shared" si="2"/>
        <v>2011:Cash &amp; Bank</v>
      </c>
      <c r="EN4" s="378" t="str">
        <f t="shared" si="2"/>
        <v>2011:No. of Equity Shares</v>
      </c>
      <c r="EO4" s="378" t="str">
        <f t="shared" si="2"/>
        <v>2011:New Bonus Shares</v>
      </c>
      <c r="EP4" s="378" t="str">
        <f t="shared" si="2"/>
        <v>2011:Face value</v>
      </c>
      <c r="EQ4" s="378" t="str">
        <f t="shared" si="2"/>
        <v>2011:Cash from Operating Activity</v>
      </c>
      <c r="ER4" s="378" t="str">
        <f t="shared" si="2"/>
        <v>2011:Cash from Investing Activity</v>
      </c>
      <c r="ES4" s="378" t="str">
        <f t="shared" si="2"/>
        <v>2011:Cash from Financing Activity</v>
      </c>
      <c r="ET4" s="378" t="str">
        <f t="shared" si="2"/>
        <v>2011:Net Cash Flow</v>
      </c>
      <c r="EU4" s="378" t="str">
        <f t="shared" si="2"/>
        <v>2011:PRICE:</v>
      </c>
      <c r="EV4" s="378" t="str">
        <f t="shared" si="2"/>
        <v>2011:Adjusted Equity Shares in Cr</v>
      </c>
      <c r="EW4" s="378" t="str">
        <f t="shared" si="2"/>
        <v>2012:Sales</v>
      </c>
      <c r="EX4" s="378" t="str">
        <f t="shared" si="2"/>
        <v>2012:Raw Material Cost</v>
      </c>
      <c r="EY4" s="378" t="str">
        <f t="shared" si="2"/>
        <v>2012:Change in Inventory</v>
      </c>
      <c r="EZ4" s="378" t="str">
        <f t="shared" si="2"/>
        <v>2012:Power and Fuel</v>
      </c>
      <c r="FA4" s="378" t="str">
        <f t="shared" si="2"/>
        <v>2012:Other Mfr. Exp</v>
      </c>
      <c r="FB4" s="378" t="str">
        <f t="shared" si="2"/>
        <v>2012:Employee Cost</v>
      </c>
      <c r="FC4" s="378" t="str">
        <f t="shared" si="2"/>
        <v>2012:Selling and admin</v>
      </c>
      <c r="FD4" s="378" t="str">
        <f t="shared" si="2"/>
        <v>2012:Other Expenses</v>
      </c>
      <c r="FE4" s="378" t="str">
        <f t="shared" si="2"/>
        <v>2012:Other Income</v>
      </c>
      <c r="FF4" s="378" t="str">
        <f t="shared" si="2"/>
        <v>2012:Depreciation</v>
      </c>
      <c r="FG4" s="378" t="str">
        <f t="shared" si="2"/>
        <v>2012:Interest</v>
      </c>
      <c r="FH4" s="378" t="str">
        <f t="shared" si="2"/>
        <v>2012:Profit before tax</v>
      </c>
      <c r="FI4" s="378" t="str">
        <f t="shared" si="2"/>
        <v>2012:Tax</v>
      </c>
      <c r="FJ4" s="378" t="str">
        <f t="shared" si="2"/>
        <v>2012:Net profit</v>
      </c>
      <c r="FK4" s="378" t="str">
        <f t="shared" si="2"/>
        <v>2012:Dividend Amount</v>
      </c>
      <c r="FL4" s="378" t="str">
        <f t="shared" si="2"/>
        <v>2012:Equity Share Capital</v>
      </c>
      <c r="FM4" s="378" t="str">
        <f t="shared" si="2"/>
        <v>2012:Reserves</v>
      </c>
      <c r="FN4" s="378" t="str">
        <f t="shared" si="2"/>
        <v>2012:Borrowings</v>
      </c>
      <c r="FO4" s="378" t="str">
        <f t="shared" si="2"/>
        <v>2012:Other Liabilities</v>
      </c>
      <c r="FP4" s="378" t="str">
        <f t="shared" si="2"/>
        <v>2012:Total</v>
      </c>
      <c r="FQ4" s="378" t="str">
        <f t="shared" si="2"/>
        <v>2012:Net Block</v>
      </c>
      <c r="FR4" s="378" t="str">
        <f t="shared" si="2"/>
        <v>2012:Capital Work in Progress</v>
      </c>
      <c r="FS4" s="378" t="str">
        <f t="shared" si="2"/>
        <v>2012:Investments</v>
      </c>
      <c r="FT4" s="378" t="str">
        <f t="shared" si="2"/>
        <v>2012:Other Assets</v>
      </c>
      <c r="FU4" s="378" t="str">
        <f t="shared" si="2"/>
        <v>2012:Total</v>
      </c>
      <c r="FV4" s="378" t="str">
        <f t="shared" si="2"/>
        <v>2012:Receivables</v>
      </c>
      <c r="FW4" s="378" t="str">
        <f t="shared" si="2"/>
        <v>2012:Inventory</v>
      </c>
      <c r="FX4" s="378" t="str">
        <f t="shared" si="2"/>
        <v>2012:Cash &amp; Bank</v>
      </c>
      <c r="FY4" s="378" t="str">
        <f t="shared" si="2"/>
        <v>2012:No. of Equity Shares</v>
      </c>
      <c r="FZ4" s="378" t="str">
        <f t="shared" si="2"/>
        <v>2012:New Bonus Shares</v>
      </c>
      <c r="GA4" s="378" t="str">
        <f t="shared" si="2"/>
        <v>2012:Face value</v>
      </c>
      <c r="GB4" s="378" t="str">
        <f t="shared" si="2"/>
        <v>2012:Cash from Operating Activity</v>
      </c>
      <c r="GC4" s="378" t="str">
        <f t="shared" si="2"/>
        <v>2012:Cash from Investing Activity</v>
      </c>
      <c r="GD4" s="378" t="str">
        <f t="shared" si="2"/>
        <v>2012:Cash from Financing Activity</v>
      </c>
      <c r="GE4" s="378" t="str">
        <f t="shared" si="2"/>
        <v>2012:Net Cash Flow</v>
      </c>
      <c r="GF4" s="378" t="str">
        <f t="shared" si="2"/>
        <v>2012:PRICE:</v>
      </c>
      <c r="GG4" s="378" t="str">
        <f t="shared" si="2"/>
        <v>2012:Adjusted Equity Shares in Cr</v>
      </c>
      <c r="GH4" s="378" t="str">
        <f t="shared" si="2"/>
        <v>2013:Sales</v>
      </c>
      <c r="GI4" s="378" t="str">
        <f t="shared" si="2"/>
        <v>2013:Raw Material Cost</v>
      </c>
      <c r="GJ4" s="378" t="str">
        <f t="shared" si="2"/>
        <v>2013:Change in Inventory</v>
      </c>
      <c r="GK4" s="378" t="str">
        <f t="shared" si="2"/>
        <v>2013:Power and Fuel</v>
      </c>
      <c r="GL4" s="378" t="str">
        <f t="shared" si="2"/>
        <v>2013:Other Mfr. Exp</v>
      </c>
      <c r="GM4" s="378" t="str">
        <f t="shared" si="2"/>
        <v>2013:Employee Cost</v>
      </c>
      <c r="GN4" s="378" t="str">
        <f t="shared" si="2"/>
        <v>2013:Selling and admin</v>
      </c>
      <c r="GO4" s="378" t="str">
        <f t="shared" si="2"/>
        <v>2013:Other Expenses</v>
      </c>
      <c r="GP4" s="378" t="str">
        <f t="shared" ref="GP4:JA4" si="3">CONCATENATE(YEAR(GP2),":",GP3)</f>
        <v>2013:Other Income</v>
      </c>
      <c r="GQ4" s="378" t="str">
        <f t="shared" si="3"/>
        <v>2013:Depreciation</v>
      </c>
      <c r="GR4" s="378" t="str">
        <f t="shared" si="3"/>
        <v>2013:Interest</v>
      </c>
      <c r="GS4" s="378" t="str">
        <f t="shared" si="3"/>
        <v>2013:Profit before tax</v>
      </c>
      <c r="GT4" s="378" t="str">
        <f t="shared" si="3"/>
        <v>2013:Tax</v>
      </c>
      <c r="GU4" s="378" t="str">
        <f t="shared" si="3"/>
        <v>2013:Net profit</v>
      </c>
      <c r="GV4" s="378" t="str">
        <f t="shared" si="3"/>
        <v>2013:Dividend Amount</v>
      </c>
      <c r="GW4" s="378" t="str">
        <f t="shared" si="3"/>
        <v>2013:Equity Share Capital</v>
      </c>
      <c r="GX4" s="378" t="str">
        <f t="shared" si="3"/>
        <v>2013:Reserves</v>
      </c>
      <c r="GY4" s="378" t="str">
        <f t="shared" si="3"/>
        <v>2013:Borrowings</v>
      </c>
      <c r="GZ4" s="378" t="str">
        <f t="shared" si="3"/>
        <v>2013:Other Liabilities</v>
      </c>
      <c r="HA4" s="378" t="str">
        <f t="shared" si="3"/>
        <v>2013:Total</v>
      </c>
      <c r="HB4" s="378" t="str">
        <f t="shared" si="3"/>
        <v>2013:Net Block</v>
      </c>
      <c r="HC4" s="378" t="str">
        <f t="shared" si="3"/>
        <v>2013:Capital Work in Progress</v>
      </c>
      <c r="HD4" s="378" t="str">
        <f t="shared" si="3"/>
        <v>2013:Investments</v>
      </c>
      <c r="HE4" s="378" t="str">
        <f t="shared" si="3"/>
        <v>2013:Other Assets</v>
      </c>
      <c r="HF4" s="378" t="str">
        <f t="shared" si="3"/>
        <v>2013:Total</v>
      </c>
      <c r="HG4" s="378" t="str">
        <f t="shared" si="3"/>
        <v>2013:Receivables</v>
      </c>
      <c r="HH4" s="378" t="str">
        <f t="shared" si="3"/>
        <v>2013:Inventory</v>
      </c>
      <c r="HI4" s="378" t="str">
        <f t="shared" si="3"/>
        <v>2013:Cash &amp; Bank</v>
      </c>
      <c r="HJ4" s="378" t="str">
        <f t="shared" si="3"/>
        <v>2013:No. of Equity Shares</v>
      </c>
      <c r="HK4" s="378" t="str">
        <f t="shared" si="3"/>
        <v>2013:New Bonus Shares</v>
      </c>
      <c r="HL4" s="378" t="str">
        <f t="shared" si="3"/>
        <v>2013:Face value</v>
      </c>
      <c r="HM4" s="378" t="str">
        <f t="shared" si="3"/>
        <v>2013:Cash from Operating Activity</v>
      </c>
      <c r="HN4" s="378" t="str">
        <f t="shared" si="3"/>
        <v>2013:Cash from Investing Activity</v>
      </c>
      <c r="HO4" s="378" t="str">
        <f t="shared" si="3"/>
        <v>2013:Cash from Financing Activity</v>
      </c>
      <c r="HP4" s="378" t="str">
        <f t="shared" si="3"/>
        <v>2013:Net Cash Flow</v>
      </c>
      <c r="HQ4" s="378" t="str">
        <f t="shared" si="3"/>
        <v>2013:PRICE:</v>
      </c>
      <c r="HR4" s="378" t="str">
        <f t="shared" si="3"/>
        <v>2013:Adjusted Equity Shares in Cr</v>
      </c>
      <c r="HS4" s="378" t="str">
        <f t="shared" si="3"/>
        <v>2014:Sales</v>
      </c>
      <c r="HT4" s="378" t="str">
        <f t="shared" si="3"/>
        <v>2014:Raw Material Cost</v>
      </c>
      <c r="HU4" s="378" t="str">
        <f t="shared" si="3"/>
        <v>2014:Change in Inventory</v>
      </c>
      <c r="HV4" s="378" t="str">
        <f t="shared" si="3"/>
        <v>2014:Power and Fuel</v>
      </c>
      <c r="HW4" s="378" t="str">
        <f t="shared" si="3"/>
        <v>2014:Other Mfr. Exp</v>
      </c>
      <c r="HX4" s="378" t="str">
        <f t="shared" si="3"/>
        <v>2014:Employee Cost</v>
      </c>
      <c r="HY4" s="378" t="str">
        <f t="shared" si="3"/>
        <v>2014:Selling and admin</v>
      </c>
      <c r="HZ4" s="378" t="str">
        <f t="shared" si="3"/>
        <v>2014:Other Expenses</v>
      </c>
      <c r="IA4" s="378" t="str">
        <f t="shared" si="3"/>
        <v>2014:Other Income</v>
      </c>
      <c r="IB4" s="378" t="str">
        <f t="shared" si="3"/>
        <v>2014:Depreciation</v>
      </c>
      <c r="IC4" s="378" t="str">
        <f t="shared" si="3"/>
        <v>2014:Interest</v>
      </c>
      <c r="ID4" s="378" t="str">
        <f t="shared" si="3"/>
        <v>2014:Profit before tax</v>
      </c>
      <c r="IE4" s="378" t="str">
        <f t="shared" si="3"/>
        <v>2014:Tax</v>
      </c>
      <c r="IF4" s="378" t="str">
        <f t="shared" si="3"/>
        <v>2014:Net profit</v>
      </c>
      <c r="IG4" s="378" t="str">
        <f t="shared" si="3"/>
        <v>2014:Dividend Amount</v>
      </c>
      <c r="IH4" s="378" t="str">
        <f t="shared" si="3"/>
        <v>2014:Equity Share Capital</v>
      </c>
      <c r="II4" s="378" t="str">
        <f t="shared" si="3"/>
        <v>2014:Reserves</v>
      </c>
      <c r="IJ4" s="378" t="str">
        <f t="shared" si="3"/>
        <v>2014:Borrowings</v>
      </c>
      <c r="IK4" s="378" t="str">
        <f t="shared" si="3"/>
        <v>2014:Other Liabilities</v>
      </c>
      <c r="IL4" s="378" t="str">
        <f t="shared" si="3"/>
        <v>2014:Total</v>
      </c>
      <c r="IM4" s="378" t="str">
        <f t="shared" si="3"/>
        <v>2014:Net Block</v>
      </c>
      <c r="IN4" s="378" t="str">
        <f t="shared" si="3"/>
        <v>2014:Capital Work in Progress</v>
      </c>
      <c r="IO4" s="378" t="str">
        <f t="shared" si="3"/>
        <v>2014:Investments</v>
      </c>
      <c r="IP4" s="378" t="str">
        <f t="shared" si="3"/>
        <v>2014:Other Assets</v>
      </c>
      <c r="IQ4" s="378" t="str">
        <f t="shared" si="3"/>
        <v>2014:Total</v>
      </c>
      <c r="IR4" s="378" t="str">
        <f t="shared" si="3"/>
        <v>2014:Receivables</v>
      </c>
      <c r="IS4" s="378" t="str">
        <f t="shared" si="3"/>
        <v>2014:Inventory</v>
      </c>
      <c r="IT4" s="378" t="str">
        <f t="shared" si="3"/>
        <v>2014:Cash &amp; Bank</v>
      </c>
      <c r="IU4" s="378" t="str">
        <f t="shared" si="3"/>
        <v>2014:No. of Equity Shares</v>
      </c>
      <c r="IV4" s="378" t="str">
        <f t="shared" si="3"/>
        <v>2014:New Bonus Shares</v>
      </c>
      <c r="IW4" s="378" t="str">
        <f t="shared" si="3"/>
        <v>2014:Face value</v>
      </c>
      <c r="IX4" s="378" t="str">
        <f t="shared" si="3"/>
        <v>2014:Cash from Operating Activity</v>
      </c>
      <c r="IY4" s="378" t="str">
        <f t="shared" si="3"/>
        <v>2014:Cash from Investing Activity</v>
      </c>
      <c r="IZ4" s="378" t="str">
        <f t="shared" si="3"/>
        <v>2014:Cash from Financing Activity</v>
      </c>
      <c r="JA4" s="378" t="str">
        <f t="shared" si="3"/>
        <v>2014:Net Cash Flow</v>
      </c>
      <c r="JB4" s="378" t="str">
        <f t="shared" ref="JB4:LM4" si="4">CONCATENATE(YEAR(JB2),":",JB3)</f>
        <v>2014:PRICE:</v>
      </c>
      <c r="JC4" s="378" t="str">
        <f t="shared" si="4"/>
        <v>2014:Adjusted Equity Shares in Cr</v>
      </c>
      <c r="JD4" s="378" t="str">
        <f t="shared" si="4"/>
        <v>2015:Sales</v>
      </c>
      <c r="JE4" s="378" t="str">
        <f t="shared" si="4"/>
        <v>2015:Raw Material Cost</v>
      </c>
      <c r="JF4" s="378" t="str">
        <f t="shared" si="4"/>
        <v>2015:Change in Inventory</v>
      </c>
      <c r="JG4" s="378" t="str">
        <f t="shared" si="4"/>
        <v>2015:Power and Fuel</v>
      </c>
      <c r="JH4" s="378" t="str">
        <f t="shared" si="4"/>
        <v>2015:Other Mfr. Exp</v>
      </c>
      <c r="JI4" s="378" t="str">
        <f t="shared" si="4"/>
        <v>2015:Employee Cost</v>
      </c>
      <c r="JJ4" s="378" t="str">
        <f t="shared" si="4"/>
        <v>2015:Selling and admin</v>
      </c>
      <c r="JK4" s="378" t="str">
        <f t="shared" si="4"/>
        <v>2015:Other Expenses</v>
      </c>
      <c r="JL4" s="378" t="str">
        <f t="shared" si="4"/>
        <v>2015:Other Income</v>
      </c>
      <c r="JM4" s="378" t="str">
        <f t="shared" si="4"/>
        <v>2015:Depreciation</v>
      </c>
      <c r="JN4" s="378" t="str">
        <f t="shared" si="4"/>
        <v>2015:Interest</v>
      </c>
      <c r="JO4" s="378" t="str">
        <f t="shared" si="4"/>
        <v>2015:Profit before tax</v>
      </c>
      <c r="JP4" s="378" t="str">
        <f t="shared" si="4"/>
        <v>2015:Tax</v>
      </c>
      <c r="JQ4" s="378" t="str">
        <f t="shared" si="4"/>
        <v>2015:Net profit</v>
      </c>
      <c r="JR4" s="378" t="str">
        <f t="shared" si="4"/>
        <v>2015:Dividend Amount</v>
      </c>
      <c r="JS4" s="378" t="str">
        <f t="shared" si="4"/>
        <v>2015:Equity Share Capital</v>
      </c>
      <c r="JT4" s="378" t="str">
        <f t="shared" si="4"/>
        <v>2015:Reserves</v>
      </c>
      <c r="JU4" s="378" t="str">
        <f t="shared" si="4"/>
        <v>2015:Borrowings</v>
      </c>
      <c r="JV4" s="378" t="str">
        <f t="shared" si="4"/>
        <v>2015:Other Liabilities</v>
      </c>
      <c r="JW4" s="378" t="str">
        <f t="shared" si="4"/>
        <v>2015:Total</v>
      </c>
      <c r="JX4" s="378" t="str">
        <f t="shared" si="4"/>
        <v>2015:Net Block</v>
      </c>
      <c r="JY4" s="378" t="str">
        <f t="shared" si="4"/>
        <v>2015:Capital Work in Progress</v>
      </c>
      <c r="JZ4" s="378" t="str">
        <f t="shared" si="4"/>
        <v>2015:Investments</v>
      </c>
      <c r="KA4" s="378" t="str">
        <f t="shared" si="4"/>
        <v>2015:Other Assets</v>
      </c>
      <c r="KB4" s="378" t="str">
        <f t="shared" si="4"/>
        <v>2015:Total</v>
      </c>
      <c r="KC4" s="378" t="str">
        <f t="shared" si="4"/>
        <v>2015:Receivables</v>
      </c>
      <c r="KD4" s="378" t="str">
        <f t="shared" si="4"/>
        <v>2015:Inventory</v>
      </c>
      <c r="KE4" s="378" t="str">
        <f t="shared" si="4"/>
        <v>2015:Cash &amp; Bank</v>
      </c>
      <c r="KF4" s="378" t="str">
        <f t="shared" si="4"/>
        <v>2015:No. of Equity Shares</v>
      </c>
      <c r="KG4" s="378" t="str">
        <f t="shared" si="4"/>
        <v>2015:New Bonus Shares</v>
      </c>
      <c r="KH4" s="378" t="str">
        <f t="shared" si="4"/>
        <v>2015:Face value</v>
      </c>
      <c r="KI4" s="378" t="str">
        <f t="shared" si="4"/>
        <v>2015:Cash from Operating Activity</v>
      </c>
      <c r="KJ4" s="378" t="str">
        <f t="shared" si="4"/>
        <v>2015:Cash from Investing Activity</v>
      </c>
      <c r="KK4" s="378" t="str">
        <f t="shared" si="4"/>
        <v>2015:Cash from Financing Activity</v>
      </c>
      <c r="KL4" s="378" t="str">
        <f t="shared" si="4"/>
        <v>2015:Net Cash Flow</v>
      </c>
      <c r="KM4" s="378" t="str">
        <f t="shared" si="4"/>
        <v>2015:PRICE:</v>
      </c>
      <c r="KN4" s="378" t="str">
        <f t="shared" si="4"/>
        <v>2015:Adjusted Equity Shares in Cr</v>
      </c>
      <c r="KO4" s="378" t="str">
        <f t="shared" si="4"/>
        <v>2016:Sales</v>
      </c>
      <c r="KP4" s="378" t="str">
        <f t="shared" si="4"/>
        <v>2016:Raw Material Cost</v>
      </c>
      <c r="KQ4" s="378" t="str">
        <f t="shared" si="4"/>
        <v>2016:Change in Inventory</v>
      </c>
      <c r="KR4" s="378" t="str">
        <f t="shared" si="4"/>
        <v>2016:Power and Fuel</v>
      </c>
      <c r="KS4" s="378" t="str">
        <f t="shared" si="4"/>
        <v>2016:Other Mfr. Exp</v>
      </c>
      <c r="KT4" s="378" t="str">
        <f t="shared" si="4"/>
        <v>2016:Employee Cost</v>
      </c>
      <c r="KU4" s="378" t="str">
        <f t="shared" si="4"/>
        <v>2016:Selling and admin</v>
      </c>
      <c r="KV4" s="378" t="str">
        <f t="shared" si="4"/>
        <v>2016:Other Expenses</v>
      </c>
      <c r="KW4" s="378" t="str">
        <f t="shared" si="4"/>
        <v>2016:Other Income</v>
      </c>
      <c r="KX4" s="378" t="str">
        <f t="shared" si="4"/>
        <v>2016:Depreciation</v>
      </c>
      <c r="KY4" s="378" t="str">
        <f t="shared" si="4"/>
        <v>2016:Interest</v>
      </c>
      <c r="KZ4" s="378" t="str">
        <f t="shared" si="4"/>
        <v>2016:Profit before tax</v>
      </c>
      <c r="LA4" s="378" t="str">
        <f t="shared" si="4"/>
        <v>2016:Tax</v>
      </c>
      <c r="LB4" s="378" t="str">
        <f t="shared" si="4"/>
        <v>2016:Net profit</v>
      </c>
      <c r="LC4" s="378" t="str">
        <f t="shared" si="4"/>
        <v>2016:Dividend Amount</v>
      </c>
      <c r="LD4" s="378" t="str">
        <f t="shared" si="4"/>
        <v>2016:Equity Share Capital</v>
      </c>
      <c r="LE4" s="378" t="str">
        <f t="shared" si="4"/>
        <v>2016:Reserves</v>
      </c>
      <c r="LF4" s="378" t="str">
        <f t="shared" si="4"/>
        <v>2016:Borrowings</v>
      </c>
      <c r="LG4" s="378" t="str">
        <f t="shared" si="4"/>
        <v>2016:Other Liabilities</v>
      </c>
      <c r="LH4" s="378" t="str">
        <f t="shared" si="4"/>
        <v>2016:Total</v>
      </c>
      <c r="LI4" s="378" t="str">
        <f t="shared" si="4"/>
        <v>2016:Net Block</v>
      </c>
      <c r="LJ4" s="378" t="str">
        <f t="shared" si="4"/>
        <v>2016:Capital Work in Progress</v>
      </c>
      <c r="LK4" s="378" t="str">
        <f t="shared" si="4"/>
        <v>2016:Investments</v>
      </c>
      <c r="LL4" s="378" t="str">
        <f t="shared" si="4"/>
        <v>2016:Other Assets</v>
      </c>
      <c r="LM4" s="378" t="str">
        <f t="shared" si="4"/>
        <v>2016:Total</v>
      </c>
      <c r="LN4" s="378" t="str">
        <f t="shared" ref="LN4:NJ4" si="5">CONCATENATE(YEAR(LN2),":",LN3)</f>
        <v>2016:Receivables</v>
      </c>
      <c r="LO4" s="378" t="str">
        <f t="shared" si="5"/>
        <v>2016:Inventory</v>
      </c>
      <c r="LP4" s="378" t="str">
        <f t="shared" si="5"/>
        <v>2016:Cash &amp; Bank</v>
      </c>
      <c r="LQ4" s="378" t="str">
        <f t="shared" si="5"/>
        <v>2016:No. of Equity Shares</v>
      </c>
      <c r="LR4" s="378" t="str">
        <f t="shared" si="5"/>
        <v>2016:New Bonus Shares</v>
      </c>
      <c r="LS4" s="378" t="str">
        <f t="shared" si="5"/>
        <v>2016:Face value</v>
      </c>
      <c r="LT4" s="378" t="str">
        <f t="shared" si="5"/>
        <v>2016:Cash from Operating Activity</v>
      </c>
      <c r="LU4" s="378" t="str">
        <f t="shared" si="5"/>
        <v>2016:Cash from Investing Activity</v>
      </c>
      <c r="LV4" s="378" t="str">
        <f t="shared" si="5"/>
        <v>2016:Cash from Financing Activity</v>
      </c>
      <c r="LW4" s="378" t="str">
        <f t="shared" si="5"/>
        <v>2016:Net Cash Flow</v>
      </c>
      <c r="LX4" s="378" t="str">
        <f t="shared" si="5"/>
        <v>2016:PRICE:</v>
      </c>
      <c r="LY4" s="378" t="str">
        <f t="shared" si="5"/>
        <v>2016:Adjusted Equity Shares in Cr</v>
      </c>
      <c r="LZ4" s="378" t="str">
        <f t="shared" si="5"/>
        <v>2017:Sales</v>
      </c>
      <c r="MA4" s="378" t="str">
        <f t="shared" si="5"/>
        <v>2017:Raw Material Cost</v>
      </c>
      <c r="MB4" s="378" t="str">
        <f t="shared" si="5"/>
        <v>2017:Change in Inventory</v>
      </c>
      <c r="MC4" s="378" t="str">
        <f t="shared" si="5"/>
        <v>2017:Power and Fuel</v>
      </c>
      <c r="MD4" s="378" t="str">
        <f t="shared" si="5"/>
        <v>2017:Other Mfr. Exp</v>
      </c>
      <c r="ME4" s="378" t="str">
        <f t="shared" si="5"/>
        <v>2017:Employee Cost</v>
      </c>
      <c r="MF4" s="378" t="str">
        <f t="shared" si="5"/>
        <v>2017:Selling and admin</v>
      </c>
      <c r="MG4" s="378" t="str">
        <f t="shared" si="5"/>
        <v>2017:Other Expenses</v>
      </c>
      <c r="MH4" s="378" t="str">
        <f t="shared" si="5"/>
        <v>2017:Other Income</v>
      </c>
      <c r="MI4" s="378" t="str">
        <f t="shared" si="5"/>
        <v>2017:Depreciation</v>
      </c>
      <c r="MJ4" s="378" t="str">
        <f t="shared" si="5"/>
        <v>2017:Interest</v>
      </c>
      <c r="MK4" s="378" t="str">
        <f t="shared" si="5"/>
        <v>2017:Profit before tax</v>
      </c>
      <c r="ML4" s="378" t="str">
        <f t="shared" si="5"/>
        <v>2017:Tax</v>
      </c>
      <c r="MM4" s="378" t="str">
        <f t="shared" si="5"/>
        <v>2017:Net profit</v>
      </c>
      <c r="MN4" s="378" t="str">
        <f t="shared" si="5"/>
        <v>2017:Dividend Amount</v>
      </c>
      <c r="MO4" s="378" t="str">
        <f t="shared" si="5"/>
        <v>2017:Equity Share Capital</v>
      </c>
      <c r="MP4" s="378" t="str">
        <f t="shared" si="5"/>
        <v>2017:Reserves</v>
      </c>
      <c r="MQ4" s="378" t="str">
        <f t="shared" si="5"/>
        <v>2017:Borrowings</v>
      </c>
      <c r="MR4" s="378" t="str">
        <f t="shared" si="5"/>
        <v>2017:Other Liabilities</v>
      </c>
      <c r="MS4" s="378" t="str">
        <f t="shared" si="5"/>
        <v>2017:Total</v>
      </c>
      <c r="MT4" s="378" t="str">
        <f t="shared" si="5"/>
        <v>2017:Net Block</v>
      </c>
      <c r="MU4" s="378" t="str">
        <f t="shared" si="5"/>
        <v>2017:Capital Work in Progress</v>
      </c>
      <c r="MV4" s="378" t="str">
        <f t="shared" si="5"/>
        <v>2017:Investments</v>
      </c>
      <c r="MW4" s="378" t="str">
        <f t="shared" si="5"/>
        <v>2017:Other Assets</v>
      </c>
      <c r="MX4" s="378" t="str">
        <f t="shared" si="5"/>
        <v>2017:Total</v>
      </c>
      <c r="MY4" s="378" t="str">
        <f t="shared" si="5"/>
        <v>2017:Receivables</v>
      </c>
      <c r="MZ4" s="378" t="str">
        <f t="shared" si="5"/>
        <v>2017:Inventory</v>
      </c>
      <c r="NA4" s="378" t="str">
        <f t="shared" si="5"/>
        <v>2017:Cash &amp; Bank</v>
      </c>
      <c r="NB4" s="378" t="str">
        <f t="shared" si="5"/>
        <v>2017:No. of Equity Shares</v>
      </c>
      <c r="NC4" s="378" t="str">
        <f t="shared" si="5"/>
        <v>2017:New Bonus Shares</v>
      </c>
      <c r="ND4" s="378" t="str">
        <f t="shared" si="5"/>
        <v>2017:Face value</v>
      </c>
      <c r="NE4" s="378" t="str">
        <f t="shared" si="5"/>
        <v>2017:Cash from Operating Activity</v>
      </c>
      <c r="NF4" s="378" t="str">
        <f t="shared" si="5"/>
        <v>2017:Cash from Investing Activity</v>
      </c>
      <c r="NG4" s="378" t="str">
        <f t="shared" si="5"/>
        <v>2017:Cash from Financing Activity</v>
      </c>
      <c r="NH4" s="378" t="str">
        <f t="shared" si="5"/>
        <v>2017:Net Cash Flow</v>
      </c>
      <c r="NI4" s="378" t="str">
        <f t="shared" si="5"/>
        <v>2017:PRICE:</v>
      </c>
      <c r="NJ4" s="378" t="str">
        <f t="shared" si="5"/>
        <v>2017:Adjusted Equity Shares in Cr</v>
      </c>
    </row>
    <row r="5" spans="1:374" s="37" customFormat="1">
      <c r="A5" s="37" t="str">
        <f>A3</f>
        <v>AMBIKA COTTON MILLS LTD</v>
      </c>
      <c r="B5" s="42">
        <f>'Data Sheet'!B6</f>
        <v>0.57249642913823207</v>
      </c>
      <c r="C5" s="42">
        <f>'Data Sheet'!B8</f>
        <v>1260.2</v>
      </c>
      <c r="D5" s="42">
        <f>'Data Sheet'!B9</f>
        <v>721.46</v>
      </c>
      <c r="E5" s="42">
        <f t="shared" ref="E5:AO5" ca="1" si="6">INDIRECT("'Data Sheet'!B"&amp;17+E1)</f>
        <v>155.74</v>
      </c>
      <c r="F5" s="42">
        <f t="shared" ca="1" si="6"/>
        <v>83.82</v>
      </c>
      <c r="G5" s="42">
        <f t="shared" ca="1" si="6"/>
        <v>0.41</v>
      </c>
      <c r="H5" s="42">
        <f t="shared" ca="1" si="6"/>
        <v>11.38</v>
      </c>
      <c r="I5" s="42">
        <f t="shared" ca="1" si="6"/>
        <v>4.5</v>
      </c>
      <c r="J5" s="42">
        <f t="shared" ca="1" si="6"/>
        <v>9.39</v>
      </c>
      <c r="K5" s="42">
        <f t="shared" ca="1" si="6"/>
        <v>7.25</v>
      </c>
      <c r="L5" s="42">
        <f t="shared" ca="1" si="6"/>
        <v>0.92</v>
      </c>
      <c r="M5" s="42">
        <f t="shared" ca="1" si="6"/>
        <v>7.01</v>
      </c>
      <c r="N5" s="42">
        <f t="shared" ca="1" si="6"/>
        <v>13.85</v>
      </c>
      <c r="O5" s="42">
        <f t="shared" ca="1" si="6"/>
        <v>13.01</v>
      </c>
      <c r="P5" s="42">
        <f t="shared" ca="1" si="6"/>
        <v>19.04</v>
      </c>
      <c r="Q5" s="42">
        <f t="shared" ca="1" si="6"/>
        <v>5.8</v>
      </c>
      <c r="R5" s="42">
        <f t="shared" ca="1" si="6"/>
        <v>13.24</v>
      </c>
      <c r="S5" s="42">
        <f t="shared" ca="1" si="6"/>
        <v>1.175</v>
      </c>
      <c r="T5" s="42">
        <f t="shared" ca="1" si="6"/>
        <v>5.88</v>
      </c>
      <c r="U5" s="42">
        <f t="shared" ca="1" si="6"/>
        <v>105.34</v>
      </c>
      <c r="V5" s="42">
        <f t="shared" ca="1" si="6"/>
        <v>279.2</v>
      </c>
      <c r="W5" s="42">
        <f t="shared" ca="1" si="6"/>
        <v>66.959999999999994</v>
      </c>
      <c r="X5" s="42">
        <f t="shared" ca="1" si="6"/>
        <v>457.38</v>
      </c>
      <c r="Y5" s="42">
        <f t="shared" ca="1" si="6"/>
        <v>272.57</v>
      </c>
      <c r="Z5" s="42">
        <f t="shared" ca="1" si="6"/>
        <v>20.93</v>
      </c>
      <c r="AA5" s="42">
        <f t="shared" ca="1" si="6"/>
        <v>0.21</v>
      </c>
      <c r="AB5" s="42">
        <f t="shared" ca="1" si="6"/>
        <v>163.66999999999999</v>
      </c>
      <c r="AC5" s="42">
        <f t="shared" ca="1" si="6"/>
        <v>457.38</v>
      </c>
      <c r="AD5" s="42">
        <f t="shared" ca="1" si="6"/>
        <v>4.26</v>
      </c>
      <c r="AE5" s="42">
        <f t="shared" ca="1" si="6"/>
        <v>108.11</v>
      </c>
      <c r="AF5" s="42">
        <f t="shared" ca="1" si="6"/>
        <v>13.02</v>
      </c>
      <c r="AG5" s="42">
        <f t="shared" ca="1" si="6"/>
        <v>5875000</v>
      </c>
      <c r="AH5" s="42">
        <f t="shared" ca="1" si="6"/>
        <v>0</v>
      </c>
      <c r="AI5" s="42">
        <f t="shared" ca="1" si="6"/>
        <v>10</v>
      </c>
      <c r="AJ5" s="42">
        <f t="shared" ca="1" si="6"/>
        <v>40.479999999999997</v>
      </c>
      <c r="AK5" s="42">
        <f t="shared" ca="1" si="6"/>
        <v>-92.95</v>
      </c>
      <c r="AL5" s="42">
        <f t="shared" ca="1" si="6"/>
        <v>59.98</v>
      </c>
      <c r="AM5" s="42">
        <f t="shared" ca="1" si="6"/>
        <v>7.51</v>
      </c>
      <c r="AN5" s="42">
        <f t="shared" ca="1" si="6"/>
        <v>109.42381</v>
      </c>
      <c r="AO5" s="42">
        <f t="shared" ca="1" si="6"/>
        <v>0.58750000000000002</v>
      </c>
      <c r="AP5" s="42">
        <f t="shared" ref="AP5:BZ5" ca="1" si="7">INDIRECT("'Data Sheet'!C"&amp;17+AP1)</f>
        <v>177.75</v>
      </c>
      <c r="AQ5" s="42">
        <f t="shared" ca="1" si="7"/>
        <v>94.89</v>
      </c>
      <c r="AR5" s="42">
        <f t="shared" ca="1" si="7"/>
        <v>-0.68</v>
      </c>
      <c r="AS5" s="42">
        <f t="shared" ca="1" si="7"/>
        <v>14.94</v>
      </c>
      <c r="AT5" s="42">
        <f t="shared" ca="1" si="7"/>
        <v>4.7</v>
      </c>
      <c r="AU5" s="42">
        <f t="shared" ca="1" si="7"/>
        <v>9.81</v>
      </c>
      <c r="AV5" s="42">
        <f t="shared" ca="1" si="7"/>
        <v>6.91</v>
      </c>
      <c r="AW5" s="42">
        <f t="shared" ca="1" si="7"/>
        <v>4.7699999999999996</v>
      </c>
      <c r="AX5" s="42">
        <f t="shared" ca="1" si="7"/>
        <v>7.51</v>
      </c>
      <c r="AY5" s="42">
        <f t="shared" ca="1" si="7"/>
        <v>18.059999999999999</v>
      </c>
      <c r="AZ5" s="42">
        <f t="shared" ca="1" si="7"/>
        <v>17.34</v>
      </c>
      <c r="BA5" s="42">
        <f t="shared" ca="1" si="7"/>
        <v>13.16</v>
      </c>
      <c r="BB5" s="42">
        <f t="shared" ca="1" si="7"/>
        <v>3.74</v>
      </c>
      <c r="BC5" s="42">
        <f t="shared" ca="1" si="7"/>
        <v>9.42</v>
      </c>
      <c r="BD5" s="42">
        <f t="shared" ca="1" si="7"/>
        <v>1.175</v>
      </c>
      <c r="BE5" s="42">
        <f t="shared" ca="1" si="7"/>
        <v>5.88</v>
      </c>
      <c r="BF5" s="42">
        <f t="shared" ca="1" si="7"/>
        <v>115.13</v>
      </c>
      <c r="BG5" s="42">
        <f t="shared" ca="1" si="7"/>
        <v>251.55</v>
      </c>
      <c r="BH5" s="42">
        <f t="shared" ca="1" si="7"/>
        <v>65.319999999999993</v>
      </c>
      <c r="BI5" s="42">
        <f t="shared" ca="1" si="7"/>
        <v>437.88</v>
      </c>
      <c r="BJ5" s="42">
        <f t="shared" ca="1" si="7"/>
        <v>290.8</v>
      </c>
      <c r="BK5" s="42">
        <f t="shared" ca="1" si="7"/>
        <v>0.38</v>
      </c>
      <c r="BL5" s="42">
        <f t="shared" ca="1" si="7"/>
        <v>0.11</v>
      </c>
      <c r="BM5" s="42">
        <f t="shared" ca="1" si="7"/>
        <v>146.59</v>
      </c>
      <c r="BN5" s="42">
        <f t="shared" ca="1" si="7"/>
        <v>437.88</v>
      </c>
      <c r="BO5" s="42">
        <f t="shared" ca="1" si="7"/>
        <v>7.22</v>
      </c>
      <c r="BP5" s="42">
        <f t="shared" ca="1" si="7"/>
        <v>108.92</v>
      </c>
      <c r="BQ5" s="42">
        <f t="shared" ca="1" si="7"/>
        <v>2.23</v>
      </c>
      <c r="BR5" s="42">
        <f t="shared" ca="1" si="7"/>
        <v>5875000</v>
      </c>
      <c r="BS5" s="42">
        <f t="shared" ca="1" si="7"/>
        <v>0</v>
      </c>
      <c r="BT5" s="42">
        <f t="shared" ca="1" si="7"/>
        <v>10</v>
      </c>
      <c r="BU5" s="42">
        <f t="shared" ca="1" si="7"/>
        <v>50.79</v>
      </c>
      <c r="BV5" s="42">
        <f t="shared" ca="1" si="7"/>
        <v>-14.98</v>
      </c>
      <c r="BW5" s="42">
        <f t="shared" ca="1" si="7"/>
        <v>-46.6</v>
      </c>
      <c r="BX5" s="42">
        <f t="shared" ca="1" si="7"/>
        <v>-10.79</v>
      </c>
      <c r="BY5" s="42">
        <f t="shared" ca="1" si="7"/>
        <v>51.241667</v>
      </c>
      <c r="BZ5" s="42">
        <f t="shared" ca="1" si="7"/>
        <v>0.58750000000000002</v>
      </c>
      <c r="CA5" s="42">
        <f t="shared" ref="CA5:DK5" ca="1" si="8">INDIRECT("'Data Sheet'!D"&amp;17+CA1)</f>
        <v>208.07</v>
      </c>
      <c r="CB5" s="42">
        <f t="shared" ca="1" si="8"/>
        <v>120.94</v>
      </c>
      <c r="CC5" s="42">
        <f t="shared" ca="1" si="8"/>
        <v>2.92</v>
      </c>
      <c r="CD5" s="42">
        <f t="shared" ca="1" si="8"/>
        <v>16.34</v>
      </c>
      <c r="CE5" s="42">
        <f t="shared" ca="1" si="8"/>
        <v>6.79</v>
      </c>
      <c r="CF5" s="42">
        <f t="shared" ca="1" si="8"/>
        <v>11.03</v>
      </c>
      <c r="CG5" s="42">
        <f t="shared" ca="1" si="8"/>
        <v>8.7899999999999991</v>
      </c>
      <c r="CH5" s="42">
        <f t="shared" ca="1" si="8"/>
        <v>0.79</v>
      </c>
      <c r="CI5" s="42">
        <f t="shared" ca="1" si="8"/>
        <v>15.07</v>
      </c>
      <c r="CJ5" s="42">
        <f t="shared" ca="1" si="8"/>
        <v>20.95</v>
      </c>
      <c r="CK5" s="42">
        <f t="shared" ca="1" si="8"/>
        <v>16.739999999999998</v>
      </c>
      <c r="CL5" s="42">
        <f t="shared" ca="1" si="8"/>
        <v>23.69</v>
      </c>
      <c r="CM5" s="42">
        <f t="shared" ca="1" si="8"/>
        <v>5.16</v>
      </c>
      <c r="CN5" s="42">
        <f t="shared" ca="1" si="8"/>
        <v>18.53</v>
      </c>
      <c r="CO5" s="42">
        <f t="shared" ca="1" si="8"/>
        <v>1.7625</v>
      </c>
      <c r="CP5" s="42">
        <f t="shared" ca="1" si="8"/>
        <v>5.88</v>
      </c>
      <c r="CQ5" s="42">
        <f t="shared" ca="1" si="8"/>
        <v>130.44</v>
      </c>
      <c r="CR5" s="42">
        <f t="shared" ca="1" si="8"/>
        <v>233.96</v>
      </c>
      <c r="CS5" s="42">
        <f t="shared" ca="1" si="8"/>
        <v>94.58</v>
      </c>
      <c r="CT5" s="42">
        <f t="shared" ca="1" si="8"/>
        <v>464.86</v>
      </c>
      <c r="CU5" s="42">
        <f t="shared" ca="1" si="8"/>
        <v>271.52999999999997</v>
      </c>
      <c r="CV5" s="42">
        <f t="shared" ca="1" si="8"/>
        <v>0.66</v>
      </c>
      <c r="CW5" s="42">
        <f t="shared" ca="1" si="8"/>
        <v>0.05</v>
      </c>
      <c r="CX5" s="42">
        <f t="shared" ca="1" si="8"/>
        <v>192.62</v>
      </c>
      <c r="CY5" s="42">
        <f t="shared" ca="1" si="8"/>
        <v>464.86</v>
      </c>
      <c r="CZ5" s="42">
        <f t="shared" ca="1" si="8"/>
        <v>23.66</v>
      </c>
      <c r="DA5" s="42">
        <f t="shared" ca="1" si="8"/>
        <v>136.62</v>
      </c>
      <c r="DB5" s="42">
        <f t="shared" ca="1" si="8"/>
        <v>5.6</v>
      </c>
      <c r="DC5" s="42">
        <f t="shared" ca="1" si="8"/>
        <v>5875000</v>
      </c>
      <c r="DD5" s="42">
        <f t="shared" ca="1" si="8"/>
        <v>0</v>
      </c>
      <c r="DE5" s="42">
        <f t="shared" ca="1" si="8"/>
        <v>10</v>
      </c>
      <c r="DF5" s="42">
        <f t="shared" ca="1" si="8"/>
        <v>38.630000000000003</v>
      </c>
      <c r="DG5" s="42">
        <f t="shared" ca="1" si="8"/>
        <v>-1.57</v>
      </c>
      <c r="DH5" s="42">
        <f t="shared" ca="1" si="8"/>
        <v>-33.700000000000003</v>
      </c>
      <c r="DI5" s="42">
        <f t="shared" ca="1" si="8"/>
        <v>3.36</v>
      </c>
      <c r="DJ5" s="42">
        <f t="shared" ca="1" si="8"/>
        <v>168.31428600000001</v>
      </c>
      <c r="DK5" s="42">
        <f t="shared" ca="1" si="8"/>
        <v>0.58750000000000002</v>
      </c>
      <c r="DL5" s="42">
        <f t="shared" ref="DL5:EV5" ca="1" si="9">INDIRECT("'Data Sheet'!E"&amp;17+DL1)</f>
        <v>326.77999999999997</v>
      </c>
      <c r="DM5" s="42">
        <f t="shared" ca="1" si="9"/>
        <v>170.74</v>
      </c>
      <c r="DN5" s="42">
        <f t="shared" ca="1" si="9"/>
        <v>1.01</v>
      </c>
      <c r="DO5" s="42">
        <f t="shared" ca="1" si="9"/>
        <v>20.46</v>
      </c>
      <c r="DP5" s="42">
        <f t="shared" ca="1" si="9"/>
        <v>10.42</v>
      </c>
      <c r="DQ5" s="42">
        <f t="shared" ca="1" si="9"/>
        <v>16.25</v>
      </c>
      <c r="DR5" s="42">
        <f t="shared" ca="1" si="9"/>
        <v>10.28</v>
      </c>
      <c r="DS5" s="42">
        <f t="shared" ca="1" si="9"/>
        <v>0.57999999999999996</v>
      </c>
      <c r="DT5" s="42">
        <f t="shared" ca="1" si="9"/>
        <v>0.46</v>
      </c>
      <c r="DU5" s="42">
        <f t="shared" ca="1" si="9"/>
        <v>24.22</v>
      </c>
      <c r="DV5" s="42">
        <f t="shared" ca="1" si="9"/>
        <v>15.49</v>
      </c>
      <c r="DW5" s="42">
        <f t="shared" ca="1" si="9"/>
        <v>59.81</v>
      </c>
      <c r="DX5" s="42">
        <f t="shared" ca="1" si="9"/>
        <v>17.37</v>
      </c>
      <c r="DY5" s="42">
        <f t="shared" ca="1" si="9"/>
        <v>42.44</v>
      </c>
      <c r="DZ5" s="42">
        <f t="shared" ca="1" si="9"/>
        <v>2.9375</v>
      </c>
      <c r="EA5" s="42">
        <f t="shared" ca="1" si="9"/>
        <v>5.88</v>
      </c>
      <c r="EB5" s="42">
        <f t="shared" ca="1" si="9"/>
        <v>169.55</v>
      </c>
      <c r="EC5" s="42">
        <f t="shared" ca="1" si="9"/>
        <v>260.10000000000002</v>
      </c>
      <c r="ED5" s="42">
        <f t="shared" ca="1" si="9"/>
        <v>105.14</v>
      </c>
      <c r="EE5" s="42">
        <f t="shared" ca="1" si="9"/>
        <v>540.66999999999996</v>
      </c>
      <c r="EF5" s="42">
        <f t="shared" ca="1" si="9"/>
        <v>331.37</v>
      </c>
      <c r="EG5" s="42">
        <f t="shared" ca="1" si="9"/>
        <v>0.57999999999999996</v>
      </c>
      <c r="EH5" s="42">
        <f t="shared" ca="1" si="9"/>
        <v>0.06</v>
      </c>
      <c r="EI5" s="42">
        <f t="shared" ca="1" si="9"/>
        <v>208.66</v>
      </c>
      <c r="EJ5" s="42">
        <f t="shared" ca="1" si="9"/>
        <v>540.66999999999996</v>
      </c>
      <c r="EK5" s="42">
        <f t="shared" ca="1" si="9"/>
        <v>21.17</v>
      </c>
      <c r="EL5" s="42">
        <f t="shared" ca="1" si="9"/>
        <v>150.43</v>
      </c>
      <c r="EM5" s="42">
        <f t="shared" ca="1" si="9"/>
        <v>2.65</v>
      </c>
      <c r="EN5" s="42">
        <f t="shared" ca="1" si="9"/>
        <v>5875000</v>
      </c>
      <c r="EO5" s="42">
        <f t="shared" ca="1" si="9"/>
        <v>0</v>
      </c>
      <c r="EP5" s="42">
        <f t="shared" ca="1" si="9"/>
        <v>10</v>
      </c>
      <c r="EQ5" s="42">
        <f t="shared" ca="1" si="9"/>
        <v>72.69</v>
      </c>
      <c r="ER5" s="42">
        <f t="shared" ca="1" si="9"/>
        <v>-82.51</v>
      </c>
      <c r="ES5" s="42">
        <f t="shared" ca="1" si="9"/>
        <v>6.87</v>
      </c>
      <c r="ET5" s="42">
        <f t="shared" ca="1" si="9"/>
        <v>-2.95</v>
      </c>
      <c r="EU5" s="42">
        <f t="shared" ca="1" si="9"/>
        <v>218.2</v>
      </c>
      <c r="EV5" s="42">
        <f t="shared" ca="1" si="9"/>
        <v>0.58750000000000002</v>
      </c>
      <c r="EW5" s="42">
        <f t="shared" ref="EW5:GG5" ca="1" si="10">INDIRECT("'Data Sheet'!F"&amp;17+EW1)</f>
        <v>389.44</v>
      </c>
      <c r="EX5" s="42">
        <f t="shared" ca="1" si="10"/>
        <v>238.21</v>
      </c>
      <c r="EY5" s="42">
        <f t="shared" ca="1" si="10"/>
        <v>0.21</v>
      </c>
      <c r="EZ5" s="42">
        <f t="shared" ca="1" si="10"/>
        <v>14.16</v>
      </c>
      <c r="FA5" s="42">
        <f t="shared" ca="1" si="10"/>
        <v>8.26</v>
      </c>
      <c r="FB5" s="42">
        <f t="shared" ca="1" si="10"/>
        <v>19.59</v>
      </c>
      <c r="FC5" s="42">
        <f t="shared" ca="1" si="10"/>
        <v>18.62</v>
      </c>
      <c r="FD5" s="42">
        <f t="shared" ca="1" si="10"/>
        <v>12.47</v>
      </c>
      <c r="FE5" s="42">
        <f t="shared" ca="1" si="10"/>
        <v>0.69</v>
      </c>
      <c r="FF5" s="42">
        <f t="shared" ca="1" si="10"/>
        <v>26.8</v>
      </c>
      <c r="FG5" s="42">
        <f t="shared" ca="1" si="10"/>
        <v>20.079999999999998</v>
      </c>
      <c r="FH5" s="42">
        <f t="shared" ca="1" si="10"/>
        <v>32.15</v>
      </c>
      <c r="FI5" s="42">
        <f t="shared" ca="1" si="10"/>
        <v>8.27</v>
      </c>
      <c r="FJ5" s="42">
        <f t="shared" ca="1" si="10"/>
        <v>23.88</v>
      </c>
      <c r="FK5" s="42">
        <f t="shared" ca="1" si="10"/>
        <v>2.9375</v>
      </c>
      <c r="FL5" s="42">
        <f t="shared" ca="1" si="10"/>
        <v>5.88</v>
      </c>
      <c r="FM5" s="42">
        <f t="shared" ca="1" si="10"/>
        <v>190.01</v>
      </c>
      <c r="FN5" s="42">
        <f t="shared" ca="1" si="10"/>
        <v>152.19999999999999</v>
      </c>
      <c r="FO5" s="42">
        <f t="shared" ca="1" si="10"/>
        <v>89.97</v>
      </c>
      <c r="FP5" s="42">
        <f t="shared" ca="1" si="10"/>
        <v>438.06</v>
      </c>
      <c r="FQ5" s="42">
        <f t="shared" ca="1" si="10"/>
        <v>310.12</v>
      </c>
      <c r="FR5" s="42">
        <f t="shared" ca="1" si="10"/>
        <v>0</v>
      </c>
      <c r="FS5" s="42">
        <f t="shared" ca="1" si="10"/>
        <v>0.05</v>
      </c>
      <c r="FT5" s="42">
        <f t="shared" ca="1" si="10"/>
        <v>127.89</v>
      </c>
      <c r="FU5" s="42">
        <f t="shared" ca="1" si="10"/>
        <v>438.06</v>
      </c>
      <c r="FV5" s="42">
        <f t="shared" ca="1" si="10"/>
        <v>10.53</v>
      </c>
      <c r="FW5" s="42">
        <f t="shared" ca="1" si="10"/>
        <v>82.72</v>
      </c>
      <c r="FX5" s="42">
        <f t="shared" ca="1" si="10"/>
        <v>2.04</v>
      </c>
      <c r="FY5" s="42">
        <f t="shared" ca="1" si="10"/>
        <v>5875000</v>
      </c>
      <c r="FZ5" s="42">
        <f t="shared" ca="1" si="10"/>
        <v>0</v>
      </c>
      <c r="GA5" s="42">
        <f t="shared" ca="1" si="10"/>
        <v>10</v>
      </c>
      <c r="GB5" s="42">
        <f t="shared" ca="1" si="10"/>
        <v>135.4</v>
      </c>
      <c r="GC5" s="42">
        <f t="shared" ca="1" si="10"/>
        <v>-4.3099999999999996</v>
      </c>
      <c r="GD5" s="42">
        <f t="shared" ca="1" si="10"/>
        <v>-131.69</v>
      </c>
      <c r="GE5" s="42">
        <f t="shared" ca="1" si="10"/>
        <v>-0.6</v>
      </c>
      <c r="GF5" s="42">
        <f t="shared" ca="1" si="10"/>
        <v>146.73421099999999</v>
      </c>
      <c r="GG5" s="42">
        <f t="shared" ca="1" si="10"/>
        <v>0.58750000000000002</v>
      </c>
      <c r="GH5" s="42">
        <f t="shared" ref="GH5:HR5" ca="1" si="11">INDIRECT("'Data Sheet'!G"&amp;17+GH1)</f>
        <v>397.79</v>
      </c>
      <c r="GI5" s="42">
        <f t="shared" ca="1" si="11"/>
        <v>238.01</v>
      </c>
      <c r="GJ5" s="42">
        <f t="shared" ca="1" si="11"/>
        <v>3.07</v>
      </c>
      <c r="GK5" s="42">
        <f t="shared" ca="1" si="11"/>
        <v>20.8</v>
      </c>
      <c r="GL5" s="42">
        <f t="shared" ca="1" si="11"/>
        <v>14.69</v>
      </c>
      <c r="GM5" s="42">
        <f t="shared" ca="1" si="11"/>
        <v>21.17</v>
      </c>
      <c r="GN5" s="42">
        <f t="shared" ca="1" si="11"/>
        <v>14.43</v>
      </c>
      <c r="GO5" s="42">
        <f t="shared" ca="1" si="11"/>
        <v>4.58</v>
      </c>
      <c r="GP5" s="42">
        <f t="shared" ca="1" si="11"/>
        <v>0.27</v>
      </c>
      <c r="GQ5" s="42">
        <f t="shared" ca="1" si="11"/>
        <v>27.43</v>
      </c>
      <c r="GR5" s="42">
        <f t="shared" ca="1" si="11"/>
        <v>19.37</v>
      </c>
      <c r="GS5" s="42">
        <f t="shared" ca="1" si="11"/>
        <v>40.659999999999997</v>
      </c>
      <c r="GT5" s="42">
        <f t="shared" ca="1" si="11"/>
        <v>9.68</v>
      </c>
      <c r="GU5" s="42">
        <f t="shared" ca="1" si="11"/>
        <v>30.98</v>
      </c>
      <c r="GV5" s="42">
        <f t="shared" ca="1" si="11"/>
        <v>5.5812499999999998</v>
      </c>
      <c r="GW5" s="42">
        <f t="shared" ca="1" si="11"/>
        <v>5.88</v>
      </c>
      <c r="GX5" s="42">
        <f t="shared" ca="1" si="11"/>
        <v>214.51</v>
      </c>
      <c r="GY5" s="42">
        <f t="shared" ca="1" si="11"/>
        <v>93.75</v>
      </c>
      <c r="GZ5" s="42">
        <f t="shared" ca="1" si="11"/>
        <v>108.38</v>
      </c>
      <c r="HA5" s="42">
        <f t="shared" ca="1" si="11"/>
        <v>422.52</v>
      </c>
      <c r="HB5" s="42">
        <f t="shared" ca="1" si="11"/>
        <v>291.31</v>
      </c>
      <c r="HC5" s="42">
        <f t="shared" ca="1" si="11"/>
        <v>0.36</v>
      </c>
      <c r="HD5" s="42">
        <f t="shared" ca="1" si="11"/>
        <v>0.06</v>
      </c>
      <c r="HE5" s="42">
        <f t="shared" ca="1" si="11"/>
        <v>130.79</v>
      </c>
      <c r="HF5" s="42">
        <f t="shared" ca="1" si="11"/>
        <v>422.52</v>
      </c>
      <c r="HG5" s="42">
        <f t="shared" ca="1" si="11"/>
        <v>6.53</v>
      </c>
      <c r="HH5" s="42">
        <f t="shared" ca="1" si="11"/>
        <v>92.18</v>
      </c>
      <c r="HI5" s="42">
        <f t="shared" ca="1" si="11"/>
        <v>1.53</v>
      </c>
      <c r="HJ5" s="42">
        <f t="shared" ca="1" si="11"/>
        <v>5875000</v>
      </c>
      <c r="HK5" s="42">
        <f t="shared" ca="1" si="11"/>
        <v>0</v>
      </c>
      <c r="HL5" s="42">
        <f t="shared" ca="1" si="11"/>
        <v>10</v>
      </c>
      <c r="HM5" s="42">
        <f t="shared" ca="1" si="11"/>
        <v>87.41</v>
      </c>
      <c r="HN5" s="42">
        <f t="shared" ca="1" si="11"/>
        <v>-8.73</v>
      </c>
      <c r="HO5" s="42">
        <f t="shared" ca="1" si="11"/>
        <v>-79.19</v>
      </c>
      <c r="HP5" s="42">
        <f t="shared" ca="1" si="11"/>
        <v>-0.51</v>
      </c>
      <c r="HQ5" s="42">
        <f t="shared" ca="1" si="11"/>
        <v>198.59722199999999</v>
      </c>
      <c r="HR5" s="42">
        <f t="shared" ca="1" si="11"/>
        <v>0.58750000000000002</v>
      </c>
      <c r="HS5" s="42">
        <f t="shared" ref="HS5:JC5" ca="1" si="12">INDIRECT("'Data Sheet'!H"&amp;17+HS1)</f>
        <v>476.78</v>
      </c>
      <c r="HT5" s="42">
        <f t="shared" ca="1" si="12"/>
        <v>285.92</v>
      </c>
      <c r="HU5" s="42">
        <f t="shared" ca="1" si="12"/>
        <v>8.3800000000000008</v>
      </c>
      <c r="HV5" s="42">
        <f t="shared" ca="1" si="12"/>
        <v>26.11</v>
      </c>
      <c r="HW5" s="42">
        <f t="shared" ca="1" si="12"/>
        <v>11.94</v>
      </c>
      <c r="HX5" s="42">
        <f t="shared" ca="1" si="12"/>
        <v>24.08</v>
      </c>
      <c r="HY5" s="42">
        <f t="shared" ca="1" si="12"/>
        <v>23.47</v>
      </c>
      <c r="HZ5" s="42">
        <f t="shared" ca="1" si="12"/>
        <v>9.7100000000000009</v>
      </c>
      <c r="IA5" s="42">
        <f t="shared" ca="1" si="12"/>
        <v>0.22</v>
      </c>
      <c r="IB5" s="42">
        <f t="shared" ca="1" si="12"/>
        <v>31.62</v>
      </c>
      <c r="IC5" s="42">
        <f t="shared" ca="1" si="12"/>
        <v>12.87</v>
      </c>
      <c r="ID5" s="42">
        <f t="shared" ca="1" si="12"/>
        <v>59.66</v>
      </c>
      <c r="IE5" s="42">
        <f t="shared" ca="1" si="12"/>
        <v>11.52</v>
      </c>
      <c r="IF5" s="42">
        <f t="shared" ca="1" si="12"/>
        <v>48.14</v>
      </c>
      <c r="IG5" s="42">
        <f t="shared" ca="1" si="12"/>
        <v>7.34375</v>
      </c>
      <c r="IH5" s="42">
        <f t="shared" ca="1" si="12"/>
        <v>5.88</v>
      </c>
      <c r="II5" s="42">
        <f t="shared" ca="1" si="12"/>
        <v>254.06</v>
      </c>
      <c r="IJ5" s="42">
        <f t="shared" ca="1" si="12"/>
        <v>100.25</v>
      </c>
      <c r="IK5" s="42">
        <f t="shared" ca="1" si="12"/>
        <v>94.58</v>
      </c>
      <c r="IL5" s="42">
        <f t="shared" ca="1" si="12"/>
        <v>454.77</v>
      </c>
      <c r="IM5" s="42">
        <f t="shared" ca="1" si="12"/>
        <v>288.86</v>
      </c>
      <c r="IN5" s="42">
        <f t="shared" ca="1" si="12"/>
        <v>1</v>
      </c>
      <c r="IO5" s="42">
        <f t="shared" ca="1" si="12"/>
        <v>7.0000000000000007E-2</v>
      </c>
      <c r="IP5" s="42">
        <f t="shared" ca="1" si="12"/>
        <v>164.84</v>
      </c>
      <c r="IQ5" s="42">
        <f t="shared" ca="1" si="12"/>
        <v>454.77</v>
      </c>
      <c r="IR5" s="42">
        <f t="shared" ca="1" si="12"/>
        <v>5.7</v>
      </c>
      <c r="IS5" s="42">
        <f t="shared" ca="1" si="12"/>
        <v>132.9</v>
      </c>
      <c r="IT5" s="42">
        <f t="shared" ca="1" si="12"/>
        <v>2.74</v>
      </c>
      <c r="IU5" s="42">
        <f t="shared" ca="1" si="12"/>
        <v>5875000</v>
      </c>
      <c r="IV5" s="42">
        <f t="shared" ca="1" si="12"/>
        <v>0</v>
      </c>
      <c r="IW5" s="42">
        <f t="shared" ca="1" si="12"/>
        <v>10</v>
      </c>
      <c r="IX5" s="42">
        <f t="shared" ca="1" si="12"/>
        <v>37.82</v>
      </c>
      <c r="IY5" s="42">
        <f t="shared" ca="1" si="12"/>
        <v>-28.48</v>
      </c>
      <c r="IZ5" s="42">
        <f t="shared" ca="1" si="12"/>
        <v>-8.1199999999999992</v>
      </c>
      <c r="JA5" s="42">
        <f t="shared" ca="1" si="12"/>
        <v>1.22</v>
      </c>
      <c r="JB5" s="42">
        <f t="shared" ca="1" si="12"/>
        <v>294.52631600000001</v>
      </c>
      <c r="JC5" s="42">
        <f t="shared" ca="1" si="12"/>
        <v>0.58750000000000002</v>
      </c>
      <c r="JD5" s="42">
        <f t="shared" ref="JD5:KN5" ca="1" si="13">INDIRECT("'Data Sheet'!I"&amp;17+JD1)</f>
        <v>494.97</v>
      </c>
      <c r="JE5" s="42">
        <f t="shared" ca="1" si="13"/>
        <v>294.16000000000003</v>
      </c>
      <c r="JF5" s="42">
        <f t="shared" ca="1" si="13"/>
        <v>-10.91</v>
      </c>
      <c r="JG5" s="42">
        <f t="shared" ca="1" si="13"/>
        <v>25.35</v>
      </c>
      <c r="JH5" s="42">
        <f t="shared" ca="1" si="13"/>
        <v>11.85</v>
      </c>
      <c r="JI5" s="42">
        <f t="shared" ca="1" si="13"/>
        <v>24.34</v>
      </c>
      <c r="JJ5" s="42">
        <f t="shared" ca="1" si="13"/>
        <v>26.44</v>
      </c>
      <c r="JK5" s="42">
        <f t="shared" ca="1" si="13"/>
        <v>2.21</v>
      </c>
      <c r="JL5" s="42">
        <f t="shared" ca="1" si="13"/>
        <v>0.55000000000000004</v>
      </c>
      <c r="JM5" s="42">
        <f t="shared" ca="1" si="13"/>
        <v>29.33</v>
      </c>
      <c r="JN5" s="42">
        <f t="shared" ca="1" si="13"/>
        <v>7.17</v>
      </c>
      <c r="JO5" s="42">
        <f t="shared" ca="1" si="13"/>
        <v>63.77</v>
      </c>
      <c r="JP5" s="42">
        <f t="shared" ca="1" si="13"/>
        <v>12.59</v>
      </c>
      <c r="JQ5" s="42">
        <f t="shared" ca="1" si="13"/>
        <v>51.18</v>
      </c>
      <c r="JR5" s="42">
        <f t="shared" ca="1" si="13"/>
        <v>8.2249999999999996</v>
      </c>
      <c r="JS5" s="42">
        <f t="shared" ca="1" si="13"/>
        <v>5.88</v>
      </c>
      <c r="JT5" s="42">
        <f t="shared" ca="1" si="13"/>
        <v>295.33</v>
      </c>
      <c r="JU5" s="42">
        <f t="shared" ca="1" si="13"/>
        <v>62.63</v>
      </c>
      <c r="JV5" s="42">
        <f t="shared" ca="1" si="13"/>
        <v>86.02</v>
      </c>
      <c r="JW5" s="42">
        <f t="shared" ca="1" si="13"/>
        <v>449.86</v>
      </c>
      <c r="JX5" s="42">
        <f t="shared" ca="1" si="13"/>
        <v>269.97000000000003</v>
      </c>
      <c r="JY5" s="42">
        <f t="shared" ca="1" si="13"/>
        <v>0.01</v>
      </c>
      <c r="JZ5" s="42">
        <f t="shared" ca="1" si="13"/>
        <v>0.08</v>
      </c>
      <c r="KA5" s="42">
        <f t="shared" ca="1" si="13"/>
        <v>179.8</v>
      </c>
      <c r="KB5" s="42">
        <f t="shared" ca="1" si="13"/>
        <v>449.86</v>
      </c>
      <c r="KC5" s="42">
        <f t="shared" ca="1" si="13"/>
        <v>6.04</v>
      </c>
      <c r="KD5" s="42">
        <f t="shared" ca="1" si="13"/>
        <v>144.53</v>
      </c>
      <c r="KE5" s="42">
        <f t="shared" ca="1" si="13"/>
        <v>2.84</v>
      </c>
      <c r="KF5" s="42">
        <f t="shared" ca="1" si="13"/>
        <v>5875000</v>
      </c>
      <c r="KG5" s="42">
        <f t="shared" ca="1" si="13"/>
        <v>0</v>
      </c>
      <c r="KH5" s="42">
        <f t="shared" ca="1" si="13"/>
        <v>10</v>
      </c>
      <c r="KI5" s="42">
        <f t="shared" ca="1" si="13"/>
        <v>42.95</v>
      </c>
      <c r="KJ5" s="42">
        <f t="shared" ca="1" si="13"/>
        <v>-9.2799999999999994</v>
      </c>
      <c r="KK5" s="42">
        <f t="shared" ca="1" si="13"/>
        <v>-33.56</v>
      </c>
      <c r="KL5" s="42">
        <f t="shared" ca="1" si="13"/>
        <v>0.1</v>
      </c>
      <c r="KM5" s="42">
        <f t="shared" ca="1" si="13"/>
        <v>869.3</v>
      </c>
      <c r="KN5" s="42">
        <f t="shared" ca="1" si="13"/>
        <v>0.58750000000000002</v>
      </c>
      <c r="KO5" s="42">
        <f t="shared" ref="KO5:LY5" ca="1" si="14">INDIRECT("'Data Sheet'!J"&amp;17+KO1)</f>
        <v>492.14</v>
      </c>
      <c r="KP5" s="42">
        <f t="shared" ca="1" si="14"/>
        <v>305.98</v>
      </c>
      <c r="KQ5" s="42">
        <f t="shared" ca="1" si="14"/>
        <v>4.54</v>
      </c>
      <c r="KR5" s="42">
        <f t="shared" ca="1" si="14"/>
        <v>32.69</v>
      </c>
      <c r="KS5" s="42">
        <f t="shared" ca="1" si="14"/>
        <v>11.78</v>
      </c>
      <c r="KT5" s="42">
        <f t="shared" ca="1" si="14"/>
        <v>25.11</v>
      </c>
      <c r="KU5" s="42">
        <f t="shared" ca="1" si="14"/>
        <v>27.24</v>
      </c>
      <c r="KV5" s="42">
        <f t="shared" ca="1" si="14"/>
        <v>0.92</v>
      </c>
      <c r="KW5" s="42">
        <f t="shared" ca="1" si="14"/>
        <v>1.77</v>
      </c>
      <c r="KX5" s="42">
        <f t="shared" ca="1" si="14"/>
        <v>29.92</v>
      </c>
      <c r="KY5" s="42">
        <f t="shared" ca="1" si="14"/>
        <v>5.87</v>
      </c>
      <c r="KZ5" s="42">
        <f t="shared" ca="1" si="14"/>
        <v>58.96</v>
      </c>
      <c r="LA5" s="42">
        <f t="shared" ca="1" si="14"/>
        <v>14.5</v>
      </c>
      <c r="LB5" s="42">
        <f t="shared" ca="1" si="14"/>
        <v>44.46</v>
      </c>
      <c r="LC5" s="42">
        <f t="shared" ca="1" si="14"/>
        <v>8.8125</v>
      </c>
      <c r="LD5" s="42">
        <f t="shared" ca="1" si="14"/>
        <v>5.88</v>
      </c>
      <c r="LE5" s="42">
        <f t="shared" ca="1" si="14"/>
        <v>329.17</v>
      </c>
      <c r="LF5" s="42">
        <f t="shared" ca="1" si="14"/>
        <v>19.71</v>
      </c>
      <c r="LG5" s="42">
        <f t="shared" ca="1" si="14"/>
        <v>69.3</v>
      </c>
      <c r="LH5" s="42">
        <f t="shared" ca="1" si="14"/>
        <v>424.06</v>
      </c>
      <c r="LI5" s="42">
        <f t="shared" ca="1" si="14"/>
        <v>255.14</v>
      </c>
      <c r="LJ5" s="42">
        <f t="shared" ca="1" si="14"/>
        <v>0</v>
      </c>
      <c r="LK5" s="42">
        <f t="shared" ca="1" si="14"/>
        <v>0.11</v>
      </c>
      <c r="LL5" s="42">
        <f t="shared" ca="1" si="14"/>
        <v>168.81</v>
      </c>
      <c r="LM5" s="42">
        <f t="shared" ca="1" si="14"/>
        <v>424.06</v>
      </c>
      <c r="LN5" s="42">
        <f t="shared" ca="1" si="14"/>
        <v>18.5</v>
      </c>
      <c r="LO5" s="42">
        <f t="shared" ca="1" si="14"/>
        <v>124.17</v>
      </c>
      <c r="LP5" s="42">
        <f t="shared" ca="1" si="14"/>
        <v>4.78</v>
      </c>
      <c r="LQ5" s="42">
        <f t="shared" ca="1" si="14"/>
        <v>5875000</v>
      </c>
      <c r="LR5" s="42">
        <f t="shared" ca="1" si="14"/>
        <v>0</v>
      </c>
      <c r="LS5" s="42">
        <f t="shared" ca="1" si="14"/>
        <v>10</v>
      </c>
      <c r="LT5" s="42">
        <f t="shared" ca="1" si="14"/>
        <v>66.98</v>
      </c>
      <c r="LU5" s="42">
        <f t="shared" ca="1" si="14"/>
        <v>-12.91</v>
      </c>
      <c r="LV5" s="42">
        <f t="shared" ca="1" si="14"/>
        <v>-52.14</v>
      </c>
      <c r="LW5" s="42">
        <f t="shared" ca="1" si="14"/>
        <v>1.94</v>
      </c>
      <c r="LX5" s="42">
        <f t="shared" ca="1" si="14"/>
        <v>844.25</v>
      </c>
      <c r="LY5" s="42">
        <f t="shared" ca="1" si="14"/>
        <v>0.58750000000000002</v>
      </c>
      <c r="LZ5" s="42">
        <f ca="1">INDIRECT("'Data Sheet'!K"&amp;17+LZ1)</f>
        <v>528.26</v>
      </c>
      <c r="MA5" s="42">
        <f t="shared" ref="MA5:NJ5" ca="1" si="15">INDIRECT("'Data Sheet'!K"&amp;17+MA1)</f>
        <v>336.1</v>
      </c>
      <c r="MB5" s="42">
        <f t="shared" ca="1" si="15"/>
        <v>4.26</v>
      </c>
      <c r="MC5" s="42">
        <f t="shared" ca="1" si="15"/>
        <v>23.69</v>
      </c>
      <c r="MD5" s="42">
        <f t="shared" ca="1" si="15"/>
        <v>11.93</v>
      </c>
      <c r="ME5" s="42">
        <f t="shared" ca="1" si="15"/>
        <v>26.38</v>
      </c>
      <c r="MF5" s="42">
        <f t="shared" ca="1" si="15"/>
        <v>29.34</v>
      </c>
      <c r="MG5" s="42">
        <f t="shared" ca="1" si="15"/>
        <v>0.15</v>
      </c>
      <c r="MH5" s="42">
        <f t="shared" ca="1" si="15"/>
        <v>0.78</v>
      </c>
      <c r="MI5" s="42">
        <f t="shared" ca="1" si="15"/>
        <v>29.35</v>
      </c>
      <c r="MJ5" s="42">
        <f t="shared" ca="1" si="15"/>
        <v>4.43</v>
      </c>
      <c r="MK5" s="42">
        <f t="shared" ca="1" si="15"/>
        <v>71.94</v>
      </c>
      <c r="ML5" s="42">
        <f t="shared" ca="1" si="15"/>
        <v>16.29</v>
      </c>
      <c r="MM5" s="42">
        <f t="shared" ca="1" si="15"/>
        <v>55.65</v>
      </c>
      <c r="MN5" s="42">
        <f t="shared" ca="1" si="15"/>
        <v>0</v>
      </c>
      <c r="MO5" s="42">
        <f t="shared" ca="1" si="15"/>
        <v>5.73</v>
      </c>
      <c r="MP5" s="42">
        <f t="shared" ca="1" si="15"/>
        <v>368.86</v>
      </c>
      <c r="MQ5" s="42">
        <f t="shared" ca="1" si="15"/>
        <v>7.49</v>
      </c>
      <c r="MR5" s="42">
        <f t="shared" ca="1" si="15"/>
        <v>93.93</v>
      </c>
      <c r="MS5" s="42">
        <f t="shared" ca="1" si="15"/>
        <v>476.01</v>
      </c>
      <c r="MT5" s="42">
        <f t="shared" ca="1" si="15"/>
        <v>253.93</v>
      </c>
      <c r="MU5" s="42">
        <f t="shared" ca="1" si="15"/>
        <v>0</v>
      </c>
      <c r="MV5" s="42">
        <f t="shared" ca="1" si="15"/>
        <v>0.11</v>
      </c>
      <c r="MW5" s="42">
        <f t="shared" ca="1" si="15"/>
        <v>221.97</v>
      </c>
      <c r="MX5" s="42">
        <f t="shared" ca="1" si="15"/>
        <v>476.01</v>
      </c>
      <c r="MY5" s="42">
        <f t="shared" ca="1" si="15"/>
        <v>41.04</v>
      </c>
      <c r="MZ5" s="42">
        <f t="shared" ca="1" si="15"/>
        <v>151.5</v>
      </c>
      <c r="NA5" s="42">
        <f t="shared" ca="1" si="15"/>
        <v>13.47</v>
      </c>
      <c r="NB5" s="42">
        <f t="shared" ca="1" si="15"/>
        <v>5725000</v>
      </c>
      <c r="NC5" s="42">
        <f t="shared" ca="1" si="15"/>
        <v>0</v>
      </c>
      <c r="ND5" s="42">
        <f t="shared" ca="1" si="15"/>
        <v>10</v>
      </c>
      <c r="NE5" s="42">
        <f t="shared" ca="1" si="15"/>
        <v>68.540000000000006</v>
      </c>
      <c r="NF5" s="42">
        <f t="shared" ca="1" si="15"/>
        <v>-27.67</v>
      </c>
      <c r="NG5" s="42">
        <f t="shared" ca="1" si="15"/>
        <v>-32.18</v>
      </c>
      <c r="NH5" s="42">
        <f t="shared" ca="1" si="15"/>
        <v>8.69</v>
      </c>
      <c r="NI5" s="42">
        <f t="shared" ca="1" si="15"/>
        <v>1363.4605260000001</v>
      </c>
      <c r="NJ5" s="42">
        <f t="shared" ca="1" si="15"/>
        <v>0.57250000000000001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N135"/>
  <sheetViews>
    <sheetView topLeftCell="B79" workbookViewId="0">
      <selection activeCell="M90" sqref="M90"/>
    </sheetView>
  </sheetViews>
  <sheetFormatPr defaultColWidth="9.140625" defaultRowHeight="12"/>
  <cols>
    <col min="1" max="1" width="30" style="286" bestFit="1" customWidth="1"/>
    <col min="2" max="2" width="42" style="286" customWidth="1"/>
    <col min="3" max="12" width="9.140625" style="286"/>
    <col min="13" max="13" width="12" style="286" bestFit="1" customWidth="1"/>
    <col min="14" max="16384" width="9.140625" style="286"/>
  </cols>
  <sheetData>
    <row r="1" spans="1:13">
      <c r="A1" s="284" t="str">
        <f>'Data Sheet'!B1</f>
        <v>AMBIKA COTTON MILLS LTD</v>
      </c>
      <c r="B1" s="284"/>
      <c r="C1" s="285"/>
      <c r="D1" s="285"/>
      <c r="E1" s="285"/>
      <c r="F1" s="285"/>
      <c r="G1" s="285"/>
      <c r="H1" s="285"/>
      <c r="I1" s="285"/>
      <c r="J1" s="285"/>
      <c r="K1" s="285"/>
      <c r="L1" s="285"/>
      <c r="M1" s="285"/>
    </row>
    <row r="2" spans="1:13">
      <c r="A2" s="287"/>
      <c r="B2" s="287"/>
      <c r="C2" s="285"/>
      <c r="D2" s="285"/>
      <c r="E2" s="285"/>
      <c r="F2" s="285"/>
      <c r="G2" s="285"/>
      <c r="H2" s="285"/>
      <c r="I2" s="285"/>
      <c r="J2" s="285"/>
      <c r="K2" s="285"/>
      <c r="L2" s="285"/>
      <c r="M2" s="285"/>
    </row>
    <row r="3" spans="1:13">
      <c r="A3" s="447" t="s">
        <v>94</v>
      </c>
      <c r="B3" s="447"/>
      <c r="C3" s="447"/>
      <c r="D3" s="447"/>
      <c r="E3" s="447"/>
      <c r="F3" s="447"/>
      <c r="G3" s="447"/>
      <c r="H3" s="447"/>
      <c r="I3" s="447"/>
      <c r="J3" s="447"/>
      <c r="K3" s="447"/>
      <c r="L3" s="288"/>
      <c r="M3" s="289"/>
    </row>
    <row r="4" spans="1:13">
      <c r="A4" s="290" t="str">
        <f>'Data Sheet'!A1</f>
        <v>COMPANY NAME</v>
      </c>
      <c r="B4" s="290"/>
      <c r="C4" s="291">
        <f>'Data Sheet'!B$16</f>
        <v>39538</v>
      </c>
      <c r="D4" s="291">
        <f>'Data Sheet'!C$16</f>
        <v>39903</v>
      </c>
      <c r="E4" s="291">
        <f>'Data Sheet'!D$16</f>
        <v>40268</v>
      </c>
      <c r="F4" s="291">
        <f>'Data Sheet'!E$16</f>
        <v>40633</v>
      </c>
      <c r="G4" s="291">
        <f>'Data Sheet'!F$16</f>
        <v>40999</v>
      </c>
      <c r="H4" s="291">
        <f>'Data Sheet'!G$16</f>
        <v>41364</v>
      </c>
      <c r="I4" s="291">
        <f>'Data Sheet'!H$16</f>
        <v>41729</v>
      </c>
      <c r="J4" s="291">
        <f>'Data Sheet'!I$16</f>
        <v>42094</v>
      </c>
      <c r="K4" s="291">
        <f>'Data Sheet'!J$16</f>
        <v>42460</v>
      </c>
      <c r="L4" s="291">
        <f>'Data Sheet'!K$16</f>
        <v>42825</v>
      </c>
      <c r="M4" s="291" t="s">
        <v>801</v>
      </c>
    </row>
    <row r="5" spans="1:13">
      <c r="A5" s="292" t="s">
        <v>95</v>
      </c>
      <c r="B5" s="292"/>
      <c r="C5" s="293"/>
      <c r="D5" s="293"/>
      <c r="E5" s="293"/>
      <c r="F5" s="293"/>
      <c r="G5" s="293"/>
      <c r="H5" s="293"/>
      <c r="I5" s="293"/>
      <c r="J5" s="293"/>
      <c r="K5" s="293"/>
      <c r="L5" s="293"/>
      <c r="M5" s="289"/>
    </row>
    <row r="6" spans="1:13">
      <c r="A6" s="281" t="s">
        <v>45</v>
      </c>
      <c r="B6" s="282" t="s">
        <v>802</v>
      </c>
      <c r="C6" s="283">
        <f>Other_input_data!C60</f>
        <v>108.11</v>
      </c>
      <c r="D6" s="283">
        <f>Other_input_data!D60</f>
        <v>108.92</v>
      </c>
      <c r="E6" s="283">
        <f>Other_input_data!E60</f>
        <v>136.62</v>
      </c>
      <c r="F6" s="283">
        <f>Other_input_data!F60</f>
        <v>150.43</v>
      </c>
      <c r="G6" s="283">
        <f>Other_input_data!G60</f>
        <v>82.72</v>
      </c>
      <c r="H6" s="283">
        <f>Other_input_data!H60</f>
        <v>92.18</v>
      </c>
      <c r="I6" s="283">
        <f>Other_input_data!I60</f>
        <v>132.9</v>
      </c>
      <c r="J6" s="283">
        <f>Other_input_data!J60</f>
        <v>144.53</v>
      </c>
      <c r="K6" s="283">
        <f>Other_input_data!K60</f>
        <v>124.17</v>
      </c>
      <c r="L6" s="283">
        <f>Other_input_data!L60</f>
        <v>151.5</v>
      </c>
      <c r="M6" s="283">
        <f>Other_input_data!M60</f>
        <v>0</v>
      </c>
    </row>
    <row r="7" spans="1:13">
      <c r="A7" s="281" t="s">
        <v>44</v>
      </c>
      <c r="B7" s="282" t="s">
        <v>802</v>
      </c>
      <c r="C7" s="283">
        <f>C59</f>
        <v>4.26</v>
      </c>
      <c r="D7" s="283">
        <f t="shared" ref="D7:M7" si="0">D59</f>
        <v>7.22</v>
      </c>
      <c r="E7" s="283">
        <f t="shared" si="0"/>
        <v>23.66</v>
      </c>
      <c r="F7" s="283">
        <f t="shared" si="0"/>
        <v>21.17</v>
      </c>
      <c r="G7" s="283">
        <f t="shared" si="0"/>
        <v>10.53</v>
      </c>
      <c r="H7" s="283">
        <f t="shared" si="0"/>
        <v>6.53</v>
      </c>
      <c r="I7" s="283">
        <f t="shared" si="0"/>
        <v>5.7</v>
      </c>
      <c r="J7" s="283">
        <f t="shared" si="0"/>
        <v>6.04</v>
      </c>
      <c r="K7" s="283">
        <f t="shared" si="0"/>
        <v>18.5</v>
      </c>
      <c r="L7" s="283">
        <f t="shared" si="0"/>
        <v>41.04</v>
      </c>
      <c r="M7" s="283">
        <f t="shared" si="0"/>
        <v>0</v>
      </c>
    </row>
    <row r="8" spans="1:13">
      <c r="A8" s="281" t="s">
        <v>96</v>
      </c>
      <c r="B8" s="282" t="s">
        <v>802</v>
      </c>
      <c r="C8" s="283">
        <f>C61</f>
        <v>13.02</v>
      </c>
      <c r="D8" s="283">
        <f t="shared" ref="D8:M8" si="1">D61</f>
        <v>2.23</v>
      </c>
      <c r="E8" s="283">
        <f t="shared" si="1"/>
        <v>5.6</v>
      </c>
      <c r="F8" s="283">
        <f t="shared" si="1"/>
        <v>2.65</v>
      </c>
      <c r="G8" s="283">
        <f t="shared" si="1"/>
        <v>2.04</v>
      </c>
      <c r="H8" s="283">
        <f t="shared" si="1"/>
        <v>1.53</v>
      </c>
      <c r="I8" s="283">
        <f t="shared" si="1"/>
        <v>2.74</v>
      </c>
      <c r="J8" s="283">
        <f t="shared" si="1"/>
        <v>2.84</v>
      </c>
      <c r="K8" s="283">
        <f t="shared" si="1"/>
        <v>4.78</v>
      </c>
      <c r="L8" s="283">
        <f t="shared" si="1"/>
        <v>13.47</v>
      </c>
      <c r="M8" s="283">
        <f t="shared" si="1"/>
        <v>0</v>
      </c>
    </row>
    <row r="9" spans="1:13">
      <c r="A9" s="281" t="s">
        <v>97</v>
      </c>
      <c r="B9" s="282" t="s">
        <v>802</v>
      </c>
      <c r="C9" s="283">
        <f>C53</f>
        <v>163.66999999999999</v>
      </c>
      <c r="D9" s="283">
        <f t="shared" ref="D9:M10" si="2">D53</f>
        <v>146.59</v>
      </c>
      <c r="E9" s="283">
        <f t="shared" si="2"/>
        <v>192.62</v>
      </c>
      <c r="F9" s="283">
        <f t="shared" si="2"/>
        <v>208.66</v>
      </c>
      <c r="G9" s="283">
        <f t="shared" si="2"/>
        <v>127.89</v>
      </c>
      <c r="H9" s="283">
        <f t="shared" si="2"/>
        <v>130.79</v>
      </c>
      <c r="I9" s="283">
        <f t="shared" si="2"/>
        <v>164.84</v>
      </c>
      <c r="J9" s="283">
        <f t="shared" si="2"/>
        <v>179.8</v>
      </c>
      <c r="K9" s="283">
        <f t="shared" si="2"/>
        <v>168.81</v>
      </c>
      <c r="L9" s="283">
        <f t="shared" si="2"/>
        <v>221.97</v>
      </c>
      <c r="M9" s="283">
        <f t="shared" si="2"/>
        <v>0</v>
      </c>
    </row>
    <row r="10" spans="1:13">
      <c r="A10" s="281" t="s">
        <v>98</v>
      </c>
      <c r="B10" s="282" t="s">
        <v>802</v>
      </c>
      <c r="C10" s="283">
        <f>C54</f>
        <v>66.959999999999994</v>
      </c>
      <c r="D10" s="283">
        <f t="shared" si="2"/>
        <v>65.319999999999993</v>
      </c>
      <c r="E10" s="283">
        <f t="shared" si="2"/>
        <v>94.58</v>
      </c>
      <c r="F10" s="283">
        <f t="shared" si="2"/>
        <v>105.14</v>
      </c>
      <c r="G10" s="283">
        <f t="shared" si="2"/>
        <v>89.97</v>
      </c>
      <c r="H10" s="283">
        <f t="shared" si="2"/>
        <v>108.38</v>
      </c>
      <c r="I10" s="283">
        <f t="shared" si="2"/>
        <v>94.58</v>
      </c>
      <c r="J10" s="283">
        <f t="shared" si="2"/>
        <v>86.02</v>
      </c>
      <c r="K10" s="283">
        <f t="shared" si="2"/>
        <v>69.3</v>
      </c>
      <c r="L10" s="283">
        <f t="shared" si="2"/>
        <v>93.93</v>
      </c>
      <c r="M10" s="283">
        <f t="shared" si="2"/>
        <v>0</v>
      </c>
    </row>
    <row r="11" spans="1:13">
      <c r="A11" s="281" t="s">
        <v>99</v>
      </c>
      <c r="B11" s="282" t="s">
        <v>811</v>
      </c>
      <c r="C11" s="283">
        <f>C9-C10</f>
        <v>96.71</v>
      </c>
      <c r="D11" s="283">
        <f t="shared" ref="D11:M11" si="3">D9-D10</f>
        <v>81.27000000000001</v>
      </c>
      <c r="E11" s="283">
        <f t="shared" si="3"/>
        <v>98.04</v>
      </c>
      <c r="F11" s="283">
        <f t="shared" si="3"/>
        <v>103.52</v>
      </c>
      <c r="G11" s="283">
        <f t="shared" si="3"/>
        <v>37.92</v>
      </c>
      <c r="H11" s="283">
        <f t="shared" si="3"/>
        <v>22.409999999999997</v>
      </c>
      <c r="I11" s="283">
        <f t="shared" si="3"/>
        <v>70.260000000000005</v>
      </c>
      <c r="J11" s="283">
        <f t="shared" si="3"/>
        <v>93.780000000000015</v>
      </c>
      <c r="K11" s="283">
        <f t="shared" si="3"/>
        <v>99.51</v>
      </c>
      <c r="L11" s="283">
        <f t="shared" si="3"/>
        <v>128.04</v>
      </c>
      <c r="M11" s="283">
        <f t="shared" si="3"/>
        <v>0</v>
      </c>
    </row>
    <row r="12" spans="1:13">
      <c r="A12" s="448"/>
      <c r="B12" s="448"/>
      <c r="C12" s="448"/>
      <c r="D12" s="448"/>
      <c r="E12" s="448"/>
      <c r="F12" s="448"/>
      <c r="G12" s="448"/>
      <c r="H12" s="448"/>
      <c r="I12" s="448"/>
      <c r="J12" s="448"/>
      <c r="K12" s="448"/>
      <c r="L12" s="448"/>
      <c r="M12" s="289"/>
    </row>
    <row r="13" spans="1:13">
      <c r="A13" s="447" t="s">
        <v>100</v>
      </c>
      <c r="B13" s="447"/>
      <c r="C13" s="447"/>
      <c r="D13" s="447"/>
      <c r="E13" s="447"/>
      <c r="F13" s="447"/>
      <c r="G13" s="447"/>
      <c r="H13" s="447"/>
      <c r="I13" s="447"/>
      <c r="J13" s="447"/>
      <c r="K13" s="447"/>
      <c r="L13" s="32"/>
      <c r="M13" s="289"/>
    </row>
    <row r="14" spans="1:13">
      <c r="A14" s="294" t="s">
        <v>101</v>
      </c>
      <c r="B14" s="294"/>
      <c r="C14" s="295">
        <f>C4</f>
        <v>39538</v>
      </c>
      <c r="D14" s="295">
        <f t="shared" ref="D14:M14" si="4">D4</f>
        <v>39903</v>
      </c>
      <c r="E14" s="295">
        <f t="shared" si="4"/>
        <v>40268</v>
      </c>
      <c r="F14" s="295">
        <f t="shared" si="4"/>
        <v>40633</v>
      </c>
      <c r="G14" s="295">
        <f t="shared" si="4"/>
        <v>40999</v>
      </c>
      <c r="H14" s="295">
        <f t="shared" si="4"/>
        <v>41364</v>
      </c>
      <c r="I14" s="295">
        <f t="shared" si="4"/>
        <v>41729</v>
      </c>
      <c r="J14" s="295">
        <f t="shared" si="4"/>
        <v>42094</v>
      </c>
      <c r="K14" s="295">
        <f t="shared" si="4"/>
        <v>42460</v>
      </c>
      <c r="L14" s="295">
        <f t="shared" si="4"/>
        <v>42825</v>
      </c>
      <c r="M14" s="295" t="str">
        <f t="shared" si="4"/>
        <v>TTM</v>
      </c>
    </row>
    <row r="15" spans="1:13">
      <c r="A15" s="296" t="s">
        <v>102</v>
      </c>
      <c r="B15" s="296" t="s">
        <v>802</v>
      </c>
      <c r="C15" s="297">
        <f>'Data Sheet'!B18</f>
        <v>83.82</v>
      </c>
      <c r="D15" s="297">
        <f>'Data Sheet'!C18</f>
        <v>94.89</v>
      </c>
      <c r="E15" s="297">
        <f>'Data Sheet'!D18</f>
        <v>120.94</v>
      </c>
      <c r="F15" s="297">
        <f>'Data Sheet'!E18</f>
        <v>170.74</v>
      </c>
      <c r="G15" s="297">
        <f>'Data Sheet'!F18</f>
        <v>238.21</v>
      </c>
      <c r="H15" s="297">
        <f>'Data Sheet'!G18</f>
        <v>238.01</v>
      </c>
      <c r="I15" s="297">
        <f>'Data Sheet'!H18</f>
        <v>285.92</v>
      </c>
      <c r="J15" s="297">
        <f>'Data Sheet'!I18</f>
        <v>294.16000000000003</v>
      </c>
      <c r="K15" s="297">
        <f>'Data Sheet'!J18</f>
        <v>305.98</v>
      </c>
      <c r="L15" s="297">
        <f>'Data Sheet'!K18</f>
        <v>336.1</v>
      </c>
      <c r="M15" s="297">
        <f>'Data Sheet'!L18</f>
        <v>0</v>
      </c>
    </row>
    <row r="16" spans="1:13">
      <c r="A16" s="298" t="s">
        <v>82</v>
      </c>
      <c r="B16" s="298" t="s">
        <v>802</v>
      </c>
      <c r="C16" s="297">
        <f>'Data Sheet'!B19</f>
        <v>0.41</v>
      </c>
      <c r="D16" s="297">
        <f>'Data Sheet'!C19</f>
        <v>-0.68</v>
      </c>
      <c r="E16" s="297">
        <f>'Data Sheet'!D19</f>
        <v>2.92</v>
      </c>
      <c r="F16" s="297">
        <f>'Data Sheet'!E19</f>
        <v>1.01</v>
      </c>
      <c r="G16" s="297">
        <f>'Data Sheet'!F19</f>
        <v>0.21</v>
      </c>
      <c r="H16" s="297">
        <f>'Data Sheet'!G19</f>
        <v>3.07</v>
      </c>
      <c r="I16" s="297">
        <f>'Data Sheet'!H19</f>
        <v>8.3800000000000008</v>
      </c>
      <c r="J16" s="297">
        <f>'Data Sheet'!I19</f>
        <v>-10.91</v>
      </c>
      <c r="K16" s="297">
        <f>'Data Sheet'!J19</f>
        <v>4.54</v>
      </c>
      <c r="L16" s="297">
        <f>'Data Sheet'!K19</f>
        <v>4.26</v>
      </c>
      <c r="M16" s="297">
        <f>'Data Sheet'!L19</f>
        <v>0</v>
      </c>
    </row>
    <row r="17" spans="1:13">
      <c r="A17" s="298" t="s">
        <v>83</v>
      </c>
      <c r="B17" s="298" t="s">
        <v>802</v>
      </c>
      <c r="C17" s="297">
        <f>'Data Sheet'!B20</f>
        <v>11.38</v>
      </c>
      <c r="D17" s="297">
        <f>'Data Sheet'!C20</f>
        <v>14.94</v>
      </c>
      <c r="E17" s="297">
        <f>'Data Sheet'!D20</f>
        <v>16.34</v>
      </c>
      <c r="F17" s="297">
        <f>'Data Sheet'!E20</f>
        <v>20.46</v>
      </c>
      <c r="G17" s="297">
        <f>'Data Sheet'!F20</f>
        <v>14.16</v>
      </c>
      <c r="H17" s="297">
        <f>'Data Sheet'!G20</f>
        <v>20.8</v>
      </c>
      <c r="I17" s="297">
        <f>'Data Sheet'!H20</f>
        <v>26.11</v>
      </c>
      <c r="J17" s="297">
        <f>'Data Sheet'!I20</f>
        <v>25.35</v>
      </c>
      <c r="K17" s="297">
        <f>'Data Sheet'!J20</f>
        <v>32.69</v>
      </c>
      <c r="L17" s="297">
        <f>'Data Sheet'!K20</f>
        <v>23.69</v>
      </c>
      <c r="M17" s="297">
        <f>'Data Sheet'!L20</f>
        <v>0</v>
      </c>
    </row>
    <row r="18" spans="1:13">
      <c r="A18" s="298" t="s">
        <v>84</v>
      </c>
      <c r="B18" s="298" t="s">
        <v>802</v>
      </c>
      <c r="C18" s="297">
        <f>'Data Sheet'!B21</f>
        <v>4.5</v>
      </c>
      <c r="D18" s="297">
        <f>'Data Sheet'!C21</f>
        <v>4.7</v>
      </c>
      <c r="E18" s="297">
        <f>'Data Sheet'!D21</f>
        <v>6.79</v>
      </c>
      <c r="F18" s="297">
        <f>'Data Sheet'!E21</f>
        <v>10.42</v>
      </c>
      <c r="G18" s="297">
        <f>'Data Sheet'!F21</f>
        <v>8.26</v>
      </c>
      <c r="H18" s="297">
        <f>'Data Sheet'!G21</f>
        <v>14.69</v>
      </c>
      <c r="I18" s="297">
        <f>'Data Sheet'!H21</f>
        <v>11.94</v>
      </c>
      <c r="J18" s="297">
        <f>'Data Sheet'!I21</f>
        <v>11.85</v>
      </c>
      <c r="K18" s="297">
        <f>'Data Sheet'!J21</f>
        <v>11.78</v>
      </c>
      <c r="L18" s="297">
        <f>'Data Sheet'!K21</f>
        <v>11.93</v>
      </c>
      <c r="M18" s="297">
        <f>'Data Sheet'!L21</f>
        <v>0</v>
      </c>
    </row>
    <row r="19" spans="1:13">
      <c r="A19" s="298" t="s">
        <v>85</v>
      </c>
      <c r="B19" s="298" t="s">
        <v>802</v>
      </c>
      <c r="C19" s="297">
        <f>'Data Sheet'!B22</f>
        <v>9.39</v>
      </c>
      <c r="D19" s="297">
        <f>'Data Sheet'!C22</f>
        <v>9.81</v>
      </c>
      <c r="E19" s="297">
        <f>'Data Sheet'!D22</f>
        <v>11.03</v>
      </c>
      <c r="F19" s="297">
        <f>'Data Sheet'!E22</f>
        <v>16.25</v>
      </c>
      <c r="G19" s="297">
        <f>'Data Sheet'!F22</f>
        <v>19.59</v>
      </c>
      <c r="H19" s="297">
        <f>'Data Sheet'!G22</f>
        <v>21.17</v>
      </c>
      <c r="I19" s="297">
        <f>'Data Sheet'!H22</f>
        <v>24.08</v>
      </c>
      <c r="J19" s="297">
        <f>'Data Sheet'!I22</f>
        <v>24.34</v>
      </c>
      <c r="K19" s="297">
        <f>'Data Sheet'!J22</f>
        <v>25.11</v>
      </c>
      <c r="L19" s="297">
        <f>'Data Sheet'!K22</f>
        <v>26.38</v>
      </c>
      <c r="M19" s="297">
        <f>'Data Sheet'!L22</f>
        <v>0</v>
      </c>
    </row>
    <row r="20" spans="1:13">
      <c r="A20" s="296" t="s">
        <v>104</v>
      </c>
      <c r="B20" s="296" t="s">
        <v>802</v>
      </c>
      <c r="C20" s="297">
        <f>'Data Sheet'!B23</f>
        <v>7.25</v>
      </c>
      <c r="D20" s="297">
        <f>'Data Sheet'!C23</f>
        <v>6.91</v>
      </c>
      <c r="E20" s="297">
        <f>'Data Sheet'!D23</f>
        <v>8.7899999999999991</v>
      </c>
      <c r="F20" s="297">
        <f>'Data Sheet'!E23</f>
        <v>10.28</v>
      </c>
      <c r="G20" s="297">
        <f>'Data Sheet'!F23</f>
        <v>18.62</v>
      </c>
      <c r="H20" s="297">
        <f>'Data Sheet'!G23</f>
        <v>14.43</v>
      </c>
      <c r="I20" s="297">
        <f>'Data Sheet'!H23</f>
        <v>23.47</v>
      </c>
      <c r="J20" s="297">
        <f>'Data Sheet'!I23</f>
        <v>26.44</v>
      </c>
      <c r="K20" s="297">
        <f>'Data Sheet'!J23</f>
        <v>27.24</v>
      </c>
      <c r="L20" s="297">
        <f>'Data Sheet'!K23</f>
        <v>29.34</v>
      </c>
      <c r="M20" s="297">
        <f>'Data Sheet'!L23</f>
        <v>0</v>
      </c>
    </row>
    <row r="21" spans="1:13">
      <c r="A21" s="296" t="s">
        <v>107</v>
      </c>
      <c r="B21" s="296" t="s">
        <v>802</v>
      </c>
      <c r="C21" s="297">
        <f>'Data Sheet'!B24</f>
        <v>0.92</v>
      </c>
      <c r="D21" s="297">
        <f>'Data Sheet'!C24</f>
        <v>4.7699999999999996</v>
      </c>
      <c r="E21" s="297">
        <f>'Data Sheet'!D24</f>
        <v>0.79</v>
      </c>
      <c r="F21" s="297">
        <f>'Data Sheet'!E24</f>
        <v>0.57999999999999996</v>
      </c>
      <c r="G21" s="297">
        <f>'Data Sheet'!F24</f>
        <v>12.47</v>
      </c>
      <c r="H21" s="297">
        <f>'Data Sheet'!G24</f>
        <v>4.58</v>
      </c>
      <c r="I21" s="297">
        <f>'Data Sheet'!H24</f>
        <v>9.7100000000000009</v>
      </c>
      <c r="J21" s="297">
        <f>'Data Sheet'!I24</f>
        <v>2.21</v>
      </c>
      <c r="K21" s="297">
        <f>'Data Sheet'!J24</f>
        <v>0.92</v>
      </c>
      <c r="L21" s="297">
        <f>'Data Sheet'!K24</f>
        <v>0.15</v>
      </c>
      <c r="M21" s="297">
        <f>'Data Sheet'!L24</f>
        <v>0</v>
      </c>
    </row>
    <row r="22" spans="1:13">
      <c r="A22" s="298" t="s">
        <v>9</v>
      </c>
      <c r="B22" s="298" t="s">
        <v>802</v>
      </c>
      <c r="C22" s="297">
        <f>'Data Sheet'!B25</f>
        <v>7.01</v>
      </c>
      <c r="D22" s="297">
        <f>'Data Sheet'!C25</f>
        <v>7.51</v>
      </c>
      <c r="E22" s="297">
        <f>'Data Sheet'!D25</f>
        <v>15.07</v>
      </c>
      <c r="F22" s="297">
        <f>'Data Sheet'!E25</f>
        <v>0.46</v>
      </c>
      <c r="G22" s="297">
        <f>'Data Sheet'!F25</f>
        <v>0.69</v>
      </c>
      <c r="H22" s="297">
        <f>'Data Sheet'!G25</f>
        <v>0.27</v>
      </c>
      <c r="I22" s="297">
        <f>'Data Sheet'!H25</f>
        <v>0.22</v>
      </c>
      <c r="J22" s="297">
        <f>'Data Sheet'!I25</f>
        <v>0.55000000000000004</v>
      </c>
      <c r="K22" s="297">
        <f>'Data Sheet'!J25</f>
        <v>1.77</v>
      </c>
      <c r="L22" s="297">
        <f>'Data Sheet'!K25</f>
        <v>0.78</v>
      </c>
      <c r="M22" s="297">
        <f>'Data Sheet'!L25</f>
        <v>0</v>
      </c>
    </row>
    <row r="23" spans="1:13">
      <c r="A23" s="298" t="s">
        <v>10</v>
      </c>
      <c r="B23" s="298" t="s">
        <v>802</v>
      </c>
      <c r="C23" s="297">
        <f>'Data Sheet'!B26</f>
        <v>13.85</v>
      </c>
      <c r="D23" s="297">
        <f>'Data Sheet'!C26</f>
        <v>18.059999999999999</v>
      </c>
      <c r="E23" s="297">
        <f>'Data Sheet'!D26</f>
        <v>20.95</v>
      </c>
      <c r="F23" s="297">
        <f>'Data Sheet'!E26</f>
        <v>24.22</v>
      </c>
      <c r="G23" s="297">
        <f>'Data Sheet'!F26</f>
        <v>26.8</v>
      </c>
      <c r="H23" s="297">
        <f>'Data Sheet'!G26</f>
        <v>27.43</v>
      </c>
      <c r="I23" s="297">
        <f>'Data Sheet'!H26</f>
        <v>31.62</v>
      </c>
      <c r="J23" s="297">
        <f>'Data Sheet'!I26</f>
        <v>29.33</v>
      </c>
      <c r="K23" s="297">
        <f>'Data Sheet'!J26</f>
        <v>29.92</v>
      </c>
      <c r="L23" s="297">
        <f>'Data Sheet'!K26</f>
        <v>29.35</v>
      </c>
      <c r="M23" s="297">
        <f>'Data Sheet'!L26</f>
        <v>0</v>
      </c>
    </row>
    <row r="24" spans="1:13">
      <c r="A24" s="298" t="s">
        <v>11</v>
      </c>
      <c r="B24" s="298" t="s">
        <v>802</v>
      </c>
      <c r="C24" s="297">
        <f>'Data Sheet'!B27</f>
        <v>13.01</v>
      </c>
      <c r="D24" s="297">
        <f>'Data Sheet'!C27</f>
        <v>17.34</v>
      </c>
      <c r="E24" s="297">
        <f>'Data Sheet'!D27</f>
        <v>16.739999999999998</v>
      </c>
      <c r="F24" s="297">
        <f>'Data Sheet'!E27</f>
        <v>15.49</v>
      </c>
      <c r="G24" s="297">
        <f>'Data Sheet'!F27</f>
        <v>20.079999999999998</v>
      </c>
      <c r="H24" s="297">
        <f>'Data Sheet'!G27</f>
        <v>19.37</v>
      </c>
      <c r="I24" s="297">
        <f>'Data Sheet'!H27</f>
        <v>12.87</v>
      </c>
      <c r="J24" s="297">
        <f>'Data Sheet'!I27</f>
        <v>7.17</v>
      </c>
      <c r="K24" s="297">
        <f>'Data Sheet'!J27</f>
        <v>5.87</v>
      </c>
      <c r="L24" s="297">
        <f>'Data Sheet'!K27</f>
        <v>4.43</v>
      </c>
      <c r="M24" s="297">
        <f>'Data Sheet'!L27</f>
        <v>0</v>
      </c>
    </row>
    <row r="25" spans="1:13">
      <c r="A25" s="296" t="s">
        <v>103</v>
      </c>
      <c r="B25" s="296" t="s">
        <v>802</v>
      </c>
      <c r="C25" s="297">
        <f>'Data Sheet'!B22</f>
        <v>9.39</v>
      </c>
      <c r="D25" s="297">
        <f>'Data Sheet'!C22</f>
        <v>9.81</v>
      </c>
      <c r="E25" s="297">
        <f>'Data Sheet'!D22</f>
        <v>11.03</v>
      </c>
      <c r="F25" s="297">
        <f>'Data Sheet'!E22</f>
        <v>16.25</v>
      </c>
      <c r="G25" s="297">
        <f>'Data Sheet'!F22</f>
        <v>19.59</v>
      </c>
      <c r="H25" s="297">
        <f>'Data Sheet'!G22</f>
        <v>21.17</v>
      </c>
      <c r="I25" s="297">
        <f>'Data Sheet'!H22</f>
        <v>24.08</v>
      </c>
      <c r="J25" s="297">
        <f>'Data Sheet'!I22</f>
        <v>24.34</v>
      </c>
      <c r="K25" s="297">
        <f>'Data Sheet'!J22</f>
        <v>25.11</v>
      </c>
      <c r="L25" s="297">
        <f>'Data Sheet'!K22</f>
        <v>26.38</v>
      </c>
      <c r="M25" s="297">
        <f>'Data Sheet'!L22</f>
        <v>0</v>
      </c>
    </row>
    <row r="26" spans="1:13">
      <c r="A26" s="296" t="s">
        <v>104</v>
      </c>
      <c r="B26" s="296" t="s">
        <v>802</v>
      </c>
      <c r="C26" s="297">
        <f>'Data Sheet'!B23</f>
        <v>7.25</v>
      </c>
      <c r="D26" s="297">
        <f>'Data Sheet'!C23</f>
        <v>6.91</v>
      </c>
      <c r="E26" s="297">
        <f>'Data Sheet'!D23</f>
        <v>8.7899999999999991</v>
      </c>
      <c r="F26" s="297">
        <f>'Data Sheet'!E23</f>
        <v>10.28</v>
      </c>
      <c r="G26" s="297">
        <f>'Data Sheet'!F23</f>
        <v>18.62</v>
      </c>
      <c r="H26" s="297">
        <f>'Data Sheet'!G23</f>
        <v>14.43</v>
      </c>
      <c r="I26" s="297">
        <f>'Data Sheet'!H23</f>
        <v>23.47</v>
      </c>
      <c r="J26" s="297">
        <f>'Data Sheet'!I23</f>
        <v>26.44</v>
      </c>
      <c r="K26" s="297">
        <f>'Data Sheet'!J23</f>
        <v>27.24</v>
      </c>
      <c r="L26" s="297">
        <f>'Data Sheet'!K23</f>
        <v>29.34</v>
      </c>
      <c r="M26" s="297">
        <f>'Data Sheet'!L23</f>
        <v>0</v>
      </c>
    </row>
    <row r="27" spans="1:13">
      <c r="A27" s="296" t="s">
        <v>105</v>
      </c>
      <c r="B27" s="296"/>
      <c r="C27" s="297"/>
      <c r="D27" s="297"/>
      <c r="E27" s="297"/>
      <c r="F27" s="297"/>
      <c r="G27" s="297"/>
      <c r="H27" s="297"/>
      <c r="I27" s="297"/>
      <c r="J27" s="297"/>
      <c r="K27" s="297"/>
      <c r="L27" s="297"/>
      <c r="M27" s="297"/>
    </row>
    <row r="28" spans="1:13">
      <c r="A28" s="296" t="s">
        <v>106</v>
      </c>
      <c r="B28" s="296"/>
      <c r="C28" s="297"/>
      <c r="D28" s="297"/>
      <c r="E28" s="297"/>
      <c r="F28" s="297"/>
      <c r="G28" s="297"/>
      <c r="H28" s="297"/>
      <c r="I28" s="297"/>
      <c r="J28" s="297"/>
      <c r="K28" s="297"/>
      <c r="L28" s="297"/>
      <c r="M28" s="297"/>
    </row>
    <row r="29" spans="1:13">
      <c r="A29" s="296" t="s">
        <v>108</v>
      </c>
      <c r="B29" s="296"/>
      <c r="C29" s="297"/>
      <c r="D29" s="297"/>
      <c r="E29" s="297"/>
      <c r="F29" s="297"/>
      <c r="G29" s="297"/>
      <c r="H29" s="299"/>
      <c r="I29" s="299"/>
      <c r="J29" s="299"/>
      <c r="K29" s="299"/>
      <c r="L29" s="296"/>
      <c r="M29" s="296"/>
    </row>
    <row r="30" spans="1:13">
      <c r="A30" s="300" t="s">
        <v>109</v>
      </c>
      <c r="B30" s="300" t="s">
        <v>815</v>
      </c>
      <c r="C30" s="297"/>
      <c r="D30" s="297">
        <f t="shared" ref="D30:M30" si="5">(D56-C56)+(D57-C57)+D36</f>
        <v>15.740000000000016</v>
      </c>
      <c r="E30" s="297">
        <f t="shared" si="5"/>
        <v>1.9599999999999618</v>
      </c>
      <c r="F30" s="297">
        <f t="shared" si="5"/>
        <v>83.980000000000032</v>
      </c>
      <c r="G30" s="297">
        <f t="shared" si="5"/>
        <v>4.9700000000000024</v>
      </c>
      <c r="H30" s="297">
        <f t="shared" si="5"/>
        <v>8.9799999999999969</v>
      </c>
      <c r="I30" s="297">
        <f t="shared" si="5"/>
        <v>29.810000000000013</v>
      </c>
      <c r="J30" s="297">
        <f t="shared" si="5"/>
        <v>9.4500000000000135</v>
      </c>
      <c r="K30" s="297">
        <f t="shared" si="5"/>
        <v>15.079999999999961</v>
      </c>
      <c r="L30" s="297">
        <f t="shared" si="5"/>
        <v>28.140000000000022</v>
      </c>
      <c r="M30" s="297">
        <f t="shared" si="5"/>
        <v>-253.93</v>
      </c>
    </row>
    <row r="31" spans="1:13">
      <c r="A31" s="301" t="str">
        <f>'Data Sheet'!A1</f>
        <v>COMPANY NAME</v>
      </c>
      <c r="B31" s="301"/>
      <c r="C31" s="302">
        <f t="shared" ref="C31:M31" si="6">C14</f>
        <v>39538</v>
      </c>
      <c r="D31" s="302">
        <f t="shared" si="6"/>
        <v>39903</v>
      </c>
      <c r="E31" s="302">
        <f t="shared" si="6"/>
        <v>40268</v>
      </c>
      <c r="F31" s="302">
        <f t="shared" si="6"/>
        <v>40633</v>
      </c>
      <c r="G31" s="302">
        <f t="shared" si="6"/>
        <v>40999</v>
      </c>
      <c r="H31" s="302">
        <f t="shared" si="6"/>
        <v>41364</v>
      </c>
      <c r="I31" s="302">
        <f t="shared" si="6"/>
        <v>41729</v>
      </c>
      <c r="J31" s="302">
        <f t="shared" si="6"/>
        <v>42094</v>
      </c>
      <c r="K31" s="302">
        <f t="shared" si="6"/>
        <v>42460</v>
      </c>
      <c r="L31" s="302">
        <f t="shared" si="6"/>
        <v>42825</v>
      </c>
      <c r="M31" s="302" t="str">
        <f t="shared" si="6"/>
        <v>TTM</v>
      </c>
    </row>
    <row r="32" spans="1:13">
      <c r="A32" s="303" t="s">
        <v>6</v>
      </c>
      <c r="B32" s="303" t="s">
        <v>802</v>
      </c>
      <c r="C32" s="303">
        <f>'Data Sheet'!B17</f>
        <v>155.74</v>
      </c>
      <c r="D32" s="303">
        <f>'Data Sheet'!C17</f>
        <v>177.75</v>
      </c>
      <c r="E32" s="303">
        <f>'Data Sheet'!D17</f>
        <v>208.07</v>
      </c>
      <c r="F32" s="303">
        <f>'Data Sheet'!E17</f>
        <v>326.77999999999997</v>
      </c>
      <c r="G32" s="303">
        <f>'Data Sheet'!F17</f>
        <v>389.44</v>
      </c>
      <c r="H32" s="303">
        <f>'Data Sheet'!G17</f>
        <v>397.79</v>
      </c>
      <c r="I32" s="303">
        <f>'Data Sheet'!H17</f>
        <v>476.78</v>
      </c>
      <c r="J32" s="303">
        <f>'Data Sheet'!I17</f>
        <v>494.97</v>
      </c>
      <c r="K32" s="303">
        <f>'Data Sheet'!J17</f>
        <v>492.14</v>
      </c>
      <c r="L32" s="303">
        <f>'Data Sheet'!K17</f>
        <v>528.26</v>
      </c>
      <c r="M32" s="303">
        <f>'Data Sheet'!L17</f>
        <v>0</v>
      </c>
    </row>
    <row r="33" spans="1:14">
      <c r="A33" s="303" t="str">
        <f>A15</f>
        <v>Raw Materials</v>
      </c>
      <c r="B33" s="303" t="s">
        <v>802</v>
      </c>
      <c r="C33" s="303">
        <f t="shared" ref="C33:M33" si="7">C15</f>
        <v>83.82</v>
      </c>
      <c r="D33" s="303">
        <f t="shared" si="7"/>
        <v>94.89</v>
      </c>
      <c r="E33" s="303">
        <f t="shared" si="7"/>
        <v>120.94</v>
      </c>
      <c r="F33" s="303">
        <f t="shared" si="7"/>
        <v>170.74</v>
      </c>
      <c r="G33" s="303">
        <f t="shared" si="7"/>
        <v>238.21</v>
      </c>
      <c r="H33" s="303">
        <f t="shared" si="7"/>
        <v>238.01</v>
      </c>
      <c r="I33" s="303">
        <f t="shared" si="7"/>
        <v>285.92</v>
      </c>
      <c r="J33" s="303">
        <f t="shared" si="7"/>
        <v>294.16000000000003</v>
      </c>
      <c r="K33" s="303">
        <f t="shared" si="7"/>
        <v>305.98</v>
      </c>
      <c r="L33" s="303">
        <f t="shared" si="7"/>
        <v>336.1</v>
      </c>
      <c r="M33" s="303">
        <f t="shared" si="7"/>
        <v>0</v>
      </c>
    </row>
    <row r="34" spans="1:14">
      <c r="A34" s="303" t="s">
        <v>110</v>
      </c>
      <c r="B34" s="303" t="s">
        <v>803</v>
      </c>
      <c r="C34" s="303">
        <f t="shared" ref="C34:L34" si="8">C32-C33</f>
        <v>71.920000000000016</v>
      </c>
      <c r="D34" s="303">
        <f t="shared" si="8"/>
        <v>82.86</v>
      </c>
      <c r="E34" s="303">
        <f t="shared" si="8"/>
        <v>87.13</v>
      </c>
      <c r="F34" s="303">
        <f t="shared" si="8"/>
        <v>156.03999999999996</v>
      </c>
      <c r="G34" s="303">
        <f t="shared" si="8"/>
        <v>151.22999999999999</v>
      </c>
      <c r="H34" s="303">
        <f t="shared" si="8"/>
        <v>159.78000000000003</v>
      </c>
      <c r="I34" s="303">
        <f t="shared" si="8"/>
        <v>190.85999999999996</v>
      </c>
      <c r="J34" s="303">
        <f t="shared" si="8"/>
        <v>200.81</v>
      </c>
      <c r="K34" s="303">
        <f t="shared" si="8"/>
        <v>186.15999999999997</v>
      </c>
      <c r="L34" s="303">
        <f t="shared" si="8"/>
        <v>192.15999999999997</v>
      </c>
      <c r="M34" s="303">
        <f t="shared" ref="M34" si="9">M32-M33</f>
        <v>0</v>
      </c>
    </row>
    <row r="35" spans="1:14" ht="24">
      <c r="A35" s="303" t="s">
        <v>111</v>
      </c>
      <c r="B35" s="303" t="s">
        <v>804</v>
      </c>
      <c r="C35" s="304">
        <f>'Data Sheet'!B17-'Data Sheet'!B18-'Data Sheet'!B20-'Data Sheet'!B21-'Data Sheet'!B22-'Data Sheet'!B23-'Data Sheet'!B24+'Data Sheet'!B25+'Data Sheet'!B19</f>
        <v>45.900000000000006</v>
      </c>
      <c r="D35" s="304">
        <f>'Data Sheet'!C17-'Data Sheet'!C18-'Data Sheet'!C20-'Data Sheet'!C21-'Data Sheet'!C22-'Data Sheet'!C23-'Data Sheet'!C24+'Data Sheet'!C25+'Data Sheet'!C19</f>
        <v>48.56</v>
      </c>
      <c r="E35" s="304">
        <f>'Data Sheet'!D17-'Data Sheet'!D18-'Data Sheet'!D20-'Data Sheet'!D21-'Data Sheet'!D22-'Data Sheet'!D23-'Data Sheet'!D24+'Data Sheet'!D25+'Data Sheet'!D19</f>
        <v>61.379999999999995</v>
      </c>
      <c r="F35" s="304">
        <f>'Data Sheet'!E17-'Data Sheet'!E18-'Data Sheet'!E20-'Data Sheet'!E21-'Data Sheet'!E22-'Data Sheet'!E23-'Data Sheet'!E24+'Data Sheet'!E25+'Data Sheet'!E19</f>
        <v>99.519999999999953</v>
      </c>
      <c r="G35" s="304">
        <f>'Data Sheet'!F17-'Data Sheet'!F18-'Data Sheet'!F20-'Data Sheet'!F21-'Data Sheet'!F22-'Data Sheet'!F23-'Data Sheet'!F24+'Data Sheet'!F25+'Data Sheet'!F19</f>
        <v>79.029999999999987</v>
      </c>
      <c r="H35" s="304">
        <f>'Data Sheet'!G17-'Data Sheet'!G18-'Data Sheet'!G20-'Data Sheet'!G21-'Data Sheet'!G22-'Data Sheet'!G23-'Data Sheet'!G24+'Data Sheet'!G25+'Data Sheet'!G19</f>
        <v>87.450000000000017</v>
      </c>
      <c r="I35" s="304">
        <f>'Data Sheet'!H17-'Data Sheet'!H18-'Data Sheet'!H20-'Data Sheet'!H21-'Data Sheet'!H22-'Data Sheet'!H23-'Data Sheet'!H24+'Data Sheet'!H25+'Data Sheet'!H19</f>
        <v>104.14999999999995</v>
      </c>
      <c r="J35" s="304">
        <f>'Data Sheet'!I17-'Data Sheet'!I18-'Data Sheet'!I20-'Data Sheet'!I21-'Data Sheet'!I22-'Data Sheet'!I23-'Data Sheet'!I24+'Data Sheet'!I25+'Data Sheet'!I19</f>
        <v>100.26000000000002</v>
      </c>
      <c r="K35" s="304">
        <f>'Data Sheet'!J17-'Data Sheet'!J18-'Data Sheet'!J20-'Data Sheet'!J21-'Data Sheet'!J22-'Data Sheet'!J23-'Data Sheet'!J24+'Data Sheet'!J25+'Data Sheet'!J19</f>
        <v>94.729999999999976</v>
      </c>
      <c r="L35" s="304">
        <f>'Data Sheet'!K17-'Data Sheet'!K18-'Data Sheet'!K20-'Data Sheet'!K21-'Data Sheet'!K22-'Data Sheet'!K23-'Data Sheet'!K24+'Data Sheet'!K25+'Data Sheet'!K19</f>
        <v>105.70999999999997</v>
      </c>
      <c r="M35" s="304">
        <f>SUM('Data Sheet'!H47:K47)+SUM('Data Sheet'!H46:K46)+SUM('Data Sheet'!H45:K45)</f>
        <v>118.33</v>
      </c>
    </row>
    <row r="36" spans="1:14">
      <c r="A36" s="303" t="s">
        <v>112</v>
      </c>
      <c r="B36" s="303" t="s">
        <v>802</v>
      </c>
      <c r="C36" s="303">
        <f>'Data Sheet'!B26</f>
        <v>13.85</v>
      </c>
      <c r="D36" s="303">
        <f>'Data Sheet'!C26</f>
        <v>18.059999999999999</v>
      </c>
      <c r="E36" s="303">
        <f>'Data Sheet'!D26</f>
        <v>20.95</v>
      </c>
      <c r="F36" s="303">
        <f>'Data Sheet'!E26</f>
        <v>24.22</v>
      </c>
      <c r="G36" s="303">
        <f>'Data Sheet'!F26</f>
        <v>26.8</v>
      </c>
      <c r="H36" s="303">
        <f>'Data Sheet'!G26</f>
        <v>27.43</v>
      </c>
      <c r="I36" s="303">
        <f>'Data Sheet'!H26</f>
        <v>31.62</v>
      </c>
      <c r="J36" s="303">
        <f>'Data Sheet'!I26</f>
        <v>29.33</v>
      </c>
      <c r="K36" s="303">
        <f>'Data Sheet'!J26</f>
        <v>29.92</v>
      </c>
      <c r="L36" s="303">
        <f>'Data Sheet'!K26</f>
        <v>29.35</v>
      </c>
      <c r="M36" s="303">
        <f>'Data Sheet'!L26</f>
        <v>0</v>
      </c>
    </row>
    <row r="37" spans="1:14">
      <c r="A37" s="303" t="s">
        <v>113</v>
      </c>
      <c r="B37" s="303" t="s">
        <v>805</v>
      </c>
      <c r="C37" s="303">
        <f>C35-C36</f>
        <v>32.050000000000004</v>
      </c>
      <c r="D37" s="303">
        <f t="shared" ref="D37:L37" si="10">D35-D36</f>
        <v>30.500000000000004</v>
      </c>
      <c r="E37" s="303">
        <f t="shared" si="10"/>
        <v>40.429999999999993</v>
      </c>
      <c r="F37" s="303">
        <f t="shared" si="10"/>
        <v>75.299999999999955</v>
      </c>
      <c r="G37" s="303">
        <f t="shared" si="10"/>
        <v>52.22999999999999</v>
      </c>
      <c r="H37" s="303">
        <f t="shared" si="10"/>
        <v>60.020000000000017</v>
      </c>
      <c r="I37" s="303">
        <f t="shared" si="10"/>
        <v>72.529999999999944</v>
      </c>
      <c r="J37" s="303">
        <f t="shared" si="10"/>
        <v>70.930000000000021</v>
      </c>
      <c r="K37" s="303">
        <f t="shared" si="10"/>
        <v>64.809999999999974</v>
      </c>
      <c r="L37" s="303">
        <f t="shared" si="10"/>
        <v>76.359999999999957</v>
      </c>
      <c r="M37" s="303">
        <f t="shared" ref="M37" si="11">M35-M36</f>
        <v>118.33</v>
      </c>
    </row>
    <row r="38" spans="1:14">
      <c r="A38" s="303" t="s">
        <v>11</v>
      </c>
      <c r="B38" s="303" t="s">
        <v>802</v>
      </c>
      <c r="C38" s="303">
        <f>'Data Sheet'!B27</f>
        <v>13.01</v>
      </c>
      <c r="D38" s="303">
        <f>'Data Sheet'!C27</f>
        <v>17.34</v>
      </c>
      <c r="E38" s="303">
        <f>'Data Sheet'!D27</f>
        <v>16.739999999999998</v>
      </c>
      <c r="F38" s="303">
        <f>'Data Sheet'!E27</f>
        <v>15.49</v>
      </c>
      <c r="G38" s="303">
        <f>'Data Sheet'!F27</f>
        <v>20.079999999999998</v>
      </c>
      <c r="H38" s="303">
        <f>'Data Sheet'!G27</f>
        <v>19.37</v>
      </c>
      <c r="I38" s="303">
        <f>'Data Sheet'!H27</f>
        <v>12.87</v>
      </c>
      <c r="J38" s="303">
        <f>'Data Sheet'!I27</f>
        <v>7.17</v>
      </c>
      <c r="K38" s="303">
        <f>'Data Sheet'!J27</f>
        <v>5.87</v>
      </c>
      <c r="L38" s="303">
        <f>'Data Sheet'!K27</f>
        <v>4.43</v>
      </c>
      <c r="M38" s="303">
        <f>'Data Sheet'!L27</f>
        <v>0</v>
      </c>
    </row>
    <row r="39" spans="1:14">
      <c r="A39" s="303" t="s">
        <v>114</v>
      </c>
      <c r="B39" s="303" t="s">
        <v>806</v>
      </c>
      <c r="C39" s="303">
        <f>C37-C38</f>
        <v>19.040000000000006</v>
      </c>
      <c r="D39" s="303">
        <f t="shared" ref="D39:L39" si="12">D37-D38</f>
        <v>13.160000000000004</v>
      </c>
      <c r="E39" s="303">
        <f t="shared" si="12"/>
        <v>23.689999999999994</v>
      </c>
      <c r="F39" s="303">
        <f t="shared" si="12"/>
        <v>59.809999999999953</v>
      </c>
      <c r="G39" s="303">
        <f t="shared" si="12"/>
        <v>32.149999999999991</v>
      </c>
      <c r="H39" s="303">
        <f t="shared" si="12"/>
        <v>40.65000000000002</v>
      </c>
      <c r="I39" s="303">
        <f t="shared" si="12"/>
        <v>59.659999999999947</v>
      </c>
      <c r="J39" s="303">
        <f t="shared" si="12"/>
        <v>63.760000000000019</v>
      </c>
      <c r="K39" s="303">
        <f t="shared" si="12"/>
        <v>58.939999999999976</v>
      </c>
      <c r="L39" s="303">
        <f t="shared" si="12"/>
        <v>71.92999999999995</v>
      </c>
      <c r="M39" s="303">
        <f t="shared" ref="M39" si="13">M37-M38</f>
        <v>118.33</v>
      </c>
    </row>
    <row r="40" spans="1:14">
      <c r="A40" s="303" t="s">
        <v>13</v>
      </c>
      <c r="B40" s="303" t="s">
        <v>802</v>
      </c>
      <c r="C40" s="303">
        <f>'Data Sheet'!B29</f>
        <v>5.8</v>
      </c>
      <c r="D40" s="303">
        <f>'Data Sheet'!C29</f>
        <v>3.74</v>
      </c>
      <c r="E40" s="303">
        <f>'Data Sheet'!D29</f>
        <v>5.16</v>
      </c>
      <c r="F40" s="303">
        <f>'Data Sheet'!E29</f>
        <v>17.37</v>
      </c>
      <c r="G40" s="303">
        <f>'Data Sheet'!F29</f>
        <v>8.27</v>
      </c>
      <c r="H40" s="303">
        <f>'Data Sheet'!G29</f>
        <v>9.68</v>
      </c>
      <c r="I40" s="303">
        <f>'Data Sheet'!H29</f>
        <v>11.52</v>
      </c>
      <c r="J40" s="303">
        <f>'Data Sheet'!I29</f>
        <v>12.59</v>
      </c>
      <c r="K40" s="303">
        <f>'Data Sheet'!J29</f>
        <v>14.5</v>
      </c>
      <c r="L40" s="303">
        <f>'Data Sheet'!K29</f>
        <v>16.29</v>
      </c>
      <c r="M40" s="303">
        <f>'Data Sheet'!L29</f>
        <v>0</v>
      </c>
    </row>
    <row r="41" spans="1:14">
      <c r="A41" s="303" t="s">
        <v>115</v>
      </c>
      <c r="B41" s="303" t="s">
        <v>807</v>
      </c>
      <c r="C41" s="303">
        <f>C39-C40</f>
        <v>13.240000000000006</v>
      </c>
      <c r="D41" s="303">
        <f t="shared" ref="D41:L41" si="14">D39-D40</f>
        <v>9.4200000000000035</v>
      </c>
      <c r="E41" s="303">
        <f t="shared" si="14"/>
        <v>18.529999999999994</v>
      </c>
      <c r="F41" s="303">
        <f t="shared" si="14"/>
        <v>42.439999999999955</v>
      </c>
      <c r="G41" s="303">
        <f t="shared" si="14"/>
        <v>23.879999999999992</v>
      </c>
      <c r="H41" s="303">
        <f t="shared" si="14"/>
        <v>30.97000000000002</v>
      </c>
      <c r="I41" s="303">
        <f t="shared" si="14"/>
        <v>48.139999999999944</v>
      </c>
      <c r="J41" s="303">
        <f t="shared" si="14"/>
        <v>51.170000000000016</v>
      </c>
      <c r="K41" s="303">
        <f t="shared" si="14"/>
        <v>44.439999999999976</v>
      </c>
      <c r="L41" s="303">
        <f t="shared" si="14"/>
        <v>55.639999999999951</v>
      </c>
      <c r="M41" s="303">
        <f t="shared" ref="M41" si="15">M39-M40</f>
        <v>118.33</v>
      </c>
    </row>
    <row r="42" spans="1:14">
      <c r="A42" s="303" t="s">
        <v>116</v>
      </c>
      <c r="B42" s="303" t="s">
        <v>802</v>
      </c>
      <c r="C42" s="304">
        <f>'Data Sheet'!B31</f>
        <v>1.175</v>
      </c>
      <c r="D42" s="304">
        <f>'Data Sheet'!C31</f>
        <v>1.175</v>
      </c>
      <c r="E42" s="304">
        <f>'Data Sheet'!D31</f>
        <v>1.7625</v>
      </c>
      <c r="F42" s="304">
        <f>'Data Sheet'!E31</f>
        <v>2.9375</v>
      </c>
      <c r="G42" s="304">
        <f>'Data Sheet'!F31</f>
        <v>2.9375</v>
      </c>
      <c r="H42" s="304">
        <f>'Data Sheet'!G31</f>
        <v>5.5812499999999998</v>
      </c>
      <c r="I42" s="304">
        <f>'Data Sheet'!H31</f>
        <v>7.34375</v>
      </c>
      <c r="J42" s="304">
        <f>'Data Sheet'!I31</f>
        <v>8.2249999999999996</v>
      </c>
      <c r="K42" s="304">
        <f>'Data Sheet'!J31</f>
        <v>8.8125</v>
      </c>
      <c r="L42" s="304">
        <f>'Data Sheet'!K31</f>
        <v>0</v>
      </c>
      <c r="M42" s="304">
        <f>'Data Sheet'!L31</f>
        <v>0</v>
      </c>
    </row>
    <row r="43" spans="1:14">
      <c r="A43" s="303" t="s">
        <v>117</v>
      </c>
      <c r="B43" s="285" t="s">
        <v>808</v>
      </c>
      <c r="C43" s="286">
        <f>'Data Sheet'!B90*'Data Sheet'!B93</f>
        <v>64.286488375000005</v>
      </c>
      <c r="D43" s="305">
        <f>'Data Sheet'!C90*'Data Sheet'!C93</f>
        <v>30.104479362500001</v>
      </c>
      <c r="E43" s="305">
        <f>'Data Sheet'!D90*'Data Sheet'!D93</f>
        <v>98.884643025000003</v>
      </c>
      <c r="F43" s="305">
        <f>'Data Sheet'!E90*'Data Sheet'!E93</f>
        <v>128.1925</v>
      </c>
      <c r="G43" s="305">
        <f>'Data Sheet'!F90*'Data Sheet'!F93</f>
        <v>86.206348962500002</v>
      </c>
      <c r="H43" s="305">
        <f>'Data Sheet'!G90*'Data Sheet'!G93</f>
        <v>116.67586792499999</v>
      </c>
      <c r="I43" s="305">
        <f>'Data Sheet'!H90*'Data Sheet'!H93</f>
        <v>173.03421065000001</v>
      </c>
      <c r="J43" s="305">
        <f>'Data Sheet'!I90*'Data Sheet'!I93</f>
        <v>510.71375</v>
      </c>
      <c r="K43" s="305">
        <f>'Data Sheet'!J90*'Data Sheet'!J93</f>
        <v>495.99687500000005</v>
      </c>
      <c r="L43" s="305">
        <f>'Data Sheet'!K90*'Data Sheet'!K93</f>
        <v>780.58115113500003</v>
      </c>
      <c r="M43" s="305">
        <f>'Data Sheet'!L90*'Data Sheet'!L93</f>
        <v>0</v>
      </c>
    </row>
    <row r="44" spans="1:14">
      <c r="A44" s="306" t="s">
        <v>118</v>
      </c>
      <c r="B44" s="306"/>
      <c r="C44" s="306">
        <f>'Data Sheet'!B9</f>
        <v>721.46</v>
      </c>
      <c r="D44" s="449"/>
      <c r="E44" s="450"/>
      <c r="F44" s="450"/>
      <c r="G44" s="450"/>
      <c r="H44" s="450"/>
      <c r="I44" s="450"/>
      <c r="J44" s="450"/>
      <c r="K44" s="450"/>
      <c r="L44" s="451"/>
      <c r="M44" s="289"/>
    </row>
    <row r="45" spans="1:14">
      <c r="A45" s="446"/>
      <c r="B45" s="446"/>
      <c r="C45" s="446"/>
      <c r="D45" s="446"/>
      <c r="E45" s="446"/>
      <c r="F45" s="446"/>
      <c r="G45" s="446"/>
      <c r="H45" s="446"/>
      <c r="I45" s="446"/>
      <c r="J45" s="446"/>
      <c r="K45" s="446"/>
      <c r="L45" s="446"/>
      <c r="M45" s="289"/>
    </row>
    <row r="46" spans="1:14">
      <c r="A46" s="307" t="s">
        <v>119</v>
      </c>
      <c r="B46" s="307" t="s">
        <v>802</v>
      </c>
      <c r="C46" s="303">
        <f>'Data Sheet'!B57</f>
        <v>5.88</v>
      </c>
      <c r="D46" s="303">
        <f>'Data Sheet'!C57</f>
        <v>5.88</v>
      </c>
      <c r="E46" s="303">
        <f>'Data Sheet'!D57</f>
        <v>5.88</v>
      </c>
      <c r="F46" s="303">
        <f>'Data Sheet'!E57</f>
        <v>5.88</v>
      </c>
      <c r="G46" s="303">
        <f>'Data Sheet'!F57</f>
        <v>5.88</v>
      </c>
      <c r="H46" s="303">
        <f>'Data Sheet'!G57</f>
        <v>5.88</v>
      </c>
      <c r="I46" s="303">
        <f>'Data Sheet'!H57</f>
        <v>5.88</v>
      </c>
      <c r="J46" s="303">
        <f>'Data Sheet'!I57</f>
        <v>5.88</v>
      </c>
      <c r="K46" s="303">
        <f>'Data Sheet'!J57</f>
        <v>5.88</v>
      </c>
      <c r="L46" s="303">
        <f>'Data Sheet'!K57</f>
        <v>5.73</v>
      </c>
      <c r="M46" s="303">
        <f>'Data Sheet'!L57</f>
        <v>0</v>
      </c>
      <c r="N46" s="136">
        <f>(L46/D46)^(1/9)-1</f>
        <v>-2.8671298193376771E-3</v>
      </c>
    </row>
    <row r="47" spans="1:14">
      <c r="A47" s="307" t="s">
        <v>120</v>
      </c>
      <c r="B47" s="307" t="s">
        <v>802</v>
      </c>
      <c r="C47" s="307">
        <f>'Data Sheet'!B58</f>
        <v>105.34</v>
      </c>
      <c r="D47" s="307">
        <f>'Data Sheet'!C58</f>
        <v>115.13</v>
      </c>
      <c r="E47" s="307">
        <f>'Data Sheet'!D58</f>
        <v>130.44</v>
      </c>
      <c r="F47" s="307">
        <f>'Data Sheet'!E58</f>
        <v>169.55</v>
      </c>
      <c r="G47" s="307">
        <f>'Data Sheet'!F58</f>
        <v>190.01</v>
      </c>
      <c r="H47" s="307">
        <f>'Data Sheet'!G58</f>
        <v>214.51</v>
      </c>
      <c r="I47" s="307">
        <f>'Data Sheet'!H58</f>
        <v>254.06</v>
      </c>
      <c r="J47" s="307">
        <f>'Data Sheet'!I58</f>
        <v>295.33</v>
      </c>
      <c r="K47" s="307">
        <f>'Data Sheet'!J58</f>
        <v>329.17</v>
      </c>
      <c r="L47" s="307">
        <f>'Data Sheet'!K58</f>
        <v>368.86</v>
      </c>
      <c r="M47" s="307">
        <f>'Data Sheet'!L58</f>
        <v>0</v>
      </c>
    </row>
    <row r="48" spans="1:14">
      <c r="A48" s="307" t="s">
        <v>121</v>
      </c>
      <c r="B48" s="307" t="s">
        <v>809</v>
      </c>
      <c r="C48" s="303">
        <f t="shared" ref="C48:L48" si="16">C47+C46</f>
        <v>111.22</v>
      </c>
      <c r="D48" s="303">
        <f t="shared" si="16"/>
        <v>121.00999999999999</v>
      </c>
      <c r="E48" s="303">
        <f t="shared" si="16"/>
        <v>136.32</v>
      </c>
      <c r="F48" s="303">
        <f t="shared" si="16"/>
        <v>175.43</v>
      </c>
      <c r="G48" s="303">
        <f t="shared" si="16"/>
        <v>195.89</v>
      </c>
      <c r="H48" s="303">
        <f t="shared" si="16"/>
        <v>220.39</v>
      </c>
      <c r="I48" s="303">
        <f t="shared" si="16"/>
        <v>259.94</v>
      </c>
      <c r="J48" s="303">
        <f t="shared" si="16"/>
        <v>301.20999999999998</v>
      </c>
      <c r="K48" s="303">
        <f t="shared" si="16"/>
        <v>335.05</v>
      </c>
      <c r="L48" s="303">
        <f t="shared" si="16"/>
        <v>374.59000000000003</v>
      </c>
      <c r="M48" s="303">
        <f t="shared" ref="M48" si="17">M47+M46</f>
        <v>0</v>
      </c>
    </row>
    <row r="49" spans="1:13">
      <c r="A49" s="308" t="s">
        <v>122</v>
      </c>
      <c r="B49" s="308"/>
      <c r="C49" s="309"/>
      <c r="D49" s="303"/>
      <c r="E49" s="303"/>
      <c r="F49" s="303"/>
      <c r="G49" s="303"/>
      <c r="H49" s="303"/>
      <c r="I49" s="303"/>
      <c r="J49" s="303"/>
      <c r="K49" s="303"/>
      <c r="L49" s="303"/>
      <c r="M49" s="303"/>
    </row>
    <row r="50" spans="1:13">
      <c r="A50" s="308" t="s">
        <v>123</v>
      </c>
      <c r="B50" s="308"/>
      <c r="C50" s="309"/>
      <c r="D50" s="303"/>
      <c r="E50" s="303"/>
      <c r="F50" s="303"/>
      <c r="G50" s="303"/>
      <c r="H50" s="303"/>
      <c r="I50" s="303"/>
      <c r="J50" s="303"/>
      <c r="K50" s="303"/>
      <c r="L50" s="303"/>
      <c r="M50" s="303"/>
    </row>
    <row r="51" spans="1:13">
      <c r="A51" s="308" t="s">
        <v>72</v>
      </c>
      <c r="B51" s="308"/>
      <c r="C51" s="307">
        <f>'Data Sheet'!B59</f>
        <v>279.2</v>
      </c>
      <c r="D51" s="307">
        <f>'Data Sheet'!C59</f>
        <v>251.55</v>
      </c>
      <c r="E51" s="307">
        <f>'Data Sheet'!D59</f>
        <v>233.96</v>
      </c>
      <c r="F51" s="307">
        <f>'Data Sheet'!E59</f>
        <v>260.10000000000002</v>
      </c>
      <c r="G51" s="307">
        <f>'Data Sheet'!F59</f>
        <v>152.19999999999999</v>
      </c>
      <c r="H51" s="307">
        <f>'Data Sheet'!G59</f>
        <v>93.75</v>
      </c>
      <c r="I51" s="307">
        <f>'Data Sheet'!H59</f>
        <v>100.25</v>
      </c>
      <c r="J51" s="307">
        <f>'Data Sheet'!I59</f>
        <v>62.63</v>
      </c>
      <c r="K51" s="310">
        <f>'Data Sheet'!J59</f>
        <v>19.71</v>
      </c>
      <c r="L51" s="310">
        <f>'Data Sheet'!K59</f>
        <v>7.49</v>
      </c>
      <c r="M51" s="310">
        <f>'Data Sheet'!L59</f>
        <v>0</v>
      </c>
    </row>
    <row r="52" spans="1:13">
      <c r="A52" s="308" t="s">
        <v>73</v>
      </c>
      <c r="B52" s="308" t="s">
        <v>802</v>
      </c>
      <c r="C52" s="307">
        <f>'Data Sheet'!B60</f>
        <v>66.959999999999994</v>
      </c>
      <c r="D52" s="307">
        <f>'Data Sheet'!C60</f>
        <v>65.319999999999993</v>
      </c>
      <c r="E52" s="307">
        <f>'Data Sheet'!D60</f>
        <v>94.58</v>
      </c>
      <c r="F52" s="307">
        <f>'Data Sheet'!E60</f>
        <v>105.14</v>
      </c>
      <c r="G52" s="307">
        <f>'Data Sheet'!F60</f>
        <v>89.97</v>
      </c>
      <c r="H52" s="307">
        <f>'Data Sheet'!G60</f>
        <v>108.38</v>
      </c>
      <c r="I52" s="307">
        <f>'Data Sheet'!H60</f>
        <v>94.58</v>
      </c>
      <c r="J52" s="307">
        <f>'Data Sheet'!I60</f>
        <v>86.02</v>
      </c>
      <c r="K52" s="307">
        <f>'Data Sheet'!J60</f>
        <v>69.3</v>
      </c>
      <c r="L52" s="307">
        <f>'Data Sheet'!K60</f>
        <v>93.93</v>
      </c>
      <c r="M52" s="307">
        <f>'Data Sheet'!L60</f>
        <v>0</v>
      </c>
    </row>
    <row r="53" spans="1:13">
      <c r="A53" s="308" t="s">
        <v>124</v>
      </c>
      <c r="B53" s="308" t="s">
        <v>802</v>
      </c>
      <c r="C53" s="307">
        <f>'Data Sheet'!B65</f>
        <v>163.66999999999999</v>
      </c>
      <c r="D53" s="307">
        <f>'Data Sheet'!C65</f>
        <v>146.59</v>
      </c>
      <c r="E53" s="307">
        <f>'Data Sheet'!D65</f>
        <v>192.62</v>
      </c>
      <c r="F53" s="307">
        <f>'Data Sheet'!E65</f>
        <v>208.66</v>
      </c>
      <c r="G53" s="307">
        <f>'Data Sheet'!F65</f>
        <v>127.89</v>
      </c>
      <c r="H53" s="307">
        <f>'Data Sheet'!G65</f>
        <v>130.79</v>
      </c>
      <c r="I53" s="307">
        <f>'Data Sheet'!H65</f>
        <v>164.84</v>
      </c>
      <c r="J53" s="307">
        <f>'Data Sheet'!I65</f>
        <v>179.8</v>
      </c>
      <c r="K53" s="307">
        <f>'Data Sheet'!J65</f>
        <v>168.81</v>
      </c>
      <c r="L53" s="307">
        <f>'Data Sheet'!K65</f>
        <v>221.97</v>
      </c>
      <c r="M53" s="307">
        <f>'Data Sheet'!L65</f>
        <v>0</v>
      </c>
    </row>
    <row r="54" spans="1:13">
      <c r="A54" s="308" t="s">
        <v>98</v>
      </c>
      <c r="B54" s="308" t="s">
        <v>802</v>
      </c>
      <c r="C54" s="307">
        <f>'Data Sheet'!B60</f>
        <v>66.959999999999994</v>
      </c>
      <c r="D54" s="307">
        <f>'Data Sheet'!C60</f>
        <v>65.319999999999993</v>
      </c>
      <c r="E54" s="307">
        <f>'Data Sheet'!D60</f>
        <v>94.58</v>
      </c>
      <c r="F54" s="307">
        <f>'Data Sheet'!E60</f>
        <v>105.14</v>
      </c>
      <c r="G54" s="307">
        <f>'Data Sheet'!F60</f>
        <v>89.97</v>
      </c>
      <c r="H54" s="307">
        <f>'Data Sheet'!G60</f>
        <v>108.38</v>
      </c>
      <c r="I54" s="307">
        <f>'Data Sheet'!H60</f>
        <v>94.58</v>
      </c>
      <c r="J54" s="307">
        <f>'Data Sheet'!I60</f>
        <v>86.02</v>
      </c>
      <c r="K54" s="307">
        <f>'Data Sheet'!J60</f>
        <v>69.3</v>
      </c>
      <c r="L54" s="307">
        <f>'Data Sheet'!K60</f>
        <v>93.93</v>
      </c>
      <c r="M54" s="307">
        <f>'Data Sheet'!L60</f>
        <v>0</v>
      </c>
    </row>
    <row r="55" spans="1:13">
      <c r="A55" s="308" t="s">
        <v>125</v>
      </c>
      <c r="B55" s="308" t="s">
        <v>810</v>
      </c>
      <c r="C55" s="307">
        <f>'Data Sheet'!B66</f>
        <v>457.38</v>
      </c>
      <c r="D55" s="307">
        <f>'Data Sheet'!C66</f>
        <v>437.88</v>
      </c>
      <c r="E55" s="307">
        <f>'Data Sheet'!D66</f>
        <v>464.86</v>
      </c>
      <c r="F55" s="307">
        <f>'Data Sheet'!E66</f>
        <v>540.66999999999996</v>
      </c>
      <c r="G55" s="307">
        <f>'Data Sheet'!F66</f>
        <v>438.06</v>
      </c>
      <c r="H55" s="307">
        <f>'Data Sheet'!G66</f>
        <v>422.52</v>
      </c>
      <c r="I55" s="307">
        <f>'Data Sheet'!H66</f>
        <v>454.77</v>
      </c>
      <c r="J55" s="307">
        <f>'Data Sheet'!I66</f>
        <v>449.86</v>
      </c>
      <c r="K55" s="307">
        <f>'Data Sheet'!J66</f>
        <v>424.06</v>
      </c>
      <c r="L55" s="307">
        <f>'Data Sheet'!K66</f>
        <v>476.01</v>
      </c>
      <c r="M55" s="307">
        <f>'Data Sheet'!L66</f>
        <v>0</v>
      </c>
    </row>
    <row r="56" spans="1:13">
      <c r="A56" s="303" t="s">
        <v>126</v>
      </c>
      <c r="B56" s="303" t="s">
        <v>802</v>
      </c>
      <c r="C56" s="303">
        <f>'Data Sheet'!B62</f>
        <v>272.57</v>
      </c>
      <c r="D56" s="303">
        <f>'Data Sheet'!C62</f>
        <v>290.8</v>
      </c>
      <c r="E56" s="303">
        <f>'Data Sheet'!D62</f>
        <v>271.52999999999997</v>
      </c>
      <c r="F56" s="303">
        <f>'Data Sheet'!E62</f>
        <v>331.37</v>
      </c>
      <c r="G56" s="303">
        <f>'Data Sheet'!F62</f>
        <v>310.12</v>
      </c>
      <c r="H56" s="303">
        <f>'Data Sheet'!G62</f>
        <v>291.31</v>
      </c>
      <c r="I56" s="303">
        <f>'Data Sheet'!H62</f>
        <v>288.86</v>
      </c>
      <c r="J56" s="303">
        <f>'Data Sheet'!I62</f>
        <v>269.97000000000003</v>
      </c>
      <c r="K56" s="303">
        <f>'Data Sheet'!J62</f>
        <v>255.14</v>
      </c>
      <c r="L56" s="303">
        <f>'Data Sheet'!K62</f>
        <v>253.93</v>
      </c>
      <c r="M56" s="303">
        <f>'Data Sheet'!L62</f>
        <v>0</v>
      </c>
    </row>
    <row r="57" spans="1:13">
      <c r="A57" s="303" t="s">
        <v>28</v>
      </c>
      <c r="B57" s="303" t="s">
        <v>802</v>
      </c>
      <c r="C57" s="304">
        <f>'Data Sheet'!B63</f>
        <v>20.93</v>
      </c>
      <c r="D57" s="303">
        <f>'Data Sheet'!C63</f>
        <v>0.38</v>
      </c>
      <c r="E57" s="304">
        <f>'Data Sheet'!D63</f>
        <v>0.66</v>
      </c>
      <c r="F57" s="304">
        <f>'Data Sheet'!E63</f>
        <v>0.57999999999999996</v>
      </c>
      <c r="G57" s="304">
        <f>'Data Sheet'!F63</f>
        <v>0</v>
      </c>
      <c r="H57" s="303">
        <f>'Data Sheet'!G63</f>
        <v>0.36</v>
      </c>
      <c r="I57" s="303">
        <f>'Data Sheet'!H63</f>
        <v>1</v>
      </c>
      <c r="J57" s="303">
        <f>'Data Sheet'!I63</f>
        <v>0.01</v>
      </c>
      <c r="K57" s="304">
        <f>'Data Sheet'!J63</f>
        <v>0</v>
      </c>
      <c r="L57" s="304">
        <f>'Data Sheet'!K63</f>
        <v>0</v>
      </c>
      <c r="M57" s="304">
        <f>'Data Sheet'!L63</f>
        <v>0</v>
      </c>
    </row>
    <row r="58" spans="1:13">
      <c r="A58" s="308" t="s">
        <v>30</v>
      </c>
      <c r="B58" s="308" t="s">
        <v>811</v>
      </c>
      <c r="C58" s="307">
        <f>'Data Sheet'!B65-'Data Sheet'!B60</f>
        <v>96.71</v>
      </c>
      <c r="D58" s="307">
        <f>'Data Sheet'!C65-'Data Sheet'!C60</f>
        <v>81.27000000000001</v>
      </c>
      <c r="E58" s="307">
        <f>'Data Sheet'!D65-'Data Sheet'!D60</f>
        <v>98.04</v>
      </c>
      <c r="F58" s="307">
        <f>'Data Sheet'!E65-'Data Sheet'!E60</f>
        <v>103.52</v>
      </c>
      <c r="G58" s="307">
        <f>'Data Sheet'!F65-'Data Sheet'!F60</f>
        <v>37.92</v>
      </c>
      <c r="H58" s="307">
        <f>'Data Sheet'!G65-'Data Sheet'!G60</f>
        <v>22.409999999999997</v>
      </c>
      <c r="I58" s="307">
        <f>'Data Sheet'!H65-'Data Sheet'!H60</f>
        <v>70.260000000000005</v>
      </c>
      <c r="J58" s="307">
        <f>'Data Sheet'!I65-'Data Sheet'!I60</f>
        <v>93.780000000000015</v>
      </c>
      <c r="K58" s="307">
        <f>'Data Sheet'!J65-'Data Sheet'!J60</f>
        <v>99.51</v>
      </c>
      <c r="L58" s="307">
        <f>'Data Sheet'!K65-'Data Sheet'!K60</f>
        <v>128.04</v>
      </c>
      <c r="M58" s="307">
        <f>'Data Sheet'!L65-'Data Sheet'!L60</f>
        <v>0</v>
      </c>
    </row>
    <row r="59" spans="1:13">
      <c r="A59" s="307" t="s">
        <v>44</v>
      </c>
      <c r="B59" s="307" t="s">
        <v>802</v>
      </c>
      <c r="C59" s="307">
        <f>'Data Sheet'!B67</f>
        <v>4.26</v>
      </c>
      <c r="D59" s="307">
        <f>'Data Sheet'!C67</f>
        <v>7.22</v>
      </c>
      <c r="E59" s="307">
        <f>'Data Sheet'!D67</f>
        <v>23.66</v>
      </c>
      <c r="F59" s="307">
        <f>'Data Sheet'!E67</f>
        <v>21.17</v>
      </c>
      <c r="G59" s="307">
        <f>'Data Sheet'!F67</f>
        <v>10.53</v>
      </c>
      <c r="H59" s="307">
        <f>'Data Sheet'!G67</f>
        <v>6.53</v>
      </c>
      <c r="I59" s="307">
        <f>'Data Sheet'!H67</f>
        <v>5.7</v>
      </c>
      <c r="J59" s="307">
        <f>'Data Sheet'!I67</f>
        <v>6.04</v>
      </c>
      <c r="K59" s="307">
        <f>'Data Sheet'!J67</f>
        <v>18.5</v>
      </c>
      <c r="L59" s="307">
        <f>'Data Sheet'!K67</f>
        <v>41.04</v>
      </c>
      <c r="M59" s="307">
        <f>'Data Sheet'!L67</f>
        <v>0</v>
      </c>
    </row>
    <row r="60" spans="1:13">
      <c r="A60" s="307" t="s">
        <v>45</v>
      </c>
      <c r="B60" s="307" t="s">
        <v>802</v>
      </c>
      <c r="C60" s="310">
        <f>'Data Sheet'!B68</f>
        <v>108.11</v>
      </c>
      <c r="D60" s="310">
        <f>'Data Sheet'!C68</f>
        <v>108.92</v>
      </c>
      <c r="E60" s="310">
        <f>'Data Sheet'!D68</f>
        <v>136.62</v>
      </c>
      <c r="F60" s="310">
        <f>'Data Sheet'!E68</f>
        <v>150.43</v>
      </c>
      <c r="G60" s="310">
        <f>'Data Sheet'!F68</f>
        <v>82.72</v>
      </c>
      <c r="H60" s="310">
        <f>'Data Sheet'!G68</f>
        <v>92.18</v>
      </c>
      <c r="I60" s="310">
        <f>'Data Sheet'!H68</f>
        <v>132.9</v>
      </c>
      <c r="J60" s="310">
        <f>'Data Sheet'!I68</f>
        <v>144.53</v>
      </c>
      <c r="K60" s="310">
        <f>'Data Sheet'!J68</f>
        <v>124.17</v>
      </c>
      <c r="L60" s="310">
        <f>'Data Sheet'!K68</f>
        <v>151.5</v>
      </c>
      <c r="M60" s="310">
        <f>'Data Sheet'!L68</f>
        <v>0</v>
      </c>
    </row>
    <row r="61" spans="1:13">
      <c r="A61" s="307" t="s">
        <v>127</v>
      </c>
      <c r="B61" s="307" t="s">
        <v>802</v>
      </c>
      <c r="C61" s="307">
        <f>'Data Sheet'!B69</f>
        <v>13.02</v>
      </c>
      <c r="D61" s="307">
        <f>'Data Sheet'!C69</f>
        <v>2.23</v>
      </c>
      <c r="E61" s="307">
        <f>'Data Sheet'!D69</f>
        <v>5.6</v>
      </c>
      <c r="F61" s="307">
        <f>'Data Sheet'!E69</f>
        <v>2.65</v>
      </c>
      <c r="G61" s="307">
        <f>'Data Sheet'!F69</f>
        <v>2.04</v>
      </c>
      <c r="H61" s="307">
        <f>'Data Sheet'!G69</f>
        <v>1.53</v>
      </c>
      <c r="I61" s="307">
        <f>'Data Sheet'!H69</f>
        <v>2.74</v>
      </c>
      <c r="J61" s="307">
        <f>'Data Sheet'!I69</f>
        <v>2.84</v>
      </c>
      <c r="K61" s="307">
        <f>'Data Sheet'!J69</f>
        <v>4.78</v>
      </c>
      <c r="L61" s="307">
        <f>'Data Sheet'!K69</f>
        <v>13.47</v>
      </c>
      <c r="M61" s="307">
        <f>'Data Sheet'!L69</f>
        <v>0</v>
      </c>
    </row>
    <row r="62" spans="1:13">
      <c r="A62" s="303" t="s">
        <v>128</v>
      </c>
      <c r="B62" s="303"/>
      <c r="C62" s="309"/>
      <c r="D62" s="303"/>
      <c r="E62" s="303"/>
      <c r="F62" s="303"/>
      <c r="G62" s="303"/>
      <c r="H62" s="303"/>
      <c r="I62" s="303"/>
      <c r="J62" s="303"/>
      <c r="K62" s="303"/>
      <c r="L62" s="303"/>
      <c r="M62" s="303"/>
    </row>
    <row r="63" spans="1:13">
      <c r="A63" s="308" t="s">
        <v>129</v>
      </c>
      <c r="B63" s="308" t="s">
        <v>812</v>
      </c>
      <c r="C63" s="303">
        <f>C48+C51</f>
        <v>390.41999999999996</v>
      </c>
      <c r="D63" s="303">
        <f t="shared" ref="D63:L63" si="18">D48+D51</f>
        <v>372.56</v>
      </c>
      <c r="E63" s="303">
        <f t="shared" si="18"/>
        <v>370.28</v>
      </c>
      <c r="F63" s="303">
        <f t="shared" si="18"/>
        <v>435.53000000000003</v>
      </c>
      <c r="G63" s="303">
        <f t="shared" si="18"/>
        <v>348.09</v>
      </c>
      <c r="H63" s="303">
        <f t="shared" si="18"/>
        <v>314.14</v>
      </c>
      <c r="I63" s="303">
        <f t="shared" si="18"/>
        <v>360.19</v>
      </c>
      <c r="J63" s="303">
        <f t="shared" si="18"/>
        <v>363.84</v>
      </c>
      <c r="K63" s="303">
        <f t="shared" si="18"/>
        <v>354.76</v>
      </c>
      <c r="L63" s="303">
        <f t="shared" si="18"/>
        <v>382.08000000000004</v>
      </c>
      <c r="M63" s="303">
        <f t="shared" ref="M63" si="19">M48+M51</f>
        <v>0</v>
      </c>
    </row>
    <row r="64" spans="1:13">
      <c r="A64" s="308" t="s">
        <v>869</v>
      </c>
      <c r="B64" s="308"/>
      <c r="C64" s="303"/>
      <c r="D64" s="329">
        <f>(C63+D63)/2</f>
        <v>381.49</v>
      </c>
      <c r="E64" s="329">
        <f t="shared" ref="E64:L64" si="20">(D63+E63)/2</f>
        <v>371.41999999999996</v>
      </c>
      <c r="F64" s="329">
        <f t="shared" si="20"/>
        <v>402.90499999999997</v>
      </c>
      <c r="G64" s="329">
        <f t="shared" si="20"/>
        <v>391.81</v>
      </c>
      <c r="H64" s="329">
        <f t="shared" si="20"/>
        <v>331.11500000000001</v>
      </c>
      <c r="I64" s="329">
        <f t="shared" si="20"/>
        <v>337.16499999999996</v>
      </c>
      <c r="J64" s="329">
        <f t="shared" si="20"/>
        <v>362.01499999999999</v>
      </c>
      <c r="K64" s="329">
        <f t="shared" si="20"/>
        <v>359.29999999999995</v>
      </c>
      <c r="L64" s="329">
        <f t="shared" si="20"/>
        <v>368.42</v>
      </c>
      <c r="M64" s="303"/>
    </row>
    <row r="65" spans="1:13">
      <c r="A65" s="308" t="s">
        <v>875</v>
      </c>
      <c r="B65" s="308" t="s">
        <v>813</v>
      </c>
      <c r="C65" s="329">
        <f>C55-C54</f>
        <v>390.42</v>
      </c>
      <c r="D65" s="329">
        <f t="shared" ref="D65:L65" si="21">D55-D54</f>
        <v>372.56</v>
      </c>
      <c r="E65" s="329">
        <f t="shared" si="21"/>
        <v>370.28000000000003</v>
      </c>
      <c r="F65" s="329">
        <f t="shared" si="21"/>
        <v>435.53</v>
      </c>
      <c r="G65" s="329">
        <f t="shared" si="21"/>
        <v>348.09000000000003</v>
      </c>
      <c r="H65" s="329">
        <f t="shared" si="21"/>
        <v>314.14</v>
      </c>
      <c r="I65" s="329">
        <f t="shared" si="21"/>
        <v>360.19</v>
      </c>
      <c r="J65" s="329">
        <f t="shared" si="21"/>
        <v>363.84000000000003</v>
      </c>
      <c r="K65" s="329">
        <f t="shared" si="21"/>
        <v>354.76</v>
      </c>
      <c r="L65" s="329">
        <f t="shared" si="21"/>
        <v>382.08</v>
      </c>
      <c r="M65" s="303">
        <f t="shared" ref="M65" si="22">M55-M54</f>
        <v>0</v>
      </c>
    </row>
    <row r="66" spans="1:13">
      <c r="A66" s="308" t="s">
        <v>874</v>
      </c>
      <c r="B66" s="308" t="s">
        <v>837</v>
      </c>
      <c r="C66" s="329">
        <f>C65-C57</f>
        <v>369.49</v>
      </c>
      <c r="D66" s="329">
        <f t="shared" ref="D66:L66" si="23">D65-D57</f>
        <v>372.18</v>
      </c>
      <c r="E66" s="329">
        <f t="shared" si="23"/>
        <v>369.62</v>
      </c>
      <c r="F66" s="329">
        <f t="shared" si="23"/>
        <v>434.95</v>
      </c>
      <c r="G66" s="329">
        <f t="shared" si="23"/>
        <v>348.09000000000003</v>
      </c>
      <c r="H66" s="329">
        <f t="shared" si="23"/>
        <v>313.77999999999997</v>
      </c>
      <c r="I66" s="329">
        <f t="shared" si="23"/>
        <v>359.19</v>
      </c>
      <c r="J66" s="329">
        <f t="shared" si="23"/>
        <v>363.83000000000004</v>
      </c>
      <c r="K66" s="329">
        <f t="shared" si="23"/>
        <v>354.76</v>
      </c>
      <c r="L66" s="329">
        <f t="shared" si="23"/>
        <v>382.08</v>
      </c>
      <c r="M66" s="303"/>
    </row>
    <row r="67" spans="1:13">
      <c r="A67" s="308" t="s">
        <v>872</v>
      </c>
      <c r="B67" s="308" t="s">
        <v>873</v>
      </c>
      <c r="C67" s="324">
        <f>'Data Sheet'!B62+'Data Sheet'!B64+'Data Sheet'!B65</f>
        <v>436.44999999999993</v>
      </c>
      <c r="D67" s="324">
        <f>'Data Sheet'!C62+'Data Sheet'!C64+'Data Sheet'!C65</f>
        <v>437.5</v>
      </c>
      <c r="E67" s="324">
        <f>'Data Sheet'!D62+'Data Sheet'!D64+'Data Sheet'!D65</f>
        <v>464.2</v>
      </c>
      <c r="F67" s="324">
        <f>'Data Sheet'!E62+'Data Sheet'!E64+'Data Sheet'!E65</f>
        <v>540.09</v>
      </c>
      <c r="G67" s="324">
        <f>'Data Sheet'!F62+'Data Sheet'!F64+'Data Sheet'!F65</f>
        <v>438.06</v>
      </c>
      <c r="H67" s="324">
        <f>'Data Sheet'!G62+'Data Sheet'!G64+'Data Sheet'!G65</f>
        <v>422.15999999999997</v>
      </c>
      <c r="I67" s="324">
        <f>'Data Sheet'!H62+'Data Sheet'!H64+'Data Sheet'!H65</f>
        <v>453.77</v>
      </c>
      <c r="J67" s="324">
        <f>'Data Sheet'!I62+'Data Sheet'!I64+'Data Sheet'!I65</f>
        <v>449.85</v>
      </c>
      <c r="K67" s="324">
        <f>'Data Sheet'!J62+'Data Sheet'!J64+'Data Sheet'!J65</f>
        <v>424.06</v>
      </c>
      <c r="L67" s="324">
        <f>'Data Sheet'!K62+'Data Sheet'!K64+'Data Sheet'!K65</f>
        <v>476.01</v>
      </c>
      <c r="M67" s="303"/>
    </row>
    <row r="68" spans="1:13">
      <c r="A68" s="308" t="s">
        <v>876</v>
      </c>
      <c r="B68" s="308" t="s">
        <v>838</v>
      </c>
      <c r="C68" s="324"/>
      <c r="D68" s="324">
        <f t="shared" ref="D68:L68" si="24">AVERAGE(C55:D55)-AVERAGE(C54:D54)</f>
        <v>381.49</v>
      </c>
      <c r="E68" s="324">
        <f t="shared" si="24"/>
        <v>371.42</v>
      </c>
      <c r="F68" s="324">
        <f t="shared" si="24"/>
        <v>402.90499999999997</v>
      </c>
      <c r="G68" s="324">
        <f t="shared" si="24"/>
        <v>391.81</v>
      </c>
      <c r="H68" s="324">
        <f t="shared" si="24"/>
        <v>331.11499999999995</v>
      </c>
      <c r="I68" s="324">
        <f t="shared" si="24"/>
        <v>337.16499999999996</v>
      </c>
      <c r="J68" s="324">
        <f t="shared" si="24"/>
        <v>362.01499999999999</v>
      </c>
      <c r="K68" s="324">
        <f t="shared" si="24"/>
        <v>359.30000000000007</v>
      </c>
      <c r="L68" s="324">
        <f t="shared" si="24"/>
        <v>368.41999999999996</v>
      </c>
      <c r="M68" s="303"/>
    </row>
    <row r="69" spans="1:13">
      <c r="A69" s="308" t="s">
        <v>877</v>
      </c>
      <c r="B69" s="308" t="s">
        <v>839</v>
      </c>
      <c r="C69" s="324"/>
      <c r="D69" s="324">
        <f>(D66+C66)/2</f>
        <v>370.83500000000004</v>
      </c>
      <c r="E69" s="324">
        <f t="shared" ref="E69:L69" si="25">(E66+D66)/2</f>
        <v>370.9</v>
      </c>
      <c r="F69" s="324">
        <f t="shared" si="25"/>
        <v>402.28499999999997</v>
      </c>
      <c r="G69" s="324">
        <f t="shared" si="25"/>
        <v>391.52</v>
      </c>
      <c r="H69" s="324">
        <f t="shared" si="25"/>
        <v>330.935</v>
      </c>
      <c r="I69" s="324">
        <f t="shared" si="25"/>
        <v>336.48500000000001</v>
      </c>
      <c r="J69" s="324">
        <f t="shared" si="25"/>
        <v>361.51</v>
      </c>
      <c r="K69" s="324">
        <f t="shared" si="25"/>
        <v>359.29500000000002</v>
      </c>
      <c r="L69" s="324">
        <f t="shared" si="25"/>
        <v>368.41999999999996</v>
      </c>
      <c r="M69" s="303"/>
    </row>
    <row r="70" spans="1:13">
      <c r="A70" s="308" t="s">
        <v>878</v>
      </c>
      <c r="B70" s="308"/>
      <c r="C70" s="324"/>
      <c r="D70" s="324">
        <f>(C67+D67)/2</f>
        <v>436.97499999999997</v>
      </c>
      <c r="E70" s="324">
        <f t="shared" ref="E70:L70" si="26">(D67+E67)/2</f>
        <v>450.85</v>
      </c>
      <c r="F70" s="324">
        <f t="shared" si="26"/>
        <v>502.14499999999998</v>
      </c>
      <c r="G70" s="324">
        <f t="shared" si="26"/>
        <v>489.07500000000005</v>
      </c>
      <c r="H70" s="324">
        <f t="shared" si="26"/>
        <v>430.11</v>
      </c>
      <c r="I70" s="324">
        <f t="shared" si="26"/>
        <v>437.96499999999997</v>
      </c>
      <c r="J70" s="324">
        <f t="shared" si="26"/>
        <v>451.81</v>
      </c>
      <c r="K70" s="324">
        <f t="shared" si="26"/>
        <v>436.95500000000004</v>
      </c>
      <c r="L70" s="324">
        <f t="shared" si="26"/>
        <v>450.03499999999997</v>
      </c>
      <c r="M70" s="303"/>
    </row>
    <row r="71" spans="1:13">
      <c r="A71" s="308" t="s">
        <v>814</v>
      </c>
      <c r="B71" s="308"/>
      <c r="C71" s="303">
        <f>'Data Sheet'!B59+'Data Sheet'!B60</f>
        <v>346.15999999999997</v>
      </c>
      <c r="D71" s="303">
        <f>'Data Sheet'!C59+'Data Sheet'!C60</f>
        <v>316.87</v>
      </c>
      <c r="E71" s="303">
        <f>'Data Sheet'!D59+'Data Sheet'!D60</f>
        <v>328.54</v>
      </c>
      <c r="F71" s="303">
        <f>'Data Sheet'!E59+'Data Sheet'!E60</f>
        <v>365.24</v>
      </c>
      <c r="G71" s="303">
        <f>'Data Sheet'!F59+'Data Sheet'!F60</f>
        <v>242.17</v>
      </c>
      <c r="H71" s="303">
        <f>'Data Sheet'!G59+'Data Sheet'!G60</f>
        <v>202.13</v>
      </c>
      <c r="I71" s="303">
        <f>'Data Sheet'!H59+'Data Sheet'!H60</f>
        <v>194.82999999999998</v>
      </c>
      <c r="J71" s="303">
        <f>'Data Sheet'!I59+'Data Sheet'!I60</f>
        <v>148.65</v>
      </c>
      <c r="K71" s="304">
        <f>'Data Sheet'!J59+'Data Sheet'!J60</f>
        <v>89.009999999999991</v>
      </c>
      <c r="L71" s="304">
        <f>'Data Sheet'!K59+'Data Sheet'!K60</f>
        <v>101.42</v>
      </c>
      <c r="M71" s="304">
        <f>'Data Sheet'!L59+'Data Sheet'!L60</f>
        <v>0</v>
      </c>
    </row>
    <row r="72" spans="1:13">
      <c r="A72" s="309" t="s">
        <v>125</v>
      </c>
      <c r="B72" s="308" t="s">
        <v>810</v>
      </c>
      <c r="C72" s="303">
        <f>'Data Sheet'!B66</f>
        <v>457.38</v>
      </c>
      <c r="D72" s="303">
        <f>'Data Sheet'!C66</f>
        <v>437.88</v>
      </c>
      <c r="E72" s="303">
        <f>'Data Sheet'!D66</f>
        <v>464.86</v>
      </c>
      <c r="F72" s="303">
        <f>'Data Sheet'!E66</f>
        <v>540.66999999999996</v>
      </c>
      <c r="G72" s="303">
        <f>'Data Sheet'!F66</f>
        <v>438.06</v>
      </c>
      <c r="H72" s="303">
        <f>'Data Sheet'!G66</f>
        <v>422.52</v>
      </c>
      <c r="I72" s="303">
        <f>'Data Sheet'!H66</f>
        <v>454.77</v>
      </c>
      <c r="J72" s="303">
        <f>'Data Sheet'!I66</f>
        <v>449.86</v>
      </c>
      <c r="K72" s="303">
        <f>'Data Sheet'!J66</f>
        <v>424.06</v>
      </c>
      <c r="L72" s="303">
        <f>'Data Sheet'!K66</f>
        <v>476.01</v>
      </c>
      <c r="M72" s="303">
        <f>'Data Sheet'!L66</f>
        <v>0</v>
      </c>
    </row>
    <row r="73" spans="1:13">
      <c r="A73" s="320" t="s">
        <v>832</v>
      </c>
      <c r="B73" s="321" t="s">
        <v>831</v>
      </c>
      <c r="C73" s="285"/>
      <c r="D73" s="322">
        <f>(C72+D72)/2</f>
        <v>447.63</v>
      </c>
      <c r="E73" s="322">
        <f t="shared" ref="E73:L73" si="27">(D72+E72)/2</f>
        <v>451.37</v>
      </c>
      <c r="F73" s="322">
        <f t="shared" si="27"/>
        <v>502.76499999999999</v>
      </c>
      <c r="G73" s="322">
        <f t="shared" si="27"/>
        <v>489.36500000000001</v>
      </c>
      <c r="H73" s="322">
        <f t="shared" si="27"/>
        <v>430.28999999999996</v>
      </c>
      <c r="I73" s="322">
        <f t="shared" si="27"/>
        <v>438.64499999999998</v>
      </c>
      <c r="J73" s="322">
        <f t="shared" si="27"/>
        <v>452.315</v>
      </c>
      <c r="K73" s="322">
        <f t="shared" si="27"/>
        <v>436.96000000000004</v>
      </c>
      <c r="L73" s="322">
        <f t="shared" si="27"/>
        <v>450.03499999999997</v>
      </c>
      <c r="M73" s="285"/>
    </row>
    <row r="74" spans="1:13">
      <c r="A74" s="320" t="s">
        <v>833</v>
      </c>
      <c r="B74" s="321" t="s">
        <v>835</v>
      </c>
      <c r="C74" s="323">
        <f>C56+C57</f>
        <v>293.5</v>
      </c>
      <c r="D74" s="323">
        <f t="shared" ref="D74:L74" si="28">D56+D57</f>
        <v>291.18</v>
      </c>
      <c r="E74" s="323">
        <f t="shared" si="28"/>
        <v>272.19</v>
      </c>
      <c r="F74" s="323">
        <f t="shared" si="28"/>
        <v>331.95</v>
      </c>
      <c r="G74" s="323">
        <f t="shared" si="28"/>
        <v>310.12</v>
      </c>
      <c r="H74" s="323">
        <f t="shared" si="28"/>
        <v>291.67</v>
      </c>
      <c r="I74" s="323">
        <f t="shared" si="28"/>
        <v>289.86</v>
      </c>
      <c r="J74" s="323">
        <f t="shared" si="28"/>
        <v>269.98</v>
      </c>
      <c r="K74" s="323">
        <f t="shared" si="28"/>
        <v>255.14</v>
      </c>
      <c r="L74" s="323">
        <f t="shared" si="28"/>
        <v>253.93</v>
      </c>
      <c r="M74" s="285"/>
    </row>
    <row r="75" spans="1:13" ht="24">
      <c r="A75" s="320" t="s">
        <v>834</v>
      </c>
      <c r="B75" s="321" t="s">
        <v>836</v>
      </c>
      <c r="C75" s="285"/>
      <c r="D75" s="322">
        <f>(C74+D74)/2</f>
        <v>292.34000000000003</v>
      </c>
      <c r="E75" s="322">
        <f t="shared" ref="E75:L75" si="29">(D74+E74)/2</f>
        <v>281.685</v>
      </c>
      <c r="F75" s="322">
        <f t="shared" si="29"/>
        <v>302.07</v>
      </c>
      <c r="G75" s="322">
        <f t="shared" si="29"/>
        <v>321.03499999999997</v>
      </c>
      <c r="H75" s="322">
        <f t="shared" si="29"/>
        <v>300.89499999999998</v>
      </c>
      <c r="I75" s="322">
        <f t="shared" si="29"/>
        <v>290.76499999999999</v>
      </c>
      <c r="J75" s="322">
        <f t="shared" si="29"/>
        <v>279.92</v>
      </c>
      <c r="K75" s="322">
        <f t="shared" si="29"/>
        <v>262.56</v>
      </c>
      <c r="L75" s="322">
        <f t="shared" si="29"/>
        <v>254.535</v>
      </c>
      <c r="M75" s="285"/>
    </row>
    <row r="76" spans="1:13">
      <c r="A76" s="452"/>
      <c r="B76" s="452"/>
      <c r="C76" s="452"/>
      <c r="D76" s="452"/>
      <c r="E76" s="452"/>
      <c r="F76" s="452"/>
      <c r="G76" s="452"/>
      <c r="H76" s="452"/>
      <c r="I76" s="452"/>
      <c r="J76" s="452"/>
      <c r="K76" s="452"/>
      <c r="L76" s="452"/>
      <c r="M76" s="289"/>
    </row>
    <row r="77" spans="1:13">
      <c r="A77" s="307" t="s">
        <v>131</v>
      </c>
      <c r="B77" s="307" t="s">
        <v>802</v>
      </c>
      <c r="C77" s="303">
        <f>'Data Sheet'!B82</f>
        <v>40.479999999999997</v>
      </c>
      <c r="D77" s="303">
        <f>'Data Sheet'!C82</f>
        <v>50.79</v>
      </c>
      <c r="E77" s="303">
        <f>'Data Sheet'!D82</f>
        <v>38.630000000000003</v>
      </c>
      <c r="F77" s="303">
        <f>'Data Sheet'!E82</f>
        <v>72.69</v>
      </c>
      <c r="G77" s="303">
        <f>'Data Sheet'!F82</f>
        <v>135.4</v>
      </c>
      <c r="H77" s="303">
        <f>'Data Sheet'!G82</f>
        <v>87.41</v>
      </c>
      <c r="I77" s="303">
        <f>'Data Sheet'!H82</f>
        <v>37.82</v>
      </c>
      <c r="J77" s="303">
        <f>'Data Sheet'!I82</f>
        <v>42.95</v>
      </c>
      <c r="K77" s="303">
        <f>'Data Sheet'!J82</f>
        <v>66.98</v>
      </c>
      <c r="L77" s="303">
        <f>'Data Sheet'!K82</f>
        <v>68.540000000000006</v>
      </c>
      <c r="M77" s="303">
        <f>'Data Sheet'!L82</f>
        <v>0</v>
      </c>
    </row>
    <row r="78" spans="1:13">
      <c r="A78" s="307" t="s">
        <v>132</v>
      </c>
      <c r="B78" s="307" t="s">
        <v>816</v>
      </c>
      <c r="C78" s="311">
        <f t="shared" ref="C78:M78" si="30">C77-C30</f>
        <v>40.479999999999997</v>
      </c>
      <c r="D78" s="311">
        <f t="shared" si="30"/>
        <v>35.049999999999983</v>
      </c>
      <c r="E78" s="311">
        <f t="shared" si="30"/>
        <v>36.670000000000044</v>
      </c>
      <c r="F78" s="311">
        <f t="shared" si="30"/>
        <v>-11.290000000000035</v>
      </c>
      <c r="G78" s="311">
        <f t="shared" si="30"/>
        <v>130.43</v>
      </c>
      <c r="H78" s="311">
        <f t="shared" si="30"/>
        <v>78.430000000000007</v>
      </c>
      <c r="I78" s="311">
        <f t="shared" si="30"/>
        <v>8.0099999999999874</v>
      </c>
      <c r="J78" s="311">
        <f t="shared" si="30"/>
        <v>33.499999999999986</v>
      </c>
      <c r="K78" s="311">
        <f t="shared" si="30"/>
        <v>51.900000000000041</v>
      </c>
      <c r="L78" s="311">
        <f t="shared" si="30"/>
        <v>40.399999999999984</v>
      </c>
      <c r="M78" s="311">
        <f t="shared" si="30"/>
        <v>253.93</v>
      </c>
    </row>
    <row r="79" spans="1:13">
      <c r="A79" s="307" t="s">
        <v>133</v>
      </c>
      <c r="B79" s="307" t="s">
        <v>817</v>
      </c>
      <c r="C79" s="312">
        <f t="shared" ref="C79:M79" si="31">C40/C39</f>
        <v>0.30462184873949572</v>
      </c>
      <c r="D79" s="312">
        <f t="shared" si="31"/>
        <v>0.28419452887537988</v>
      </c>
      <c r="E79" s="312">
        <f t="shared" si="31"/>
        <v>0.21781342338539475</v>
      </c>
      <c r="F79" s="312">
        <f t="shared" si="31"/>
        <v>0.29041966226383575</v>
      </c>
      <c r="G79" s="312">
        <f t="shared" si="31"/>
        <v>0.25723172628304825</v>
      </c>
      <c r="H79" s="312">
        <f t="shared" si="31"/>
        <v>0.23813038130381292</v>
      </c>
      <c r="I79" s="312">
        <f t="shared" si="31"/>
        <v>0.19309420046932635</v>
      </c>
      <c r="J79" s="312">
        <f t="shared" si="31"/>
        <v>0.19745922208281047</v>
      </c>
      <c r="K79" s="312">
        <f t="shared" si="31"/>
        <v>0.24601289446895158</v>
      </c>
      <c r="L79" s="312">
        <f t="shared" si="31"/>
        <v>0.22647017934102615</v>
      </c>
      <c r="M79" s="312">
        <f t="shared" si="31"/>
        <v>0</v>
      </c>
    </row>
    <row r="80" spans="1:13">
      <c r="A80" s="307" t="s">
        <v>134</v>
      </c>
      <c r="B80" s="307" t="s">
        <v>818</v>
      </c>
      <c r="C80" s="311">
        <f t="shared" ref="C80:M80" si="32">C37*(1-C79)</f>
        <v>22.286869747899164</v>
      </c>
      <c r="D80" s="311">
        <f t="shared" si="32"/>
        <v>21.832066869300917</v>
      </c>
      <c r="E80" s="311">
        <f t="shared" si="32"/>
        <v>31.623803292528482</v>
      </c>
      <c r="F80" s="311">
        <f t="shared" si="32"/>
        <v>53.431399431533137</v>
      </c>
      <c r="G80" s="311">
        <f t="shared" si="32"/>
        <v>38.794786936236385</v>
      </c>
      <c r="H80" s="311">
        <f t="shared" si="32"/>
        <v>45.72741451414516</v>
      </c>
      <c r="I80" s="311">
        <f t="shared" si="32"/>
        <v>58.524877639959712</v>
      </c>
      <c r="J80" s="311">
        <f t="shared" si="32"/>
        <v>56.924217377666274</v>
      </c>
      <c r="K80" s="311">
        <f t="shared" si="32"/>
        <v>48.865904309467226</v>
      </c>
      <c r="L80" s="311">
        <f t="shared" si="32"/>
        <v>59.066737105519209</v>
      </c>
      <c r="M80" s="311">
        <f t="shared" si="32"/>
        <v>118.33</v>
      </c>
    </row>
    <row r="81" spans="1:13">
      <c r="A81" s="445"/>
      <c r="B81" s="445"/>
      <c r="C81" s="445"/>
      <c r="D81" s="445"/>
      <c r="E81" s="445"/>
      <c r="F81" s="445"/>
      <c r="G81" s="445"/>
      <c r="H81" s="445"/>
      <c r="I81" s="445"/>
      <c r="J81" s="445"/>
      <c r="K81" s="445"/>
      <c r="L81" s="445"/>
      <c r="M81" s="289"/>
    </row>
    <row r="82" spans="1:13">
      <c r="A82" s="313" t="s">
        <v>135</v>
      </c>
      <c r="B82" s="282"/>
      <c r="C82" s="314" t="e">
        <f t="shared" ref="C82:M82" si="33">C43+B42</f>
        <v>#VALUE!</v>
      </c>
      <c r="D82" s="314">
        <f t="shared" si="33"/>
        <v>31.279479362500002</v>
      </c>
      <c r="E82" s="314">
        <f t="shared" si="33"/>
        <v>100.059643025</v>
      </c>
      <c r="F82" s="314">
        <f t="shared" si="33"/>
        <v>129.95499999999998</v>
      </c>
      <c r="G82" s="314">
        <f t="shared" si="33"/>
        <v>89.143848962500002</v>
      </c>
      <c r="H82" s="314">
        <f t="shared" si="33"/>
        <v>119.61336792499999</v>
      </c>
      <c r="I82" s="314">
        <f t="shared" si="33"/>
        <v>178.61546065000002</v>
      </c>
      <c r="J82" s="314">
        <f t="shared" si="33"/>
        <v>518.0575</v>
      </c>
      <c r="K82" s="314">
        <f t="shared" si="33"/>
        <v>504.22187500000007</v>
      </c>
      <c r="L82" s="314">
        <f t="shared" si="33"/>
        <v>789.39365113500003</v>
      </c>
      <c r="M82" s="314">
        <f t="shared" si="33"/>
        <v>0</v>
      </c>
    </row>
    <row r="83" spans="1:13">
      <c r="A83" s="296" t="s">
        <v>136</v>
      </c>
      <c r="B83" s="296" t="s">
        <v>819</v>
      </c>
      <c r="C83" s="314">
        <f t="shared" ref="C83:M83" si="34">C41-C42</f>
        <v>12.065000000000005</v>
      </c>
      <c r="D83" s="314">
        <f t="shared" si="34"/>
        <v>8.2450000000000028</v>
      </c>
      <c r="E83" s="314">
        <f t="shared" si="34"/>
        <v>16.767499999999995</v>
      </c>
      <c r="F83" s="314">
        <f t="shared" si="34"/>
        <v>39.502499999999955</v>
      </c>
      <c r="G83" s="314">
        <f t="shared" si="34"/>
        <v>20.942499999999992</v>
      </c>
      <c r="H83" s="314">
        <f t="shared" si="34"/>
        <v>25.388750000000019</v>
      </c>
      <c r="I83" s="314">
        <f t="shared" si="34"/>
        <v>40.796249999999944</v>
      </c>
      <c r="J83" s="314">
        <f t="shared" si="34"/>
        <v>42.945000000000014</v>
      </c>
      <c r="K83" s="314">
        <f t="shared" si="34"/>
        <v>35.627499999999976</v>
      </c>
      <c r="L83" s="314">
        <f t="shared" si="34"/>
        <v>55.639999999999951</v>
      </c>
      <c r="M83" s="314">
        <f t="shared" si="34"/>
        <v>118.33</v>
      </c>
    </row>
    <row r="84" spans="1:13">
      <c r="A84" s="446"/>
      <c r="B84" s="446"/>
      <c r="C84" s="446"/>
      <c r="D84" s="446"/>
      <c r="E84" s="446"/>
      <c r="F84" s="446"/>
      <c r="G84" s="446"/>
      <c r="H84" s="446"/>
      <c r="I84" s="446"/>
      <c r="J84" s="446"/>
      <c r="K84" s="446"/>
      <c r="L84" s="446"/>
      <c r="M84" s="289"/>
    </row>
    <row r="85" spans="1:13">
      <c r="A85" s="307" t="s">
        <v>137</v>
      </c>
      <c r="B85" s="307" t="s">
        <v>820</v>
      </c>
      <c r="C85" s="315">
        <f>'Profit &amp; Loss'!B15/'Profit &amp; Loss'!B13</f>
        <v>4.8554749527945624</v>
      </c>
      <c r="D85" s="315">
        <f>'Profit &amp; Loss'!C15/'Profit &amp; Loss'!C13</f>
        <v>3.1958046032377916</v>
      </c>
      <c r="E85" s="315">
        <f>'Profit &amp; Loss'!D15/'Profit &amp; Loss'!D13</f>
        <v>5.336462116837561</v>
      </c>
      <c r="F85" s="315">
        <f>'Profit &amp; Loss'!E15/'Profit &amp; Loss'!E13</f>
        <v>3.0205584354382657</v>
      </c>
      <c r="G85" s="315">
        <f>'Profit &amp; Loss'!F15/'Profit &amp; Loss'!F13</f>
        <v>3.6099811123324956</v>
      </c>
      <c r="H85" s="315">
        <f>'Profit &amp; Loss'!G15/'Profit &amp; Loss'!G13</f>
        <v>3.7661674604583601</v>
      </c>
      <c r="I85" s="315">
        <f>'Profit &amp; Loss'!H15/'Profit &amp; Loss'!H13</f>
        <v>3.5943957343165764</v>
      </c>
      <c r="J85" s="315">
        <f>'Profit &amp; Loss'!I15/'Profit &amp; Loss'!I13</f>
        <v>9.9787758890191487</v>
      </c>
      <c r="K85" s="315">
        <f>'Profit &amp; Loss'!J15/'Profit &amp; Loss'!J13</f>
        <v>11.156025078722447</v>
      </c>
      <c r="L85" s="315">
        <f>'Profit &amp; Loss'!K15/'Profit &amp; Loss'!K13</f>
        <v>14.026615474123991</v>
      </c>
      <c r="M85" s="315">
        <f>'Profit &amp; Loss'!L15/'Profit &amp; Loss'!L13</f>
        <v>11.375906654052351</v>
      </c>
    </row>
    <row r="86" spans="1:13">
      <c r="A86" s="307" t="s">
        <v>138</v>
      </c>
      <c r="B86" s="307" t="s">
        <v>821</v>
      </c>
      <c r="C86" s="307"/>
      <c r="D86" s="315">
        <f>D85/((('Profit &amp; Loss'!C13-'Profit &amp; Loss'!B13)/'Profit &amp; Loss'!B13)*100)</f>
        <v>-0.11076558363054548</v>
      </c>
      <c r="E86" s="315">
        <f>E85/((('Profit &amp; Loss'!D13-'Profit &amp; Loss'!C13)/'Profit &amp; Loss'!C13)*100)</f>
        <v>5.5180541317903203E-2</v>
      </c>
      <c r="F86" s="315">
        <f>F85/((('Profit &amp; Loss'!E13-'Profit &amp; Loss'!D13)/'Profit &amp; Loss'!D13)*100)</f>
        <v>2.3409012048795929E-2</v>
      </c>
      <c r="G86" s="315">
        <f>G85/((('Profit &amp; Loss'!F13-'Profit &amp; Loss'!E13)/'Profit &amp; Loss'!E13)*100)</f>
        <v>-8.2547197417775386E-2</v>
      </c>
      <c r="H86" s="315">
        <f>H85/((('Profit &amp; Loss'!G13-'Profit &amp; Loss'!F13)/'Profit &amp; Loss'!F13)*100)</f>
        <v>0.12667053374048684</v>
      </c>
      <c r="I86" s="315">
        <f>I85/((('Profit &amp; Loss'!H13-'Profit &amp; Loss'!G13)/'Profit &amp; Loss'!G13)*100)</f>
        <v>6.4891829748908794E-2</v>
      </c>
      <c r="J86" s="315">
        <f>J85/((('Profit &amp; Loss'!I13-'Profit &amp; Loss'!H13)/'Profit &amp; Loss'!H13)*100)</f>
        <v>1.5801916818992865</v>
      </c>
      <c r="K86" s="315">
        <f>K85/((('Profit &amp; Loss'!J13-'Profit &amp; Loss'!I13)/'Profit &amp; Loss'!I13)*100)</f>
        <v>-0.84965083858484436</v>
      </c>
      <c r="L86" s="315">
        <f>L85/((('Profit &amp; Loss'!K13-'Profit &amp; Loss'!J13)/'Profit &amp; Loss'!J13)*100)</f>
        <v>0.4930577549149382</v>
      </c>
      <c r="M86" s="315">
        <f>M85/((('Profit &amp; Loss'!L13-'Profit &amp; Loss'!K13)/'Profit &amp; Loss'!K13)*100)</f>
        <v>0.81471940438741852</v>
      </c>
    </row>
    <row r="87" spans="1:13">
      <c r="A87" s="307" t="s">
        <v>139</v>
      </c>
      <c r="B87" s="316" t="s">
        <v>822</v>
      </c>
      <c r="C87" s="317">
        <f t="shared" ref="C87:M87" si="35">C43/C48</f>
        <v>0.57801194367020325</v>
      </c>
      <c r="D87" s="317">
        <f t="shared" si="35"/>
        <v>0.24877679003801342</v>
      </c>
      <c r="E87" s="317">
        <f t="shared" si="35"/>
        <v>0.72538617242517611</v>
      </c>
      <c r="F87" s="317">
        <f t="shared" si="35"/>
        <v>0.73073305591974003</v>
      </c>
      <c r="G87" s="317">
        <f t="shared" si="35"/>
        <v>0.44007529206442397</v>
      </c>
      <c r="H87" s="317">
        <f t="shared" si="35"/>
        <v>0.52940636110985073</v>
      </c>
      <c r="I87" s="317">
        <f t="shared" si="35"/>
        <v>0.66566981091790411</v>
      </c>
      <c r="J87" s="317">
        <f t="shared" si="35"/>
        <v>1.6955404867036288</v>
      </c>
      <c r="K87" s="317">
        <f t="shared" si="35"/>
        <v>1.4803667363080137</v>
      </c>
      <c r="L87" s="317">
        <f t="shared" si="35"/>
        <v>2.0838280550335031</v>
      </c>
      <c r="M87" s="317" t="e">
        <f t="shared" si="35"/>
        <v>#DIV/0!</v>
      </c>
    </row>
    <row r="88" spans="1:13">
      <c r="A88" s="309" t="s">
        <v>140</v>
      </c>
      <c r="B88" s="309" t="s">
        <v>823</v>
      </c>
      <c r="C88" s="311">
        <f t="shared" ref="C88:M88" si="36">C43/C77</f>
        <v>1.5881049499752966</v>
      </c>
      <c r="D88" s="311">
        <f t="shared" si="36"/>
        <v>0.5927245395254972</v>
      </c>
      <c r="E88" s="311">
        <f t="shared" si="36"/>
        <v>2.5597888435154026</v>
      </c>
      <c r="F88" s="311">
        <f t="shared" si="36"/>
        <v>1.7635506947310498</v>
      </c>
      <c r="G88" s="311">
        <f t="shared" si="36"/>
        <v>0.63667909130354505</v>
      </c>
      <c r="H88" s="311">
        <f t="shared" si="36"/>
        <v>1.3348114394806085</v>
      </c>
      <c r="I88" s="311">
        <f t="shared" si="36"/>
        <v>4.5752038775780015</v>
      </c>
      <c r="J88" s="311">
        <f t="shared" si="36"/>
        <v>11.890890570430733</v>
      </c>
      <c r="K88" s="311">
        <f t="shared" si="36"/>
        <v>7.4051489250522549</v>
      </c>
      <c r="L88" s="311">
        <f t="shared" si="36"/>
        <v>11.388694939232565</v>
      </c>
      <c r="M88" s="311" t="e">
        <f t="shared" si="36"/>
        <v>#DIV/0!</v>
      </c>
    </row>
    <row r="89" spans="1:13">
      <c r="A89" s="309" t="s">
        <v>141</v>
      </c>
      <c r="B89" s="309" t="s">
        <v>824</v>
      </c>
      <c r="C89" s="311">
        <f t="shared" ref="C89:M89" si="37">C43/C78</f>
        <v>1.5881049499752966</v>
      </c>
      <c r="D89" s="311">
        <f t="shared" si="37"/>
        <v>0.85890098038516449</v>
      </c>
      <c r="E89" s="311">
        <f t="shared" si="37"/>
        <v>2.6966087544314123</v>
      </c>
      <c r="F89" s="311">
        <f t="shared" si="37"/>
        <v>-11.35451727192202</v>
      </c>
      <c r="G89" s="311">
        <f t="shared" si="37"/>
        <v>0.66093957649697155</v>
      </c>
      <c r="H89" s="311">
        <f t="shared" si="37"/>
        <v>1.4876433498023713</v>
      </c>
      <c r="I89" s="311">
        <f t="shared" si="37"/>
        <v>21.602273489388299</v>
      </c>
      <c r="J89" s="311">
        <f t="shared" si="37"/>
        <v>15.245186567164186</v>
      </c>
      <c r="K89" s="311">
        <f t="shared" si="37"/>
        <v>9.5567798651252343</v>
      </c>
      <c r="L89" s="311">
        <f t="shared" si="37"/>
        <v>19.321315622153474</v>
      </c>
      <c r="M89" s="311">
        <f t="shared" si="37"/>
        <v>0</v>
      </c>
    </row>
    <row r="90" spans="1:13">
      <c r="A90" s="309" t="s">
        <v>142</v>
      </c>
      <c r="B90" s="309" t="s">
        <v>825</v>
      </c>
      <c r="C90" s="311">
        <f t="shared" ref="C90:L90" si="38">C43/C32</f>
        <v>0.41278084226916656</v>
      </c>
      <c r="D90" s="311">
        <f t="shared" si="38"/>
        <v>0.16936415956399439</v>
      </c>
      <c r="E90" s="311">
        <f t="shared" si="38"/>
        <v>0.4752469987263902</v>
      </c>
      <c r="F90" s="311">
        <f t="shared" si="38"/>
        <v>0.39228991982373462</v>
      </c>
      <c r="G90" s="311">
        <f t="shared" si="38"/>
        <v>0.22135977034331347</v>
      </c>
      <c r="H90" s="311">
        <f t="shared" si="38"/>
        <v>0.29331020871565394</v>
      </c>
      <c r="I90" s="311">
        <f t="shared" si="38"/>
        <v>0.36292254425521209</v>
      </c>
      <c r="J90" s="311">
        <f t="shared" si="38"/>
        <v>1.0318074832818149</v>
      </c>
      <c r="K90" s="311">
        <f t="shared" si="38"/>
        <v>1.0078369468037551</v>
      </c>
      <c r="L90" s="311">
        <f t="shared" si="38"/>
        <v>1.4776457637053724</v>
      </c>
      <c r="M90" s="311">
        <f>Trend!L2*Trend!L3/Trend!L4</f>
        <v>1.1830510142170769</v>
      </c>
    </row>
    <row r="91" spans="1:13">
      <c r="A91" s="309" t="s">
        <v>143</v>
      </c>
      <c r="B91" s="309" t="s">
        <v>331</v>
      </c>
      <c r="C91" s="311">
        <f t="shared" ref="C91:L91" si="39">(C43+C51-C8)/C35</f>
        <v>7.199705629084967</v>
      </c>
      <c r="D91" s="311">
        <f t="shared" si="39"/>
        <v>5.7542108600185333</v>
      </c>
      <c r="E91" s="311">
        <f t="shared" si="39"/>
        <v>5.3314539430596284</v>
      </c>
      <c r="F91" s="311">
        <f t="shared" si="39"/>
        <v>3.8750251205787802</v>
      </c>
      <c r="G91" s="311">
        <f t="shared" si="39"/>
        <v>2.9908433374984185</v>
      </c>
      <c r="H91" s="311">
        <f t="shared" si="39"/>
        <v>2.3887463456260711</v>
      </c>
      <c r="I91" s="311">
        <f t="shared" si="39"/>
        <v>2.5976400446471444</v>
      </c>
      <c r="J91" s="311">
        <f t="shared" si="39"/>
        <v>5.6902428685417901</v>
      </c>
      <c r="K91" s="311">
        <f t="shared" si="39"/>
        <v>5.3935065449171358</v>
      </c>
      <c r="L91" s="311">
        <f t="shared" si="39"/>
        <v>7.3276052514899277</v>
      </c>
      <c r="M91" s="311">
        <f>Trend!L16/M35</f>
        <v>6.0464801825403534</v>
      </c>
    </row>
    <row r="92" spans="1:13">
      <c r="A92" s="303" t="s">
        <v>144</v>
      </c>
      <c r="B92" s="303" t="s">
        <v>826</v>
      </c>
      <c r="C92" s="318">
        <f t="shared" ref="C92:M92" si="40">C42/C43</f>
        <v>1.8277557690597687E-2</v>
      </c>
      <c r="D92" s="318">
        <f t="shared" si="40"/>
        <v>3.9030736451255578E-2</v>
      </c>
      <c r="E92" s="318">
        <f t="shared" si="40"/>
        <v>1.7823798985191309E-2</v>
      </c>
      <c r="F92" s="318">
        <f t="shared" si="40"/>
        <v>2.2914757103574702E-2</v>
      </c>
      <c r="G92" s="318">
        <f t="shared" si="40"/>
        <v>3.4075216446967503E-2</v>
      </c>
      <c r="H92" s="318">
        <f t="shared" si="40"/>
        <v>4.783551302646117E-2</v>
      </c>
      <c r="I92" s="318">
        <f t="shared" si="40"/>
        <v>4.2441029276310917E-2</v>
      </c>
      <c r="J92" s="318">
        <f t="shared" si="40"/>
        <v>1.6104911998159437E-2</v>
      </c>
      <c r="K92" s="318">
        <f t="shared" si="40"/>
        <v>1.7767249037607343E-2</v>
      </c>
      <c r="L92" s="318">
        <f t="shared" si="40"/>
        <v>0</v>
      </c>
      <c r="M92" s="318" t="e">
        <f t="shared" si="40"/>
        <v>#DIV/0!</v>
      </c>
    </row>
    <row r="93" spans="1:13">
      <c r="A93" s="285" t="s">
        <v>827</v>
      </c>
      <c r="B93" s="285" t="s">
        <v>829</v>
      </c>
      <c r="C93" s="319">
        <f t="shared" ref="C93:M93" si="41">C43-C8+C51</f>
        <v>330.46648837499998</v>
      </c>
      <c r="D93" s="319">
        <f t="shared" si="41"/>
        <v>279.42447936249999</v>
      </c>
      <c r="E93" s="319">
        <f t="shared" si="41"/>
        <v>327.24464302500002</v>
      </c>
      <c r="F93" s="319">
        <f t="shared" si="41"/>
        <v>385.64250000000004</v>
      </c>
      <c r="G93" s="319">
        <f t="shared" si="41"/>
        <v>236.36634896249998</v>
      </c>
      <c r="H93" s="319">
        <f t="shared" si="41"/>
        <v>208.895867925</v>
      </c>
      <c r="I93" s="319">
        <f t="shared" si="41"/>
        <v>270.54421064999997</v>
      </c>
      <c r="J93" s="319">
        <f t="shared" si="41"/>
        <v>570.50375000000008</v>
      </c>
      <c r="K93" s="319">
        <f t="shared" si="41"/>
        <v>510.92687500000005</v>
      </c>
      <c r="L93" s="319">
        <f t="shared" si="41"/>
        <v>774.60115113500001</v>
      </c>
      <c r="M93" s="319">
        <f t="shared" si="41"/>
        <v>0</v>
      </c>
    </row>
    <row r="94" spans="1:13" ht="17.25" customHeight="1">
      <c r="A94" s="285" t="s">
        <v>828</v>
      </c>
      <c r="B94" s="285" t="s">
        <v>830</v>
      </c>
      <c r="C94" s="319"/>
      <c r="D94" s="319"/>
      <c r="E94" s="319"/>
      <c r="F94" s="319"/>
      <c r="G94" s="319"/>
      <c r="H94" s="319"/>
      <c r="I94" s="319"/>
      <c r="J94" s="319"/>
      <c r="K94" s="319"/>
      <c r="L94" s="319"/>
      <c r="M94" s="319"/>
    </row>
    <row r="95" spans="1:13">
      <c r="A95" s="445"/>
      <c r="B95" s="445"/>
      <c r="C95" s="445"/>
      <c r="D95" s="445"/>
      <c r="E95" s="445"/>
      <c r="F95" s="445"/>
      <c r="G95" s="445"/>
      <c r="H95" s="445"/>
      <c r="I95" s="445"/>
      <c r="J95" s="445"/>
      <c r="K95" s="445"/>
      <c r="L95" s="445"/>
      <c r="M95" s="289"/>
    </row>
    <row r="96" spans="1:13">
      <c r="A96" s="303" t="s">
        <v>146</v>
      </c>
      <c r="B96" s="303" t="s">
        <v>146</v>
      </c>
      <c r="C96" s="311">
        <f t="shared" ref="C96:L96" si="42">C58/C72</f>
        <v>0.21144343871616597</v>
      </c>
      <c r="D96" s="311">
        <f t="shared" si="42"/>
        <v>0.18559879419018913</v>
      </c>
      <c r="E96" s="311">
        <f t="shared" si="42"/>
        <v>0.21090220711612098</v>
      </c>
      <c r="F96" s="311">
        <f t="shared" si="42"/>
        <v>0.19146614385854588</v>
      </c>
      <c r="G96" s="311">
        <f t="shared" si="42"/>
        <v>8.6563484454184367E-2</v>
      </c>
      <c r="H96" s="311">
        <f t="shared" si="42"/>
        <v>5.3038909400738424E-2</v>
      </c>
      <c r="I96" s="311">
        <f t="shared" si="42"/>
        <v>0.15449567913450757</v>
      </c>
      <c r="J96" s="311">
        <f t="shared" si="42"/>
        <v>0.20846485573289469</v>
      </c>
      <c r="K96" s="311">
        <f t="shared" si="42"/>
        <v>0.23466018959581192</v>
      </c>
      <c r="L96" s="311">
        <f t="shared" si="42"/>
        <v>0.26898594567341022</v>
      </c>
      <c r="M96" s="303"/>
    </row>
    <row r="97" spans="1:13">
      <c r="A97" s="303" t="s">
        <v>147</v>
      </c>
      <c r="B97" s="303" t="s">
        <v>147</v>
      </c>
      <c r="C97" s="311">
        <f t="shared" ref="C97" si="43">C83/C72</f>
        <v>2.6378503651230935E-2</v>
      </c>
      <c r="D97" s="311">
        <f t="shared" ref="D97:L97" si="44">D83/D72</f>
        <v>1.8829359641911032E-2</v>
      </c>
      <c r="E97" s="311">
        <f t="shared" si="44"/>
        <v>3.606999956976293E-2</v>
      </c>
      <c r="F97" s="311">
        <f t="shared" si="44"/>
        <v>7.3062126620674267E-2</v>
      </c>
      <c r="G97" s="311">
        <f t="shared" si="44"/>
        <v>4.7807377984750932E-2</v>
      </c>
      <c r="H97" s="311">
        <f t="shared" si="44"/>
        <v>6.008887153270856E-2</v>
      </c>
      <c r="I97" s="311">
        <f t="shared" si="44"/>
        <v>8.9707434527343366E-2</v>
      </c>
      <c r="J97" s="311">
        <f t="shared" si="44"/>
        <v>9.5463032943582479E-2</v>
      </c>
      <c r="K97" s="311">
        <f t="shared" si="44"/>
        <v>8.4015233693345223E-2</v>
      </c>
      <c r="L97" s="311">
        <f t="shared" si="44"/>
        <v>0.11688830066595229</v>
      </c>
      <c r="M97" s="303"/>
    </row>
    <row r="98" spans="1:13">
      <c r="A98" s="303" t="s">
        <v>148</v>
      </c>
      <c r="B98" s="303" t="s">
        <v>148</v>
      </c>
      <c r="C98" s="311">
        <f t="shared" ref="C98:L98" si="45">C37/C72</f>
        <v>7.0073024618479168E-2</v>
      </c>
      <c r="D98" s="311">
        <f t="shared" si="45"/>
        <v>6.965378642550471E-2</v>
      </c>
      <c r="E98" s="311">
        <f t="shared" si="45"/>
        <v>8.697242180441421E-2</v>
      </c>
      <c r="F98" s="311">
        <f t="shared" si="45"/>
        <v>0.13927164444115628</v>
      </c>
      <c r="G98" s="311">
        <f t="shared" si="45"/>
        <v>0.11923024243254346</v>
      </c>
      <c r="H98" s="311">
        <f t="shared" si="45"/>
        <v>0.14205244722143334</v>
      </c>
      <c r="I98" s="311">
        <f t="shared" si="45"/>
        <v>0.15948721331662147</v>
      </c>
      <c r="J98" s="311">
        <f t="shared" si="45"/>
        <v>0.15767127550793583</v>
      </c>
      <c r="K98" s="311">
        <f t="shared" si="45"/>
        <v>0.15283214639437809</v>
      </c>
      <c r="L98" s="311">
        <f t="shared" si="45"/>
        <v>0.16041679796642919</v>
      </c>
      <c r="M98" s="303"/>
    </row>
    <row r="99" spans="1:13">
      <c r="A99" s="303" t="s">
        <v>149</v>
      </c>
      <c r="B99" s="303" t="s">
        <v>149</v>
      </c>
      <c r="C99" s="311">
        <f t="shared" ref="C99:L99" si="46">C43/C71</f>
        <v>0.18571322040385951</v>
      </c>
      <c r="D99" s="311">
        <f t="shared" si="46"/>
        <v>9.5005773227190962E-2</v>
      </c>
      <c r="E99" s="311">
        <f t="shared" si="46"/>
        <v>0.30098205096791864</v>
      </c>
      <c r="F99" s="311">
        <f t="shared" si="46"/>
        <v>0.35098154638046214</v>
      </c>
      <c r="G99" s="311">
        <f t="shared" si="46"/>
        <v>0.35597451774579841</v>
      </c>
      <c r="H99" s="311">
        <f t="shared" si="46"/>
        <v>0.57723182073418089</v>
      </c>
      <c r="I99" s="311">
        <f t="shared" si="46"/>
        <v>0.88812919288610592</v>
      </c>
      <c r="J99" s="311">
        <f t="shared" si="46"/>
        <v>3.435679448368651</v>
      </c>
      <c r="K99" s="311">
        <f t="shared" si="46"/>
        <v>5.5723724862375024</v>
      </c>
      <c r="L99" s="311">
        <f t="shared" si="46"/>
        <v>7.6965209143660029</v>
      </c>
      <c r="M99" s="311"/>
    </row>
    <row r="100" spans="1:13">
      <c r="A100" s="303" t="s">
        <v>150</v>
      </c>
      <c r="B100" s="303" t="s">
        <v>150</v>
      </c>
      <c r="C100" s="311">
        <f t="shared" ref="C100:L100" si="47">C32/C72</f>
        <v>0.34050461323188597</v>
      </c>
      <c r="D100" s="311">
        <f t="shared" si="47"/>
        <v>0.40593313236503153</v>
      </c>
      <c r="E100" s="311">
        <f t="shared" si="47"/>
        <v>0.44759712601643503</v>
      </c>
      <c r="F100" s="311">
        <f t="shared" si="47"/>
        <v>0.60439824661993458</v>
      </c>
      <c r="G100" s="311">
        <f t="shared" si="47"/>
        <v>0.88901063781217182</v>
      </c>
      <c r="H100" s="311">
        <f t="shared" si="47"/>
        <v>0.9414702262614788</v>
      </c>
      <c r="I100" s="311">
        <f t="shared" si="47"/>
        <v>1.0483980913428765</v>
      </c>
      <c r="J100" s="311">
        <f t="shared" si="47"/>
        <v>1.10027564131063</v>
      </c>
      <c r="K100" s="311">
        <f t="shared" si="47"/>
        <v>1.1605433193416026</v>
      </c>
      <c r="L100" s="311">
        <f t="shared" si="47"/>
        <v>1.1097666015419845</v>
      </c>
      <c r="M100" s="303">
        <v>1</v>
      </c>
    </row>
    <row r="101" spans="1:13">
      <c r="A101" s="308" t="s">
        <v>151</v>
      </c>
      <c r="B101" s="308"/>
      <c r="C101" s="311">
        <f t="shared" ref="C101" si="48">$M$96*C96+$M$97*C97+$M$98*C98+$L$99*C99+$M$100*C100</f>
        <v>1.7698502981444539</v>
      </c>
      <c r="D101" s="311">
        <f t="shared" ref="D101:L101" si="49">$M$96*D96+$M$97*D97+$M$98*D98+$L$99*D99+$M$100*D100</f>
        <v>1.1371470529936205</v>
      </c>
      <c r="E101" s="311">
        <f t="shared" si="49"/>
        <v>2.7641117761397953</v>
      </c>
      <c r="F101" s="311">
        <f t="shared" si="49"/>
        <v>3.3057350588936827</v>
      </c>
      <c r="G101" s="311">
        <f t="shared" si="49"/>
        <v>3.6287759586240611</v>
      </c>
      <c r="H101" s="311">
        <f t="shared" si="49"/>
        <v>5.3841470069796689</v>
      </c>
      <c r="I101" s="311">
        <f t="shared" si="49"/>
        <v>7.8839029990497895</v>
      </c>
      <c r="J101" s="311">
        <f t="shared" si="49"/>
        <v>27.543054370737405</v>
      </c>
      <c r="K101" s="311">
        <f t="shared" si="49"/>
        <v>44.048424702306221</v>
      </c>
      <c r="L101" s="311">
        <f t="shared" si="49"/>
        <v>60.346200786815281</v>
      </c>
      <c r="M101" s="311">
        <f>$M$96*L96+$M$97*L97+$M$98*L98+$L$99*L99+$M$100*L100</f>
        <v>60.346200786815281</v>
      </c>
    </row>
    <row r="102" spans="1:13">
      <c r="A102" s="289" t="s">
        <v>152</v>
      </c>
      <c r="B102" s="289"/>
      <c r="C102" s="289"/>
      <c r="D102" s="289"/>
      <c r="E102" s="289"/>
      <c r="F102" s="289"/>
      <c r="G102" s="289"/>
      <c r="H102" s="289"/>
      <c r="I102" s="289"/>
      <c r="J102" s="289"/>
      <c r="K102" s="289"/>
      <c r="L102" s="289"/>
      <c r="M102" s="289"/>
    </row>
    <row r="103" spans="1:13">
      <c r="A103" s="289" t="s">
        <v>153</v>
      </c>
      <c r="B103" s="289"/>
      <c r="C103" s="289"/>
      <c r="D103" s="289"/>
      <c r="E103" s="289"/>
      <c r="F103" s="289"/>
      <c r="G103" s="289"/>
      <c r="H103" s="289"/>
      <c r="I103" s="289"/>
      <c r="J103" s="289"/>
      <c r="K103" s="289"/>
      <c r="L103" s="289"/>
      <c r="M103" s="289"/>
    </row>
    <row r="104" spans="1:13">
      <c r="A104" s="289" t="s">
        <v>154</v>
      </c>
      <c r="B104" s="289"/>
      <c r="C104" s="289"/>
      <c r="D104" s="289"/>
      <c r="E104" s="289"/>
      <c r="F104" s="289"/>
      <c r="G104" s="289"/>
      <c r="H104" s="289"/>
      <c r="I104" s="289"/>
      <c r="J104" s="289"/>
      <c r="K104" s="289"/>
      <c r="L104" s="289"/>
      <c r="M104" s="289"/>
    </row>
    <row r="105" spans="1:13">
      <c r="A105" s="289"/>
      <c r="B105" s="289"/>
      <c r="C105" s="289"/>
      <c r="D105" s="289"/>
      <c r="E105" s="289"/>
      <c r="F105" s="289"/>
      <c r="G105" s="289"/>
      <c r="H105" s="289"/>
      <c r="I105" s="289"/>
      <c r="J105" s="289"/>
      <c r="K105" s="289"/>
      <c r="L105" s="289"/>
      <c r="M105" s="289"/>
    </row>
    <row r="106" spans="1:13">
      <c r="A106" s="289"/>
      <c r="B106" s="289"/>
      <c r="C106" s="289"/>
      <c r="D106" s="289"/>
      <c r="E106" s="289"/>
      <c r="F106" s="289"/>
      <c r="G106" s="289"/>
      <c r="H106" s="289"/>
      <c r="I106" s="289"/>
      <c r="J106" s="289"/>
      <c r="K106" s="289"/>
      <c r="L106" s="289"/>
      <c r="M106" s="289"/>
    </row>
    <row r="107" spans="1:13">
      <c r="A107" s="289"/>
      <c r="B107" s="289"/>
      <c r="C107" s="289"/>
      <c r="D107" s="289"/>
      <c r="E107" s="289"/>
      <c r="F107" s="289"/>
      <c r="G107" s="289"/>
      <c r="H107" s="289"/>
      <c r="I107" s="289"/>
      <c r="J107" s="289"/>
      <c r="K107" s="289"/>
      <c r="L107" s="289"/>
      <c r="M107" s="289"/>
    </row>
    <row r="108" spans="1:13">
      <c r="A108" s="289"/>
      <c r="B108" s="289"/>
      <c r="C108" s="289"/>
      <c r="D108" s="289"/>
      <c r="E108" s="289"/>
      <c r="F108" s="289"/>
      <c r="G108" s="289"/>
      <c r="H108" s="289"/>
      <c r="I108" s="289"/>
      <c r="J108" s="289"/>
      <c r="K108" s="289"/>
      <c r="L108" s="289"/>
      <c r="M108" s="289"/>
    </row>
    <row r="109" spans="1:13">
      <c r="A109" s="289"/>
      <c r="B109" s="289"/>
      <c r="C109" s="289"/>
      <c r="D109" s="289"/>
      <c r="E109" s="289"/>
      <c r="F109" s="289"/>
      <c r="G109" s="289"/>
      <c r="H109" s="289"/>
      <c r="I109" s="289"/>
      <c r="J109" s="289"/>
      <c r="K109" s="289"/>
      <c r="L109" s="289"/>
      <c r="M109" s="289"/>
    </row>
    <row r="110" spans="1:13">
      <c r="A110" s="289"/>
      <c r="B110" s="289"/>
      <c r="C110" s="289"/>
      <c r="D110" s="289"/>
      <c r="E110" s="289"/>
      <c r="F110" s="289"/>
      <c r="G110" s="289"/>
      <c r="H110" s="289"/>
      <c r="I110" s="289"/>
      <c r="J110" s="289"/>
      <c r="K110" s="289"/>
      <c r="L110" s="289"/>
      <c r="M110" s="289"/>
    </row>
    <row r="111" spans="1:13">
      <c r="A111" s="289"/>
      <c r="B111" s="289"/>
      <c r="C111" s="289"/>
      <c r="D111" s="289"/>
      <c r="E111" s="289"/>
      <c r="F111" s="289"/>
      <c r="G111" s="289"/>
      <c r="H111" s="289"/>
      <c r="I111" s="289"/>
      <c r="J111" s="289"/>
      <c r="K111" s="289"/>
      <c r="L111" s="289"/>
      <c r="M111" s="289"/>
    </row>
    <row r="112" spans="1:13">
      <c r="A112" s="289"/>
      <c r="B112" s="289"/>
      <c r="C112" s="289"/>
      <c r="D112" s="289"/>
      <c r="E112" s="289"/>
      <c r="F112" s="289"/>
      <c r="G112" s="289"/>
      <c r="H112" s="289"/>
      <c r="I112" s="289"/>
      <c r="J112" s="289"/>
      <c r="K112" s="289"/>
      <c r="L112" s="289"/>
      <c r="M112" s="289"/>
    </row>
    <row r="113" spans="1:13">
      <c r="A113" s="289"/>
      <c r="B113" s="289"/>
      <c r="C113" s="289"/>
      <c r="D113" s="289"/>
      <c r="E113" s="289"/>
      <c r="F113" s="289"/>
      <c r="G113" s="289"/>
      <c r="H113" s="289"/>
      <c r="I113" s="289"/>
      <c r="J113" s="289"/>
      <c r="K113" s="289"/>
      <c r="L113" s="289"/>
      <c r="M113" s="289"/>
    </row>
    <row r="114" spans="1:13">
      <c r="A114" s="289"/>
      <c r="B114" s="289"/>
      <c r="C114" s="289"/>
      <c r="D114" s="289"/>
      <c r="E114" s="289"/>
      <c r="F114" s="289"/>
      <c r="G114" s="289"/>
      <c r="H114" s="289"/>
      <c r="I114" s="289"/>
      <c r="J114" s="289"/>
      <c r="K114" s="289"/>
      <c r="L114" s="289"/>
      <c r="M114" s="289"/>
    </row>
    <row r="115" spans="1:13">
      <c r="A115" s="289"/>
      <c r="B115" s="289"/>
      <c r="C115" s="289"/>
      <c r="D115" s="289"/>
      <c r="E115" s="289"/>
      <c r="F115" s="289"/>
      <c r="G115" s="289"/>
      <c r="H115" s="289"/>
      <c r="I115" s="289"/>
      <c r="J115" s="289"/>
      <c r="K115" s="289"/>
      <c r="L115" s="289"/>
      <c r="M115" s="289"/>
    </row>
    <row r="116" spans="1:13">
      <c r="A116" s="289"/>
      <c r="B116" s="289"/>
      <c r="C116" s="289"/>
      <c r="D116" s="289"/>
      <c r="E116" s="289"/>
      <c r="F116" s="289"/>
      <c r="G116" s="289"/>
      <c r="H116" s="289"/>
      <c r="I116" s="289"/>
      <c r="J116" s="289"/>
      <c r="K116" s="289"/>
      <c r="L116" s="289"/>
      <c r="M116" s="289"/>
    </row>
    <row r="117" spans="1:13">
      <c r="A117" s="289"/>
      <c r="B117" s="289"/>
      <c r="C117" s="289"/>
      <c r="D117" s="289"/>
      <c r="E117" s="289"/>
      <c r="F117" s="289"/>
      <c r="G117" s="289"/>
      <c r="H117" s="289"/>
      <c r="I117" s="289"/>
      <c r="J117" s="289"/>
      <c r="K117" s="289"/>
      <c r="L117" s="289"/>
      <c r="M117" s="289"/>
    </row>
    <row r="118" spans="1:13">
      <c r="A118" s="289"/>
      <c r="B118" s="289"/>
      <c r="C118" s="289"/>
      <c r="D118" s="289"/>
      <c r="E118" s="289"/>
      <c r="F118" s="289"/>
      <c r="G118" s="289"/>
      <c r="H118" s="289"/>
      <c r="I118" s="289"/>
      <c r="J118" s="289"/>
      <c r="K118" s="289"/>
      <c r="L118" s="289"/>
      <c r="M118" s="289"/>
    </row>
    <row r="119" spans="1:13">
      <c r="A119" s="289"/>
      <c r="B119" s="289"/>
      <c r="C119" s="289"/>
      <c r="D119" s="289"/>
      <c r="E119" s="289"/>
      <c r="F119" s="289"/>
      <c r="G119" s="289"/>
      <c r="H119" s="289"/>
      <c r="I119" s="289"/>
      <c r="J119" s="289"/>
      <c r="K119" s="289"/>
      <c r="L119" s="289"/>
      <c r="M119" s="289"/>
    </row>
    <row r="120" spans="1:13">
      <c r="A120" s="289"/>
      <c r="B120" s="289"/>
      <c r="C120" s="289"/>
      <c r="D120" s="289"/>
      <c r="E120" s="289"/>
      <c r="F120" s="289"/>
      <c r="G120" s="289"/>
      <c r="H120" s="289"/>
      <c r="I120" s="289"/>
      <c r="J120" s="289"/>
      <c r="K120" s="289"/>
      <c r="L120" s="289"/>
      <c r="M120" s="289"/>
    </row>
    <row r="121" spans="1:13">
      <c r="A121" s="289"/>
      <c r="B121" s="289"/>
      <c r="C121" s="289"/>
      <c r="D121" s="289"/>
      <c r="E121" s="289"/>
      <c r="F121" s="289"/>
      <c r="G121" s="289"/>
      <c r="H121" s="289"/>
      <c r="I121" s="289"/>
      <c r="J121" s="289"/>
      <c r="K121" s="289"/>
      <c r="L121" s="289"/>
      <c r="M121" s="289"/>
    </row>
    <row r="122" spans="1:13">
      <c r="A122" s="289"/>
      <c r="B122" s="289"/>
      <c r="C122" s="289"/>
      <c r="D122" s="289"/>
      <c r="E122" s="289"/>
      <c r="F122" s="289"/>
      <c r="G122" s="289"/>
      <c r="H122" s="289"/>
      <c r="I122" s="289"/>
      <c r="J122" s="289"/>
      <c r="K122" s="289"/>
      <c r="L122" s="289"/>
      <c r="M122" s="289"/>
    </row>
    <row r="123" spans="1:13">
      <c r="A123" s="289"/>
      <c r="B123" s="289"/>
      <c r="C123" s="289"/>
      <c r="D123" s="289"/>
      <c r="E123" s="289"/>
      <c r="F123" s="289"/>
      <c r="G123" s="289"/>
      <c r="H123" s="289"/>
      <c r="I123" s="289"/>
      <c r="J123" s="289"/>
      <c r="K123" s="289"/>
      <c r="L123" s="289"/>
      <c r="M123" s="289"/>
    </row>
    <row r="124" spans="1:13">
      <c r="A124" s="289"/>
      <c r="B124" s="289"/>
      <c r="C124" s="289"/>
      <c r="D124" s="289"/>
      <c r="E124" s="289"/>
      <c r="F124" s="289"/>
      <c r="G124" s="289"/>
      <c r="H124" s="289"/>
      <c r="I124" s="289"/>
      <c r="J124" s="289"/>
      <c r="K124" s="289"/>
      <c r="L124" s="289"/>
      <c r="M124" s="289"/>
    </row>
    <row r="125" spans="1:13">
      <c r="A125" s="289"/>
      <c r="B125" s="289"/>
      <c r="C125" s="289"/>
      <c r="D125" s="289"/>
      <c r="E125" s="289"/>
      <c r="F125" s="289"/>
      <c r="G125" s="289"/>
      <c r="H125" s="289"/>
      <c r="I125" s="289"/>
      <c r="J125" s="289"/>
      <c r="K125" s="289"/>
      <c r="L125" s="289"/>
      <c r="M125" s="289"/>
    </row>
    <row r="126" spans="1:13">
      <c r="A126" s="289"/>
      <c r="B126" s="289"/>
      <c r="C126" s="289"/>
      <c r="D126" s="289"/>
      <c r="E126" s="289"/>
      <c r="F126" s="289"/>
      <c r="G126" s="289"/>
      <c r="H126" s="289"/>
      <c r="I126" s="289"/>
      <c r="J126" s="289"/>
      <c r="K126" s="289"/>
      <c r="L126" s="289"/>
      <c r="M126" s="289"/>
    </row>
    <row r="127" spans="1:13">
      <c r="A127" s="289"/>
      <c r="B127" s="289"/>
      <c r="C127" s="289"/>
      <c r="D127" s="289"/>
      <c r="E127" s="289"/>
      <c r="F127" s="289"/>
      <c r="G127" s="289"/>
      <c r="H127" s="289"/>
      <c r="I127" s="289"/>
      <c r="J127" s="289"/>
      <c r="K127" s="289"/>
      <c r="L127" s="289"/>
      <c r="M127" s="289"/>
    </row>
    <row r="128" spans="1:13">
      <c r="A128" s="289"/>
      <c r="B128" s="289"/>
      <c r="C128" s="289"/>
      <c r="D128" s="289"/>
      <c r="E128" s="289"/>
      <c r="F128" s="289"/>
      <c r="G128" s="289"/>
      <c r="H128" s="289"/>
      <c r="I128" s="289"/>
      <c r="J128" s="289"/>
      <c r="K128" s="289"/>
      <c r="L128" s="289"/>
      <c r="M128" s="289"/>
    </row>
    <row r="129" spans="1:13">
      <c r="A129" s="289"/>
      <c r="B129" s="289"/>
      <c r="C129" s="289"/>
      <c r="D129" s="289"/>
      <c r="E129" s="289"/>
      <c r="F129" s="289"/>
      <c r="G129" s="289"/>
      <c r="H129" s="289"/>
      <c r="I129" s="289"/>
      <c r="J129" s="289"/>
      <c r="K129" s="289"/>
      <c r="L129" s="289"/>
      <c r="M129" s="289"/>
    </row>
    <row r="130" spans="1:13">
      <c r="A130" s="289"/>
      <c r="B130" s="289"/>
      <c r="C130" s="289"/>
      <c r="D130" s="289"/>
      <c r="E130" s="289"/>
      <c r="F130" s="289"/>
      <c r="G130" s="289"/>
      <c r="H130" s="289"/>
      <c r="I130" s="289"/>
      <c r="J130" s="289"/>
      <c r="K130" s="289"/>
      <c r="L130" s="289"/>
      <c r="M130" s="289"/>
    </row>
    <row r="131" spans="1:13">
      <c r="A131" s="289"/>
      <c r="B131" s="289"/>
      <c r="C131" s="289"/>
      <c r="D131" s="289"/>
      <c r="E131" s="289"/>
      <c r="F131" s="289"/>
      <c r="G131" s="289"/>
      <c r="H131" s="289"/>
      <c r="I131" s="289"/>
      <c r="J131" s="289"/>
      <c r="K131" s="289"/>
      <c r="L131" s="289"/>
      <c r="M131" s="289"/>
    </row>
    <row r="132" spans="1:13">
      <c r="A132" s="289"/>
      <c r="B132" s="289"/>
      <c r="C132" s="289"/>
      <c r="D132" s="289"/>
      <c r="E132" s="289"/>
      <c r="F132" s="289"/>
      <c r="G132" s="289"/>
      <c r="H132" s="289"/>
      <c r="I132" s="289"/>
      <c r="J132" s="289"/>
      <c r="K132" s="289"/>
      <c r="L132" s="289"/>
      <c r="M132" s="289"/>
    </row>
    <row r="133" spans="1:13">
      <c r="A133" s="289"/>
      <c r="B133" s="289"/>
      <c r="C133" s="289"/>
      <c r="D133" s="289"/>
      <c r="E133" s="289"/>
      <c r="F133" s="289"/>
      <c r="G133" s="289"/>
      <c r="H133" s="289"/>
      <c r="I133" s="289"/>
      <c r="J133" s="289"/>
      <c r="K133" s="289"/>
      <c r="L133" s="289"/>
      <c r="M133" s="289"/>
    </row>
    <row r="134" spans="1:13">
      <c r="A134" s="289"/>
      <c r="B134" s="289"/>
      <c r="C134" s="289"/>
      <c r="D134" s="289"/>
      <c r="E134" s="289"/>
      <c r="F134" s="289"/>
      <c r="G134" s="289"/>
      <c r="H134" s="289"/>
      <c r="I134" s="289"/>
      <c r="J134" s="289"/>
      <c r="K134" s="289"/>
      <c r="L134" s="289"/>
      <c r="M134" s="289"/>
    </row>
    <row r="135" spans="1:13">
      <c r="A135" s="289"/>
      <c r="B135" s="289"/>
      <c r="C135" s="289"/>
      <c r="D135" s="289"/>
      <c r="E135" s="289"/>
      <c r="F135" s="289"/>
      <c r="G135" s="289"/>
      <c r="H135" s="289"/>
      <c r="I135" s="289"/>
      <c r="J135" s="289"/>
      <c r="K135" s="289"/>
      <c r="L135" s="289"/>
      <c r="M135" s="289"/>
    </row>
  </sheetData>
  <mergeCells count="9">
    <mergeCell ref="A81:L81"/>
    <mergeCell ref="A84:L84"/>
    <mergeCell ref="A95:L95"/>
    <mergeCell ref="A3:K3"/>
    <mergeCell ref="A12:L12"/>
    <mergeCell ref="A13:K13"/>
    <mergeCell ref="D44:L44"/>
    <mergeCell ref="A45:L45"/>
    <mergeCell ref="A76:L76"/>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dimension ref="A1:R122"/>
  <sheetViews>
    <sheetView workbookViewId="0">
      <selection activeCell="M21" sqref="M21"/>
    </sheetView>
  </sheetViews>
  <sheetFormatPr defaultColWidth="9.140625" defaultRowHeight="12"/>
  <cols>
    <col min="1" max="1" width="45.28515625" style="247" bestFit="1" customWidth="1"/>
    <col min="2" max="2" width="6.85546875" style="247" bestFit="1" customWidth="1"/>
    <col min="3" max="4" width="6.7109375" style="247" bestFit="1" customWidth="1"/>
    <col min="5" max="9" width="6.28515625" style="247" bestFit="1" customWidth="1"/>
    <col min="10" max="10" width="6.42578125" style="247" bestFit="1" customWidth="1"/>
    <col min="11" max="11" width="6.28515625" style="247" bestFit="1" customWidth="1"/>
    <col min="12" max="12" width="6.28515625" style="247" customWidth="1"/>
    <col min="13" max="14" width="16.42578125" style="247" bestFit="1" customWidth="1"/>
    <col min="15" max="15" width="17.42578125" style="247" bestFit="1" customWidth="1"/>
    <col min="16" max="17" width="10.28515625" style="247" bestFit="1" customWidth="1"/>
    <col min="18" max="18" width="11" style="247" bestFit="1" customWidth="1"/>
    <col min="19" max="16384" width="9.140625" style="247"/>
  </cols>
  <sheetData>
    <row r="1" spans="1:18">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t="s">
        <v>801</v>
      </c>
      <c r="M1" s="247" t="s">
        <v>669</v>
      </c>
      <c r="N1" s="247" t="s">
        <v>670</v>
      </c>
      <c r="O1" s="247" t="s">
        <v>671</v>
      </c>
      <c r="P1" s="247" t="s">
        <v>633</v>
      </c>
      <c r="Q1" s="247" t="s">
        <v>634</v>
      </c>
      <c r="R1" s="247" t="s">
        <v>635</v>
      </c>
    </row>
    <row r="2" spans="1:18" ht="1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380">
        <f>'Data Sheet'!B8</f>
        <v>1260.2</v>
      </c>
    </row>
    <row r="3" spans="1:18" ht="15">
      <c r="A3" s="5" t="s">
        <v>90</v>
      </c>
      <c r="B3" s="280">
        <f>'Data Sheet'!B93</f>
        <v>0.58750000000000002</v>
      </c>
      <c r="C3" s="280">
        <f>'Data Sheet'!C93</f>
        <v>0.58750000000000002</v>
      </c>
      <c r="D3" s="280">
        <f>'Data Sheet'!D93</f>
        <v>0.58750000000000002</v>
      </c>
      <c r="E3" s="280">
        <f>'Data Sheet'!E93</f>
        <v>0.58750000000000002</v>
      </c>
      <c r="F3" s="280">
        <f>'Data Sheet'!F93</f>
        <v>0.58750000000000002</v>
      </c>
      <c r="G3" s="280">
        <f>'Data Sheet'!G93</f>
        <v>0.58750000000000002</v>
      </c>
      <c r="H3" s="280">
        <f>'Data Sheet'!H93</f>
        <v>0.58750000000000002</v>
      </c>
      <c r="I3" s="280">
        <f>'Data Sheet'!I93</f>
        <v>0.58750000000000002</v>
      </c>
      <c r="J3" s="280">
        <f>'Data Sheet'!J93</f>
        <v>0.58750000000000002</v>
      </c>
      <c r="K3" s="280">
        <f>'Data Sheet'!K93</f>
        <v>0.57250000000000001</v>
      </c>
      <c r="L3" s="380">
        <f>'Data Sheet'!B6</f>
        <v>0.57249642913823207</v>
      </c>
    </row>
    <row r="4" spans="1:18">
      <c r="A4" s="247" t="s">
        <v>544</v>
      </c>
      <c r="B4" s="249">
        <f>'Data Sheet'!B17</f>
        <v>155.74</v>
      </c>
      <c r="C4" s="249">
        <f>'Data Sheet'!C17</f>
        <v>177.75</v>
      </c>
      <c r="D4" s="249">
        <f>'Data Sheet'!D17</f>
        <v>208.07</v>
      </c>
      <c r="E4" s="249">
        <f>'Data Sheet'!E17</f>
        <v>326.77999999999997</v>
      </c>
      <c r="F4" s="249">
        <f>'Data Sheet'!F17</f>
        <v>389.44</v>
      </c>
      <c r="G4" s="249">
        <f>'Data Sheet'!G17</f>
        <v>397.79</v>
      </c>
      <c r="H4" s="249">
        <f>'Data Sheet'!H17</f>
        <v>476.78</v>
      </c>
      <c r="I4" s="249">
        <f>'Data Sheet'!I17</f>
        <v>494.97</v>
      </c>
      <c r="J4" s="249">
        <f>'Data Sheet'!J17</f>
        <v>492.14</v>
      </c>
      <c r="K4" s="249">
        <f>'Data Sheet'!K17</f>
        <v>528.26</v>
      </c>
      <c r="L4" s="249">
        <f>SUM('Data Sheet'!H42:K42)</f>
        <v>609.83000000000004</v>
      </c>
      <c r="M4" s="249">
        <f t="shared" ref="M4:M9" si="0">SUM(I4:K4)</f>
        <v>1515.37</v>
      </c>
      <c r="N4" s="249">
        <f t="shared" ref="N4:N9" si="1">SUM(G4:K4)</f>
        <v>2389.9399999999996</v>
      </c>
      <c r="O4" s="249">
        <f t="shared" ref="O4:O9" si="2">SUM(C4:K4)</f>
        <v>3491.9799999999996</v>
      </c>
    </row>
    <row r="5" spans="1:18">
      <c r="A5" s="247" t="s">
        <v>9</v>
      </c>
      <c r="B5" s="250">
        <f>'Data Sheet'!B25</f>
        <v>7.01</v>
      </c>
      <c r="C5" s="250">
        <f>'Data Sheet'!C25</f>
        <v>7.51</v>
      </c>
      <c r="D5" s="250">
        <f>'Data Sheet'!D25</f>
        <v>15.07</v>
      </c>
      <c r="E5" s="250">
        <f>'Data Sheet'!E25</f>
        <v>0.46</v>
      </c>
      <c r="F5" s="250">
        <f>'Data Sheet'!F25</f>
        <v>0.69</v>
      </c>
      <c r="G5" s="250">
        <f>'Data Sheet'!G25</f>
        <v>0.27</v>
      </c>
      <c r="H5" s="250">
        <f>'Data Sheet'!H25</f>
        <v>0.22</v>
      </c>
      <c r="I5" s="250">
        <f>'Data Sheet'!I25</f>
        <v>0.55000000000000004</v>
      </c>
      <c r="J5" s="250">
        <f>'Data Sheet'!J25</f>
        <v>1.77</v>
      </c>
      <c r="K5" s="250">
        <f>'Data Sheet'!K25</f>
        <v>0.78</v>
      </c>
      <c r="L5" s="250">
        <f>SUM('Data Sheet'!H44:K44)</f>
        <v>1.03</v>
      </c>
      <c r="M5" s="249">
        <f t="shared" si="0"/>
        <v>3.1000000000000005</v>
      </c>
      <c r="N5" s="249">
        <f t="shared" si="1"/>
        <v>3.59</v>
      </c>
      <c r="O5" s="249">
        <f t="shared" si="2"/>
        <v>27.32</v>
      </c>
    </row>
    <row r="6" spans="1:18">
      <c r="A6" s="247" t="s">
        <v>636</v>
      </c>
      <c r="B6" s="249">
        <f>SUM('Data Sheet'!B18:B24)</f>
        <v>117.66999999999999</v>
      </c>
      <c r="C6" s="249">
        <f>SUM('Data Sheet'!C18:C24)</f>
        <v>135.34</v>
      </c>
      <c r="D6" s="249">
        <f>SUM('Data Sheet'!D18:D24)</f>
        <v>167.59999999999997</v>
      </c>
      <c r="E6" s="249">
        <f>SUM('Data Sheet'!E18:E24)</f>
        <v>229.74</v>
      </c>
      <c r="F6" s="249">
        <f>SUM('Data Sheet'!F18:F24)</f>
        <v>311.52000000000004</v>
      </c>
      <c r="G6" s="249">
        <f>SUM('Data Sheet'!G18:G24)</f>
        <v>316.75</v>
      </c>
      <c r="H6" s="249">
        <f>SUM('Data Sheet'!H18:H24)</f>
        <v>389.60999999999996</v>
      </c>
      <c r="I6" s="249">
        <f>SUM('Data Sheet'!I18:I24)</f>
        <v>373.44</v>
      </c>
      <c r="J6" s="249">
        <f>SUM('Data Sheet'!J18:J24)</f>
        <v>408.26000000000005</v>
      </c>
      <c r="K6" s="249">
        <f>SUM('Data Sheet'!K18:K24)</f>
        <v>431.84999999999997</v>
      </c>
      <c r="L6" s="249">
        <f>SUM('Data Sheet'!H43:K43)</f>
        <v>492.53</v>
      </c>
      <c r="M6" s="249">
        <f t="shared" si="0"/>
        <v>1213.55</v>
      </c>
      <c r="N6" s="249">
        <f t="shared" si="1"/>
        <v>1919.9099999999999</v>
      </c>
      <c r="O6" s="249">
        <f t="shared" si="2"/>
        <v>2764.11</v>
      </c>
    </row>
    <row r="7" spans="1:18">
      <c r="A7" s="247" t="s">
        <v>637</v>
      </c>
      <c r="B7" s="250">
        <f>'Data Sheet'!B24</f>
        <v>0.92</v>
      </c>
      <c r="C7" s="250">
        <f>'Data Sheet'!C24</f>
        <v>4.7699999999999996</v>
      </c>
      <c r="D7" s="250">
        <f>'Data Sheet'!D24</f>
        <v>0.79</v>
      </c>
      <c r="E7" s="250">
        <f>'Data Sheet'!E24</f>
        <v>0.57999999999999996</v>
      </c>
      <c r="F7" s="250">
        <f>'Data Sheet'!F24</f>
        <v>12.47</v>
      </c>
      <c r="G7" s="250">
        <f>'Data Sheet'!G24</f>
        <v>4.58</v>
      </c>
      <c r="H7" s="250">
        <f>'Data Sheet'!H24</f>
        <v>9.7100000000000009</v>
      </c>
      <c r="I7" s="250">
        <f>'Data Sheet'!I24</f>
        <v>2.21</v>
      </c>
      <c r="J7" s="250">
        <f>'Data Sheet'!J24</f>
        <v>0.92</v>
      </c>
      <c r="K7" s="250">
        <f>'Data Sheet'!K24</f>
        <v>0.15</v>
      </c>
      <c r="L7" s="250"/>
      <c r="M7" s="249">
        <f t="shared" si="0"/>
        <v>3.28</v>
      </c>
      <c r="N7" s="249">
        <f t="shared" si="1"/>
        <v>17.57</v>
      </c>
      <c r="O7" s="249">
        <f t="shared" si="2"/>
        <v>36.18</v>
      </c>
    </row>
    <row r="8" spans="1:18">
      <c r="A8" s="247" t="s">
        <v>79</v>
      </c>
      <c r="B8" s="250">
        <f>'Data Sheet'!B67</f>
        <v>4.26</v>
      </c>
      <c r="C8" s="250">
        <f>'Data Sheet'!C67</f>
        <v>7.22</v>
      </c>
      <c r="D8" s="250">
        <f>'Data Sheet'!D67</f>
        <v>23.66</v>
      </c>
      <c r="E8" s="250">
        <f>'Data Sheet'!E67</f>
        <v>21.17</v>
      </c>
      <c r="F8" s="250">
        <f>'Data Sheet'!F67</f>
        <v>10.53</v>
      </c>
      <c r="G8" s="250">
        <f>'Data Sheet'!G67</f>
        <v>6.53</v>
      </c>
      <c r="H8" s="250">
        <f>'Data Sheet'!H67</f>
        <v>5.7</v>
      </c>
      <c r="I8" s="250">
        <f>'Data Sheet'!I67</f>
        <v>6.04</v>
      </c>
      <c r="J8" s="250">
        <f>'Data Sheet'!J67</f>
        <v>18.5</v>
      </c>
      <c r="K8" s="250">
        <f>'Data Sheet'!K67</f>
        <v>41.04</v>
      </c>
      <c r="L8" s="250"/>
      <c r="M8" s="249">
        <f t="shared" si="0"/>
        <v>65.58</v>
      </c>
      <c r="N8" s="249">
        <f t="shared" si="1"/>
        <v>77.81</v>
      </c>
      <c r="O8" s="249">
        <f t="shared" si="2"/>
        <v>140.39000000000001</v>
      </c>
    </row>
    <row r="9" spans="1:18">
      <c r="A9" s="247" t="s">
        <v>45</v>
      </c>
      <c r="B9" s="250">
        <f>'Data Sheet'!B68</f>
        <v>108.11</v>
      </c>
      <c r="C9" s="250">
        <f>'Data Sheet'!C68</f>
        <v>108.92</v>
      </c>
      <c r="D9" s="250">
        <f>'Data Sheet'!D68</f>
        <v>136.62</v>
      </c>
      <c r="E9" s="250">
        <f>'Data Sheet'!E68</f>
        <v>150.43</v>
      </c>
      <c r="F9" s="250">
        <f>'Data Sheet'!F68</f>
        <v>82.72</v>
      </c>
      <c r="G9" s="250">
        <f>'Data Sheet'!G68</f>
        <v>92.18</v>
      </c>
      <c r="H9" s="250">
        <f>'Data Sheet'!H68</f>
        <v>132.9</v>
      </c>
      <c r="I9" s="250">
        <f>'Data Sheet'!I68</f>
        <v>144.53</v>
      </c>
      <c r="J9" s="250">
        <f>'Data Sheet'!J68</f>
        <v>124.17</v>
      </c>
      <c r="K9" s="250">
        <f>'Data Sheet'!K68</f>
        <v>151.5</v>
      </c>
      <c r="L9" s="250"/>
      <c r="M9" s="249">
        <f t="shared" si="0"/>
        <v>420.2</v>
      </c>
      <c r="N9" s="249">
        <f t="shared" si="1"/>
        <v>645.28</v>
      </c>
      <c r="O9" s="249">
        <f t="shared" si="2"/>
        <v>1123.97</v>
      </c>
    </row>
    <row r="10" spans="1:18">
      <c r="A10" s="247" t="s">
        <v>129</v>
      </c>
      <c r="B10" s="249">
        <f>'Data Sheet'!B57+'Data Sheet'!B58+'Data Sheet'!B59</f>
        <v>390.41999999999996</v>
      </c>
      <c r="C10" s="249">
        <f>'Data Sheet'!C57+'Data Sheet'!C58+'Data Sheet'!C59</f>
        <v>372.56</v>
      </c>
      <c r="D10" s="249">
        <f>'Data Sheet'!D57+'Data Sheet'!D58+'Data Sheet'!D59</f>
        <v>370.28</v>
      </c>
      <c r="E10" s="249">
        <f>'Data Sheet'!E57+'Data Sheet'!E58+'Data Sheet'!E59</f>
        <v>435.53000000000003</v>
      </c>
      <c r="F10" s="249">
        <f>'Data Sheet'!F57+'Data Sheet'!F58+'Data Sheet'!F59</f>
        <v>348.09</v>
      </c>
      <c r="G10" s="249">
        <f>'Data Sheet'!G57+'Data Sheet'!G58+'Data Sheet'!G59</f>
        <v>314.14</v>
      </c>
      <c r="H10" s="249">
        <f>'Data Sheet'!H57+'Data Sheet'!H58+'Data Sheet'!H59</f>
        <v>360.19</v>
      </c>
      <c r="I10" s="249">
        <f>'Data Sheet'!I57+'Data Sheet'!I58+'Data Sheet'!I59</f>
        <v>363.84</v>
      </c>
      <c r="J10" s="249">
        <f>'Data Sheet'!J57+'Data Sheet'!J58+'Data Sheet'!J59</f>
        <v>354.76</v>
      </c>
      <c r="K10" s="249">
        <f>'Data Sheet'!K57+'Data Sheet'!K58+'Data Sheet'!K59</f>
        <v>382.08000000000004</v>
      </c>
      <c r="L10" s="249"/>
      <c r="M10" s="249"/>
      <c r="N10" s="249"/>
      <c r="O10" s="249"/>
    </row>
    <row r="11" spans="1:18">
      <c r="A11" s="247" t="s">
        <v>115</v>
      </c>
      <c r="B11" s="250">
        <f>'Data Sheet'!B30</f>
        <v>13.24</v>
      </c>
      <c r="C11" s="250">
        <f>'Data Sheet'!C30</f>
        <v>9.42</v>
      </c>
      <c r="D11" s="250">
        <f>'Data Sheet'!D30</f>
        <v>18.53</v>
      </c>
      <c r="E11" s="250">
        <f>'Data Sheet'!E30</f>
        <v>42.44</v>
      </c>
      <c r="F11" s="250">
        <f>'Data Sheet'!F30</f>
        <v>23.88</v>
      </c>
      <c r="G11" s="250">
        <f>'Data Sheet'!G30</f>
        <v>30.98</v>
      </c>
      <c r="H11" s="250">
        <f>'Data Sheet'!H30</f>
        <v>48.14</v>
      </c>
      <c r="I11" s="250">
        <f>'Data Sheet'!I30</f>
        <v>51.18</v>
      </c>
      <c r="J11" s="250">
        <f>'Data Sheet'!J30</f>
        <v>44.46</v>
      </c>
      <c r="K11" s="250">
        <f>'Data Sheet'!K30</f>
        <v>55.65</v>
      </c>
      <c r="L11" s="250">
        <f>SUM('Data Sheet'!H49:K49)</f>
        <v>63.42</v>
      </c>
      <c r="M11" s="249">
        <f>SUM(I11:K11)</f>
        <v>151.29</v>
      </c>
      <c r="N11" s="249">
        <f>SUM(G11:K11)</f>
        <v>230.41000000000003</v>
      </c>
      <c r="O11" s="249">
        <f>SUM(C11:K11)</f>
        <v>324.67999999999995</v>
      </c>
    </row>
    <row r="12" spans="1:18">
      <c r="A12" s="247" t="s">
        <v>301</v>
      </c>
      <c r="B12" s="250">
        <f>'Data Sheet'!B82</f>
        <v>40.479999999999997</v>
      </c>
      <c r="C12" s="250">
        <f>'Data Sheet'!C82</f>
        <v>50.79</v>
      </c>
      <c r="D12" s="250">
        <f>'Data Sheet'!D82</f>
        <v>38.630000000000003</v>
      </c>
      <c r="E12" s="250">
        <f>'Data Sheet'!E82</f>
        <v>72.69</v>
      </c>
      <c r="F12" s="250">
        <f>'Data Sheet'!F82</f>
        <v>135.4</v>
      </c>
      <c r="G12" s="250">
        <f>'Data Sheet'!G82</f>
        <v>87.41</v>
      </c>
      <c r="H12" s="250">
        <f>'Data Sheet'!H82</f>
        <v>37.82</v>
      </c>
      <c r="I12" s="250">
        <f>'Data Sheet'!I82</f>
        <v>42.95</v>
      </c>
      <c r="J12" s="250">
        <f>'Data Sheet'!J82</f>
        <v>66.98</v>
      </c>
      <c r="K12" s="250">
        <f>'Data Sheet'!K82</f>
        <v>68.540000000000006</v>
      </c>
      <c r="L12" s="250"/>
      <c r="M12" s="249">
        <f>SUM(I12:K12)</f>
        <v>178.47000000000003</v>
      </c>
      <c r="N12" s="249">
        <f>SUM(G12:K12)</f>
        <v>303.70000000000005</v>
      </c>
      <c r="O12" s="249">
        <f>SUM(C12:K12)</f>
        <v>601.20999999999992</v>
      </c>
    </row>
    <row r="13" spans="1:18">
      <c r="A13" s="247" t="s">
        <v>219</v>
      </c>
      <c r="C13" s="250">
        <f>('Data Sheet'!C62-'Data Sheet'!B62)+('Data Sheet'!C63-'Data Sheet'!B63)+'Data Sheet'!C26</f>
        <v>15.740000000000016</v>
      </c>
      <c r="D13" s="250">
        <f>('Data Sheet'!D62-'Data Sheet'!C62)+('Data Sheet'!D63-'Data Sheet'!C63)+'Data Sheet'!D26</f>
        <v>1.9599999999999618</v>
      </c>
      <c r="E13" s="250">
        <f>('Data Sheet'!E62-'Data Sheet'!D62)+('Data Sheet'!E63-'Data Sheet'!D63)+'Data Sheet'!E26</f>
        <v>83.980000000000032</v>
      </c>
      <c r="F13" s="250">
        <f>('Data Sheet'!F62-'Data Sheet'!E62)+('Data Sheet'!F63-'Data Sheet'!E63)+'Data Sheet'!F26</f>
        <v>4.9700000000000024</v>
      </c>
      <c r="G13" s="250">
        <f>('Data Sheet'!G62-'Data Sheet'!F62)+('Data Sheet'!G63-'Data Sheet'!F63)+'Data Sheet'!G26</f>
        <v>8.9799999999999969</v>
      </c>
      <c r="H13" s="250">
        <f>('Data Sheet'!H62-'Data Sheet'!G62)+('Data Sheet'!H63-'Data Sheet'!G63)+'Data Sheet'!H26</f>
        <v>29.810000000000013</v>
      </c>
      <c r="I13" s="250">
        <f>('Data Sheet'!I62-'Data Sheet'!H62)+('Data Sheet'!I63-'Data Sheet'!H63)+'Data Sheet'!I26</f>
        <v>9.4500000000000135</v>
      </c>
      <c r="J13" s="379">
        <f>('Data Sheet'!J62-'Data Sheet'!I62)+('Data Sheet'!J63-'Data Sheet'!I63)+'Data Sheet'!J26</f>
        <v>15.079999999999961</v>
      </c>
      <c r="K13" s="250">
        <f>('Data Sheet'!K62-'Data Sheet'!J62)+('Data Sheet'!K63-'Data Sheet'!J63)+'Data Sheet'!K26</f>
        <v>28.140000000000022</v>
      </c>
      <c r="L13" s="250"/>
      <c r="M13" s="249">
        <f>SUM(I13:K13)</f>
        <v>52.669999999999995</v>
      </c>
      <c r="N13" s="249">
        <f>SUM(G13:K13)</f>
        <v>91.460000000000008</v>
      </c>
      <c r="O13" s="249">
        <f>SUM(C13:K13)</f>
        <v>198.10999999999999</v>
      </c>
    </row>
    <row r="14" spans="1:18">
      <c r="A14" s="247" t="s">
        <v>396</v>
      </c>
      <c r="B14" s="250">
        <f>'Data Sheet'!B31</f>
        <v>1.175</v>
      </c>
      <c r="C14" s="250">
        <f>'Data Sheet'!C31</f>
        <v>1.175</v>
      </c>
      <c r="D14" s="250">
        <f>'Data Sheet'!D31</f>
        <v>1.7625</v>
      </c>
      <c r="E14" s="250">
        <f>'Data Sheet'!E31</f>
        <v>2.9375</v>
      </c>
      <c r="F14" s="250">
        <f>'Data Sheet'!F31</f>
        <v>2.9375</v>
      </c>
      <c r="G14" s="250">
        <f>'Data Sheet'!G31</f>
        <v>5.5812499999999998</v>
      </c>
      <c r="H14" s="250">
        <f>'Data Sheet'!H31</f>
        <v>7.34375</v>
      </c>
      <c r="I14" s="250">
        <f>'Data Sheet'!I31</f>
        <v>8.2249999999999996</v>
      </c>
      <c r="J14" s="250">
        <f>'Data Sheet'!J31</f>
        <v>8.8125</v>
      </c>
      <c r="K14" s="250">
        <f>'Data Sheet'!K31</f>
        <v>0</v>
      </c>
      <c r="L14" s="250"/>
      <c r="M14" s="249">
        <f>SUM(I14:K14)</f>
        <v>17.037500000000001</v>
      </c>
      <c r="N14" s="249">
        <f>SUM(G14:K14)</f>
        <v>29.962499999999999</v>
      </c>
      <c r="O14" s="249">
        <f>SUM(C14:K14)</f>
        <v>38.774999999999999</v>
      </c>
    </row>
    <row r="15" spans="1:18">
      <c r="A15" s="247" t="s">
        <v>638</v>
      </c>
      <c r="C15" s="250">
        <f>C12-C13</f>
        <v>35.049999999999983</v>
      </c>
      <c r="D15" s="250">
        <f t="shared" ref="D15:K15" si="3">D12-D13</f>
        <v>36.670000000000044</v>
      </c>
      <c r="E15" s="250">
        <f t="shared" si="3"/>
        <v>-11.290000000000035</v>
      </c>
      <c r="F15" s="250">
        <f t="shared" si="3"/>
        <v>130.43</v>
      </c>
      <c r="G15" s="250">
        <f t="shared" si="3"/>
        <v>78.430000000000007</v>
      </c>
      <c r="H15" s="250">
        <f t="shared" si="3"/>
        <v>8.0099999999999874</v>
      </c>
      <c r="I15" s="250">
        <f t="shared" si="3"/>
        <v>33.499999999999986</v>
      </c>
      <c r="J15" s="250">
        <f t="shared" si="3"/>
        <v>51.900000000000041</v>
      </c>
      <c r="K15" s="250">
        <f t="shared" si="3"/>
        <v>40.399999999999984</v>
      </c>
      <c r="L15" s="250"/>
      <c r="M15" s="249">
        <f>SUM(I15:K15)</f>
        <v>125.80000000000001</v>
      </c>
      <c r="N15" s="249">
        <f>SUM(G15:K15)</f>
        <v>212.24</v>
      </c>
      <c r="O15" s="249">
        <f>SUM(C15:K15)</f>
        <v>403.1</v>
      </c>
    </row>
    <row r="16" spans="1:18">
      <c r="A16" s="247" t="s">
        <v>145</v>
      </c>
      <c r="B16" s="249">
        <f>Other_input_data!C43+Other_input_data!C51-Other_input_data!C8</f>
        <v>330.46648837500004</v>
      </c>
      <c r="C16" s="249">
        <f>Other_input_data!D43+Other_input_data!D51-Other_input_data!D8</f>
        <v>279.42447936249999</v>
      </c>
      <c r="D16" s="249">
        <f>Other_input_data!E43+Other_input_data!E51-Other_input_data!E8</f>
        <v>327.24464302499996</v>
      </c>
      <c r="E16" s="249">
        <f>Other_input_data!F43+Other_input_data!F51-Other_input_data!F8</f>
        <v>385.64250000000004</v>
      </c>
      <c r="F16" s="249">
        <f>Other_input_data!G43+Other_input_data!G51-Other_input_data!G8</f>
        <v>236.36634896249998</v>
      </c>
      <c r="G16" s="249">
        <f>Other_input_data!H43+Other_input_data!H51-Other_input_data!H8</f>
        <v>208.89586792499998</v>
      </c>
      <c r="H16" s="249">
        <f>Other_input_data!I43+Other_input_data!I51-Other_input_data!I8</f>
        <v>270.54421064999997</v>
      </c>
      <c r="I16" s="249">
        <f>Other_input_data!J43+Other_input_data!J51-Other_input_data!J8</f>
        <v>570.50374999999997</v>
      </c>
      <c r="J16" s="249">
        <f>Other_input_data!K43+Other_input_data!K51-Other_input_data!K8</f>
        <v>510.92687500000011</v>
      </c>
      <c r="K16" s="249">
        <f>Other_input_data!L43+Other_input_data!L51-Other_input_data!L8</f>
        <v>774.60115113500001</v>
      </c>
      <c r="L16" s="249">
        <f>(L2*L3)+Other_input_data!L51-Other_input_data!L8</f>
        <v>715.48</v>
      </c>
    </row>
    <row r="17" spans="1:18">
      <c r="A17" s="247" t="s">
        <v>603</v>
      </c>
      <c r="C17" s="251">
        <f>IFERROR(('Profit &amp; Loss'!C4-'Profit &amp; Loss'!B4)/'Profit &amp; Loss'!B4,"NA")</f>
        <v>0.14132528573263123</v>
      </c>
      <c r="D17" s="251">
        <f>IFERROR(('Profit &amp; Loss'!D4-'Profit &amp; Loss'!C4)/'Profit &amp; Loss'!C4,"NA")</f>
        <v>0.17057665260196903</v>
      </c>
      <c r="E17" s="251">
        <f>IFERROR(('Profit &amp; Loss'!E4-'Profit &amp; Loss'!D4)/'Profit &amp; Loss'!D4,"NA")</f>
        <v>0.57052914884413897</v>
      </c>
      <c r="F17" s="251">
        <f>IFERROR(('Profit &amp; Loss'!F4-'Profit &amp; Loss'!E4)/'Profit &amp; Loss'!E4,"NA")</f>
        <v>0.19174980108941805</v>
      </c>
      <c r="G17" s="251">
        <f>IFERROR(('Profit &amp; Loss'!G4-'Profit &amp; Loss'!F4)/'Profit &amp; Loss'!F4,"NA")</f>
        <v>2.1441043549712466E-2</v>
      </c>
      <c r="H17" s="251">
        <f>IFERROR(('Profit &amp; Loss'!H4-'Profit &amp; Loss'!G4)/'Profit &amp; Loss'!G4,"NA")</f>
        <v>0.19857211091279306</v>
      </c>
      <c r="I17" s="251">
        <f>IFERROR(('Profit &amp; Loss'!I4-'Profit &amp; Loss'!H4)/'Profit &amp; Loss'!H4,"NA")</f>
        <v>3.81517681110786E-2</v>
      </c>
      <c r="J17" s="252">
        <f>IFERROR(('Profit &amp; Loss'!J4-'Profit &amp; Loss'!I4)/'Profit &amp; Loss'!I4,"NA")</f>
        <v>-5.7175182334283708E-3</v>
      </c>
      <c r="K17" s="252">
        <f>IFERROR(('Profit &amp; Loss'!K4-'Profit &amp; Loss'!J4)/'Profit &amp; Loss'!J4,"NA")</f>
        <v>7.339374974600725E-2</v>
      </c>
      <c r="L17" s="252"/>
      <c r="N17" s="253"/>
      <c r="P17" s="253">
        <f>('Profit &amp; Loss'!K4/'Profit &amp; Loss'!H4)^(1/(3-1))-1</f>
        <v>5.2603594798253495E-2</v>
      </c>
      <c r="Q17" s="253">
        <f>('Profit &amp; Loss'!K4/'Profit &amp; Loss'!F4)^(1/(5-1))-1</f>
        <v>7.9199642057169894E-2</v>
      </c>
      <c r="R17" s="253">
        <f>('Profit &amp; Loss'!K4/'Profit &amp; Loss'!B4)^(1/(9-1))-1</f>
        <v>0.16494640256207393</v>
      </c>
    </row>
    <row r="18" spans="1:18">
      <c r="A18" s="247" t="s">
        <v>604</v>
      </c>
      <c r="C18" s="251">
        <f>IFERROR(('Profit &amp; Loss'!C12-'Profit &amp; Loss'!B12)/'Profit &amp; Loss'!B12,"NA")</f>
        <v>-0.28851963746223569</v>
      </c>
      <c r="D18" s="251">
        <f>IFERROR(('Profit &amp; Loss'!D12-'Profit &amp; Loss'!C12)/'Profit &amp; Loss'!C12,"NA")</f>
        <v>0.96709129511677294</v>
      </c>
      <c r="E18" s="251">
        <f>IFERROR(('Profit &amp; Loss'!E12-'Profit &amp; Loss'!D12)/'Profit &amp; Loss'!D12,"NA")</f>
        <v>1.2903399892066916</v>
      </c>
      <c r="F18" s="251">
        <f>IFERROR(('Profit &amp; Loss'!F12-'Profit &amp; Loss'!E12)/'Profit &amp; Loss'!E12,"NA")</f>
        <v>-0.43732327992459941</v>
      </c>
      <c r="G18" s="251">
        <f>IFERROR(('Profit &amp; Loss'!G12-'Profit &amp; Loss'!F12)/'Profit &amp; Loss'!F12,"NA")</f>
        <v>0.29731993299832504</v>
      </c>
      <c r="H18" s="251">
        <f>IFERROR(('Profit &amp; Loss'!H12-'Profit &amp; Loss'!G12)/'Profit &amp; Loss'!G12,"NA")</f>
        <v>0.55390574564234984</v>
      </c>
      <c r="I18" s="251">
        <f>IFERROR(('Profit &amp; Loss'!I12-'Profit &amp; Loss'!H12)/'Profit &amp; Loss'!H12,"NA")</f>
        <v>6.3149148317407547E-2</v>
      </c>
      <c r="J18" s="254">
        <f>IFERROR(('Profit &amp; Loss'!J12-'Profit &amp; Loss'!I12)/'Profit &amp; Loss'!I12,"NA")</f>
        <v>-0.1313012895662368</v>
      </c>
      <c r="K18" s="254">
        <f>IFERROR(('Profit &amp; Loss'!K12-'Profit &amp; Loss'!J12)/'Profit &amp; Loss'!J12,"NA")</f>
        <v>0.25168690958164636</v>
      </c>
      <c r="L18" s="254"/>
      <c r="P18" s="253">
        <f>('Profit &amp; Loss'!K12/'Profit &amp; Loss'!H12)^(1/(3-1))-1</f>
        <v>7.5175950084164223E-2</v>
      </c>
      <c r="Q18" s="253">
        <f>('Profit &amp; Loss'!K12/'Profit &amp; Loss'!F12)^(1/(5-1))-1</f>
        <v>0.23554256476177748</v>
      </c>
      <c r="R18" s="253">
        <f>('Profit &amp; Loss'!K12/'Profit &amp; Loss'!B12)^(1/(9-1))-1</f>
        <v>0.19659490121185907</v>
      </c>
    </row>
    <row r="19" spans="1:18">
      <c r="A19" s="247" t="s">
        <v>639</v>
      </c>
      <c r="B19" s="251">
        <f t="shared" ref="B19:K19" si="4">B8/B4</f>
        <v>2.7353281109541539E-2</v>
      </c>
      <c r="C19" s="251">
        <f t="shared" si="4"/>
        <v>4.0618846694796061E-2</v>
      </c>
      <c r="D19" s="251">
        <f t="shared" si="4"/>
        <v>0.11371173162877878</v>
      </c>
      <c r="E19" s="251">
        <f t="shared" si="4"/>
        <v>6.4783646489993282E-2</v>
      </c>
      <c r="F19" s="251">
        <f t="shared" si="4"/>
        <v>2.7038824979457681E-2</v>
      </c>
      <c r="G19" s="251">
        <f t="shared" si="4"/>
        <v>1.6415696724402323E-2</v>
      </c>
      <c r="H19" s="251">
        <f t="shared" si="4"/>
        <v>1.1955199463064727E-2</v>
      </c>
      <c r="I19" s="251">
        <f t="shared" si="4"/>
        <v>1.2202759763217972E-2</v>
      </c>
      <c r="J19" s="251">
        <f t="shared" si="4"/>
        <v>3.7590929410330397E-2</v>
      </c>
      <c r="K19" s="251">
        <f t="shared" si="4"/>
        <v>7.7689016772044067E-2</v>
      </c>
      <c r="L19" s="251"/>
      <c r="M19" s="251">
        <f>SUM(I8:K8)/SUM(I4:K4)</f>
        <v>4.3276559520117198E-2</v>
      </c>
      <c r="N19" s="251">
        <f>SUM(F8:I8)/SUM(F4:I4)</f>
        <v>1.6373125334000385E-2</v>
      </c>
      <c r="O19" s="251">
        <f>SUM(B8:I8)/SUM(B4:I4)</f>
        <v>3.2394226816680124E-2</v>
      </c>
    </row>
    <row r="20" spans="1:18">
      <c r="A20" s="247" t="s">
        <v>264</v>
      </c>
      <c r="B20" s="251">
        <f t="shared" ref="B20:K20" si="5">B9/B4</f>
        <v>0.69416977012970327</v>
      </c>
      <c r="C20" s="251">
        <f t="shared" si="5"/>
        <v>0.61277074542897325</v>
      </c>
      <c r="D20" s="251">
        <f t="shared" si="5"/>
        <v>0.65660594992069976</v>
      </c>
      <c r="E20" s="251">
        <f t="shared" si="5"/>
        <v>0.46034029010343358</v>
      </c>
      <c r="F20" s="251">
        <f t="shared" si="5"/>
        <v>0.21240755957271981</v>
      </c>
      <c r="G20" s="251">
        <f t="shared" si="5"/>
        <v>0.23173030996254307</v>
      </c>
      <c r="H20" s="251">
        <f t="shared" si="5"/>
        <v>0.27874491379671967</v>
      </c>
      <c r="I20" s="255">
        <f t="shared" si="5"/>
        <v>0.29199749479766451</v>
      </c>
      <c r="J20" s="255">
        <f t="shared" si="5"/>
        <v>0.25230625431787701</v>
      </c>
      <c r="K20" s="255">
        <f t="shared" si="5"/>
        <v>0.28679059554007497</v>
      </c>
      <c r="L20" s="255"/>
      <c r="M20" s="251">
        <f>SUM(I9:K9)/SUM(I4:K4)</f>
        <v>0.27729201449151036</v>
      </c>
      <c r="N20" s="251">
        <f>SUM(F9:I9)/SUM(F4:I4)</f>
        <v>0.25715471466418038</v>
      </c>
      <c r="O20" s="251">
        <f>SUM(B9:I9)/SUM(B4:I4)</f>
        <v>0.36402493795959384</v>
      </c>
    </row>
    <row r="21" spans="1:18">
      <c r="A21" s="247" t="s">
        <v>199</v>
      </c>
      <c r="B21" s="256">
        <f t="shared" ref="B21:K21" si="6">B11/B4</f>
        <v>8.5013484011814563E-2</v>
      </c>
      <c r="C21" s="256">
        <f t="shared" si="6"/>
        <v>5.2995780590717301E-2</v>
      </c>
      <c r="D21" s="256">
        <f t="shared" si="6"/>
        <v>8.9056567501321682E-2</v>
      </c>
      <c r="E21" s="256">
        <f t="shared" si="6"/>
        <v>0.12987330926005264</v>
      </c>
      <c r="F21" s="256">
        <f t="shared" si="6"/>
        <v>6.1318816762530814E-2</v>
      </c>
      <c r="G21" s="256">
        <f t="shared" si="6"/>
        <v>7.7880288594484523E-2</v>
      </c>
      <c r="H21" s="256">
        <f t="shared" si="6"/>
        <v>0.10096900037753262</v>
      </c>
      <c r="I21" s="257">
        <f t="shared" si="6"/>
        <v>0.10340020607309533</v>
      </c>
      <c r="J21" s="257">
        <f t="shared" si="6"/>
        <v>9.0340147112610236E-2</v>
      </c>
      <c r="K21" s="257">
        <f t="shared" si="6"/>
        <v>0.10534585242115625</v>
      </c>
      <c r="L21" s="257">
        <f>L11/L4</f>
        <v>0.10399619566108587</v>
      </c>
      <c r="M21" s="251">
        <f>SUM(I11:K11)/SUM(I4:K4)</f>
        <v>9.9837003504094718E-2</v>
      </c>
      <c r="N21" s="251">
        <f>SUM(F11:I11)/SUM(F4:I4)</f>
        <v>8.7653071666534021E-2</v>
      </c>
      <c r="O21" s="251">
        <f>SUM(B11:I11)/SUM(B4:I4)</f>
        <v>9.0514288324223938E-2</v>
      </c>
    </row>
    <row r="22" spans="1:18">
      <c r="A22" s="247" t="s">
        <v>133</v>
      </c>
      <c r="B22" s="251">
        <f>'Data Sheet'!B29/'Data Sheet'!B28</f>
        <v>0.30462184873949583</v>
      </c>
      <c r="C22" s="251">
        <f>'Data Sheet'!C29/'Data Sheet'!C28</f>
        <v>0.28419452887537994</v>
      </c>
      <c r="D22" s="251">
        <f>'Data Sheet'!D29/'Data Sheet'!D28</f>
        <v>0.21781342338539467</v>
      </c>
      <c r="E22" s="255">
        <f>'Data Sheet'!E29/'Data Sheet'!E28</f>
        <v>0.29041966226383548</v>
      </c>
      <c r="F22" s="255">
        <f>'Data Sheet'!F29/'Data Sheet'!F28</f>
        <v>0.25723172628304819</v>
      </c>
      <c r="G22" s="251">
        <f>'Data Sheet'!G29/'Data Sheet'!G28</f>
        <v>0.23807181505164782</v>
      </c>
      <c r="H22" s="251">
        <f>'Data Sheet'!H29/'Data Sheet'!H28</f>
        <v>0.19309420046932618</v>
      </c>
      <c r="I22" s="251">
        <f>'Data Sheet'!I29/'Data Sheet'!I28</f>
        <v>0.19742825780147402</v>
      </c>
      <c r="J22" s="255">
        <f>'Data Sheet'!J29/'Data Sheet'!J28</f>
        <v>0.24592944369063771</v>
      </c>
      <c r="K22" s="251">
        <f>'Data Sheet'!K29/'Data Sheet'!K28</f>
        <v>0.22643869891576313</v>
      </c>
      <c r="L22" s="251"/>
      <c r="M22" s="251">
        <f>SUM('Data Sheet'!I29:K29)/SUM('Data Sheet'!I30:K30)</f>
        <v>0.28673408685306362</v>
      </c>
      <c r="N22" s="251">
        <f>SUM('Data Sheet'!F29:I29)/SUM('Data Sheet'!F30:I30)</f>
        <v>0.27279802827863536</v>
      </c>
      <c r="O22" s="251">
        <f>SUM('Data Sheet'!B29:I29)/SUM('Data Sheet'!B30:I30)</f>
        <v>0.31171943988898704</v>
      </c>
    </row>
    <row r="23" spans="1:18">
      <c r="A23" s="247" t="s">
        <v>640</v>
      </c>
      <c r="B23" s="250">
        <f t="shared" ref="B23:K23" si="7">B12-B11</f>
        <v>27.239999999999995</v>
      </c>
      <c r="C23" s="250">
        <f t="shared" si="7"/>
        <v>41.37</v>
      </c>
      <c r="D23" s="250">
        <f t="shared" si="7"/>
        <v>20.100000000000001</v>
      </c>
      <c r="E23" s="250">
        <f t="shared" si="7"/>
        <v>30.25</v>
      </c>
      <c r="F23" s="250">
        <f t="shared" si="7"/>
        <v>111.52000000000001</v>
      </c>
      <c r="G23" s="250">
        <f t="shared" si="7"/>
        <v>56.429999999999993</v>
      </c>
      <c r="H23" s="250">
        <f t="shared" si="7"/>
        <v>-10.32</v>
      </c>
      <c r="I23" s="250">
        <f t="shared" si="7"/>
        <v>-8.2299999999999969</v>
      </c>
      <c r="J23" s="250">
        <f t="shared" si="7"/>
        <v>22.520000000000003</v>
      </c>
      <c r="K23" s="250">
        <f t="shared" si="7"/>
        <v>12.890000000000008</v>
      </c>
      <c r="L23" s="250"/>
      <c r="M23" s="250">
        <f>M12-M11</f>
        <v>27.180000000000035</v>
      </c>
      <c r="N23" s="250">
        <f>N12-N11</f>
        <v>73.29000000000002</v>
      </c>
      <c r="O23" s="250">
        <f>O12-O11</f>
        <v>276.52999999999997</v>
      </c>
    </row>
    <row r="24" spans="1:18">
      <c r="A24" s="258" t="s">
        <v>648</v>
      </c>
      <c r="B24" s="250"/>
      <c r="C24" s="250"/>
      <c r="D24" s="250"/>
      <c r="E24" s="250"/>
      <c r="F24" s="250"/>
      <c r="G24" s="250"/>
      <c r="H24" s="250"/>
      <c r="I24" s="250"/>
      <c r="J24" s="250"/>
      <c r="K24" s="250"/>
      <c r="L24" s="250"/>
    </row>
    <row r="25" spans="1:18">
      <c r="A25" s="273" t="s">
        <v>649</v>
      </c>
      <c r="B25" s="251">
        <f>'Data Sheet'!B18/'Data Sheet'!B$17</f>
        <v>0.53820470014126098</v>
      </c>
      <c r="C25" s="251">
        <f>'Data Sheet'!C18/'Data Sheet'!C$17</f>
        <v>0.53383966244725733</v>
      </c>
      <c r="D25" s="251">
        <f>'Data Sheet'!D18/'Data Sheet'!D$17</f>
        <v>0.58124669582352095</v>
      </c>
      <c r="E25" s="251">
        <f>'Data Sheet'!E18/'Data Sheet'!E$17</f>
        <v>0.52249219658485835</v>
      </c>
      <c r="F25" s="251">
        <f>'Data Sheet'!F18/'Data Sheet'!F$17</f>
        <v>0.61167317173377156</v>
      </c>
      <c r="G25" s="251">
        <f>'Data Sheet'!G18/'Data Sheet'!G$17</f>
        <v>0.59833077754594122</v>
      </c>
      <c r="H25" s="251">
        <f>'Data Sheet'!H18/'Data Sheet'!H$17</f>
        <v>0.59968958429464325</v>
      </c>
      <c r="I25" s="254">
        <f>'Data Sheet'!I18/'Data Sheet'!I$17</f>
        <v>0.59429864436228463</v>
      </c>
      <c r="J25" s="254">
        <f>'Data Sheet'!J18/'Data Sheet'!J$17</f>
        <v>0.62173365302556194</v>
      </c>
      <c r="K25" s="254">
        <f>'Data Sheet'!K18/'Data Sheet'!K$17</f>
        <v>0.63623973043577031</v>
      </c>
      <c r="L25" s="254"/>
      <c r="M25" s="251">
        <f>SUM('Data Sheet'!I18:K18)/SUM('Data Sheet'!$I$17:$K$17)</f>
        <v>0.6178293090136403</v>
      </c>
      <c r="N25" s="251">
        <f>SUM('Data Sheet'!F18:I18)/SUM('Data Sheet'!$F$17:$I$17)</f>
        <v>0.60051848230224347</v>
      </c>
      <c r="O25" s="251">
        <f>SUM('Data Sheet'!B18:I18)/SUM('Data Sheet'!$B$17:$I$17)</f>
        <v>0.58108262411887412</v>
      </c>
    </row>
    <row r="26" spans="1:18">
      <c r="A26" s="276" t="s">
        <v>652</v>
      </c>
      <c r="B26" s="251">
        <f>'Data Sheet'!B19/'Data Sheet'!B$17</f>
        <v>2.6325927828432E-3</v>
      </c>
      <c r="C26" s="251">
        <f>'Data Sheet'!C19/'Data Sheet'!C$17</f>
        <v>-3.8255977496483829E-3</v>
      </c>
      <c r="D26" s="251">
        <f>'Data Sheet'!D19/'Data Sheet'!D$17</f>
        <v>1.40337386456481E-2</v>
      </c>
      <c r="E26" s="251">
        <f>'Data Sheet'!E19/'Data Sheet'!E$17</f>
        <v>3.0907644286676055E-3</v>
      </c>
      <c r="F26" s="251">
        <f>'Data Sheet'!F19/'Data Sheet'!F$17</f>
        <v>5.3923582580115033E-4</v>
      </c>
      <c r="G26" s="251">
        <f>'Data Sheet'!G19/'Data Sheet'!G$17</f>
        <v>7.7176399607833271E-3</v>
      </c>
      <c r="H26" s="251">
        <f>'Data Sheet'!H19/'Data Sheet'!H$17</f>
        <v>1.7576240614119724E-2</v>
      </c>
      <c r="I26" s="251">
        <f>'Data Sheet'!I19/'Data Sheet'!I$17</f>
        <v>-2.2041739903428489E-2</v>
      </c>
      <c r="J26" s="251">
        <f>'Data Sheet'!J19/'Data Sheet'!J$17</f>
        <v>9.2250172715081079E-3</v>
      </c>
      <c r="K26" s="255">
        <f>'Data Sheet'!K19/'Data Sheet'!K$17</f>
        <v>8.0642108052852764E-3</v>
      </c>
      <c r="L26" s="255"/>
      <c r="M26" s="251">
        <f>SUM('Data Sheet'!I19:K19)/SUM('Data Sheet'!$I$17:$K$17)</f>
        <v>-1.3923992160330483E-3</v>
      </c>
      <c r="N26" s="251">
        <f>SUM('Data Sheet'!F19:I19)/SUM('Data Sheet'!$F$17:$I$17)</f>
        <v>4.2638347223959342E-4</v>
      </c>
      <c r="O26" s="251">
        <f>SUM('Data Sheet'!B19:I19)/SUM('Data Sheet'!$B$17:$I$17)</f>
        <v>1.6785165111215994E-3</v>
      </c>
    </row>
    <row r="27" spans="1:18">
      <c r="A27" s="276" t="s">
        <v>653</v>
      </c>
      <c r="B27" s="251">
        <f>'Data Sheet'!B20/'Data Sheet'!B$17</f>
        <v>7.3070502118916136E-2</v>
      </c>
      <c r="C27" s="251">
        <f>'Data Sheet'!C20/'Data Sheet'!C$17</f>
        <v>8.4050632911392406E-2</v>
      </c>
      <c r="D27" s="251">
        <f>'Data Sheet'!D20/'Data Sheet'!D$17</f>
        <v>7.85312635170856E-2</v>
      </c>
      <c r="E27" s="251">
        <f>'Data Sheet'!E20/'Data Sheet'!E$17</f>
        <v>6.2610930901523976E-2</v>
      </c>
      <c r="F27" s="251">
        <f>'Data Sheet'!F20/'Data Sheet'!F$17</f>
        <v>3.6359901396877566E-2</v>
      </c>
      <c r="G27" s="251">
        <f>'Data Sheet'!G20/'Data Sheet'!G$17</f>
        <v>5.2288896151235574E-2</v>
      </c>
      <c r="H27" s="251">
        <f>'Data Sheet'!H20/'Data Sheet'!H$17</f>
        <v>5.476320315449474E-2</v>
      </c>
      <c r="I27" s="251">
        <f>'Data Sheet'!I20/'Data Sheet'!I$17</f>
        <v>5.1215225165161526E-2</v>
      </c>
      <c r="J27" s="251">
        <f>'Data Sheet'!J20/'Data Sheet'!J$17</f>
        <v>6.6424188239118942E-2</v>
      </c>
      <c r="K27" s="251">
        <f>'Data Sheet'!K20/'Data Sheet'!K$17</f>
        <v>4.4845341309203805E-2</v>
      </c>
      <c r="L27" s="251"/>
      <c r="M27" s="251">
        <f>SUM('Data Sheet'!I20:K20)/SUM('Data Sheet'!$I$17:$K$17)</f>
        <v>5.3934022713924661E-2</v>
      </c>
      <c r="N27" s="251">
        <f>SUM('Data Sheet'!F20:I20)/SUM('Data Sheet'!$F$17:$I$17)</f>
        <v>4.9130746227927548E-2</v>
      </c>
      <c r="O27" s="251">
        <f>SUM('Data Sheet'!B20:I20)/SUM('Data Sheet'!$B$17:$I$17)</f>
        <v>5.6917314982567788E-2</v>
      </c>
    </row>
    <row r="28" spans="1:18">
      <c r="A28" s="276" t="s">
        <v>654</v>
      </c>
      <c r="B28" s="251">
        <f>'Data Sheet'!B21/'Data Sheet'!B$17</f>
        <v>2.8894311031205853E-2</v>
      </c>
      <c r="C28" s="251">
        <f>'Data Sheet'!C21/'Data Sheet'!C$17</f>
        <v>2.6441631504922646E-2</v>
      </c>
      <c r="D28" s="251">
        <f>'Data Sheet'!D21/'Data Sheet'!D$17</f>
        <v>3.263324842601048E-2</v>
      </c>
      <c r="E28" s="251">
        <f>'Data Sheet'!E21/'Data Sheet'!E$17</f>
        <v>3.1886896382887574E-2</v>
      </c>
      <c r="F28" s="251">
        <f>'Data Sheet'!F21/'Data Sheet'!F$17</f>
        <v>2.1209942481511913E-2</v>
      </c>
      <c r="G28" s="251">
        <f>'Data Sheet'!G21/'Data Sheet'!G$17</f>
        <v>3.6929032906810121E-2</v>
      </c>
      <c r="H28" s="251">
        <f>'Data Sheet'!H21/'Data Sheet'!H$17</f>
        <v>2.5042996769998743E-2</v>
      </c>
      <c r="I28" s="251">
        <f>'Data Sheet'!I21/'Data Sheet'!I$17</f>
        <v>2.3940844899690887E-2</v>
      </c>
      <c r="J28" s="251">
        <f>'Data Sheet'!J21/'Data Sheet'!J$17</f>
        <v>2.3936278294794163E-2</v>
      </c>
      <c r="K28" s="251">
        <f>'Data Sheet'!K21/'Data Sheet'!K$17</f>
        <v>2.2583576269261347E-2</v>
      </c>
      <c r="L28" s="251"/>
      <c r="M28" s="251">
        <f>SUM('Data Sheet'!I21:K21)/SUM('Data Sheet'!$I$17:$K$17)</f>
        <v>2.3466216171628054E-2</v>
      </c>
      <c r="N28" s="251">
        <f>SUM('Data Sheet'!F21:I21)/SUM('Data Sheet'!$F$17:$I$17)</f>
        <v>2.6572217989971461E-2</v>
      </c>
      <c r="O28" s="251">
        <f>SUM('Data Sheet'!B21:I21)/SUM('Data Sheet'!$B$17:$I$17)</f>
        <v>2.7842059589239226E-2</v>
      </c>
    </row>
    <row r="29" spans="1:18">
      <c r="A29" s="276" t="s">
        <v>655</v>
      </c>
      <c r="B29" s="251">
        <f>'Data Sheet'!B22/'Data Sheet'!B$17</f>
        <v>6.0292795685116217E-2</v>
      </c>
      <c r="C29" s="251">
        <f>'Data Sheet'!C22/'Data Sheet'!C$17</f>
        <v>5.5189873417721524E-2</v>
      </c>
      <c r="D29" s="251">
        <f>'Data Sheet'!D22/'Data Sheet'!D$17</f>
        <v>5.3011005911472099E-2</v>
      </c>
      <c r="E29" s="251">
        <f>'Data Sheet'!E22/'Data Sheet'!E$17</f>
        <v>4.9727645510741172E-2</v>
      </c>
      <c r="F29" s="251">
        <f>'Data Sheet'!F22/'Data Sheet'!F$17</f>
        <v>5.0302999178307314E-2</v>
      </c>
      <c r="G29" s="251">
        <f>'Data Sheet'!G22/'Data Sheet'!G$17</f>
        <v>5.3219035169310439E-2</v>
      </c>
      <c r="H29" s="251">
        <f>'Data Sheet'!H22/'Data Sheet'!H$17</f>
        <v>5.0505474222912038E-2</v>
      </c>
      <c r="I29" s="251">
        <f>'Data Sheet'!I22/'Data Sheet'!I$17</f>
        <v>4.9174697456411495E-2</v>
      </c>
      <c r="J29" s="251">
        <f>'Data Sheet'!J22/'Data Sheet'!J$17</f>
        <v>5.1022066891534927E-2</v>
      </c>
      <c r="K29" s="255">
        <f>'Data Sheet'!K22/'Data Sheet'!K$17</f>
        <v>4.9937530761367505E-2</v>
      </c>
      <c r="L29" s="255"/>
      <c r="M29" s="251">
        <f>SUM('Data Sheet'!I22:K22)/SUM('Data Sheet'!$I$17:$K$17)</f>
        <v>5.0040584147765896E-2</v>
      </c>
      <c r="N29" s="251">
        <f>SUM('Data Sheet'!F22:I22)/SUM('Data Sheet'!$F$17:$I$17)</f>
        <v>5.0699837405769256E-2</v>
      </c>
      <c r="O29" s="251">
        <f>SUM('Data Sheet'!B22:I22)/SUM('Data Sheet'!$B$17:$I$17)</f>
        <v>5.1634365056407297E-2</v>
      </c>
    </row>
    <row r="30" spans="1:18">
      <c r="A30" s="276" t="s">
        <v>656</v>
      </c>
      <c r="B30" s="251">
        <f>'Data Sheet'!B23/'Data Sheet'!B$17</f>
        <v>4.65519455502761E-2</v>
      </c>
      <c r="C30" s="251">
        <f>'Data Sheet'!C23/'Data Sheet'!C$17</f>
        <v>3.887482419127989E-2</v>
      </c>
      <c r="D30" s="251">
        <f>'Data Sheet'!D23/'Data Sheet'!D$17</f>
        <v>4.2245398183303695E-2</v>
      </c>
      <c r="E30" s="251">
        <f>'Data Sheet'!E23/'Data Sheet'!E$17</f>
        <v>3.1458473590795032E-2</v>
      </c>
      <c r="F30" s="251">
        <f>'Data Sheet'!F23/'Data Sheet'!F$17</f>
        <v>4.7812243221035333E-2</v>
      </c>
      <c r="G30" s="251">
        <f>'Data Sheet'!G23/'Data Sheet'!G$17</f>
        <v>3.627542170491968E-2</v>
      </c>
      <c r="H30" s="251">
        <f>'Data Sheet'!H23/'Data Sheet'!H$17</f>
        <v>4.9226058140022649E-2</v>
      </c>
      <c r="I30" s="251">
        <f>'Data Sheet'!I23/'Data Sheet'!I$17</f>
        <v>5.3417378831040266E-2</v>
      </c>
      <c r="J30" s="251">
        <f>'Data Sheet'!J23/'Data Sheet'!J$17</f>
        <v>5.5350103629048644E-2</v>
      </c>
      <c r="K30" s="251">
        <f>'Data Sheet'!K23/'Data Sheet'!K$17</f>
        <v>5.5540832165978875E-2</v>
      </c>
      <c r="L30" s="251"/>
      <c r="M30" s="251">
        <f>SUM('Data Sheet'!I23:K23)/SUM('Data Sheet'!$I$17:$K$17)</f>
        <v>5.4785299959745806E-2</v>
      </c>
      <c r="N30" s="251">
        <f>SUM('Data Sheet'!F23:I23)/SUM('Data Sheet'!$F$17:$I$17)</f>
        <v>4.716369714266222E-2</v>
      </c>
      <c r="O30" s="251">
        <f>SUM('Data Sheet'!B23:I23)/SUM('Data Sheet'!$B$17:$I$17)</f>
        <v>4.4223771752203773E-2</v>
      </c>
    </row>
    <row r="31" spans="1:18">
      <c r="A31" s="276" t="s">
        <v>657</v>
      </c>
      <c r="B31" s="251">
        <f>'Data Sheet'!B24/'Data Sheet'!B$17</f>
        <v>5.9072813663798634E-3</v>
      </c>
      <c r="C31" s="251">
        <f>'Data Sheet'!C24/'Data Sheet'!C$17</f>
        <v>2.6835443037974679E-2</v>
      </c>
      <c r="D31" s="251">
        <f>'Data Sheet'!D24/'Data Sheet'!D$17</f>
        <v>3.7967991541308218E-3</v>
      </c>
      <c r="E31" s="251">
        <f>'Data Sheet'!E24/'Data Sheet'!E$17</f>
        <v>1.7748944243833771E-3</v>
      </c>
      <c r="F31" s="251">
        <f>'Data Sheet'!F24/'Data Sheet'!F$17</f>
        <v>3.2020336894001647E-2</v>
      </c>
      <c r="G31" s="251">
        <f>'Data Sheet'!G24/'Data Sheet'!G$17</f>
        <v>1.1513612710223987E-2</v>
      </c>
      <c r="H31" s="251">
        <f>'Data Sheet'!H24/'Data Sheet'!H$17</f>
        <v>2.0365787155501493E-2</v>
      </c>
      <c r="I31" s="251">
        <f>'Data Sheet'!I24/'Data Sheet'!I$17</f>
        <v>4.4649170656807478E-3</v>
      </c>
      <c r="J31" s="251">
        <f>'Data Sheet'!J24/'Data Sheet'!J$17</f>
        <v>1.8693867598650791E-3</v>
      </c>
      <c r="K31" s="251">
        <f>'Data Sheet'!K24/'Data Sheet'!K$17</f>
        <v>2.8395108469314351E-4</v>
      </c>
      <c r="L31" s="251"/>
      <c r="M31" s="251">
        <f>SUM('Data Sheet'!I24:K24)/SUM('Data Sheet'!$I$17:$K$17)</f>
        <v>2.1644878808475816E-3</v>
      </c>
      <c r="N31" s="251">
        <f>SUM('Data Sheet'!F24:I24)/SUM('Data Sheet'!$F$17:$I$17)</f>
        <v>1.6469772254374695E-2</v>
      </c>
      <c r="O31" s="251">
        <f>SUM('Data Sheet'!B24:I24)/SUM('Data Sheet'!$B$17:$I$17)</f>
        <v>1.3713594080660143E-2</v>
      </c>
    </row>
    <row r="32" spans="1:18">
      <c r="A32" s="273" t="s">
        <v>651</v>
      </c>
      <c r="B32" s="251">
        <f>'Data Sheet'!B25/'Data Sheet'!B$17</f>
        <v>4.5010915628611786E-2</v>
      </c>
      <c r="C32" s="251">
        <f>'Data Sheet'!C25/'Data Sheet'!C$17</f>
        <v>4.2250351617440222E-2</v>
      </c>
      <c r="D32" s="251">
        <f>'Data Sheet'!D25/'Data Sheet'!D$17</f>
        <v>7.2427548421204413E-2</v>
      </c>
      <c r="E32" s="251">
        <f>'Data Sheet'!E25/'Data Sheet'!E$17</f>
        <v>1.4076748883040579E-3</v>
      </c>
      <c r="F32" s="251">
        <f>'Data Sheet'!F25/'Data Sheet'!F$17</f>
        <v>1.7717748562037796E-3</v>
      </c>
      <c r="G32" s="251">
        <f>'Data Sheet'!G25/'Data Sheet'!G$17</f>
        <v>6.7875009427084644E-4</v>
      </c>
      <c r="H32" s="251">
        <f>'Data Sheet'!H25/'Data Sheet'!H$17</f>
        <v>4.6142875120600701E-4</v>
      </c>
      <c r="I32" s="251">
        <f>'Data Sheet'!I25/'Data Sheet'!I$17</f>
        <v>1.1111784552599148E-3</v>
      </c>
      <c r="J32" s="251">
        <f>'Data Sheet'!J25/'Data Sheet'!J$17</f>
        <v>3.5965375706099893E-3</v>
      </c>
      <c r="K32" s="251">
        <f>'Data Sheet'!K25/'Data Sheet'!K$17</f>
        <v>1.4765456404043464E-3</v>
      </c>
      <c r="L32" s="251"/>
      <c r="M32" s="251">
        <f>SUM('Data Sheet'!I25:K25)/SUM('Data Sheet'!$I$17:$K$17)</f>
        <v>2.045705009337654E-3</v>
      </c>
      <c r="N32" s="251">
        <f>SUM('Data Sheet'!F25:I25)/SUM('Data Sheet'!$F$17:$I$17)</f>
        <v>9.8352454263266205E-4</v>
      </c>
      <c r="O32" s="251">
        <f>SUM('Data Sheet'!B25:I25)/SUM('Data Sheet'!$B$17:$I$17)</f>
        <v>1.2095976127765177E-2</v>
      </c>
    </row>
    <row r="33" spans="1:15">
      <c r="A33" s="276" t="s">
        <v>658</v>
      </c>
      <c r="B33" s="256">
        <f>'Data Sheet'!B26/'Data Sheet'!B$17</f>
        <v>8.8930268396044676E-2</v>
      </c>
      <c r="C33" s="256">
        <f>'Data Sheet'!C26/'Data Sheet'!C$17</f>
        <v>0.10160337552742615</v>
      </c>
      <c r="D33" s="256">
        <f>'Data Sheet'!D26/'Data Sheet'!D$17</f>
        <v>0.10068726870764647</v>
      </c>
      <c r="E33" s="256">
        <f>'Data Sheet'!E26/'Data Sheet'!E$17</f>
        <v>7.4117143032009308E-2</v>
      </c>
      <c r="F33" s="256">
        <f>'Data Sheet'!F26/'Data Sheet'!F$17</f>
        <v>6.881676253081348E-2</v>
      </c>
      <c r="G33" s="256">
        <f>'Data Sheet'!G26/'Data Sheet'!G$17</f>
        <v>6.8955981799441915E-2</v>
      </c>
      <c r="H33" s="256">
        <f>'Data Sheet'!H26/'Data Sheet'!H$17</f>
        <v>6.6319895968790649E-2</v>
      </c>
      <c r="I33" s="256">
        <f>'Data Sheet'!I26/'Data Sheet'!I$17</f>
        <v>5.9256116532315085E-2</v>
      </c>
      <c r="J33" s="256">
        <f>'Data Sheet'!J26/'Data Sheet'!J$17</f>
        <v>6.079570853822084E-2</v>
      </c>
      <c r="K33" s="260">
        <f>'Data Sheet'!K26/'Data Sheet'!K$17</f>
        <v>5.5559762238291753E-2</v>
      </c>
      <c r="L33" s="260"/>
      <c r="M33" s="251">
        <f>SUM('Data Sheet'!I26:K26)/SUM('Data Sheet'!$I$17:$K$17)</f>
        <v>5.8467568976553579E-2</v>
      </c>
      <c r="N33" s="251">
        <f>SUM('Data Sheet'!F26:I26)/SUM('Data Sheet'!$F$17:$I$17)</f>
        <v>6.5481131110075155E-2</v>
      </c>
      <c r="O33" s="251">
        <f>SUM('Data Sheet'!B26:I26)/SUM('Data Sheet'!$B$17:$I$17)</f>
        <v>7.3177230029079068E-2</v>
      </c>
    </row>
    <row r="34" spans="1:15">
      <c r="A34" s="247" t="s">
        <v>427</v>
      </c>
      <c r="B34" s="251">
        <f>1-B25</f>
        <v>0.46179529985873902</v>
      </c>
      <c r="C34" s="251">
        <f t="shared" ref="C34:O34" si="8">1-C25</f>
        <v>0.46616033755274267</v>
      </c>
      <c r="D34" s="251">
        <f t="shared" si="8"/>
        <v>0.41875330417647905</v>
      </c>
      <c r="E34" s="251">
        <f t="shared" si="8"/>
        <v>0.47750780341514165</v>
      </c>
      <c r="F34" s="251">
        <f t="shared" si="8"/>
        <v>0.38832682826622844</v>
      </c>
      <c r="G34" s="251">
        <f t="shared" si="8"/>
        <v>0.40166922245405878</v>
      </c>
      <c r="H34" s="254">
        <f t="shared" si="8"/>
        <v>0.40031041570535675</v>
      </c>
      <c r="I34" s="254">
        <f t="shared" si="8"/>
        <v>0.40570135563771537</v>
      </c>
      <c r="J34" s="254">
        <f t="shared" si="8"/>
        <v>0.37826634697443806</v>
      </c>
      <c r="K34" s="254">
        <f t="shared" si="8"/>
        <v>0.36376026956422969</v>
      </c>
      <c r="L34" s="254"/>
      <c r="M34" s="254">
        <f t="shared" si="8"/>
        <v>0.3821706909863597</v>
      </c>
      <c r="N34" s="254">
        <f t="shared" si="8"/>
        <v>0.39948151769775653</v>
      </c>
      <c r="O34" s="254">
        <f t="shared" si="8"/>
        <v>0.41891737588112588</v>
      </c>
    </row>
    <row r="35" spans="1:15">
      <c r="A35" s="247" t="s">
        <v>650</v>
      </c>
      <c r="B35" s="251">
        <f>('Data Sheet'!B28+'Data Sheet'!B27)/'Data Sheet'!B17</f>
        <v>0.205791704122255</v>
      </c>
      <c r="C35" s="251">
        <f>('Data Sheet'!C28+'Data Sheet'!C27)/'Data Sheet'!C17</f>
        <v>0.17158931082981715</v>
      </c>
      <c r="D35" s="251">
        <f>('Data Sheet'!D28+'Data Sheet'!D27)/'Data Sheet'!D17</f>
        <v>0.19430960734368241</v>
      </c>
      <c r="E35" s="251">
        <f>('Data Sheet'!E28+'Data Sheet'!E27)/'Data Sheet'!E17</f>
        <v>0.23043025888977295</v>
      </c>
      <c r="F35" s="251">
        <f>('Data Sheet'!F28+'Data Sheet'!F27)/'Data Sheet'!F17</f>
        <v>0.13411565324568611</v>
      </c>
      <c r="G35" s="251">
        <f>('Data Sheet'!G28+'Data Sheet'!G27)/'Data Sheet'!G17</f>
        <v>0.15090877095955152</v>
      </c>
      <c r="H35" s="251">
        <f>('Data Sheet'!H28+'Data Sheet'!H27)/'Data Sheet'!H17</f>
        <v>0.15212466965896221</v>
      </c>
      <c r="I35" s="251">
        <f>('Data Sheet'!I28+'Data Sheet'!I27)/'Data Sheet'!I17</f>
        <v>0.14332181748388789</v>
      </c>
      <c r="J35" s="251">
        <f>('Data Sheet'!J28+'Data Sheet'!J27)/'Data Sheet'!J17</f>
        <v>0.13173080830657943</v>
      </c>
      <c r="K35" s="251">
        <f>('Data Sheet'!K28+'Data Sheet'!K27)/'Data Sheet'!K17</f>
        <v>0.14456896225343582</v>
      </c>
      <c r="L35" s="251"/>
      <c r="M35" s="251">
        <f>(SUM('Data Sheet'!I28:K28)+SUM('Data Sheet'!I27:K27))/SUM('Data Sheet'!$I$17:$K$17)</f>
        <v>0.13999221312286769</v>
      </c>
      <c r="N35" s="251">
        <f>(SUM('Data Sheet'!F28:I28)+SUM('Data Sheet'!F27:I27))/SUM('Data Sheet'!$F$17:$I$17)</f>
        <v>0.14538539380777496</v>
      </c>
      <c r="O35" s="251">
        <f>(SUM('Data Sheet'!B28:I28)+SUM('Data Sheet'!B27:I27))/SUM('Data Sheet'!$B$17:$I$17)</f>
        <v>0.16519114534963386</v>
      </c>
    </row>
    <row r="36" spans="1:15">
      <c r="A36" s="247" t="s">
        <v>199</v>
      </c>
      <c r="B36" s="256">
        <f>'Data Sheet'!B30/'Data Sheet'!B17</f>
        <v>8.5013484011814563E-2</v>
      </c>
      <c r="C36" s="256">
        <f>'Data Sheet'!C30/'Data Sheet'!C17</f>
        <v>5.2995780590717301E-2</v>
      </c>
      <c r="D36" s="256">
        <f>'Data Sheet'!D30/'Data Sheet'!D17</f>
        <v>8.9056567501321682E-2</v>
      </c>
      <c r="E36" s="256">
        <f>'Data Sheet'!E30/'Data Sheet'!E17</f>
        <v>0.12987330926005264</v>
      </c>
      <c r="F36" s="256">
        <f>'Data Sheet'!F30/'Data Sheet'!F17</f>
        <v>6.1318816762530814E-2</v>
      </c>
      <c r="G36" s="256">
        <f>'Data Sheet'!G30/'Data Sheet'!G17</f>
        <v>7.7880288594484523E-2</v>
      </c>
      <c r="H36" s="256">
        <f>'Data Sheet'!H30/'Data Sheet'!H17</f>
        <v>0.10096900037753262</v>
      </c>
      <c r="I36" s="256">
        <f>'Data Sheet'!I30/'Data Sheet'!I17</f>
        <v>0.10340020607309533</v>
      </c>
      <c r="J36" s="256">
        <f>'Data Sheet'!J30/'Data Sheet'!J17</f>
        <v>9.0340147112610236E-2</v>
      </c>
      <c r="K36" s="256">
        <f>'Data Sheet'!K30/'Data Sheet'!K17</f>
        <v>0.10534585242115625</v>
      </c>
      <c r="L36" s="256"/>
      <c r="M36" s="251">
        <f>SUM('Data Sheet'!I30:K30)/SUM('Data Sheet'!$I$17:$K$17)</f>
        <v>9.9837003504094718E-2</v>
      </c>
      <c r="N36" s="251">
        <f>SUM('Data Sheet'!F30:I30)/SUM('Data Sheet'!$F$17:$I$17)</f>
        <v>8.7653071666534021E-2</v>
      </c>
      <c r="O36" s="251">
        <f>SUM('Data Sheet'!B30:I30)/SUM('Data Sheet'!$B$17:$I$17)</f>
        <v>9.0514288324223938E-2</v>
      </c>
    </row>
    <row r="37" spans="1:15">
      <c r="A37" s="247" t="s">
        <v>133</v>
      </c>
      <c r="B37" s="251">
        <f>'Data Sheet'!B29/'Data Sheet'!B28</f>
        <v>0.30462184873949583</v>
      </c>
      <c r="C37" s="251">
        <f>'Data Sheet'!C29/'Data Sheet'!C28</f>
        <v>0.28419452887537994</v>
      </c>
      <c r="D37" s="251">
        <f>'Data Sheet'!D29/'Data Sheet'!D28</f>
        <v>0.21781342338539467</v>
      </c>
      <c r="E37" s="255">
        <f>'Data Sheet'!E29/'Data Sheet'!E28</f>
        <v>0.29041966226383548</v>
      </c>
      <c r="F37" s="255">
        <f>'Data Sheet'!F29/'Data Sheet'!F28</f>
        <v>0.25723172628304819</v>
      </c>
      <c r="G37" s="251">
        <f>'Data Sheet'!G29/'Data Sheet'!G28</f>
        <v>0.23807181505164782</v>
      </c>
      <c r="H37" s="251">
        <f>'Data Sheet'!H29/'Data Sheet'!H28</f>
        <v>0.19309420046932618</v>
      </c>
      <c r="I37" s="251">
        <f>'Data Sheet'!I29/'Data Sheet'!I28</f>
        <v>0.19742825780147402</v>
      </c>
      <c r="J37" s="255">
        <f>'Data Sheet'!J29/'Data Sheet'!J28</f>
        <v>0.24592944369063771</v>
      </c>
      <c r="K37" s="251">
        <f>'Data Sheet'!K29/'Data Sheet'!K28</f>
        <v>0.22643869891576313</v>
      </c>
      <c r="L37" s="251"/>
      <c r="M37" s="251">
        <f>SUM('Data Sheet'!I29:K29)/SUM('Data Sheet'!$I$28:$K$28)</f>
        <v>0.22283865002311601</v>
      </c>
      <c r="N37" s="251">
        <f>SUM('Data Sheet'!F29:I29)/SUM('Data Sheet'!$F$28:$I$28)</f>
        <v>0.21432939258051364</v>
      </c>
      <c r="O37" s="251">
        <f>SUM('Data Sheet'!B29:I29)/SUM('Data Sheet'!$B$28:$I$28)</f>
        <v>0.23764185420273132</v>
      </c>
    </row>
    <row r="38" spans="1:15" ht="21" customHeight="1">
      <c r="A38" s="258" t="s">
        <v>619</v>
      </c>
    </row>
    <row r="39" spans="1:15">
      <c r="A39" s="247" t="s">
        <v>610</v>
      </c>
      <c r="B39" s="251">
        <f>('Data Sheet'!B62+'Data Sheet'!B45)/'Data Sheet'!B61</f>
        <v>0.61257597621233983</v>
      </c>
      <c r="C39" s="251">
        <f>('Data Sheet'!C62+'Data Sheet'!C45)/'Data Sheet'!C61</f>
        <v>0.6805974239517677</v>
      </c>
      <c r="D39" s="251">
        <f>('Data Sheet'!D62+'Data Sheet'!D45)/'Data Sheet'!D61</f>
        <v>0.59968592694574707</v>
      </c>
      <c r="E39" s="251">
        <f>('Data Sheet'!E62+'Data Sheet'!E45)/'Data Sheet'!E61</f>
        <v>0.62659293099302726</v>
      </c>
      <c r="F39" s="251">
        <f>('Data Sheet'!F62+'Data Sheet'!F45)/'Data Sheet'!F61</f>
        <v>0.72501483815002521</v>
      </c>
      <c r="G39" s="251">
        <f>('Data Sheet'!G62+'Data Sheet'!G45)/'Data Sheet'!G61</f>
        <v>0.70616775537252674</v>
      </c>
      <c r="H39" s="251">
        <f>('Data Sheet'!H62+'Data Sheet'!H45)/'Data Sheet'!H61</f>
        <v>0.65081249862567903</v>
      </c>
      <c r="I39" s="251">
        <f>('Data Sheet'!I62+'Data Sheet'!I45)/'Data Sheet'!I61</f>
        <v>0.61621393322366969</v>
      </c>
      <c r="J39" s="251">
        <f>('Data Sheet'!J62+'Data Sheet'!J45)/'Data Sheet'!J61</f>
        <v>0.61925199264255049</v>
      </c>
      <c r="K39" s="251">
        <f>('Data Sheet'!K62+'Data Sheet'!K45)/'Data Sheet'!K61</f>
        <v>0.54828680069746438</v>
      </c>
      <c r="L39" s="251"/>
      <c r="M39" s="274">
        <f>AVERAGE(I39:K39)</f>
        <v>0.59458424218789485</v>
      </c>
      <c r="N39" s="274">
        <f>AVERAGE(G39:K39)</f>
        <v>0.628146596112378</v>
      </c>
      <c r="O39" s="274">
        <f>AVERAGE(B39:K39)</f>
        <v>0.63852000768147976</v>
      </c>
    </row>
    <row r="40" spans="1:15">
      <c r="A40" s="247" t="s">
        <v>611</v>
      </c>
      <c r="B40" s="251">
        <f>'Data Sheet'!B62/'Data Sheet'!B61</f>
        <v>0.59593773230136871</v>
      </c>
      <c r="C40" s="251">
        <f>'Data Sheet'!C62/'Data Sheet'!C61</f>
        <v>0.66410888827989412</v>
      </c>
      <c r="D40" s="251">
        <f>'Data Sheet'!D62/'Data Sheet'!D61</f>
        <v>0.5841113453512885</v>
      </c>
      <c r="E40" s="251">
        <f>'Data Sheet'!E62/'Data Sheet'!E61</f>
        <v>0.61288771339264247</v>
      </c>
      <c r="F40" s="251">
        <f>'Data Sheet'!F62/'Data Sheet'!F61</f>
        <v>0.70793955165958999</v>
      </c>
      <c r="G40" s="251">
        <f>'Data Sheet'!G62/'Data Sheet'!G61</f>
        <v>0.68945848717220493</v>
      </c>
      <c r="H40" s="251">
        <f>'Data Sheet'!H62/'Data Sheet'!H61</f>
        <v>0.63517822195835261</v>
      </c>
      <c r="I40" s="251">
        <f>'Data Sheet'!I62/'Data Sheet'!I61</f>
        <v>0.60012003734495178</v>
      </c>
      <c r="J40" s="251">
        <f>'Data Sheet'!J62/'Data Sheet'!J61</f>
        <v>0.60166014243267463</v>
      </c>
      <c r="K40" s="251">
        <f>'Data Sheet'!K62/'Data Sheet'!K61</f>
        <v>0.53345517951303545</v>
      </c>
      <c r="L40" s="251"/>
      <c r="M40" s="274">
        <f t="shared" ref="M40:M52" si="9">AVERAGE(I40:K40)</f>
        <v>0.57841178643022062</v>
      </c>
      <c r="N40" s="274">
        <f t="shared" ref="N40:N52" si="10">AVERAGE(G40:K40)</f>
        <v>0.61197441368424388</v>
      </c>
      <c r="O40" s="274">
        <f t="shared" ref="O40:O52" si="11">AVERAGE(B40:K40)</f>
        <v>0.62248572994060036</v>
      </c>
    </row>
    <row r="41" spans="1:15">
      <c r="A41" s="247" t="s">
        <v>606</v>
      </c>
      <c r="B41" s="251">
        <f>('Data Sheet'!B62+'Data Sheet'!B45)/'Data Sheet'!B17</f>
        <v>1.7990240143829459</v>
      </c>
      <c r="C41" s="251">
        <f>('Data Sheet'!C62+'Data Sheet'!C45)/'Data Sheet'!C17</f>
        <v>1.67662447257384</v>
      </c>
      <c r="D41" s="251">
        <f>('Data Sheet'!D62+'Data Sheet'!D45)/'Data Sheet'!D17</f>
        <v>1.3397894939203152</v>
      </c>
      <c r="E41" s="251">
        <f>('Data Sheet'!E62+'Data Sheet'!E45)/'Data Sheet'!E17</f>
        <v>1.0367219536079322</v>
      </c>
      <c r="F41" s="251">
        <f>('Data Sheet'!F62+'Data Sheet'!F45)/'Data Sheet'!F17</f>
        <v>0.81552999178307317</v>
      </c>
      <c r="G41" s="251">
        <f>('Data Sheet'!G62+'Data Sheet'!G45)/'Data Sheet'!G17</f>
        <v>0.75006913195404612</v>
      </c>
      <c r="H41" s="251">
        <f>('Data Sheet'!H62+'Data Sheet'!H45)/'Data Sheet'!H17</f>
        <v>0.62076848861109957</v>
      </c>
      <c r="I41" s="251">
        <f>('Data Sheet'!I62+'Data Sheet'!I45)/'Data Sheet'!I17</f>
        <v>0.56005414469563819</v>
      </c>
      <c r="J41" s="251">
        <f>('Data Sheet'!J62+'Data Sheet'!J45)/'Data Sheet'!J17</f>
        <v>0.53358800341366275</v>
      </c>
      <c r="K41" s="251">
        <f>('Data Sheet'!K62+'Data Sheet'!K45)/'Data Sheet'!K17</f>
        <v>0.4940559572937569</v>
      </c>
      <c r="L41" s="251"/>
      <c r="M41" s="274">
        <f t="shared" si="9"/>
        <v>0.52923270180101922</v>
      </c>
      <c r="N41" s="274">
        <f t="shared" si="10"/>
        <v>0.59170714519364076</v>
      </c>
      <c r="O41" s="274">
        <f t="shared" si="11"/>
        <v>0.96262256522363077</v>
      </c>
    </row>
    <row r="42" spans="1:15">
      <c r="A42" s="247" t="s">
        <v>607</v>
      </c>
      <c r="B42" s="251">
        <f>('Data Sheet'!B62)/'Data Sheet'!B17</f>
        <v>1.7501605239501732</v>
      </c>
      <c r="C42" s="251">
        <f>('Data Sheet'!C62)/'Data Sheet'!C17</f>
        <v>1.6360056258790436</v>
      </c>
      <c r="D42" s="251">
        <f>('Data Sheet'!D62)/'Data Sheet'!D17</f>
        <v>1.3049935117989138</v>
      </c>
      <c r="E42" s="251">
        <f>('Data Sheet'!E62)/'Data Sheet'!E17</f>
        <v>1.0140461472550342</v>
      </c>
      <c r="F42" s="251">
        <f>('Data Sheet'!F62)/'Data Sheet'!F17</f>
        <v>0.79632292522596548</v>
      </c>
      <c r="G42" s="251">
        <f>('Data Sheet'!G62)/'Data Sheet'!G17</f>
        <v>0.73232107393348245</v>
      </c>
      <c r="H42" s="251">
        <f>('Data Sheet'!H62)/'Data Sheet'!H17</f>
        <v>0.60585595033348716</v>
      </c>
      <c r="I42" s="251">
        <f>('Data Sheet'!I62)/'Data Sheet'!I17</f>
        <v>0.54542699557548946</v>
      </c>
      <c r="J42" s="251">
        <f>('Data Sheet'!J62)/'Data Sheet'!J17</f>
        <v>0.51842971512171332</v>
      </c>
      <c r="K42" s="251">
        <f>('Data Sheet'!K62)/'Data Sheet'!K17</f>
        <v>0.48069132624086625</v>
      </c>
      <c r="L42" s="251"/>
      <c r="M42" s="274">
        <f t="shared" si="9"/>
        <v>0.51484934564602303</v>
      </c>
      <c r="N42" s="274">
        <f t="shared" si="10"/>
        <v>0.57654501224100774</v>
      </c>
      <c r="O42" s="274">
        <f t="shared" si="11"/>
        <v>0.93842537953141691</v>
      </c>
    </row>
    <row r="43" spans="1:15">
      <c r="A43" s="247" t="s">
        <v>605</v>
      </c>
      <c r="C43" s="251">
        <f>C13/'Data Sheet'!C61</f>
        <v>3.5945921256965413E-2</v>
      </c>
      <c r="D43" s="251">
        <f>D13/'Data Sheet'!D61</f>
        <v>4.2163231940798556E-3</v>
      </c>
      <c r="E43" s="251">
        <f>E13/'Data Sheet'!E61</f>
        <v>0.15532579947102676</v>
      </c>
      <c r="F43" s="251">
        <f>F13/'Data Sheet'!F61</f>
        <v>1.1345477788430813E-2</v>
      </c>
      <c r="G43" s="251">
        <f>G13/'Data Sheet'!G61</f>
        <v>2.1253431790211108E-2</v>
      </c>
      <c r="H43" s="251">
        <f>H13/'Data Sheet'!H61</f>
        <v>6.5549618488466729E-2</v>
      </c>
      <c r="I43" s="251">
        <f>I13/'Data Sheet'!I61</f>
        <v>2.1006535366558513E-2</v>
      </c>
      <c r="J43" s="251">
        <f>J13/'Data Sheet'!J61</f>
        <v>3.5561005518086969E-2</v>
      </c>
      <c r="K43" s="251">
        <f>K13/'Data Sheet'!K61</f>
        <v>5.9116405117539593E-2</v>
      </c>
      <c r="L43" s="251"/>
      <c r="M43" s="274">
        <f t="shared" si="9"/>
        <v>3.8561315334061687E-2</v>
      </c>
      <c r="N43" s="274">
        <f t="shared" si="10"/>
        <v>4.0497399256172587E-2</v>
      </c>
      <c r="O43" s="274">
        <f t="shared" si="11"/>
        <v>4.5480057554596193E-2</v>
      </c>
    </row>
    <row r="44" spans="1:15">
      <c r="A44" s="273" t="s">
        <v>617</v>
      </c>
      <c r="C44" s="251">
        <f>C13/('Data Sheet'!C62+'Data Sheet'!C45)</f>
        <v>5.2815247298839053E-2</v>
      </c>
      <c r="D44" s="251">
        <f>D13/('Data Sheet'!D62+'Data Sheet'!D45)</f>
        <v>7.0308856763638908E-3</v>
      </c>
      <c r="E44" s="251">
        <f>E13/('Data Sheet'!E62+'Data Sheet'!E45)</f>
        <v>0.24788948580199546</v>
      </c>
      <c r="F44" s="251">
        <f>F13/('Data Sheet'!F62+'Data Sheet'!F45)</f>
        <v>1.5648614609571794E-2</v>
      </c>
      <c r="G44" s="251">
        <f>G13/('Data Sheet'!G62+'Data Sheet'!G45)</f>
        <v>3.0096859603847562E-2</v>
      </c>
      <c r="H44" s="251">
        <f>H13/('Data Sheet'!H62+'Data Sheet'!H45)</f>
        <v>0.10071966753387171</v>
      </c>
      <c r="I44" s="251">
        <f>I13/('Data Sheet'!I62+'Data Sheet'!I45)</f>
        <v>3.4089679304498438E-2</v>
      </c>
      <c r="J44" s="251">
        <f>J13/('Data Sheet'!J62+'Data Sheet'!J45)</f>
        <v>5.7425742574257282E-2</v>
      </c>
      <c r="K44" s="251">
        <f>K13/('Data Sheet'!K62+'Data Sheet'!K45)</f>
        <v>0.10782022299704977</v>
      </c>
      <c r="L44" s="251"/>
      <c r="M44" s="274">
        <f t="shared" si="9"/>
        <v>6.6445214958601825E-2</v>
      </c>
      <c r="N44" s="274">
        <f t="shared" si="10"/>
        <v>6.6030434402704952E-2</v>
      </c>
      <c r="O44" s="274">
        <f t="shared" si="11"/>
        <v>7.261515615558832E-2</v>
      </c>
    </row>
    <row r="45" spans="1:15">
      <c r="A45" s="273" t="s">
        <v>618</v>
      </c>
      <c r="C45" s="255">
        <f>C13/'Data Sheet'!C62</f>
        <v>5.4126547455295791E-2</v>
      </c>
      <c r="D45" s="251">
        <f>D13/'Data Sheet'!D62</f>
        <v>7.2183552461973334E-3</v>
      </c>
      <c r="E45" s="251">
        <f>E13/'Data Sheet'!E62</f>
        <v>0.25343271871322098</v>
      </c>
      <c r="F45" s="251">
        <f>F13/'Data Sheet'!F62</f>
        <v>1.6026054430543023E-2</v>
      </c>
      <c r="G45" s="255">
        <f>G13/'Data Sheet'!G62</f>
        <v>3.08262675500326E-2</v>
      </c>
      <c r="H45" s="255">
        <f>H13/'Data Sheet'!H62</f>
        <v>0.10319878141660324</v>
      </c>
      <c r="I45" s="255">
        <f>I13/'Data Sheet'!I62</f>
        <v>3.5003889321035715E-2</v>
      </c>
      <c r="J45" s="255">
        <f>J13/'Data Sheet'!J62</f>
        <v>5.9104805204985351E-2</v>
      </c>
      <c r="K45" s="255">
        <f>K13/'Data Sheet'!K62</f>
        <v>0.11081794195250667</v>
      </c>
      <c r="L45" s="255"/>
      <c r="M45" s="274">
        <f t="shared" si="9"/>
        <v>6.8308878826175909E-2</v>
      </c>
      <c r="N45" s="274">
        <f t="shared" si="10"/>
        <v>6.7790337089032718E-2</v>
      </c>
      <c r="O45" s="274">
        <f t="shared" si="11"/>
        <v>7.441726236560231E-2</v>
      </c>
    </row>
    <row r="46" spans="1:15">
      <c r="A46" s="273" t="s">
        <v>608</v>
      </c>
      <c r="B46" s="251">
        <f>('Data Sheet'!B62+'Data Sheet'!B45)/'Data Sheet'!B66</f>
        <v>0.61257597621233983</v>
      </c>
      <c r="C46" s="251">
        <f>('Data Sheet'!C62+'Data Sheet'!C45)/'Data Sheet'!C66</f>
        <v>0.6805974239517677</v>
      </c>
      <c r="D46" s="251">
        <f>('Data Sheet'!D62+'Data Sheet'!D45)/'Data Sheet'!D66</f>
        <v>0.59968592694574707</v>
      </c>
      <c r="E46" s="251">
        <f>('Data Sheet'!E62+'Data Sheet'!E45)/'Data Sheet'!E66</f>
        <v>0.62659293099302726</v>
      </c>
      <c r="F46" s="251">
        <f>('Data Sheet'!F62+'Data Sheet'!F45)/'Data Sheet'!F66</f>
        <v>0.72501483815002521</v>
      </c>
      <c r="G46" s="251">
        <f>('Data Sheet'!G62+'Data Sheet'!G45)/'Data Sheet'!G66</f>
        <v>0.70616775537252674</v>
      </c>
      <c r="H46" s="251">
        <f>('Data Sheet'!H62+'Data Sheet'!H45)/'Data Sheet'!H66</f>
        <v>0.65081249862567903</v>
      </c>
      <c r="I46" s="251">
        <f>('Data Sheet'!I62+'Data Sheet'!I45)/'Data Sheet'!I66</f>
        <v>0.61621393322366969</v>
      </c>
      <c r="J46" s="251">
        <f>('Data Sheet'!J62+'Data Sheet'!J45)/'Data Sheet'!J66</f>
        <v>0.61925199264255049</v>
      </c>
      <c r="K46" s="251">
        <f>('Data Sheet'!K62+'Data Sheet'!K45)/'Data Sheet'!K66</f>
        <v>0.54828680069746438</v>
      </c>
      <c r="L46" s="251"/>
      <c r="M46" s="274">
        <f t="shared" si="9"/>
        <v>0.59458424218789485</v>
      </c>
      <c r="N46" s="274">
        <f t="shared" si="10"/>
        <v>0.628146596112378</v>
      </c>
      <c r="O46" s="274">
        <f t="shared" si="11"/>
        <v>0.63852000768147976</v>
      </c>
    </row>
    <row r="47" spans="1:15">
      <c r="A47" s="273" t="s">
        <v>609</v>
      </c>
      <c r="B47" s="251">
        <f>'Data Sheet'!B62/'Data Sheet'!B66</f>
        <v>0.59593773230136871</v>
      </c>
      <c r="C47" s="251">
        <f>'Data Sheet'!C62/'Data Sheet'!C66</f>
        <v>0.66410888827989412</v>
      </c>
      <c r="D47" s="251">
        <f>'Data Sheet'!D62/'Data Sheet'!D66</f>
        <v>0.5841113453512885</v>
      </c>
      <c r="E47" s="251">
        <f>'Data Sheet'!E62/'Data Sheet'!E66</f>
        <v>0.61288771339264247</v>
      </c>
      <c r="F47" s="251">
        <f>'Data Sheet'!F62/'Data Sheet'!F66</f>
        <v>0.70793955165958999</v>
      </c>
      <c r="G47" s="251">
        <f>'Data Sheet'!G62/'Data Sheet'!G66</f>
        <v>0.68945848717220493</v>
      </c>
      <c r="H47" s="251">
        <f>'Data Sheet'!H62/'Data Sheet'!H66</f>
        <v>0.63517822195835261</v>
      </c>
      <c r="I47" s="251">
        <f>'Data Sheet'!I62/'Data Sheet'!I66</f>
        <v>0.60012003734495178</v>
      </c>
      <c r="J47" s="251">
        <f>'Data Sheet'!J62/'Data Sheet'!J66</f>
        <v>0.60166014243267463</v>
      </c>
      <c r="K47" s="251">
        <f>'Data Sheet'!K62/'Data Sheet'!K66</f>
        <v>0.53345517951303545</v>
      </c>
      <c r="L47" s="251"/>
      <c r="M47" s="274">
        <f t="shared" si="9"/>
        <v>0.57841178643022062</v>
      </c>
      <c r="N47" s="274">
        <f t="shared" si="10"/>
        <v>0.61197441368424388</v>
      </c>
      <c r="O47" s="274">
        <f t="shared" si="11"/>
        <v>0.62248572994060036</v>
      </c>
    </row>
    <row r="48" spans="1:15">
      <c r="A48" s="247" t="s">
        <v>612</v>
      </c>
      <c r="B48" s="251">
        <f>'Data Sheet'!B64/'Data Sheet'!B61</f>
        <v>4.591368227731864E-4</v>
      </c>
      <c r="C48" s="251">
        <f>'Data Sheet'!C64/'Data Sheet'!C61</f>
        <v>2.5121037727231205E-4</v>
      </c>
      <c r="D48" s="251">
        <f>'Data Sheet'!D64/'Data Sheet'!D61</f>
        <v>1.0755926515510046E-4</v>
      </c>
      <c r="E48" s="251">
        <f>'Data Sheet'!E64/'Data Sheet'!E61</f>
        <v>1.1097342186546323E-4</v>
      </c>
      <c r="F48" s="251">
        <f>'Data Sheet'!F64/'Data Sheet'!F61</f>
        <v>1.1413961557777473E-4</v>
      </c>
      <c r="G48" s="251">
        <f>'Data Sheet'!G64/'Data Sheet'!G61</f>
        <v>1.4200511218403862E-4</v>
      </c>
      <c r="H48" s="251">
        <f>'Data Sheet'!H64/'Data Sheet'!H61</f>
        <v>1.5392396156298791E-4</v>
      </c>
      <c r="I48" s="251">
        <f>'Data Sheet'!I64/'Data Sheet'!I61</f>
        <v>1.7783310363224115E-4</v>
      </c>
      <c r="J48" s="251">
        <f>'Data Sheet'!J64/'Data Sheet'!J61</f>
        <v>2.5939725510540959E-4</v>
      </c>
      <c r="K48" s="251">
        <f>'Data Sheet'!K64/'Data Sheet'!K61</f>
        <v>2.3108758219365141E-4</v>
      </c>
      <c r="L48" s="251"/>
      <c r="M48" s="274">
        <f t="shared" si="9"/>
        <v>2.2277264697710071E-4</v>
      </c>
      <c r="N48" s="274">
        <f t="shared" si="10"/>
        <v>1.9284940293566572E-4</v>
      </c>
      <c r="O48" s="274">
        <f t="shared" si="11"/>
        <v>2.0072665173221656E-4</v>
      </c>
    </row>
    <row r="49" spans="1:15">
      <c r="A49" s="247" t="s">
        <v>613</v>
      </c>
      <c r="B49" s="251">
        <f>'Data Sheet'!B65/'Data Sheet'!B61</f>
        <v>0.35784249420613057</v>
      </c>
      <c r="C49" s="251">
        <f>'Data Sheet'!C65/'Data Sheet'!C61</f>
        <v>0.33477208367589295</v>
      </c>
      <c r="D49" s="251">
        <f>'Data Sheet'!D65/'Data Sheet'!D61</f>
        <v>0.41436131308350899</v>
      </c>
      <c r="E49" s="251">
        <f>'Data Sheet'!E65/'Data Sheet'!E61</f>
        <v>0.38592857010745929</v>
      </c>
      <c r="F49" s="251">
        <f>'Data Sheet'!F65/'Data Sheet'!F61</f>
        <v>0.29194630872483224</v>
      </c>
      <c r="G49" s="251">
        <f>'Data Sheet'!G65/'Data Sheet'!G61</f>
        <v>0.30954747704250685</v>
      </c>
      <c r="H49" s="251">
        <f>'Data Sheet'!H65/'Data Sheet'!H61</f>
        <v>0.36246894034347032</v>
      </c>
      <c r="I49" s="251">
        <f>'Data Sheet'!I65/'Data Sheet'!I61</f>
        <v>0.39967990041346196</v>
      </c>
      <c r="J49" s="251">
        <f>'Data Sheet'!J65/'Data Sheet'!J61</f>
        <v>0.39808046031222</v>
      </c>
      <c r="K49" s="251">
        <f>'Data Sheet'!K65/'Data Sheet'!K61</f>
        <v>0.46631373290477091</v>
      </c>
      <c r="L49" s="251"/>
      <c r="M49" s="274">
        <f t="shared" si="9"/>
        <v>0.42135803121015097</v>
      </c>
      <c r="N49" s="274">
        <f t="shared" si="10"/>
        <v>0.38721810220328601</v>
      </c>
      <c r="O49" s="274">
        <f t="shared" si="11"/>
        <v>0.37209412808142545</v>
      </c>
    </row>
    <row r="50" spans="1:15">
      <c r="A50" s="247" t="s">
        <v>614</v>
      </c>
      <c r="B50" s="251">
        <f>'Data Sheet'!B63/'Data Sheet'!B61</f>
        <v>4.5760636669727579E-2</v>
      </c>
      <c r="C50" s="251">
        <f>'Data Sheet'!C63/'Data Sheet'!C61</f>
        <v>8.6781766694071436E-4</v>
      </c>
      <c r="D50" s="251">
        <f>'Data Sheet'!D63/'Data Sheet'!D61</f>
        <v>1.419782300047326E-3</v>
      </c>
      <c r="E50" s="251">
        <f>'Data Sheet'!E63/'Data Sheet'!E61</f>
        <v>1.0727430780328112E-3</v>
      </c>
      <c r="F50" s="251">
        <f>'Data Sheet'!F63/'Data Sheet'!F61</f>
        <v>0</v>
      </c>
      <c r="G50" s="251">
        <f>'Data Sheet'!G63/'Data Sheet'!G61</f>
        <v>8.5203067310423179E-4</v>
      </c>
      <c r="H50" s="251">
        <f>'Data Sheet'!H63/'Data Sheet'!H61</f>
        <v>2.1989137366141128E-3</v>
      </c>
      <c r="I50" s="251">
        <f>'Data Sheet'!I63/'Data Sheet'!I61</f>
        <v>2.2229137954030144E-5</v>
      </c>
      <c r="J50" s="251">
        <f>'Data Sheet'!J63/'Data Sheet'!J61</f>
        <v>0</v>
      </c>
      <c r="K50" s="251">
        <f>'Data Sheet'!K63/'Data Sheet'!K61</f>
        <v>0</v>
      </c>
      <c r="L50" s="251"/>
      <c r="M50" s="274">
        <f t="shared" si="9"/>
        <v>7.409712651343381E-6</v>
      </c>
      <c r="N50" s="274">
        <f t="shared" si="10"/>
        <v>6.1463470953447498E-4</v>
      </c>
      <c r="O50" s="274">
        <f t="shared" si="11"/>
        <v>5.21941532624208E-3</v>
      </c>
    </row>
    <row r="51" spans="1:15">
      <c r="A51" s="273" t="s">
        <v>615</v>
      </c>
      <c r="B51" s="251">
        <f>'Data Sheet'!B63/('Data Sheet'!B62+'Data Sheet'!B45)</f>
        <v>7.4701977300306949E-2</v>
      </c>
      <c r="C51" s="251">
        <f>'Data Sheet'!C63/('Data Sheet'!C62+'Data Sheet'!C45)</f>
        <v>1.2750822092477013E-3</v>
      </c>
      <c r="D51" s="251">
        <f>'Data Sheet'!D63/('Data Sheet'!D62+'Data Sheet'!D45)</f>
        <v>2.3675431359184993E-3</v>
      </c>
      <c r="E51" s="251">
        <f>'Data Sheet'!E63/('Data Sheet'!E62+'Data Sheet'!E45)</f>
        <v>1.7120255032764624E-3</v>
      </c>
      <c r="F51" s="251">
        <f>'Data Sheet'!F63/('Data Sheet'!F62+'Data Sheet'!F45)</f>
        <v>0</v>
      </c>
      <c r="G51" s="251">
        <f>'Data Sheet'!G63/('Data Sheet'!G62+'Data Sheet'!G45)</f>
        <v>1.2065556188624862E-3</v>
      </c>
      <c r="H51" s="251">
        <f>'Data Sheet'!H63/('Data Sheet'!H62+'Data Sheet'!H45)</f>
        <v>3.378720816298949E-3</v>
      </c>
      <c r="I51" s="251">
        <f>'Data Sheet'!I63/('Data Sheet'!I62+'Data Sheet'!I45)</f>
        <v>3.6073734713754908E-5</v>
      </c>
      <c r="J51" s="251">
        <f>'Data Sheet'!J63/('Data Sheet'!J62+'Data Sheet'!J45)</f>
        <v>0</v>
      </c>
      <c r="K51" s="251">
        <f>'Data Sheet'!K63/('Data Sheet'!K62+'Data Sheet'!K45)</f>
        <v>0</v>
      </c>
      <c r="L51" s="251"/>
      <c r="M51" s="274">
        <f t="shared" si="9"/>
        <v>1.2024578237918302E-5</v>
      </c>
      <c r="N51" s="274">
        <f t="shared" si="10"/>
        <v>9.2427003397503821E-4</v>
      </c>
      <c r="O51" s="274">
        <f t="shared" si="11"/>
        <v>8.4677978318624808E-3</v>
      </c>
    </row>
    <row r="52" spans="1:15">
      <c r="A52" s="273" t="s">
        <v>616</v>
      </c>
      <c r="B52" s="255">
        <f>'Data Sheet'!B63/'Data Sheet'!B62</f>
        <v>7.6787614190850062E-2</v>
      </c>
      <c r="C52" s="255">
        <f>'Data Sheet'!C63/'Data Sheet'!C62</f>
        <v>1.3067400275103163E-3</v>
      </c>
      <c r="D52" s="251">
        <f>'Data Sheet'!D63/'Data Sheet'!D62</f>
        <v>2.430670644127721E-3</v>
      </c>
      <c r="E52" s="251">
        <f>'Data Sheet'!E63/'Data Sheet'!E62</f>
        <v>1.7503093219060264E-3</v>
      </c>
      <c r="F52" s="251">
        <f>'Data Sheet'!F63/'Data Sheet'!F62</f>
        <v>0</v>
      </c>
      <c r="G52" s="251">
        <f>'Data Sheet'!G63/'Data Sheet'!G62</f>
        <v>1.235796917373245E-3</v>
      </c>
      <c r="H52" s="255">
        <f>'Data Sheet'!H63/'Data Sheet'!H62</f>
        <v>3.4618846500034618E-3</v>
      </c>
      <c r="I52" s="255">
        <f>'Data Sheet'!I63/'Data Sheet'!I62</f>
        <v>3.7041152720672663E-5</v>
      </c>
      <c r="J52" s="381">
        <f>'Data Sheet'!J63/'Data Sheet'!J62</f>
        <v>0</v>
      </c>
      <c r="K52" s="381">
        <f>'Data Sheet'!K63/'Data Sheet'!K62</f>
        <v>0</v>
      </c>
      <c r="L52" s="251"/>
      <c r="M52" s="274">
        <f t="shared" si="9"/>
        <v>1.2347050906890888E-5</v>
      </c>
      <c r="N52" s="274">
        <f t="shared" si="10"/>
        <v>9.4694454401947586E-4</v>
      </c>
      <c r="O52" s="274">
        <f t="shared" si="11"/>
        <v>8.7010056904491505E-3</v>
      </c>
    </row>
    <row r="53" spans="1:15">
      <c r="A53" s="261" t="s">
        <v>620</v>
      </c>
    </row>
    <row r="54" spans="1:15">
      <c r="A54" s="273" t="s">
        <v>621</v>
      </c>
      <c r="B54" s="250">
        <f>'Data Sheet'!B59/('Data Sheet'!B57+'Data Sheet'!B58)</f>
        <v>2.510339866930408</v>
      </c>
      <c r="C54" s="250">
        <f>'Data Sheet'!C59/('Data Sheet'!C57+'Data Sheet'!C58)</f>
        <v>2.0787538219981823</v>
      </c>
      <c r="D54" s="250">
        <f>'Data Sheet'!D59/('Data Sheet'!D57+'Data Sheet'!D58)</f>
        <v>1.716255868544601</v>
      </c>
      <c r="E54" s="250">
        <f>'Data Sheet'!E59/('Data Sheet'!E57+'Data Sheet'!E58)</f>
        <v>1.482642649489825</v>
      </c>
      <c r="F54" s="250">
        <f>'Data Sheet'!F59/('Data Sheet'!F57+'Data Sheet'!F58)</f>
        <v>0.77696666496503142</v>
      </c>
      <c r="G54" s="250">
        <f>'Data Sheet'!G59/('Data Sheet'!G57+'Data Sheet'!G58)</f>
        <v>0.42538227687281638</v>
      </c>
      <c r="H54" s="250">
        <f>'Data Sheet'!H59/('Data Sheet'!H57+'Data Sheet'!H58)</f>
        <v>0.38566592290528584</v>
      </c>
      <c r="I54" s="250">
        <f>'Data Sheet'!I59/('Data Sheet'!I57+'Data Sheet'!I58)</f>
        <v>0.20792802363799345</v>
      </c>
      <c r="J54" s="250">
        <f>'Data Sheet'!J59/('Data Sheet'!J57+'Data Sheet'!J58)</f>
        <v>5.8827040740188033E-2</v>
      </c>
      <c r="K54" s="262">
        <f>'Data Sheet'!K59/('Data Sheet'!K57+'Data Sheet'!K58)</f>
        <v>1.9995194746255905E-2</v>
      </c>
      <c r="L54" s="262"/>
      <c r="M54" s="250">
        <f t="shared" ref="M54" si="12">AVERAGE(I54:K54)</f>
        <v>9.5583419708145781E-2</v>
      </c>
      <c r="N54" s="250">
        <f t="shared" ref="N54" si="13">AVERAGE(G54:K54)</f>
        <v>0.21955969178050797</v>
      </c>
      <c r="O54" s="250">
        <f t="shared" ref="O54" si="14">AVERAGE(B54:K54)</f>
        <v>0.96627573308305892</v>
      </c>
    </row>
    <row r="55" spans="1:15">
      <c r="A55" s="273" t="s">
        <v>311</v>
      </c>
      <c r="B55" s="250">
        <f>'Data Sheet'!B65/'Data Sheet'!B60</f>
        <v>2.4442951015531662</v>
      </c>
      <c r="C55" s="250">
        <f>'Data Sheet'!C65/'Data Sheet'!C60</f>
        <v>2.2441824862216784</v>
      </c>
      <c r="D55" s="250">
        <f>'Data Sheet'!D65/'Data Sheet'!D60</f>
        <v>2.0365827870585749</v>
      </c>
      <c r="E55" s="250">
        <f>'Data Sheet'!E65/'Data Sheet'!E60</f>
        <v>1.9845919726079513</v>
      </c>
      <c r="F55" s="250">
        <f>'Data Sheet'!F65/'Data Sheet'!F60</f>
        <v>1.4214738246082028</v>
      </c>
      <c r="G55" s="250">
        <f>'Data Sheet'!G65/'Data Sheet'!G60</f>
        <v>1.2067724672448792</v>
      </c>
      <c r="H55" s="250">
        <f>'Data Sheet'!H65/'Data Sheet'!H60</f>
        <v>1.7428631846056248</v>
      </c>
      <c r="I55" s="250">
        <f>'Data Sheet'!I65/'Data Sheet'!I60</f>
        <v>2.0902115787026276</v>
      </c>
      <c r="J55" s="250">
        <f>'Data Sheet'!J65/'Data Sheet'!J60</f>
        <v>2.4359307359307363</v>
      </c>
      <c r="K55" s="262">
        <f>'Data Sheet'!K65/'Data Sheet'!K60</f>
        <v>2.3631427658894921</v>
      </c>
      <c r="L55" s="262"/>
      <c r="M55" s="250">
        <f t="shared" ref="M55:M65" si="15">AVERAGE(I55:K55)</f>
        <v>2.2964283601742852</v>
      </c>
      <c r="N55" s="250">
        <f t="shared" ref="N55:N65" si="16">AVERAGE(G55:K55)</f>
        <v>1.9677841464746719</v>
      </c>
      <c r="O55" s="250">
        <f t="shared" ref="O55:O65" si="17">AVERAGE(B55:K55)</f>
        <v>1.9970046904422933</v>
      </c>
    </row>
    <row r="56" spans="1:15">
      <c r="A56" s="273" t="s">
        <v>307</v>
      </c>
      <c r="B56" s="250">
        <f>('Data Sheet'!B27+'Data Sheet'!B28)/'Data Sheet'!B27</f>
        <v>2.463489623366641</v>
      </c>
      <c r="C56" s="250">
        <f>('Data Sheet'!C27+'Data Sheet'!C28)/'Data Sheet'!C27</f>
        <v>1.7589388696655133</v>
      </c>
      <c r="D56" s="250">
        <f>('Data Sheet'!D27+'Data Sheet'!D28)/'Data Sheet'!D27</f>
        <v>2.415173237753883</v>
      </c>
      <c r="E56" s="250">
        <f>('Data Sheet'!E27+'Data Sheet'!E28)/'Data Sheet'!E27</f>
        <v>4.8612007746933505</v>
      </c>
      <c r="F56" s="250">
        <f>('Data Sheet'!F27+'Data Sheet'!F28)/'Data Sheet'!F27</f>
        <v>2.6010956175298805</v>
      </c>
      <c r="G56" s="250">
        <f>('Data Sheet'!G27+'Data Sheet'!G28)/'Data Sheet'!G27</f>
        <v>3.0991223541559112</v>
      </c>
      <c r="H56" s="250">
        <f>('Data Sheet'!H27+'Data Sheet'!H28)/'Data Sheet'!H27</f>
        <v>5.6355866355866358</v>
      </c>
      <c r="I56" s="250">
        <f>('Data Sheet'!I27+'Data Sheet'!I28)/'Data Sheet'!I27</f>
        <v>9.8940027894002789</v>
      </c>
      <c r="J56" s="250">
        <f>('Data Sheet'!J27+'Data Sheet'!J28)/'Data Sheet'!J27</f>
        <v>11.044293015332197</v>
      </c>
      <c r="K56" s="262">
        <f>('Data Sheet'!K27+'Data Sheet'!K28)/'Data Sheet'!K27</f>
        <v>17.239277652370205</v>
      </c>
      <c r="L56" s="262"/>
      <c r="M56" s="250">
        <f t="shared" si="15"/>
        <v>12.725857819034227</v>
      </c>
      <c r="N56" s="250">
        <f t="shared" si="16"/>
        <v>9.3824564893690443</v>
      </c>
      <c r="O56" s="250">
        <f t="shared" si="17"/>
        <v>6.1012180569854504</v>
      </c>
    </row>
    <row r="57" spans="1:15">
      <c r="A57" s="273" t="s">
        <v>622</v>
      </c>
      <c r="B57" s="250">
        <f>'Data Sheet'!B61/('Data Sheet'!B57+'Data Sheet'!B58)</f>
        <v>4.1123898579392195</v>
      </c>
      <c r="C57" s="250">
        <f>'Data Sheet'!C61/('Data Sheet'!C57+'Data Sheet'!C58)</f>
        <v>3.6185439219899185</v>
      </c>
      <c r="D57" s="250">
        <f>'Data Sheet'!D61/('Data Sheet'!D57+'Data Sheet'!D58)</f>
        <v>3.4100645539906105</v>
      </c>
      <c r="E57" s="250">
        <f>'Data Sheet'!E61/('Data Sheet'!E57+'Data Sheet'!E58)</f>
        <v>3.0819700165308097</v>
      </c>
      <c r="F57" s="250">
        <f>'Data Sheet'!F61/('Data Sheet'!F57+'Data Sheet'!F58)</f>
        <v>2.2362550410944921</v>
      </c>
      <c r="G57" s="250">
        <f>'Data Sheet'!G61/('Data Sheet'!G57+'Data Sheet'!G58)</f>
        <v>1.9171468759925587</v>
      </c>
      <c r="H57" s="250">
        <f>'Data Sheet'!H61/('Data Sheet'!H57+'Data Sheet'!H58)</f>
        <v>1.7495191197968762</v>
      </c>
      <c r="I57" s="250">
        <f>'Data Sheet'!I61/('Data Sheet'!I57+'Data Sheet'!I58)</f>
        <v>1.4935095116364001</v>
      </c>
      <c r="J57" s="250">
        <f>'Data Sheet'!J61/('Data Sheet'!J57+'Data Sheet'!J58)</f>
        <v>1.2656618415161915</v>
      </c>
      <c r="K57" s="262">
        <f>'Data Sheet'!K61/('Data Sheet'!K57+'Data Sheet'!K58)</f>
        <v>1.2707493526255371</v>
      </c>
      <c r="L57" s="262"/>
      <c r="M57" s="250">
        <f t="shared" si="15"/>
        <v>1.3433069019260431</v>
      </c>
      <c r="N57" s="250">
        <f t="shared" si="16"/>
        <v>1.5393173403135127</v>
      </c>
      <c r="O57" s="250">
        <f t="shared" si="17"/>
        <v>2.4155810093112611</v>
      </c>
    </row>
    <row r="58" spans="1:15">
      <c r="A58" s="273" t="s">
        <v>312</v>
      </c>
      <c r="B58" s="250">
        <f>('Data Sheet'!B65-'Data Sheet'!B68)/'Data Sheet'!B60</f>
        <v>0.82974910394265222</v>
      </c>
      <c r="C58" s="250">
        <f>('Data Sheet'!C65-'Data Sheet'!C68)/'Data Sheet'!C60</f>
        <v>0.57669932639314159</v>
      </c>
      <c r="D58" s="250">
        <f>('Data Sheet'!D65-'Data Sheet'!D68)/'Data Sheet'!D60</f>
        <v>0.59209135123704804</v>
      </c>
      <c r="E58" s="250">
        <f>('Data Sheet'!E65-'Data Sheet'!E68)/'Data Sheet'!E60</f>
        <v>0.5538329845919725</v>
      </c>
      <c r="F58" s="250">
        <f>('Data Sheet'!F65-'Data Sheet'!F68)/'Data Sheet'!F60</f>
        <v>0.50205624096921198</v>
      </c>
      <c r="G58" s="250">
        <f>('Data Sheet'!G65-'Data Sheet'!G68)/'Data Sheet'!G60</f>
        <v>0.35624653995202055</v>
      </c>
      <c r="H58" s="250">
        <f>('Data Sheet'!H65-'Data Sheet'!H68)/'Data Sheet'!H60</f>
        <v>0.33770353140198772</v>
      </c>
      <c r="I58" s="250">
        <f>('Data Sheet'!I65-'Data Sheet'!I68)/'Data Sheet'!I60</f>
        <v>0.41002092536619406</v>
      </c>
      <c r="J58" s="250">
        <f>('Data Sheet'!J65-'Data Sheet'!J68)/'Data Sheet'!J60</f>
        <v>0.64415584415584415</v>
      </c>
      <c r="K58" s="262">
        <f>('Data Sheet'!K65-'Data Sheet'!K68)/'Data Sheet'!K60</f>
        <v>0.7502395400830405</v>
      </c>
      <c r="L58" s="262"/>
      <c r="M58" s="250">
        <f t="shared" si="15"/>
        <v>0.60147210320169286</v>
      </c>
      <c r="N58" s="250">
        <f t="shared" si="16"/>
        <v>0.49967327619181734</v>
      </c>
      <c r="O58" s="250">
        <f t="shared" si="17"/>
        <v>0.55527953880931125</v>
      </c>
    </row>
    <row r="59" spans="1:15">
      <c r="A59" s="273" t="s">
        <v>632</v>
      </c>
      <c r="B59" s="250">
        <f>'Data Sheet'!B82/'Data Sheet'!B60</f>
        <v>0.60454002389486261</v>
      </c>
      <c r="C59" s="250">
        <f>'Data Sheet'!C82/'Data Sheet'!C60</f>
        <v>0.77755664421310478</v>
      </c>
      <c r="D59" s="250">
        <f>'Data Sheet'!D82/'Data Sheet'!D60</f>
        <v>0.40843730175512799</v>
      </c>
      <c r="E59" s="250">
        <f>'Data Sheet'!E82/'Data Sheet'!E60</f>
        <v>0.69136389575803692</v>
      </c>
      <c r="F59" s="250">
        <f>'Data Sheet'!F82/'Data Sheet'!F60</f>
        <v>1.5049460931421585</v>
      </c>
      <c r="G59" s="250">
        <f>'Data Sheet'!G82/'Data Sheet'!G60</f>
        <v>0.8065141169957557</v>
      </c>
      <c r="H59" s="250">
        <f>'Data Sheet'!H82/'Data Sheet'!H60</f>
        <v>0.3998731232818778</v>
      </c>
      <c r="I59" s="250">
        <f>'Data Sheet'!I82/'Data Sheet'!I60</f>
        <v>0.49930248779353642</v>
      </c>
      <c r="J59" s="250">
        <f>'Data Sheet'!J82/'Data Sheet'!J60</f>
        <v>0.96652236652236667</v>
      </c>
      <c r="K59" s="262">
        <f>'Data Sheet'!K82/'Data Sheet'!K60</f>
        <v>0.72969232407111684</v>
      </c>
      <c r="L59" s="262"/>
      <c r="M59" s="250">
        <f t="shared" si="15"/>
        <v>0.73183905946233996</v>
      </c>
      <c r="N59" s="250">
        <f t="shared" si="16"/>
        <v>0.6803808837329306</v>
      </c>
      <c r="O59" s="250">
        <f t="shared" si="17"/>
        <v>0.73887483774279439</v>
      </c>
    </row>
    <row r="60" spans="1:15">
      <c r="A60" s="273" t="s">
        <v>645</v>
      </c>
      <c r="C60" s="251">
        <f>'Data Sheet'!B69/'Data Sheet'!B61</f>
        <v>2.8466483011937556E-2</v>
      </c>
      <c r="D60" s="251">
        <f>'Data Sheet'!C69/'Data Sheet'!C61</f>
        <v>5.0927194665205079E-3</v>
      </c>
      <c r="E60" s="251">
        <f>'Data Sheet'!D69/'Data Sheet'!D61</f>
        <v>1.204663769737125E-2</v>
      </c>
      <c r="F60" s="251">
        <f>'Data Sheet'!E69/'Data Sheet'!E61</f>
        <v>4.9013261323912925E-3</v>
      </c>
      <c r="G60" s="251">
        <f>'Data Sheet'!F69/'Data Sheet'!F61</f>
        <v>4.6568963155732088E-3</v>
      </c>
      <c r="H60" s="251">
        <f>'Data Sheet'!G69/'Data Sheet'!G61</f>
        <v>3.6211303606929852E-3</v>
      </c>
      <c r="I60" s="251">
        <f>'Data Sheet'!H69/'Data Sheet'!H61</f>
        <v>6.025023638322669E-3</v>
      </c>
      <c r="J60" s="251">
        <f>'Data Sheet'!I69/'Data Sheet'!I61</f>
        <v>6.3130751789445601E-3</v>
      </c>
      <c r="K60" s="251">
        <f>'Data Sheet'!J69/'Data Sheet'!J61</f>
        <v>1.1271989812762345E-2</v>
      </c>
      <c r="L60" s="251"/>
      <c r="M60" s="251">
        <f t="shared" si="15"/>
        <v>7.8700295433431905E-3</v>
      </c>
      <c r="N60" s="251">
        <f t="shared" si="16"/>
        <v>6.3776230612591538E-3</v>
      </c>
      <c r="O60" s="251">
        <f t="shared" si="17"/>
        <v>9.155031290501818E-3</v>
      </c>
    </row>
    <row r="61" spans="1:15">
      <c r="A61" s="247" t="s">
        <v>643</v>
      </c>
      <c r="B61" s="251">
        <f>'Data Sheet'!B69/'Data Sheet'!B59</f>
        <v>4.6633237822349571E-2</v>
      </c>
      <c r="C61" s="251">
        <f>'Data Sheet'!C69/'Data Sheet'!C59</f>
        <v>8.8650367720135154E-3</v>
      </c>
      <c r="D61" s="251">
        <f>'Data Sheet'!D69/'Data Sheet'!D59</f>
        <v>2.3935715506924259E-2</v>
      </c>
      <c r="E61" s="251">
        <f>'Data Sheet'!E69/'Data Sheet'!E59</f>
        <v>1.0188389081122644E-2</v>
      </c>
      <c r="F61" s="251">
        <f>'Data Sheet'!F69/'Data Sheet'!F59</f>
        <v>1.3403416557161631E-2</v>
      </c>
      <c r="G61" s="251">
        <f>'Data Sheet'!G69/'Data Sheet'!G59</f>
        <v>1.6320000000000001E-2</v>
      </c>
      <c r="H61" s="251">
        <f>'Data Sheet'!H69/'Data Sheet'!H59</f>
        <v>2.7331670822942647E-2</v>
      </c>
      <c r="I61" s="251">
        <f>'Data Sheet'!I69/'Data Sheet'!I59</f>
        <v>4.5345680983554203E-2</v>
      </c>
      <c r="J61" s="255">
        <f>'Data Sheet'!J69/'Data Sheet'!J59</f>
        <v>0.24251648909183157</v>
      </c>
      <c r="K61" s="255">
        <f>'Data Sheet'!K69/'Data Sheet'!K59</f>
        <v>1.7983978638184246</v>
      </c>
      <c r="L61" s="255"/>
      <c r="M61" s="251">
        <f t="shared" si="15"/>
        <v>0.69542001129793674</v>
      </c>
      <c r="N61" s="251">
        <f t="shared" si="16"/>
        <v>0.42598234094335058</v>
      </c>
      <c r="O61" s="251">
        <f t="shared" si="17"/>
        <v>0.22329375004563246</v>
      </c>
    </row>
    <row r="62" spans="1:15">
      <c r="A62" s="247" t="s">
        <v>644</v>
      </c>
      <c r="B62" s="251">
        <f>'Data Sheet'!B69/'Data Sheet'!B60</f>
        <v>0.19444444444444445</v>
      </c>
      <c r="C62" s="251">
        <f>'Data Sheet'!C69/'Data Sheet'!C60</f>
        <v>3.4139620330679736E-2</v>
      </c>
      <c r="D62" s="251">
        <f>'Data Sheet'!D69/'Data Sheet'!D60</f>
        <v>5.9209135123704799E-2</v>
      </c>
      <c r="E62" s="251">
        <f>'Data Sheet'!E69/'Data Sheet'!E60</f>
        <v>2.5204489252425338E-2</v>
      </c>
      <c r="F62" s="251">
        <f>'Data Sheet'!F69/'Data Sheet'!F60</f>
        <v>2.2674224741580526E-2</v>
      </c>
      <c r="G62" s="251">
        <f>'Data Sheet'!G69/'Data Sheet'!G60</f>
        <v>1.411699575567448E-2</v>
      </c>
      <c r="H62" s="251">
        <f>'Data Sheet'!H69/'Data Sheet'!H60</f>
        <v>2.8970183971241278E-2</v>
      </c>
      <c r="I62" s="251">
        <f>'Data Sheet'!I69/'Data Sheet'!I60</f>
        <v>3.3015577772611021E-2</v>
      </c>
      <c r="J62" s="251">
        <f>'Data Sheet'!J69/'Data Sheet'!J60</f>
        <v>6.8975468975468981E-2</v>
      </c>
      <c r="K62" s="251">
        <f>'Data Sheet'!K69/'Data Sheet'!K60</f>
        <v>0.14340466304694985</v>
      </c>
      <c r="L62" s="251"/>
      <c r="M62" s="251">
        <f t="shared" si="15"/>
        <v>8.1798569931676612E-2</v>
      </c>
      <c r="N62" s="251">
        <f t="shared" si="16"/>
        <v>5.7696577904389111E-2</v>
      </c>
      <c r="O62" s="251">
        <f t="shared" si="17"/>
        <v>6.241548034147805E-2</v>
      </c>
    </row>
    <row r="63" spans="1:15">
      <c r="A63" s="247" t="s">
        <v>646</v>
      </c>
      <c r="B63" s="251">
        <f>'Data Sheet'!B60/'Data Sheet'!B59</f>
        <v>0.23982808022922636</v>
      </c>
      <c r="C63" s="251">
        <f>'Data Sheet'!C60/'Data Sheet'!C59</f>
        <v>0.25967004571655733</v>
      </c>
      <c r="D63" s="251">
        <f>'Data Sheet'!D60/'Data Sheet'!D59</f>
        <v>0.40425713797230295</v>
      </c>
      <c r="E63" s="251">
        <f>'Data Sheet'!E60/'Data Sheet'!E59</f>
        <v>0.40422914263744708</v>
      </c>
      <c r="F63" s="251">
        <f>'Data Sheet'!F60/'Data Sheet'!F59</f>
        <v>0.59113009198423128</v>
      </c>
      <c r="G63" s="251">
        <f>'Data Sheet'!G60/'Data Sheet'!G59</f>
        <v>1.1560533333333334</v>
      </c>
      <c r="H63" s="251">
        <f>'Data Sheet'!H60/'Data Sheet'!H59</f>
        <v>0.94344139650872816</v>
      </c>
      <c r="I63" s="251">
        <f>'Data Sheet'!I60/'Data Sheet'!I59</f>
        <v>1.3734631965511734</v>
      </c>
      <c r="J63" s="251">
        <f>'Data Sheet'!J60/'Data Sheet'!J59</f>
        <v>3.515981735159817</v>
      </c>
      <c r="K63" s="255">
        <f>'Data Sheet'!K60/'Data Sheet'!K59</f>
        <v>12.540720961281709</v>
      </c>
      <c r="L63" s="255"/>
      <c r="M63" s="251">
        <f t="shared" si="15"/>
        <v>5.8100552976642321</v>
      </c>
      <c r="N63" s="251">
        <f t="shared" si="16"/>
        <v>3.9059321245669523</v>
      </c>
      <c r="O63" s="251">
        <f t="shared" si="17"/>
        <v>2.1428775121374528</v>
      </c>
    </row>
    <row r="64" spans="1:15">
      <c r="A64" s="273" t="s">
        <v>641</v>
      </c>
      <c r="B64" s="251">
        <f>'Data Sheet'!B26/('Data Sheet'!B62+'Data Sheet'!B26)</f>
        <v>4.835556176244675E-2</v>
      </c>
      <c r="C64" s="251">
        <f>'Data Sheet'!C26/('Data Sheet'!C62+'Data Sheet'!C26)</f>
        <v>5.8473094605970333E-2</v>
      </c>
      <c r="D64" s="251">
        <f>'Data Sheet'!D26/('Data Sheet'!D62+'Data Sheet'!D26)</f>
        <v>7.1628829321663021E-2</v>
      </c>
      <c r="E64" s="251">
        <f>'Data Sheet'!E26/('Data Sheet'!E62+'Data Sheet'!E26)</f>
        <v>6.8112151635310314E-2</v>
      </c>
      <c r="F64" s="251">
        <f>'Data Sheet'!F26/('Data Sheet'!F62+'Data Sheet'!F26)</f>
        <v>7.9544105425620321E-2</v>
      </c>
      <c r="G64" s="251">
        <f>'Data Sheet'!G26/('Data Sheet'!G62+'Data Sheet'!G26)</f>
        <v>8.6057601807115511E-2</v>
      </c>
      <c r="H64" s="251">
        <f>'Data Sheet'!H26/('Data Sheet'!H62+'Data Sheet'!H26)</f>
        <v>9.8664503245132304E-2</v>
      </c>
      <c r="I64" s="251">
        <f>'Data Sheet'!I26/('Data Sheet'!I62+'Data Sheet'!I26)</f>
        <v>9.7995322418977598E-2</v>
      </c>
      <c r="J64" s="251">
        <f>'Data Sheet'!J26/('Data Sheet'!J62+'Data Sheet'!J26)</f>
        <v>0.1049603592226198</v>
      </c>
      <c r="K64" s="251">
        <f>'Data Sheet'!K26/('Data Sheet'!K62+'Data Sheet'!K26)</f>
        <v>0.10360773792713922</v>
      </c>
      <c r="L64" s="251"/>
      <c r="M64" s="251">
        <f t="shared" si="15"/>
        <v>0.10218780652291221</v>
      </c>
      <c r="N64" s="251">
        <f t="shared" si="16"/>
        <v>9.8257104924196897E-2</v>
      </c>
      <c r="O64" s="251">
        <f t="shared" si="17"/>
        <v>8.1739926737199514E-2</v>
      </c>
    </row>
    <row r="65" spans="1:15">
      <c r="A65" s="273" t="s">
        <v>642</v>
      </c>
      <c r="B65" s="251">
        <f>'Data Sheet'!B26/'Data Sheet'!B62</f>
        <v>5.0812635286348461E-2</v>
      </c>
      <c r="C65" s="251">
        <f>'Data Sheet'!C26/'Data Sheet'!C62</f>
        <v>6.2104539202200819E-2</v>
      </c>
      <c r="D65" s="251">
        <f>'Data Sheet'!D26/'Data Sheet'!D62</f>
        <v>7.7155378779508718E-2</v>
      </c>
      <c r="E65" s="251">
        <f>'Data Sheet'!E26/'Data Sheet'!E62</f>
        <v>7.3090503063041309E-2</v>
      </c>
      <c r="F65" s="251">
        <f>'Data Sheet'!F26/'Data Sheet'!F62</f>
        <v>8.6418160711982453E-2</v>
      </c>
      <c r="G65" s="251">
        <f>'Data Sheet'!G26/'Data Sheet'!G62</f>
        <v>9.4160859565411412E-2</v>
      </c>
      <c r="H65" s="251">
        <f>'Data Sheet'!H26/'Data Sheet'!H62</f>
        <v>0.10946479263310946</v>
      </c>
      <c r="I65" s="251">
        <f>'Data Sheet'!I26/'Data Sheet'!I62</f>
        <v>0.10864170092973291</v>
      </c>
      <c r="J65" s="255">
        <f>'Data Sheet'!J26/'Data Sheet'!J62</f>
        <v>0.11726895038018344</v>
      </c>
      <c r="K65" s="255">
        <f>'Data Sheet'!K26/'Data Sheet'!K62</f>
        <v>0.11558303469460088</v>
      </c>
      <c r="L65" s="255"/>
      <c r="M65" s="251">
        <f t="shared" si="15"/>
        <v>0.11383122866817241</v>
      </c>
      <c r="N65" s="251">
        <f t="shared" si="16"/>
        <v>0.10902386764060761</v>
      </c>
      <c r="O65" s="251">
        <f t="shared" si="17"/>
        <v>8.9470055524611986E-2</v>
      </c>
    </row>
    <row r="66" spans="1:15">
      <c r="A66" s="273" t="s">
        <v>798</v>
      </c>
      <c r="B66" s="277">
        <f>'Data Sheet'!B69/('Data Sheet'!B90*'Data Sheet'!B93)</f>
        <v>0.20253089458006965</v>
      </c>
      <c r="C66" s="253">
        <f>'Data Sheet'!C69/('Data Sheet'!C90*'Data Sheet'!C93)</f>
        <v>7.4075355137276533E-2</v>
      </c>
      <c r="D66" s="253">
        <f>'Data Sheet'!D69/('Data Sheet'!D90*'Data Sheet'!D93)</f>
        <v>5.6631645002593663E-2</v>
      </c>
      <c r="E66" s="253">
        <f>'Data Sheet'!E69/('Data Sheet'!E90*'Data Sheet'!E93)</f>
        <v>2.0672036195565263E-2</v>
      </c>
      <c r="F66" s="253">
        <f>'Data Sheet'!F69/('Data Sheet'!F90*'Data Sheet'!F93)</f>
        <v>2.366415031551105E-2</v>
      </c>
      <c r="G66" s="253">
        <f>'Data Sheet'!G69/('Data Sheet'!G90*'Data Sheet'!G93)</f>
        <v>1.3113251499303129E-2</v>
      </c>
      <c r="H66" s="253">
        <f>'Data Sheet'!H69/('Data Sheet'!H90*'Data Sheet'!H93)</f>
        <v>1.5835018923178474E-2</v>
      </c>
      <c r="I66" s="253">
        <f>'Data Sheet'!I69/('Data Sheet'!I90*'Data Sheet'!I93)</f>
        <v>5.5608449938933501E-3</v>
      </c>
      <c r="J66" s="253">
        <f>'Data Sheet'!J69/('Data Sheet'!J90*'Data Sheet'!J93)</f>
        <v>9.6371574921716996E-3</v>
      </c>
      <c r="K66" s="253">
        <f>'Data Sheet'!K69/('Data Sheet'!K90*'Data Sheet'!K93)</f>
        <v>1.7256373639581248E-2</v>
      </c>
      <c r="L66" s="253"/>
    </row>
    <row r="67" spans="1:15">
      <c r="A67" s="273" t="s">
        <v>799</v>
      </c>
      <c r="B67" s="253">
        <f>'Data Sheet'!B64/('Data Sheet'!B90*'Data Sheet'!B93)</f>
        <v>3.2666273319366074E-3</v>
      </c>
      <c r="C67" s="253">
        <f>'Data Sheet'!C64/('Data Sheet'!C90*'Data Sheet'!C93)</f>
        <v>3.6539412847983945E-3</v>
      </c>
      <c r="D67" s="253">
        <f>'Data Sheet'!D64/('Data Sheet'!D90*'Data Sheet'!D93)</f>
        <v>5.0563968752315776E-4</v>
      </c>
      <c r="E67" s="253">
        <f>'Data Sheet'!E64/('Data Sheet'!E90*'Data Sheet'!E93)</f>
        <v>4.680461025411003E-4</v>
      </c>
      <c r="F67" s="253">
        <f>'Data Sheet'!F64/('Data Sheet'!F90*'Data Sheet'!F93)</f>
        <v>5.8000368420370221E-4</v>
      </c>
      <c r="G67" s="253">
        <f>'Data Sheet'!G64/('Data Sheet'!G90*'Data Sheet'!G93)</f>
        <v>5.1424515683541681E-4</v>
      </c>
      <c r="H67" s="253">
        <f>'Data Sheet'!H64/('Data Sheet'!H90*'Data Sheet'!H93)</f>
        <v>4.0454427905930405E-4</v>
      </c>
      <c r="I67" s="253">
        <f>'Data Sheet'!I64/('Data Sheet'!I90*'Data Sheet'!I93)</f>
        <v>1.5664352095474227E-4</v>
      </c>
      <c r="J67" s="253">
        <f>'Data Sheet'!J64/('Data Sheet'!J90*'Data Sheet'!J93)</f>
        <v>2.2177559082403492E-4</v>
      </c>
      <c r="K67" s="253">
        <f>'Data Sheet'!K64/('Data Sheet'!K90*'Data Sheet'!K93)</f>
        <v>1.4092064590600869E-4</v>
      </c>
      <c r="L67" s="253"/>
    </row>
    <row r="68" spans="1:15">
      <c r="A68" s="261" t="s">
        <v>623</v>
      </c>
    </row>
    <row r="69" spans="1:15">
      <c r="A69" s="273" t="s">
        <v>647</v>
      </c>
      <c r="B69" s="251">
        <f>('Data Sheet'!B65-'Data Sheet'!B60)/'Data Sheet'!B17</f>
        <v>0.62097084885064846</v>
      </c>
      <c r="C69" s="251">
        <f>('Data Sheet'!C65-'Data Sheet'!C60)/'Data Sheet'!C17</f>
        <v>0.4572151898734178</v>
      </c>
      <c r="D69" s="251">
        <f>('Data Sheet'!D65-'Data Sheet'!D60)/'Data Sheet'!D17</f>
        <v>0.47118758110251363</v>
      </c>
      <c r="E69" s="251">
        <f>('Data Sheet'!E65-'Data Sheet'!E60)/'Data Sheet'!E17</f>
        <v>0.31678805312442626</v>
      </c>
      <c r="F69" s="251">
        <f>('Data Sheet'!F65-'Data Sheet'!F60)/'Data Sheet'!F17</f>
        <v>9.7370583401807723E-2</v>
      </c>
      <c r="G69" s="251">
        <f>('Data Sheet'!G65-'Data Sheet'!G60)/'Data Sheet'!G17</f>
        <v>5.6336257824480242E-2</v>
      </c>
      <c r="H69" s="251">
        <f>('Data Sheet'!H65-'Data Sheet'!H60)/'Data Sheet'!H17</f>
        <v>0.14736356390788205</v>
      </c>
      <c r="I69" s="251">
        <f>('Data Sheet'!I65-'Data Sheet'!I60)/'Data Sheet'!I17</f>
        <v>0.18946602824413603</v>
      </c>
      <c r="J69" s="251">
        <f>('Data Sheet'!J65-'Data Sheet'!J60)/'Data Sheet'!J17</f>
        <v>0.20219856138497178</v>
      </c>
      <c r="K69" s="251">
        <f>('Data Sheet'!K65-'Data Sheet'!K60)/'Data Sheet'!K17</f>
        <v>0.2423806458940673</v>
      </c>
      <c r="L69" s="251"/>
      <c r="M69" s="251">
        <f t="shared" ref="M69" si="18">AVERAGE(I69:K69)</f>
        <v>0.21134841184105835</v>
      </c>
      <c r="N69" s="251">
        <f t="shared" ref="N69" si="19">AVERAGE(G69:K69)</f>
        <v>0.16754901145110745</v>
      </c>
      <c r="O69" s="251">
        <f t="shared" ref="O69" si="20">AVERAGE(B69:K69)</f>
        <v>0.28012773136083513</v>
      </c>
    </row>
    <row r="70" spans="1:15">
      <c r="A70" s="273" t="s">
        <v>46</v>
      </c>
      <c r="B70" s="249">
        <f>IFERROR(('Data Sheet'!B67/'Data Sheet'!B17)*365,"NA")</f>
        <v>9.9839476049826619</v>
      </c>
      <c r="C70" s="249">
        <f>IFERROR(('Data Sheet'!C67/'Data Sheet'!C17)*365,"NA")</f>
        <v>14.825879043600562</v>
      </c>
      <c r="D70" s="249">
        <f>IFERROR(('Data Sheet'!D67/'Data Sheet'!D17)*365,"NA")</f>
        <v>41.504782044504253</v>
      </c>
      <c r="E70" s="249">
        <f>IFERROR(('Data Sheet'!E67/'Data Sheet'!E17)*365,"NA")</f>
        <v>23.646030968847548</v>
      </c>
      <c r="F70" s="249">
        <f>IFERROR(('Data Sheet'!F67/'Data Sheet'!F17)*365,"NA")</f>
        <v>9.869171117502054</v>
      </c>
      <c r="G70" s="249">
        <f>IFERROR(('Data Sheet'!G67/'Data Sheet'!G17)*365,"NA")</f>
        <v>5.9917293044068476</v>
      </c>
      <c r="H70" s="249">
        <f>IFERROR(('Data Sheet'!H67/'Data Sheet'!H17)*365,"NA")</f>
        <v>4.3636478040186253</v>
      </c>
      <c r="I70" s="249">
        <f>IFERROR(('Data Sheet'!I67/'Data Sheet'!I17)*365,"NA")</f>
        <v>4.4540073135745599</v>
      </c>
      <c r="J70" s="264">
        <f>IFERROR(('Data Sheet'!J67/'Data Sheet'!J17)*365,"NA")</f>
        <v>13.720689234770594</v>
      </c>
      <c r="K70" s="264">
        <f>IFERROR(('Data Sheet'!K67/'Data Sheet'!K17)*365,"NA")</f>
        <v>28.356491121796086</v>
      </c>
      <c r="L70" s="264"/>
      <c r="M70" s="250">
        <f t="shared" ref="M70:M73" si="21">AVERAGE(I70:K70)</f>
        <v>15.510395890047079</v>
      </c>
      <c r="N70" s="250">
        <f t="shared" ref="N70:N73" si="22">AVERAGE(G70:K70)</f>
        <v>11.377312955713341</v>
      </c>
      <c r="O70" s="250">
        <f t="shared" ref="O70:O73" si="23">AVERAGE(B70:K70)</f>
        <v>15.671637555800382</v>
      </c>
    </row>
    <row r="71" spans="1:15">
      <c r="A71" s="273" t="s">
        <v>624</v>
      </c>
      <c r="B71" s="250">
        <f>365/B70</f>
        <v>36.558685446009399</v>
      </c>
      <c r="C71" s="250">
        <f t="shared" ref="C71:K71" si="24">365/C70</f>
        <v>24.619113573407205</v>
      </c>
      <c r="D71" s="250">
        <f t="shared" si="24"/>
        <v>8.7941673710904489</v>
      </c>
      <c r="E71" s="250">
        <f t="shared" si="24"/>
        <v>15.43599433160132</v>
      </c>
      <c r="F71" s="250">
        <f t="shared" si="24"/>
        <v>36.983855650522315</v>
      </c>
      <c r="G71" s="250">
        <f t="shared" si="24"/>
        <v>60.917304747320067</v>
      </c>
      <c r="H71" s="250">
        <f t="shared" si="24"/>
        <v>83.645614035087718</v>
      </c>
      <c r="I71" s="250">
        <f t="shared" si="24"/>
        <v>81.94867549668875</v>
      </c>
      <c r="J71" s="250">
        <f t="shared" si="24"/>
        <v>26.602162162162163</v>
      </c>
      <c r="K71" s="250">
        <f t="shared" si="24"/>
        <v>12.871832358674464</v>
      </c>
      <c r="L71" s="250"/>
      <c r="M71" s="250">
        <f t="shared" si="21"/>
        <v>40.474223339175126</v>
      </c>
      <c r="N71" s="250">
        <f t="shared" si="22"/>
        <v>53.197117759986632</v>
      </c>
      <c r="O71" s="250">
        <f t="shared" si="23"/>
        <v>38.837740517256385</v>
      </c>
    </row>
    <row r="72" spans="1:15">
      <c r="A72" s="273" t="s">
        <v>473</v>
      </c>
      <c r="B72" s="249">
        <f>IFERROR(('Data Sheet'!B68/'Data Sheet'!B17)*365,"NA")</f>
        <v>253.3719660973417</v>
      </c>
      <c r="C72" s="249">
        <f>IFERROR(('Data Sheet'!C68/'Data Sheet'!C17)*365,"NA")</f>
        <v>223.66132208157524</v>
      </c>
      <c r="D72" s="249">
        <f>IFERROR(('Data Sheet'!D68/'Data Sheet'!D17)*365,"NA")</f>
        <v>239.66117172105541</v>
      </c>
      <c r="E72" s="249">
        <f>IFERROR(('Data Sheet'!E68/'Data Sheet'!E17)*365,"NA")</f>
        <v>168.02420588775325</v>
      </c>
      <c r="F72" s="249">
        <f>IFERROR(('Data Sheet'!F68/'Data Sheet'!F17)*365,"NA")</f>
        <v>77.528759244042732</v>
      </c>
      <c r="G72" s="249">
        <f>IFERROR(('Data Sheet'!G68/'Data Sheet'!G17)*365,"NA")</f>
        <v>84.581563136328214</v>
      </c>
      <c r="H72" s="249">
        <f>IFERROR(('Data Sheet'!H68/'Data Sheet'!H17)*365,"NA")</f>
        <v>101.74189353580267</v>
      </c>
      <c r="I72" s="265">
        <f>IFERROR(('Data Sheet'!I68/'Data Sheet'!I17)*365,"NA")</f>
        <v>106.57908560114755</v>
      </c>
      <c r="J72" s="265">
        <f>IFERROR(('Data Sheet'!J68/'Data Sheet'!J17)*365,"NA")</f>
        <v>92.09178282602511</v>
      </c>
      <c r="K72" s="265">
        <f>IFERROR(('Data Sheet'!K68/'Data Sheet'!K17)*365,"NA")</f>
        <v>104.67856737212736</v>
      </c>
      <c r="L72" s="265"/>
      <c r="M72" s="250">
        <f t="shared" si="21"/>
        <v>101.11647859976667</v>
      </c>
      <c r="N72" s="250">
        <f t="shared" si="22"/>
        <v>97.934578494286171</v>
      </c>
      <c r="O72" s="250">
        <f t="shared" si="23"/>
        <v>145.19203175031996</v>
      </c>
    </row>
    <row r="73" spans="1:15">
      <c r="A73" s="273" t="s">
        <v>47</v>
      </c>
      <c r="B73" s="250">
        <f>365/B72</f>
        <v>1.4405697900286747</v>
      </c>
      <c r="C73" s="250">
        <f t="shared" ref="C73:K73" si="25">365/C72</f>
        <v>1.6319316929856775</v>
      </c>
      <c r="D73" s="250">
        <f t="shared" si="25"/>
        <v>1.5229834577660666</v>
      </c>
      <c r="E73" s="250">
        <f t="shared" si="25"/>
        <v>2.1723060559728773</v>
      </c>
      <c r="F73" s="250">
        <f t="shared" si="25"/>
        <v>4.7079303675048356</v>
      </c>
      <c r="G73" s="250">
        <f t="shared" si="25"/>
        <v>4.3153612497287916</v>
      </c>
      <c r="H73" s="250">
        <f t="shared" si="25"/>
        <v>3.5875094055680963</v>
      </c>
      <c r="I73" s="250">
        <f t="shared" si="25"/>
        <v>3.4246869162111668</v>
      </c>
      <c r="J73" s="250">
        <f t="shared" si="25"/>
        <v>3.9634372231617947</v>
      </c>
      <c r="K73" s="250">
        <f t="shared" si="25"/>
        <v>3.486864686468647</v>
      </c>
      <c r="L73" s="250"/>
      <c r="M73" s="250">
        <f t="shared" si="21"/>
        <v>3.624996275280536</v>
      </c>
      <c r="N73" s="250">
        <f t="shared" si="22"/>
        <v>3.7555718962276989</v>
      </c>
      <c r="O73" s="250">
        <f t="shared" si="23"/>
        <v>3.0253580845396626</v>
      </c>
    </row>
    <row r="74" spans="1:15">
      <c r="A74" s="273" t="s">
        <v>667</v>
      </c>
      <c r="B74" s="256">
        <f>'Data Sheet'!B82/'Data Sheet'!B66</f>
        <v>8.8504088504088502E-2</v>
      </c>
      <c r="C74" s="256">
        <f>'Data Sheet'!C82/'Data Sheet'!C66</f>
        <v>0.1159906823787339</v>
      </c>
      <c r="D74" s="256">
        <f>'Data Sheet'!D82/'Data Sheet'!D66</f>
        <v>8.3100288258830618E-2</v>
      </c>
      <c r="E74" s="256">
        <f>'Data Sheet'!E82/'Data Sheet'!E66</f>
        <v>0.1344443005900087</v>
      </c>
      <c r="F74" s="256">
        <f>'Data Sheet'!F82/'Data Sheet'!F66</f>
        <v>0.30909007898461399</v>
      </c>
      <c r="G74" s="256">
        <f>'Data Sheet'!G82/'Data Sheet'!G66</f>
        <v>0.20687778093344694</v>
      </c>
      <c r="H74" s="260">
        <f>'Data Sheet'!H82/'Data Sheet'!H66</f>
        <v>8.3162917518745744E-2</v>
      </c>
      <c r="I74" s="260">
        <f>'Data Sheet'!I82/'Data Sheet'!I66</f>
        <v>9.5474147512559462E-2</v>
      </c>
      <c r="J74" s="260">
        <f>'Data Sheet'!J82/'Data Sheet'!J66</f>
        <v>0.15794934679054851</v>
      </c>
      <c r="K74" s="260">
        <f>'Data Sheet'!K82/'Data Sheet'!K66</f>
        <v>0.14398857166866244</v>
      </c>
      <c r="L74" s="260"/>
      <c r="M74" s="251">
        <f t="shared" ref="M74:M98" si="26">AVERAGE(I74:K74)</f>
        <v>0.13247068865725678</v>
      </c>
      <c r="N74" s="251">
        <f t="shared" ref="N74:N98" si="27">AVERAGE(G74:K74)</f>
        <v>0.13749055288479262</v>
      </c>
      <c r="O74" s="251">
        <f t="shared" ref="O74:O98" si="28">AVERAGE(B74:K74)</f>
        <v>0.1418582203140239</v>
      </c>
    </row>
    <row r="75" spans="1:15">
      <c r="A75" s="273"/>
      <c r="B75" s="256"/>
      <c r="C75" s="256"/>
      <c r="D75" s="256"/>
      <c r="E75" s="256"/>
      <c r="F75" s="256"/>
      <c r="G75" s="256"/>
      <c r="H75" s="260"/>
      <c r="I75" s="260"/>
      <c r="J75" s="260"/>
      <c r="K75" s="260"/>
      <c r="L75" s="260"/>
      <c r="M75" s="251"/>
      <c r="N75" s="251"/>
      <c r="O75" s="251"/>
    </row>
    <row r="76" spans="1:15">
      <c r="A76" s="273" t="s">
        <v>840</v>
      </c>
      <c r="B76" s="325">
        <f>Other_input_data!C37/Other_input_data!C72</f>
        <v>7.0073024618479168E-2</v>
      </c>
      <c r="C76" s="325">
        <f>Other_input_data!D37/Other_input_data!D72</f>
        <v>6.965378642550471E-2</v>
      </c>
      <c r="D76" s="325">
        <f>Other_input_data!E37/Other_input_data!E72</f>
        <v>8.697242180441421E-2</v>
      </c>
      <c r="E76" s="325">
        <f>Other_input_data!F37/Other_input_data!F72</f>
        <v>0.13927164444115628</v>
      </c>
      <c r="F76" s="325">
        <f>Other_input_data!G37/Other_input_data!G72</f>
        <v>0.11923024243254346</v>
      </c>
      <c r="G76" s="325">
        <f>Other_input_data!H37/Other_input_data!H72</f>
        <v>0.14205244722143334</v>
      </c>
      <c r="H76" s="325">
        <f>Other_input_data!I37/Other_input_data!I72</f>
        <v>0.15948721331662147</v>
      </c>
      <c r="I76" s="325">
        <f>Other_input_data!J37/Other_input_data!J72</f>
        <v>0.15767127550793583</v>
      </c>
      <c r="J76" s="325">
        <f>Other_input_data!K37/Other_input_data!K72</f>
        <v>0.15283214639437809</v>
      </c>
      <c r="K76" s="325">
        <f>Other_input_data!L37/Other_input_data!L72</f>
        <v>0.16041679796642919</v>
      </c>
      <c r="L76" s="260"/>
      <c r="M76" s="251"/>
      <c r="N76" s="251"/>
      <c r="O76" s="251"/>
    </row>
    <row r="77" spans="1:15">
      <c r="A77" s="273" t="s">
        <v>841</v>
      </c>
      <c r="B77" s="325"/>
      <c r="C77" s="325">
        <f>Other_input_data!D37/Other_input_data!D73</f>
        <v>6.8136630699461617E-2</v>
      </c>
      <c r="D77" s="325">
        <f>Other_input_data!E37/Other_input_data!E73</f>
        <v>8.957174823315682E-2</v>
      </c>
      <c r="E77" s="325">
        <f>Other_input_data!F37/Other_input_data!F73</f>
        <v>0.14977176215528121</v>
      </c>
      <c r="F77" s="325">
        <f>Other_input_data!G37/Other_input_data!G73</f>
        <v>0.10673015029681319</v>
      </c>
      <c r="G77" s="325">
        <f>Other_input_data!H37/Other_input_data!H73</f>
        <v>0.13948732250342796</v>
      </c>
      <c r="H77" s="325">
        <f>Other_input_data!I37/Other_input_data!I73</f>
        <v>0.16535011227758198</v>
      </c>
      <c r="I77" s="325">
        <f>Other_input_data!J37/Other_input_data!J73</f>
        <v>0.15681549362722885</v>
      </c>
      <c r="J77" s="325">
        <f>Other_input_data!K37/Other_input_data!K73</f>
        <v>0.14832021237641882</v>
      </c>
      <c r="K77" s="325">
        <f>Other_input_data!L37/Other_input_data!L73</f>
        <v>0.16967569189063064</v>
      </c>
      <c r="L77" s="260"/>
      <c r="M77" s="251"/>
      <c r="N77" s="251"/>
      <c r="O77" s="251"/>
    </row>
    <row r="78" spans="1:15">
      <c r="A78" s="273" t="s">
        <v>842</v>
      </c>
      <c r="B78" s="325">
        <f>Other_input_data!C37/Other_input_data!C74</f>
        <v>0.10919931856899491</v>
      </c>
      <c r="C78" s="325">
        <f>Other_input_data!D37/Other_input_data!D74</f>
        <v>0.1047462050965039</v>
      </c>
      <c r="D78" s="325">
        <f>Other_input_data!E37/Other_input_data!E74</f>
        <v>0.14853594915316504</v>
      </c>
      <c r="E78" s="325">
        <f>Other_input_data!F37/Other_input_data!F74</f>
        <v>0.22684139177586973</v>
      </c>
      <c r="F78" s="325">
        <f>Other_input_data!G37/Other_input_data!G74</f>
        <v>0.16841867664130011</v>
      </c>
      <c r="G78" s="325">
        <f>Other_input_data!H37/Other_input_data!H74</f>
        <v>0.20578050536565301</v>
      </c>
      <c r="H78" s="325">
        <f>Other_input_data!I37/Other_input_data!I74</f>
        <v>0.25022424618781458</v>
      </c>
      <c r="I78" s="325">
        <f>Other_input_data!J37/Other_input_data!J74</f>
        <v>0.26272316467886514</v>
      </c>
      <c r="J78" s="325">
        <f>Other_input_data!K37/Other_input_data!K74</f>
        <v>0.25401740221055097</v>
      </c>
      <c r="K78" s="325">
        <f>Other_input_data!L37/Other_input_data!L74</f>
        <v>0.3007127948647263</v>
      </c>
      <c r="L78" s="260"/>
      <c r="M78" s="251"/>
      <c r="N78" s="251"/>
      <c r="O78" s="251"/>
    </row>
    <row r="79" spans="1:15">
      <c r="A79" s="273" t="s">
        <v>843</v>
      </c>
      <c r="B79" s="325"/>
      <c r="C79" s="325">
        <f>Other_input_data!D37/Other_input_data!D75</f>
        <v>0.10433057398919067</v>
      </c>
      <c r="D79" s="325">
        <f>Other_input_data!E37/Other_input_data!E75</f>
        <v>0.14352911940642915</v>
      </c>
      <c r="E79" s="325">
        <f>Other_input_data!F37/Other_input_data!F75</f>
        <v>0.24927996821928677</v>
      </c>
      <c r="F79" s="325">
        <f>Other_input_data!G37/Other_input_data!G75</f>
        <v>0.16269254131169497</v>
      </c>
      <c r="G79" s="325">
        <f>Other_input_data!H37/Other_input_data!H75</f>
        <v>0.19947157646355049</v>
      </c>
      <c r="H79" s="325">
        <f>Other_input_data!I37/Other_input_data!I75</f>
        <v>0.2494454284387734</v>
      </c>
      <c r="I79" s="325">
        <f>Other_input_data!J37/Other_input_data!J75</f>
        <v>0.25339382680765937</v>
      </c>
      <c r="J79" s="325">
        <f>Other_input_data!K37/Other_input_data!K75</f>
        <v>0.24683881779402794</v>
      </c>
      <c r="K79" s="325">
        <f>Other_input_data!L37/Other_input_data!L75</f>
        <v>0.29999803563360622</v>
      </c>
      <c r="L79" s="260"/>
      <c r="M79" s="251"/>
      <c r="N79" s="251"/>
      <c r="O79" s="251"/>
    </row>
    <row r="80" spans="1:15">
      <c r="A80" s="273"/>
      <c r="B80" s="325"/>
      <c r="C80" s="325"/>
      <c r="D80" s="325"/>
      <c r="E80" s="325"/>
      <c r="F80" s="325"/>
      <c r="G80" s="325"/>
      <c r="H80" s="325"/>
      <c r="I80" s="325"/>
      <c r="J80" s="325"/>
      <c r="K80" s="325"/>
      <c r="L80" s="260"/>
      <c r="M80" s="251"/>
      <c r="N80" s="251"/>
      <c r="O80" s="251"/>
    </row>
    <row r="81" spans="1:15">
      <c r="A81" s="273" t="s">
        <v>844</v>
      </c>
      <c r="B81" s="256"/>
      <c r="C81" s="256"/>
      <c r="D81" s="256"/>
      <c r="E81" s="256"/>
      <c r="F81" s="256"/>
      <c r="G81" s="256"/>
      <c r="H81" s="260"/>
      <c r="I81" s="260"/>
      <c r="J81" s="260"/>
      <c r="K81" s="260"/>
      <c r="L81" s="260"/>
      <c r="M81" s="251"/>
      <c r="N81" s="251"/>
      <c r="O81" s="251"/>
    </row>
    <row r="82" spans="1:15">
      <c r="A82" s="273" t="s">
        <v>845</v>
      </c>
      <c r="B82" s="256"/>
      <c r="C82" s="256"/>
      <c r="D82" s="256"/>
      <c r="E82" s="256"/>
      <c r="F82" s="256"/>
      <c r="G82" s="256"/>
      <c r="H82" s="260"/>
      <c r="I82" s="260"/>
      <c r="J82" s="260"/>
      <c r="K82" s="260"/>
      <c r="L82" s="260"/>
      <c r="M82" s="251"/>
      <c r="N82" s="251"/>
      <c r="O82" s="251"/>
    </row>
    <row r="83" spans="1:15">
      <c r="A83" s="273" t="s">
        <v>846</v>
      </c>
      <c r="B83" s="256"/>
      <c r="C83" s="256"/>
      <c r="D83" s="256"/>
      <c r="E83" s="256"/>
      <c r="F83" s="256"/>
      <c r="G83" s="256"/>
      <c r="H83" s="260"/>
      <c r="I83" s="260"/>
      <c r="J83" s="260"/>
      <c r="K83" s="260"/>
      <c r="L83" s="260"/>
      <c r="M83" s="251"/>
      <c r="N83" s="251"/>
      <c r="O83" s="251"/>
    </row>
    <row r="84" spans="1:15">
      <c r="A84" s="273" t="s">
        <v>847</v>
      </c>
      <c r="B84" s="256"/>
      <c r="C84" s="256"/>
      <c r="D84" s="256"/>
      <c r="E84" s="256"/>
      <c r="F84" s="256"/>
      <c r="G84" s="256"/>
      <c r="H84" s="260"/>
      <c r="I84" s="260"/>
      <c r="J84" s="260"/>
      <c r="K84" s="260"/>
      <c r="L84" s="260"/>
      <c r="M84" s="251"/>
      <c r="N84" s="251"/>
      <c r="O84" s="251"/>
    </row>
    <row r="85" spans="1:15">
      <c r="A85" s="273"/>
      <c r="B85" s="256"/>
      <c r="C85" s="256"/>
      <c r="D85" s="256"/>
      <c r="E85" s="256"/>
      <c r="F85" s="256"/>
      <c r="G85" s="256"/>
      <c r="H85" s="260"/>
      <c r="I85" s="260"/>
      <c r="J85" s="260"/>
      <c r="K85" s="260"/>
      <c r="L85" s="260"/>
      <c r="M85" s="251"/>
      <c r="N85" s="251"/>
      <c r="O85" s="251"/>
    </row>
    <row r="86" spans="1:15">
      <c r="A86" s="273" t="s">
        <v>848</v>
      </c>
      <c r="B86" s="256"/>
      <c r="C86" s="256"/>
      <c r="D86" s="256"/>
      <c r="E86" s="256"/>
      <c r="F86" s="256"/>
      <c r="G86" s="256"/>
      <c r="H86" s="260"/>
      <c r="I86" s="260"/>
      <c r="J86" s="260"/>
      <c r="K86" s="260"/>
      <c r="L86" s="260"/>
      <c r="M86" s="251"/>
      <c r="N86" s="251"/>
      <c r="O86" s="251"/>
    </row>
    <row r="87" spans="1:15">
      <c r="A87" s="273" t="s">
        <v>849</v>
      </c>
      <c r="B87" s="256"/>
      <c r="C87" s="256"/>
      <c r="D87" s="256"/>
      <c r="E87" s="256"/>
      <c r="F87" s="256"/>
      <c r="G87" s="256"/>
      <c r="H87" s="260"/>
      <c r="I87" s="260"/>
      <c r="J87" s="260"/>
      <c r="K87" s="260"/>
      <c r="L87" s="260"/>
      <c r="M87" s="251"/>
      <c r="N87" s="251"/>
      <c r="O87" s="251"/>
    </row>
    <row r="88" spans="1:15">
      <c r="A88" s="273" t="s">
        <v>850</v>
      </c>
      <c r="B88" s="256"/>
      <c r="C88" s="256"/>
      <c r="D88" s="256"/>
      <c r="E88" s="256"/>
      <c r="F88" s="256"/>
      <c r="G88" s="256"/>
      <c r="H88" s="260"/>
      <c r="I88" s="260"/>
      <c r="J88" s="260"/>
      <c r="K88" s="260"/>
      <c r="L88" s="260"/>
      <c r="M88" s="251"/>
      <c r="N88" s="251"/>
      <c r="O88" s="251"/>
    </row>
    <row r="89" spans="1:15">
      <c r="A89" s="273" t="s">
        <v>851</v>
      </c>
      <c r="B89" s="256"/>
      <c r="C89" s="256"/>
      <c r="D89" s="256"/>
      <c r="E89" s="256"/>
      <c r="F89" s="256"/>
      <c r="G89" s="256"/>
      <c r="H89" s="260"/>
      <c r="I89" s="260"/>
      <c r="J89" s="260"/>
      <c r="K89" s="260"/>
      <c r="L89" s="260"/>
      <c r="M89" s="251"/>
      <c r="N89" s="251"/>
      <c r="O89" s="251"/>
    </row>
    <row r="90" spans="1:15">
      <c r="A90" s="273"/>
      <c r="B90" s="256"/>
      <c r="C90" s="256"/>
      <c r="D90" s="256"/>
      <c r="E90" s="256"/>
      <c r="F90" s="256"/>
      <c r="G90" s="256"/>
      <c r="H90" s="260"/>
      <c r="I90" s="260"/>
      <c r="J90" s="260"/>
      <c r="K90" s="260"/>
      <c r="L90" s="260"/>
      <c r="M90" s="251"/>
      <c r="N90" s="251"/>
      <c r="O90" s="251"/>
    </row>
    <row r="91" spans="1:15">
      <c r="A91" s="273" t="s">
        <v>852</v>
      </c>
      <c r="B91" s="256"/>
      <c r="C91" s="256"/>
      <c r="D91" s="256"/>
      <c r="E91" s="256"/>
      <c r="F91" s="256"/>
      <c r="G91" s="256"/>
      <c r="H91" s="260"/>
      <c r="I91" s="260"/>
      <c r="J91" s="260"/>
      <c r="K91" s="260"/>
      <c r="L91" s="260"/>
      <c r="M91" s="251"/>
      <c r="N91" s="251"/>
      <c r="O91" s="251"/>
    </row>
    <row r="92" spans="1:15">
      <c r="A92" s="273" t="s">
        <v>853</v>
      </c>
      <c r="B92" s="256"/>
      <c r="C92" s="256"/>
      <c r="D92" s="256"/>
      <c r="E92" s="256"/>
      <c r="F92" s="256"/>
      <c r="G92" s="256"/>
      <c r="H92" s="260"/>
      <c r="I92" s="260"/>
      <c r="J92" s="260"/>
      <c r="K92" s="260"/>
      <c r="L92" s="260"/>
      <c r="M92" s="251"/>
      <c r="N92" s="251"/>
      <c r="O92" s="251"/>
    </row>
    <row r="93" spans="1:15">
      <c r="A93" s="273" t="s">
        <v>854</v>
      </c>
      <c r="B93" s="256"/>
      <c r="C93" s="256"/>
      <c r="D93" s="256"/>
      <c r="E93" s="256"/>
      <c r="F93" s="256"/>
      <c r="G93" s="256"/>
      <c r="H93" s="260"/>
      <c r="I93" s="260"/>
      <c r="J93" s="260"/>
      <c r="K93" s="260"/>
      <c r="L93" s="260"/>
      <c r="M93" s="251"/>
      <c r="N93" s="251"/>
      <c r="O93" s="251"/>
    </row>
    <row r="94" spans="1:15">
      <c r="A94" s="273" t="s">
        <v>855</v>
      </c>
      <c r="B94" s="256"/>
      <c r="C94" s="256"/>
      <c r="D94" s="256"/>
      <c r="E94" s="256"/>
      <c r="F94" s="256"/>
      <c r="G94" s="256"/>
      <c r="H94" s="260"/>
      <c r="I94" s="260"/>
      <c r="J94" s="260"/>
      <c r="K94" s="260"/>
      <c r="L94" s="260"/>
      <c r="M94" s="251"/>
      <c r="N94" s="251"/>
      <c r="O94" s="251"/>
    </row>
    <row r="95" spans="1:15">
      <c r="A95" s="273"/>
      <c r="B95" s="256"/>
      <c r="C95" s="256"/>
      <c r="D95" s="256"/>
      <c r="E95" s="256"/>
      <c r="F95" s="256"/>
      <c r="G95" s="256"/>
      <c r="H95" s="260"/>
      <c r="I95" s="260"/>
      <c r="J95" s="260"/>
      <c r="K95" s="260"/>
      <c r="L95" s="260"/>
      <c r="M95" s="251"/>
      <c r="N95" s="251"/>
      <c r="O95" s="251"/>
    </row>
    <row r="96" spans="1:15">
      <c r="A96" s="273" t="s">
        <v>629</v>
      </c>
      <c r="B96" s="256">
        <f>'Data Sheet'!B30/'Data Sheet'!B66</f>
        <v>2.8947483492938041E-2</v>
      </c>
      <c r="C96" s="256">
        <f>'Data Sheet'!C30/'Data Sheet'!C66</f>
        <v>2.1512743217319812E-2</v>
      </c>
      <c r="D96" s="256">
        <f>'Data Sheet'!D30/'Data Sheet'!D66</f>
        <v>3.9861463666480232E-2</v>
      </c>
      <c r="E96" s="256">
        <f>'Data Sheet'!E30/'Data Sheet'!E66</f>
        <v>7.849520039950432E-2</v>
      </c>
      <c r="F96" s="256">
        <f>'Data Sheet'!F30/'Data Sheet'!F66</f>
        <v>5.4513080399945207E-2</v>
      </c>
      <c r="G96" s="256">
        <f>'Data Sheet'!G30/'Data Sheet'!G66</f>
        <v>7.3321972924358617E-2</v>
      </c>
      <c r="H96" s="256">
        <f>'Data Sheet'!H30/'Data Sheet'!H66</f>
        <v>0.10585570728060338</v>
      </c>
      <c r="I96" s="266">
        <f>'Data Sheet'!I30/'Data Sheet'!I66</f>
        <v>0.11376872804872627</v>
      </c>
      <c r="J96" s="382">
        <f>'Data Sheet'!J30/'Data Sheet'!J66</f>
        <v>0.10484365419987737</v>
      </c>
      <c r="K96" s="382">
        <f>'Data Sheet'!K30/'Data Sheet'!K66</f>
        <v>0.11690930862797</v>
      </c>
      <c r="L96" s="266"/>
      <c r="M96" s="385">
        <f t="shared" si="26"/>
        <v>0.11184056362552454</v>
      </c>
      <c r="N96" s="251">
        <f t="shared" si="27"/>
        <v>0.10293987421630713</v>
      </c>
      <c r="O96" s="251">
        <f t="shared" si="28"/>
        <v>7.3802934225772332E-2</v>
      </c>
    </row>
    <row r="97" spans="1:15">
      <c r="A97" s="273" t="s">
        <v>630</v>
      </c>
      <c r="B97" s="250">
        <f>'Data Sheet'!B17/'Data Sheet'!B66</f>
        <v>0.34050461323188597</v>
      </c>
      <c r="C97" s="250">
        <f>'Data Sheet'!C17/'Data Sheet'!C66</f>
        <v>0.40593313236503153</v>
      </c>
      <c r="D97" s="250">
        <f>'Data Sheet'!D17/'Data Sheet'!D66</f>
        <v>0.44759712601643503</v>
      </c>
      <c r="E97" s="250">
        <f>'Data Sheet'!E17/'Data Sheet'!E66</f>
        <v>0.60439824661993458</v>
      </c>
      <c r="F97" s="250">
        <f>'Data Sheet'!F17/'Data Sheet'!F66</f>
        <v>0.88901063781217182</v>
      </c>
      <c r="G97" s="250">
        <f>'Data Sheet'!G17/'Data Sheet'!G66</f>
        <v>0.9414702262614788</v>
      </c>
      <c r="H97" s="267">
        <f>'Data Sheet'!H17/'Data Sheet'!H66</f>
        <v>1.0483980913428765</v>
      </c>
      <c r="I97" s="267">
        <f>'Data Sheet'!I17/'Data Sheet'!I66</f>
        <v>1.10027564131063</v>
      </c>
      <c r="J97" s="383">
        <f>'Data Sheet'!J17/'Data Sheet'!J66</f>
        <v>1.1605433193416026</v>
      </c>
      <c r="K97" s="383">
        <f>'Data Sheet'!K17/'Data Sheet'!K66</f>
        <v>1.1097666015419845</v>
      </c>
      <c r="L97" s="267"/>
      <c r="M97" s="250">
        <f t="shared" si="26"/>
        <v>1.1235285207314059</v>
      </c>
      <c r="N97" s="250">
        <f t="shared" si="27"/>
        <v>1.0720907759597145</v>
      </c>
      <c r="O97" s="250">
        <f t="shared" si="28"/>
        <v>0.80478976358440302</v>
      </c>
    </row>
    <row r="98" spans="1:15">
      <c r="A98" s="273" t="s">
        <v>288</v>
      </c>
      <c r="B98" s="250">
        <f>'Data Sheet'!B17/'Data Sheet'!B62</f>
        <v>0.57137616025241222</v>
      </c>
      <c r="C98" s="250">
        <f>'Data Sheet'!C17/'Data Sheet'!C62</f>
        <v>0.61124484181568084</v>
      </c>
      <c r="D98" s="250">
        <f>'Data Sheet'!D17/'Data Sheet'!D62</f>
        <v>0.76628733473281041</v>
      </c>
      <c r="E98" s="250">
        <f>'Data Sheet'!E17/'Data Sheet'!E62</f>
        <v>0.9861484141593988</v>
      </c>
      <c r="F98" s="250">
        <f>'Data Sheet'!F17/'Data Sheet'!F62</f>
        <v>1.2557719592415839</v>
      </c>
      <c r="G98" s="250">
        <f>'Data Sheet'!G17/'Data Sheet'!G62</f>
        <v>1.3655212660052864</v>
      </c>
      <c r="H98" s="267">
        <f>'Data Sheet'!H17/'Data Sheet'!H62</f>
        <v>1.6505573634286503</v>
      </c>
      <c r="I98" s="267">
        <f>'Data Sheet'!I17/'Data Sheet'!I62</f>
        <v>1.8334259362151348</v>
      </c>
      <c r="J98" s="267">
        <f>'Data Sheet'!J17/'Data Sheet'!J62</f>
        <v>1.928901779415223</v>
      </c>
      <c r="K98" s="267">
        <f>'Data Sheet'!K17/'Data Sheet'!K62</f>
        <v>2.0803371007758042</v>
      </c>
      <c r="L98" s="267"/>
      <c r="M98" s="384">
        <f t="shared" si="26"/>
        <v>1.9475549388020539</v>
      </c>
      <c r="N98" s="250">
        <f t="shared" si="27"/>
        <v>1.7717486891680199</v>
      </c>
      <c r="O98" s="250">
        <f t="shared" si="28"/>
        <v>1.3049572156041986</v>
      </c>
    </row>
    <row r="99" spans="1:15">
      <c r="A99" s="273" t="s">
        <v>395</v>
      </c>
      <c r="B99" s="263">
        <f t="shared" ref="B99:K99" si="29">B12/B11</f>
        <v>3.0574018126888216</v>
      </c>
      <c r="C99" s="263">
        <f t="shared" si="29"/>
        <v>5.3917197452229297</v>
      </c>
      <c r="D99" s="263">
        <f t="shared" si="29"/>
        <v>2.084727468969239</v>
      </c>
      <c r="E99" s="263">
        <f t="shared" si="29"/>
        <v>1.7127709707822809</v>
      </c>
      <c r="F99" s="263">
        <f t="shared" si="29"/>
        <v>5.6700167504187613</v>
      </c>
      <c r="G99" s="263">
        <f t="shared" si="29"/>
        <v>2.8214977404777275</v>
      </c>
      <c r="H99" s="263">
        <f t="shared" si="29"/>
        <v>0.78562525965932695</v>
      </c>
      <c r="I99" s="263">
        <f t="shared" si="29"/>
        <v>0.83919499804611186</v>
      </c>
      <c r="J99" s="263">
        <f t="shared" si="29"/>
        <v>1.506522717049033</v>
      </c>
      <c r="K99" s="268">
        <f t="shared" si="29"/>
        <v>1.2316262353998204</v>
      </c>
      <c r="L99" s="268"/>
      <c r="M99" s="250">
        <f t="shared" ref="M99:M122" si="30">AVERAGE(I99:K99)</f>
        <v>1.1924479834983217</v>
      </c>
      <c r="N99" s="250">
        <f t="shared" ref="N99:N122" si="31">AVERAGE(G99:K99)</f>
        <v>1.436893390126404</v>
      </c>
      <c r="O99" s="250">
        <f t="shared" ref="O99:O122" si="32">AVERAGE(B99:K99)</f>
        <v>2.5101103698714051</v>
      </c>
    </row>
    <row r="100" spans="1:15">
      <c r="A100" s="273" t="s">
        <v>625</v>
      </c>
      <c r="B100" s="251">
        <f t="shared" ref="B100:K100" si="33">B12/B4</f>
        <v>0.259920380120714</v>
      </c>
      <c r="C100" s="251">
        <f t="shared" si="33"/>
        <v>0.28573839662447259</v>
      </c>
      <c r="D100" s="251">
        <f t="shared" si="33"/>
        <v>0.18565867256211854</v>
      </c>
      <c r="E100" s="251">
        <f t="shared" si="33"/>
        <v>0.22244323398004776</v>
      </c>
      <c r="F100" s="251">
        <f t="shared" si="33"/>
        <v>0.34767871815940837</v>
      </c>
      <c r="G100" s="251">
        <f t="shared" si="33"/>
        <v>0.21973905829709142</v>
      </c>
      <c r="H100" s="251">
        <f t="shared" si="33"/>
        <v>7.9323797139141741E-2</v>
      </c>
      <c r="I100" s="251">
        <f t="shared" si="33"/>
        <v>8.6772935733478801E-2</v>
      </c>
      <c r="J100" s="251">
        <f t="shared" si="33"/>
        <v>0.13609948388669893</v>
      </c>
      <c r="K100" s="251">
        <f t="shared" si="33"/>
        <v>0.12974671563245374</v>
      </c>
      <c r="L100" s="251"/>
      <c r="M100" s="381">
        <f t="shared" si="30"/>
        <v>0.11753971175087714</v>
      </c>
      <c r="N100" s="381">
        <f t="shared" si="31"/>
        <v>0.13033639813777292</v>
      </c>
      <c r="O100" s="381">
        <f t="shared" si="32"/>
        <v>0.19531213921356258</v>
      </c>
    </row>
    <row r="101" spans="1:15">
      <c r="A101" s="273" t="s">
        <v>626</v>
      </c>
      <c r="B101" s="263">
        <f t="shared" ref="B101:K101" si="34">B13/B11</f>
        <v>0</v>
      </c>
      <c r="C101" s="263">
        <f t="shared" si="34"/>
        <v>1.6709129511677299</v>
      </c>
      <c r="D101" s="263">
        <f t="shared" si="34"/>
        <v>0.10577441985968493</v>
      </c>
      <c r="E101" s="263">
        <f t="shared" si="34"/>
        <v>1.978793590951933</v>
      </c>
      <c r="F101" s="263">
        <f t="shared" si="34"/>
        <v>0.20812395309882759</v>
      </c>
      <c r="G101" s="263">
        <f t="shared" si="34"/>
        <v>0.28986442866365386</v>
      </c>
      <c r="H101" s="268">
        <f t="shared" si="34"/>
        <v>0.61923556294142112</v>
      </c>
      <c r="I101" s="268">
        <f t="shared" si="34"/>
        <v>0.18464243845252079</v>
      </c>
      <c r="J101" s="268">
        <f t="shared" si="34"/>
        <v>0.3391812865497067</v>
      </c>
      <c r="K101" s="268">
        <f t="shared" si="34"/>
        <v>0.50566037735849101</v>
      </c>
      <c r="L101" s="268"/>
      <c r="M101" s="250">
        <f t="shared" si="30"/>
        <v>0.3431613674535729</v>
      </c>
      <c r="N101" s="250">
        <f t="shared" si="31"/>
        <v>0.38771681879315867</v>
      </c>
      <c r="O101" s="250">
        <f t="shared" si="32"/>
        <v>0.59021890090439677</v>
      </c>
    </row>
    <row r="102" spans="1:15">
      <c r="A102" s="273" t="s">
        <v>627</v>
      </c>
      <c r="B102" s="251">
        <f t="shared" ref="B102:K102" si="35">B14/B11</f>
        <v>8.8746223564954679E-2</v>
      </c>
      <c r="C102" s="251">
        <f t="shared" si="35"/>
        <v>0.12473460721868365</v>
      </c>
      <c r="D102" s="251">
        <f t="shared" si="35"/>
        <v>9.5116028062601179E-2</v>
      </c>
      <c r="E102" s="251">
        <f t="shared" si="35"/>
        <v>6.9215362865221494E-2</v>
      </c>
      <c r="F102" s="251">
        <f t="shared" si="35"/>
        <v>0.12301088777219431</v>
      </c>
      <c r="G102" s="251">
        <f t="shared" si="35"/>
        <v>0.18015655261459004</v>
      </c>
      <c r="H102" s="251">
        <f t="shared" si="35"/>
        <v>0.15254985459077691</v>
      </c>
      <c r="I102" s="251">
        <f t="shared" si="35"/>
        <v>0.1607073075420086</v>
      </c>
      <c r="J102" s="251">
        <f t="shared" si="35"/>
        <v>0.19821187584345479</v>
      </c>
      <c r="K102" s="251">
        <f t="shared" si="35"/>
        <v>0</v>
      </c>
      <c r="L102" s="251"/>
      <c r="M102" s="251">
        <f t="shared" si="30"/>
        <v>0.11963972779515446</v>
      </c>
      <c r="N102" s="251">
        <f t="shared" si="31"/>
        <v>0.13832511811816606</v>
      </c>
      <c r="O102" s="251">
        <f t="shared" si="32"/>
        <v>0.11924487000744857</v>
      </c>
    </row>
    <row r="103" spans="1:15">
      <c r="A103" s="273" t="s">
        <v>477</v>
      </c>
      <c r="B103" s="263">
        <f t="shared" ref="B103:K103" si="36">B15/B11</f>
        <v>0</v>
      </c>
      <c r="C103" s="263">
        <f t="shared" si="36"/>
        <v>3.7208067940551999</v>
      </c>
      <c r="D103" s="263">
        <f t="shared" si="36"/>
        <v>1.9789530491095544</v>
      </c>
      <c r="E103" s="263">
        <f t="shared" si="36"/>
        <v>-0.26602262016965211</v>
      </c>
      <c r="F103" s="263">
        <f t="shared" si="36"/>
        <v>5.4618927973199334</v>
      </c>
      <c r="G103" s="263">
        <f t="shared" si="36"/>
        <v>2.5316333118140739</v>
      </c>
      <c r="H103" s="263">
        <f t="shared" si="36"/>
        <v>0.16638969671790585</v>
      </c>
      <c r="I103" s="263">
        <f t="shared" si="36"/>
        <v>0.65455255959359093</v>
      </c>
      <c r="J103" s="263">
        <f t="shared" si="36"/>
        <v>1.1673414304993261</v>
      </c>
      <c r="K103" s="263">
        <f t="shared" si="36"/>
        <v>0.72596585804132951</v>
      </c>
      <c r="L103" s="263"/>
      <c r="M103" s="250">
        <f t="shared" si="30"/>
        <v>0.84928661604474887</v>
      </c>
      <c r="N103" s="250">
        <f t="shared" si="31"/>
        <v>1.0491765713332453</v>
      </c>
      <c r="O103" s="250">
        <f t="shared" si="32"/>
        <v>1.6141512876981263</v>
      </c>
    </row>
    <row r="104" spans="1:15">
      <c r="A104" s="273" t="s">
        <v>398</v>
      </c>
      <c r="B104" s="263">
        <f t="shared" ref="B104:K104" si="37">B15/B12</f>
        <v>0</v>
      </c>
      <c r="C104" s="263">
        <f t="shared" si="37"/>
        <v>0.69009647568418953</v>
      </c>
      <c r="D104" s="263">
        <f t="shared" si="37"/>
        <v>0.94926223142635369</v>
      </c>
      <c r="E104" s="263">
        <f t="shared" si="37"/>
        <v>-0.15531710001375754</v>
      </c>
      <c r="F104" s="263">
        <f t="shared" si="37"/>
        <v>0.96329394387001477</v>
      </c>
      <c r="G104" s="263">
        <f t="shared" si="37"/>
        <v>0.89726575906646844</v>
      </c>
      <c r="H104" s="263">
        <f t="shared" si="37"/>
        <v>0.2117927022739288</v>
      </c>
      <c r="I104" s="263">
        <f t="shared" si="37"/>
        <v>0.7799767171129216</v>
      </c>
      <c r="J104" s="263">
        <f t="shared" si="37"/>
        <v>0.7748581666169011</v>
      </c>
      <c r="K104" s="263">
        <f t="shared" si="37"/>
        <v>0.58943682521155505</v>
      </c>
      <c r="L104" s="263"/>
      <c r="M104" s="250">
        <f t="shared" si="30"/>
        <v>0.71475723631379262</v>
      </c>
      <c r="N104" s="250">
        <f t="shared" si="31"/>
        <v>0.65066603405635504</v>
      </c>
      <c r="O104" s="250">
        <f t="shared" si="32"/>
        <v>0.57006657212485756</v>
      </c>
    </row>
    <row r="105" spans="1:15">
      <c r="A105" s="273" t="s">
        <v>628</v>
      </c>
      <c r="B105" s="251">
        <f t="shared" ref="B105:K105" si="38">B15/B4</f>
        <v>0</v>
      </c>
      <c r="C105" s="251">
        <f t="shared" si="38"/>
        <v>0.19718706047819962</v>
      </c>
      <c r="D105" s="251">
        <f t="shared" si="38"/>
        <v>0.17623876579997139</v>
      </c>
      <c r="E105" s="251">
        <f t="shared" si="38"/>
        <v>-3.4549238019462747E-2</v>
      </c>
      <c r="F105" s="251">
        <f t="shared" si="38"/>
        <v>0.33491680361544784</v>
      </c>
      <c r="G105" s="255">
        <f t="shared" si="38"/>
        <v>0.19716433293949071</v>
      </c>
      <c r="H105" s="255">
        <f t="shared" si="38"/>
        <v>1.6800201350727774E-2</v>
      </c>
      <c r="I105" s="255">
        <f t="shared" si="38"/>
        <v>6.7680869547649319E-2</v>
      </c>
      <c r="J105" s="255">
        <f t="shared" si="38"/>
        <v>0.105457796561954</v>
      </c>
      <c r="K105" s="255">
        <f t="shared" si="38"/>
        <v>7.6477492144019957E-2</v>
      </c>
      <c r="L105" s="255"/>
      <c r="M105" s="251">
        <f t="shared" si="30"/>
        <v>8.3205386084541089E-2</v>
      </c>
      <c r="N105" s="251">
        <f t="shared" si="31"/>
        <v>9.271613850876835E-2</v>
      </c>
      <c r="O105" s="251">
        <f t="shared" si="32"/>
        <v>0.11373740844179978</v>
      </c>
    </row>
    <row r="106" spans="1:15">
      <c r="A106" s="278" t="s">
        <v>250</v>
      </c>
      <c r="B106" s="251">
        <f t="shared" ref="B106:K106" si="39">B21</f>
        <v>8.5013484011814563E-2</v>
      </c>
      <c r="C106" s="251">
        <f t="shared" si="39"/>
        <v>5.2995780590717301E-2</v>
      </c>
      <c r="D106" s="251">
        <f t="shared" si="39"/>
        <v>8.9056567501321682E-2</v>
      </c>
      <c r="E106" s="251">
        <f t="shared" si="39"/>
        <v>0.12987330926005264</v>
      </c>
      <c r="F106" s="251">
        <f t="shared" si="39"/>
        <v>6.1318816762530814E-2</v>
      </c>
      <c r="G106" s="251">
        <f t="shared" si="39"/>
        <v>7.7880288594484523E-2</v>
      </c>
      <c r="H106" s="251">
        <f t="shared" si="39"/>
        <v>0.10096900037753262</v>
      </c>
      <c r="I106" s="254">
        <f t="shared" si="39"/>
        <v>0.10340020607309533</v>
      </c>
      <c r="J106" s="254">
        <f t="shared" si="39"/>
        <v>9.0340147112610236E-2</v>
      </c>
      <c r="K106" s="254">
        <f t="shared" si="39"/>
        <v>0.10534585242115625</v>
      </c>
      <c r="L106" s="254"/>
      <c r="M106" s="386">
        <f t="shared" si="30"/>
        <v>9.969540186895394E-2</v>
      </c>
      <c r="N106" s="251">
        <f t="shared" si="31"/>
        <v>9.5587098915775784E-2</v>
      </c>
      <c r="O106" s="251">
        <f t="shared" si="32"/>
        <v>8.96193452705316E-2</v>
      </c>
    </row>
    <row r="107" spans="1:15">
      <c r="A107" s="278" t="s">
        <v>252</v>
      </c>
      <c r="B107" s="270">
        <f t="shared" ref="B107:K107" si="40">B97</f>
        <v>0.34050461323188597</v>
      </c>
      <c r="C107" s="270">
        <f t="shared" si="40"/>
        <v>0.40593313236503153</v>
      </c>
      <c r="D107" s="270">
        <f t="shared" si="40"/>
        <v>0.44759712601643503</v>
      </c>
      <c r="E107" s="270">
        <f t="shared" si="40"/>
        <v>0.60439824661993458</v>
      </c>
      <c r="F107" s="270">
        <f t="shared" si="40"/>
        <v>0.88901063781217182</v>
      </c>
      <c r="G107" s="271">
        <f t="shared" si="40"/>
        <v>0.9414702262614788</v>
      </c>
      <c r="H107" s="271">
        <f t="shared" si="40"/>
        <v>1.0483980913428765</v>
      </c>
      <c r="I107" s="271">
        <f t="shared" si="40"/>
        <v>1.10027564131063</v>
      </c>
      <c r="J107" s="271">
        <f t="shared" si="40"/>
        <v>1.1605433193416026</v>
      </c>
      <c r="K107" s="271">
        <f t="shared" si="40"/>
        <v>1.1097666015419845</v>
      </c>
      <c r="L107" s="271"/>
      <c r="M107" s="250">
        <f t="shared" si="30"/>
        <v>1.1235285207314059</v>
      </c>
      <c r="N107" s="250">
        <f t="shared" si="31"/>
        <v>1.0720907759597145</v>
      </c>
      <c r="O107" s="250">
        <f t="shared" si="32"/>
        <v>0.80478976358440302</v>
      </c>
    </row>
    <row r="108" spans="1:15">
      <c r="A108" s="278" t="s">
        <v>254</v>
      </c>
      <c r="B108" s="263">
        <f t="shared" ref="B108:K108" si="41">B57</f>
        <v>4.1123898579392195</v>
      </c>
      <c r="C108" s="263">
        <f t="shared" si="41"/>
        <v>3.6185439219899185</v>
      </c>
      <c r="D108" s="263">
        <f t="shared" si="41"/>
        <v>3.4100645539906105</v>
      </c>
      <c r="E108" s="263">
        <f t="shared" si="41"/>
        <v>3.0819700165308097</v>
      </c>
      <c r="F108" s="263">
        <f t="shared" si="41"/>
        <v>2.2362550410944921</v>
      </c>
      <c r="G108" s="263">
        <f t="shared" si="41"/>
        <v>1.9171468759925587</v>
      </c>
      <c r="H108" s="263">
        <f t="shared" si="41"/>
        <v>1.7495191197968762</v>
      </c>
      <c r="I108" s="272">
        <f t="shared" si="41"/>
        <v>1.4935095116364001</v>
      </c>
      <c r="J108" s="272">
        <f t="shared" si="41"/>
        <v>1.2656618415161915</v>
      </c>
      <c r="K108" s="272">
        <f t="shared" si="41"/>
        <v>1.2707493526255371</v>
      </c>
      <c r="L108" s="272"/>
      <c r="M108" s="250">
        <f t="shared" si="30"/>
        <v>1.3433069019260431</v>
      </c>
      <c r="N108" s="250">
        <f t="shared" si="31"/>
        <v>1.5393173403135127</v>
      </c>
      <c r="O108" s="250">
        <f t="shared" si="32"/>
        <v>2.4155810093112611</v>
      </c>
    </row>
    <row r="109" spans="1:15">
      <c r="A109" s="273" t="s">
        <v>60</v>
      </c>
      <c r="B109" s="251">
        <f>B106*B107*B108</f>
        <v>0.11904333752922137</v>
      </c>
      <c r="C109" s="251">
        <f t="shared" ref="C109:K109" si="42">C106*C107*C108</f>
        <v>7.7844806214362461E-2</v>
      </c>
      <c r="D109" s="251">
        <f t="shared" si="42"/>
        <v>0.13593016431924884</v>
      </c>
      <c r="E109" s="251">
        <f t="shared" si="42"/>
        <v>0.2419198540728496</v>
      </c>
      <c r="F109" s="251">
        <f t="shared" si="42"/>
        <v>0.12190515084996684</v>
      </c>
      <c r="G109" s="251">
        <f t="shared" si="42"/>
        <v>0.14056899133354508</v>
      </c>
      <c r="H109" s="251">
        <f t="shared" si="42"/>
        <v>0.18519658382703702</v>
      </c>
      <c r="I109" s="251">
        <f t="shared" si="42"/>
        <v>0.1699146774675476</v>
      </c>
      <c r="J109" s="251">
        <f t="shared" si="42"/>
        <v>0.13269661244590358</v>
      </c>
      <c r="K109" s="251">
        <f t="shared" si="42"/>
        <v>0.14856242825489202</v>
      </c>
      <c r="L109" s="251"/>
      <c r="M109" s="386">
        <f t="shared" si="30"/>
        <v>0.15039123938944773</v>
      </c>
      <c r="N109" s="251">
        <f t="shared" si="31"/>
        <v>0.15538785866578508</v>
      </c>
      <c r="O109" s="251">
        <f t="shared" si="32"/>
        <v>0.14735826063145746</v>
      </c>
    </row>
    <row r="110" spans="1:15">
      <c r="A110" s="273" t="s">
        <v>631</v>
      </c>
      <c r="B110" s="256">
        <f>('Data Sheet'!B27+'Data Sheet'!B28)/B10</f>
        <v>8.209108139951847E-2</v>
      </c>
      <c r="C110" s="256">
        <f>('Data Sheet'!C27+'Data Sheet'!C28)/C10</f>
        <v>8.1866008159759501E-2</v>
      </c>
      <c r="D110" s="256">
        <f>('Data Sheet'!D27+'Data Sheet'!D28)/D10</f>
        <v>0.10918764178459545</v>
      </c>
      <c r="E110" s="256">
        <f>('Data Sheet'!E27+'Data Sheet'!E28)/E10</f>
        <v>0.17289279728147314</v>
      </c>
      <c r="F110" s="256">
        <f>('Data Sheet'!F27+'Data Sheet'!F28)/F10</f>
        <v>0.15004740153408602</v>
      </c>
      <c r="G110" s="256">
        <f>('Data Sheet'!G27+'Data Sheet'!G28)/G10</f>
        <v>0.19109314318456741</v>
      </c>
      <c r="H110" s="257">
        <f>('Data Sheet'!H27+'Data Sheet'!H28)/H10</f>
        <v>0.20136594575085373</v>
      </c>
      <c r="I110" s="257">
        <f>('Data Sheet'!I27+'Data Sheet'!I28)/I10</f>
        <v>0.19497581354441512</v>
      </c>
      <c r="J110" s="257">
        <f>('Data Sheet'!J27+'Data Sheet'!J28)/J10</f>
        <v>0.18274326305107677</v>
      </c>
      <c r="K110" s="257">
        <f>('Data Sheet'!K27+'Data Sheet'!K28)/K10</f>
        <v>0.19987960636515911</v>
      </c>
      <c r="L110" s="257"/>
      <c r="M110" s="386">
        <f t="shared" si="30"/>
        <v>0.192532894320217</v>
      </c>
      <c r="N110" s="251">
        <f t="shared" si="31"/>
        <v>0.19401155437921441</v>
      </c>
      <c r="O110" s="251">
        <f t="shared" si="32"/>
        <v>0.15661427020555047</v>
      </c>
    </row>
    <row r="111" spans="1:15">
      <c r="A111" s="278" t="s">
        <v>659</v>
      </c>
      <c r="B111" s="263">
        <f t="shared" ref="B111:K111" si="43">B4/B10</f>
        <v>0.39890374468521084</v>
      </c>
      <c r="C111" s="263">
        <f t="shared" si="43"/>
        <v>0.47710435902941806</v>
      </c>
      <c r="D111" s="263">
        <f t="shared" si="43"/>
        <v>0.56192610997083292</v>
      </c>
      <c r="E111" s="263">
        <f t="shared" si="43"/>
        <v>0.7503042270337289</v>
      </c>
      <c r="F111" s="263">
        <f t="shared" si="43"/>
        <v>1.1187911172397944</v>
      </c>
      <c r="G111" s="268">
        <f t="shared" si="43"/>
        <v>1.2662825491818936</v>
      </c>
      <c r="H111" s="268">
        <f t="shared" si="43"/>
        <v>1.3236902745773063</v>
      </c>
      <c r="I111" s="268">
        <f t="shared" si="43"/>
        <v>1.3604056728232192</v>
      </c>
      <c r="J111" s="268">
        <f t="shared" si="43"/>
        <v>1.3872477167662645</v>
      </c>
      <c r="K111" s="268">
        <f t="shared" si="43"/>
        <v>1.3825900335008374</v>
      </c>
      <c r="L111" s="268"/>
      <c r="M111" s="250">
        <f t="shared" si="30"/>
        <v>1.3767478076967736</v>
      </c>
      <c r="N111" s="250">
        <f t="shared" si="31"/>
        <v>1.3440432493699042</v>
      </c>
      <c r="O111" s="250">
        <f t="shared" si="32"/>
        <v>1.0027245804808507</v>
      </c>
    </row>
    <row r="112" spans="1:15">
      <c r="A112" s="278" t="s">
        <v>660</v>
      </c>
      <c r="B112" s="251">
        <f>B11/B10</f>
        <v>3.3912197121049134E-2</v>
      </c>
      <c r="C112" s="251">
        <f t="shared" ref="C112:K112" si="44">C11/C10</f>
        <v>2.5284517929997852E-2</v>
      </c>
      <c r="D112" s="251">
        <f t="shared" si="44"/>
        <v>5.0043210543372588E-2</v>
      </c>
      <c r="E112" s="251">
        <f t="shared" si="44"/>
        <v>9.7444492916676229E-2</v>
      </c>
      <c r="F112" s="251">
        <f t="shared" si="44"/>
        <v>6.8602947513574083E-2</v>
      </c>
      <c r="G112" s="251">
        <f t="shared" si="44"/>
        <v>9.8618450372445418E-2</v>
      </c>
      <c r="H112" s="251">
        <f t="shared" si="44"/>
        <v>0.13365168383353229</v>
      </c>
      <c r="I112" s="254">
        <f t="shared" si="44"/>
        <v>0.14066622691292877</v>
      </c>
      <c r="J112" s="254">
        <f t="shared" si="44"/>
        <v>0.12532416281429701</v>
      </c>
      <c r="K112" s="254">
        <f t="shared" si="44"/>
        <v>0.1456501256281407</v>
      </c>
      <c r="L112" s="254"/>
      <c r="M112" s="251">
        <f t="shared" si="30"/>
        <v>0.13721350511845551</v>
      </c>
      <c r="N112" s="251">
        <f t="shared" si="31"/>
        <v>0.12878212991226884</v>
      </c>
      <c r="O112" s="251">
        <f t="shared" si="32"/>
        <v>9.1919801558601411E-2</v>
      </c>
    </row>
    <row r="113" spans="1:15">
      <c r="A113" s="278" t="s">
        <v>661</v>
      </c>
      <c r="B113" s="251">
        <f>B12/B10</f>
        <v>0.10368321295015624</v>
      </c>
      <c r="C113" s="251">
        <f t="shared" ref="C113:K113" si="45">C12/C10</f>
        <v>0.13632703457161263</v>
      </c>
      <c r="D113" s="251">
        <f t="shared" si="45"/>
        <v>0.10432645565517988</v>
      </c>
      <c r="E113" s="251">
        <f t="shared" si="45"/>
        <v>0.16690009873028264</v>
      </c>
      <c r="F113" s="251">
        <f t="shared" si="45"/>
        <v>0.38897986153006409</v>
      </c>
      <c r="G113" s="251">
        <f t="shared" si="45"/>
        <v>0.27825173489526961</v>
      </c>
      <c r="H113" s="255">
        <f t="shared" si="45"/>
        <v>0.10500013881562509</v>
      </c>
      <c r="I113" s="255">
        <f t="shared" si="45"/>
        <v>0.11804639401934917</v>
      </c>
      <c r="J113" s="255">
        <f t="shared" si="45"/>
        <v>0.18880369827489007</v>
      </c>
      <c r="K113" s="255">
        <f t="shared" si="45"/>
        <v>0.17938651591289781</v>
      </c>
      <c r="L113" s="255"/>
      <c r="M113" s="251">
        <f t="shared" si="30"/>
        <v>0.16207886940237903</v>
      </c>
      <c r="N113" s="251">
        <f t="shared" si="31"/>
        <v>0.17389769638360636</v>
      </c>
      <c r="O113" s="251">
        <f t="shared" si="32"/>
        <v>0.1769705145355327</v>
      </c>
    </row>
    <row r="114" spans="1:15">
      <c r="A114" s="278" t="s">
        <v>662</v>
      </c>
      <c r="B114" s="251">
        <f>B15/B10</f>
        <v>0</v>
      </c>
      <c r="C114" s="251">
        <f t="shared" ref="C114:K114" si="46">C15/C10</f>
        <v>9.4078806098346526E-2</v>
      </c>
      <c r="D114" s="251">
        <f t="shared" si="46"/>
        <v>9.9033164092038578E-2</v>
      </c>
      <c r="E114" s="251">
        <f t="shared" si="46"/>
        <v>-2.5922439326797313E-2</v>
      </c>
      <c r="F114" s="251">
        <f t="shared" si="46"/>
        <v>0.37470194489930769</v>
      </c>
      <c r="G114" s="251">
        <f t="shared" si="46"/>
        <v>0.24966575412236586</v>
      </c>
      <c r="H114" s="251">
        <f t="shared" si="46"/>
        <v>2.223826313889888E-2</v>
      </c>
      <c r="I114" s="255">
        <f t="shared" si="46"/>
        <v>9.2073438874230404E-2</v>
      </c>
      <c r="J114" s="255">
        <f t="shared" si="46"/>
        <v>0.14629608749577191</v>
      </c>
      <c r="K114" s="255">
        <f t="shared" si="46"/>
        <v>0.10573701842546059</v>
      </c>
      <c r="L114" s="255"/>
      <c r="M114" s="251">
        <f t="shared" si="30"/>
        <v>0.11470218159848762</v>
      </c>
      <c r="N114" s="251">
        <f t="shared" si="31"/>
        <v>0.12320211241134553</v>
      </c>
      <c r="O114" s="251">
        <f t="shared" si="32"/>
        <v>0.11579020378196232</v>
      </c>
    </row>
    <row r="115" spans="1:15">
      <c r="A115" s="278" t="s">
        <v>663</v>
      </c>
      <c r="C115" s="250">
        <f t="shared" ref="C115:K115" si="47">(C4-$B$4)/(C10-$B$10)</f>
        <v>-1.2323628219484908</v>
      </c>
      <c r="D115" s="250">
        <f t="shared" si="47"/>
        <v>-2.5983118172790478</v>
      </c>
      <c r="E115" s="250">
        <f t="shared" si="47"/>
        <v>3.7916204832631277</v>
      </c>
      <c r="F115" s="250">
        <f t="shared" si="47"/>
        <v>-5.5209071580439426</v>
      </c>
      <c r="G115" s="250">
        <f t="shared" si="47"/>
        <v>-3.1731777661248048</v>
      </c>
      <c r="H115" s="250">
        <f t="shared" si="47"/>
        <v>-10.619913992722473</v>
      </c>
      <c r="I115" s="267">
        <f t="shared" si="47"/>
        <v>-12.762603461249068</v>
      </c>
      <c r="J115" s="267">
        <f t="shared" si="47"/>
        <v>-9.4335389792484658</v>
      </c>
      <c r="K115" s="267">
        <f t="shared" si="47"/>
        <v>-44.666666666667105</v>
      </c>
      <c r="L115" s="267"/>
      <c r="M115" s="387">
        <f t="shared" si="30"/>
        <v>-22.287603035721546</v>
      </c>
      <c r="N115" s="250">
        <f t="shared" si="31"/>
        <v>-16.131180173202385</v>
      </c>
      <c r="O115" s="250">
        <f t="shared" si="32"/>
        <v>-9.5795402422244749</v>
      </c>
    </row>
    <row r="116" spans="1:15">
      <c r="A116" s="278" t="s">
        <v>664</v>
      </c>
      <c r="C116" s="251">
        <f>(C11-$B$11)/(C10-$B$10)</f>
        <v>0.21388577827547645</v>
      </c>
      <c r="D116" s="251">
        <f t="shared" ref="D116:K116" si="48">(D11-$B$11)/(D10-$B$10)</f>
        <v>-0.26266137040715015</v>
      </c>
      <c r="E116" s="251">
        <f t="shared" si="48"/>
        <v>0.64730658390600648</v>
      </c>
      <c r="F116" s="251">
        <f t="shared" si="48"/>
        <v>-0.25135837467517136</v>
      </c>
      <c r="G116" s="251">
        <f t="shared" si="48"/>
        <v>-0.23256423702149984</v>
      </c>
      <c r="H116" s="254">
        <f t="shared" si="48"/>
        <v>-1.1544823023486617</v>
      </c>
      <c r="I116" s="254">
        <f t="shared" si="48"/>
        <v>-1.4273890142964643</v>
      </c>
      <c r="J116" s="254">
        <f t="shared" si="48"/>
        <v>-0.87549074593382015</v>
      </c>
      <c r="K116" s="254">
        <f t="shared" si="48"/>
        <v>-5.0851318944844621</v>
      </c>
      <c r="L116" s="254"/>
      <c r="M116" s="386">
        <f t="shared" si="30"/>
        <v>-2.4626705515715823</v>
      </c>
      <c r="N116" s="251">
        <f t="shared" si="31"/>
        <v>-1.7550116388169816</v>
      </c>
      <c r="O116" s="251">
        <f t="shared" si="32"/>
        <v>-0.93643173077619402</v>
      </c>
    </row>
    <row r="117" spans="1:15">
      <c r="A117" s="278" t="s">
        <v>665</v>
      </c>
      <c r="C117" s="251">
        <f>(C12-$B$12)/(C10-$B$10)</f>
        <v>-0.57726763717805307</v>
      </c>
      <c r="D117" s="251">
        <f t="shared" ref="D117:K117" si="49">(D12-$B$12)/(D10-$B$10)</f>
        <v>9.1857000993048443E-2</v>
      </c>
      <c r="E117" s="251">
        <f t="shared" si="49"/>
        <v>0.71403236532919423</v>
      </c>
      <c r="F117" s="251">
        <f t="shared" si="49"/>
        <v>-2.242381289865345</v>
      </c>
      <c r="G117" s="251">
        <f t="shared" si="49"/>
        <v>-0.61523335081279518</v>
      </c>
      <c r="H117" s="255">
        <f t="shared" si="49"/>
        <v>8.7992060866688718E-2</v>
      </c>
      <c r="I117" s="255">
        <f t="shared" si="49"/>
        <v>-9.2927012791572894E-2</v>
      </c>
      <c r="J117" s="255">
        <f t="shared" si="49"/>
        <v>-0.74312955692652916</v>
      </c>
      <c r="K117" s="255">
        <f t="shared" si="49"/>
        <v>-3.3645083932854059</v>
      </c>
      <c r="L117" s="255"/>
      <c r="M117" s="251">
        <f t="shared" si="30"/>
        <v>-1.4001883210011694</v>
      </c>
      <c r="N117" s="251">
        <f t="shared" si="31"/>
        <v>-0.94556125058992291</v>
      </c>
      <c r="O117" s="251">
        <f t="shared" si="32"/>
        <v>-0.74906286818564105</v>
      </c>
    </row>
    <row r="118" spans="1:15">
      <c r="A118" s="278" t="s">
        <v>666</v>
      </c>
      <c r="C118" s="251">
        <f>(C15-$B$15)/(C10-$B$10)</f>
        <v>-1.9624860022396455</v>
      </c>
      <c r="D118" s="251">
        <f t="shared" ref="D118:K118" si="50">(D15-$B$15)/(D10-$B$10)</f>
        <v>-1.8207547169811356</v>
      </c>
      <c r="E118" s="251">
        <f t="shared" si="50"/>
        <v>-0.250277100421193</v>
      </c>
      <c r="F118" s="251">
        <f t="shared" si="50"/>
        <v>-3.0812662414363348</v>
      </c>
      <c r="G118" s="251">
        <f t="shared" si="50"/>
        <v>-1.0281856318825384</v>
      </c>
      <c r="H118" s="251">
        <f t="shared" si="50"/>
        <v>-0.26496857426397608</v>
      </c>
      <c r="I118" s="251">
        <f t="shared" si="50"/>
        <v>-1.2603461249059444</v>
      </c>
      <c r="J118" s="251">
        <f t="shared" si="50"/>
        <v>-1.4554122265844107</v>
      </c>
      <c r="K118" s="251">
        <f t="shared" si="50"/>
        <v>-4.8441247002398535</v>
      </c>
      <c r="L118" s="251"/>
      <c r="M118" s="251">
        <f t="shared" si="30"/>
        <v>-2.519961017243403</v>
      </c>
      <c r="N118" s="251">
        <f t="shared" si="31"/>
        <v>-1.7706074515753447</v>
      </c>
      <c r="O118" s="251">
        <f t="shared" si="32"/>
        <v>-1.7742023687727813</v>
      </c>
    </row>
    <row r="119" spans="1:15">
      <c r="A119" s="273" t="s">
        <v>414</v>
      </c>
      <c r="M119" s="250"/>
      <c r="N119" s="250"/>
      <c r="O119" s="250"/>
    </row>
    <row r="120" spans="1:15">
      <c r="A120" s="273" t="s">
        <v>668</v>
      </c>
      <c r="B120" s="251">
        <f>B12/B16</f>
        <v>0.1224935097021545</v>
      </c>
      <c r="C120" s="251">
        <f t="shared" ref="C120:K120" si="51">C12/C16</f>
        <v>0.18176646554330572</v>
      </c>
      <c r="D120" s="251">
        <f t="shared" si="51"/>
        <v>0.11804624101073169</v>
      </c>
      <c r="E120" s="251">
        <f t="shared" si="51"/>
        <v>0.18849063575721034</v>
      </c>
      <c r="F120" s="251">
        <f t="shared" si="51"/>
        <v>0.57283957972156818</v>
      </c>
      <c r="G120" s="251">
        <f t="shared" si="51"/>
        <v>0.41843814752421465</v>
      </c>
      <c r="H120" s="251">
        <f t="shared" si="51"/>
        <v>0.13979230939422066</v>
      </c>
      <c r="I120" s="251">
        <f t="shared" si="51"/>
        <v>7.5284343003880358E-2</v>
      </c>
      <c r="J120" s="251">
        <f t="shared" si="51"/>
        <v>0.13109508087629954</v>
      </c>
      <c r="K120" s="381">
        <f t="shared" si="51"/>
        <v>8.8484247537678432E-2</v>
      </c>
      <c r="L120" s="381">
        <f>(L11*(M12/M11))/L16</f>
        <v>0.10456437360231612</v>
      </c>
      <c r="M120" s="251">
        <f t="shared" si="30"/>
        <v>9.8287890472619432E-2</v>
      </c>
      <c r="N120" s="251">
        <f t="shared" si="31"/>
        <v>0.17061882566725872</v>
      </c>
      <c r="O120" s="251">
        <f t="shared" si="32"/>
        <v>0.2036730560071264</v>
      </c>
    </row>
    <row r="121" spans="1:15">
      <c r="A121" s="273" t="s">
        <v>144</v>
      </c>
      <c r="B121" s="256">
        <f>('Data Sheet'!B31*10000000/'Data Sheet'!B70)/'Data Sheet'!B90</f>
        <v>1.8277557690597687E-2</v>
      </c>
      <c r="C121" s="256">
        <f>('Data Sheet'!C31*10000000/'Data Sheet'!C70)/'Data Sheet'!C90</f>
        <v>3.9030736451255578E-2</v>
      </c>
      <c r="D121" s="256">
        <f>('Data Sheet'!D31*10000000/'Data Sheet'!D70)/'Data Sheet'!D90</f>
        <v>1.7823798985191309E-2</v>
      </c>
      <c r="E121" s="256">
        <f>('Data Sheet'!E31*10000000/'Data Sheet'!E70)/'Data Sheet'!E90</f>
        <v>2.2914757103574702E-2</v>
      </c>
      <c r="F121" s="256">
        <f>('Data Sheet'!F31*10000000/'Data Sheet'!F70)/'Data Sheet'!F90</f>
        <v>3.4075216446967503E-2</v>
      </c>
      <c r="G121" s="256">
        <f>('Data Sheet'!G31*10000000/'Data Sheet'!G70)/'Data Sheet'!G90</f>
        <v>4.783551302646117E-2</v>
      </c>
      <c r="H121" s="256">
        <f>('Data Sheet'!H31*10000000/'Data Sheet'!H70)/'Data Sheet'!H90</f>
        <v>4.2441029276310917E-2</v>
      </c>
      <c r="I121" s="256">
        <f>('Data Sheet'!I31*10000000/'Data Sheet'!I70)/'Data Sheet'!I90</f>
        <v>1.610491199815944E-2</v>
      </c>
      <c r="J121" s="256">
        <f>('Data Sheet'!J31*10000000/'Data Sheet'!J70)/'Data Sheet'!J90</f>
        <v>1.7767249037607343E-2</v>
      </c>
      <c r="K121" s="256">
        <f>('Data Sheet'!K31*10000000/'Data Sheet'!K70)/'Data Sheet'!K90</f>
        <v>0</v>
      </c>
      <c r="L121" s="256"/>
      <c r="M121" s="251">
        <f t="shared" si="30"/>
        <v>1.1290720345255594E-2</v>
      </c>
      <c r="N121" s="251">
        <f t="shared" si="31"/>
        <v>2.4829740667707774E-2</v>
      </c>
      <c r="O121" s="251">
        <f t="shared" si="32"/>
        <v>2.5627077001612562E-2</v>
      </c>
    </row>
    <row r="122" spans="1:15">
      <c r="A122" s="273" t="s">
        <v>17</v>
      </c>
      <c r="B122" s="251">
        <f>'Data Sheet'!B31/'Data Sheet'!B30</f>
        <v>8.8746223564954679E-2</v>
      </c>
      <c r="C122" s="251">
        <f>'Data Sheet'!C31/'Data Sheet'!C30</f>
        <v>0.12473460721868365</v>
      </c>
      <c r="D122" s="251">
        <f>'Data Sheet'!D31/'Data Sheet'!D30</f>
        <v>9.5116028062601179E-2</v>
      </c>
      <c r="E122" s="251">
        <f>'Data Sheet'!E31/'Data Sheet'!E30</f>
        <v>6.9215362865221494E-2</v>
      </c>
      <c r="F122" s="251">
        <f>'Data Sheet'!F31/'Data Sheet'!F30</f>
        <v>0.12301088777219431</v>
      </c>
      <c r="G122" s="251">
        <f>'Data Sheet'!G31/'Data Sheet'!G30</f>
        <v>0.18015655261459004</v>
      </c>
      <c r="H122" s="251">
        <f>'Data Sheet'!H31/'Data Sheet'!H30</f>
        <v>0.15254985459077691</v>
      </c>
      <c r="I122" s="251">
        <f>'Data Sheet'!I31/'Data Sheet'!I30</f>
        <v>0.1607073075420086</v>
      </c>
      <c r="J122" s="251">
        <f>'Data Sheet'!J31/'Data Sheet'!J30</f>
        <v>0.19821187584345479</v>
      </c>
      <c r="K122" s="251">
        <f>'Data Sheet'!K31/'Data Sheet'!K30</f>
        <v>0</v>
      </c>
      <c r="L122" s="251"/>
      <c r="M122" s="251">
        <f t="shared" si="30"/>
        <v>0.11963972779515446</v>
      </c>
      <c r="N122" s="251">
        <f t="shared" si="31"/>
        <v>0.13832511811816606</v>
      </c>
      <c r="O122" s="251">
        <f t="shared" si="32"/>
        <v>0.11924487000744857</v>
      </c>
    </row>
  </sheetData>
  <pageMargins left="0.7" right="0.7" top="0.75" bottom="0.75" header="0.3" footer="0.3"/>
  <pageSetup orientation="portrait" r:id="rId1"/>
  <ignoredErrors>
    <ignoredError sqref="B6:K6 M22:O22 M25:O30 N33:O33 M34:O35 M33 M31:O32 N36:O36 M37:O37 M36" formulaRange="1"/>
    <ignoredError sqref="B72:K72" formula="1"/>
  </ignoredErrors>
</worksheet>
</file>

<file path=xl/worksheets/sheet14.xml><?xml version="1.0" encoding="utf-8"?>
<worksheet xmlns="http://schemas.openxmlformats.org/spreadsheetml/2006/main" xmlns:r="http://schemas.openxmlformats.org/officeDocument/2006/relationships">
  <dimension ref="A1:AQ27"/>
  <sheetViews>
    <sheetView workbookViewId="0">
      <selection activeCell="F12" sqref="F12"/>
    </sheetView>
  </sheetViews>
  <sheetFormatPr defaultRowHeight="15"/>
  <cols>
    <col min="1" max="1" width="41.5703125" customWidth="1"/>
    <col min="2" max="4" width="26.7109375" customWidth="1"/>
    <col min="5" max="21" width="17.85546875" customWidth="1"/>
    <col min="22" max="42" width="25.140625" customWidth="1"/>
    <col min="43" max="43" width="45.140625" customWidth="1"/>
  </cols>
  <sheetData>
    <row r="1" spans="1:43">
      <c r="F1">
        <v>2</v>
      </c>
      <c r="G1">
        <v>3</v>
      </c>
      <c r="H1">
        <v>4</v>
      </c>
      <c r="I1">
        <v>5</v>
      </c>
      <c r="J1">
        <v>6</v>
      </c>
      <c r="K1">
        <v>7</v>
      </c>
      <c r="L1">
        <v>8</v>
      </c>
      <c r="M1">
        <v>9</v>
      </c>
      <c r="O1">
        <v>10</v>
      </c>
      <c r="P1">
        <v>11</v>
      </c>
      <c r="Q1">
        <v>12</v>
      </c>
      <c r="R1">
        <v>13</v>
      </c>
      <c r="S1">
        <v>14</v>
      </c>
      <c r="T1">
        <v>15</v>
      </c>
      <c r="U1">
        <v>16</v>
      </c>
      <c r="V1">
        <v>2</v>
      </c>
      <c r="W1">
        <v>3</v>
      </c>
      <c r="X1">
        <v>4</v>
      </c>
      <c r="Y1">
        <v>5</v>
      </c>
      <c r="Z1">
        <v>6</v>
      </c>
      <c r="AA1">
        <v>7</v>
      </c>
      <c r="AB1">
        <v>8</v>
      </c>
      <c r="AC1">
        <v>9</v>
      </c>
      <c r="AD1">
        <v>10</v>
      </c>
      <c r="AE1">
        <v>11</v>
      </c>
      <c r="AF1">
        <v>12</v>
      </c>
      <c r="AG1">
        <v>13</v>
      </c>
      <c r="AH1">
        <v>14</v>
      </c>
      <c r="AI1">
        <v>15</v>
      </c>
      <c r="AJ1">
        <v>16</v>
      </c>
      <c r="AK1">
        <v>17</v>
      </c>
      <c r="AL1">
        <v>2</v>
      </c>
      <c r="AM1">
        <v>3</v>
      </c>
      <c r="AN1">
        <v>4</v>
      </c>
      <c r="AO1">
        <v>5</v>
      </c>
      <c r="AP1">
        <v>2</v>
      </c>
      <c r="AQ1">
        <v>3</v>
      </c>
    </row>
    <row r="2" spans="1:43">
      <c r="B2" t="s">
        <v>796</v>
      </c>
      <c r="C2" t="s">
        <v>912</v>
      </c>
      <c r="D2" t="s">
        <v>913</v>
      </c>
      <c r="E2" t="s">
        <v>797</v>
      </c>
      <c r="F2" s="9" t="s">
        <v>6</v>
      </c>
      <c r="G2" s="5" t="s">
        <v>81</v>
      </c>
      <c r="H2" s="5" t="s">
        <v>82</v>
      </c>
      <c r="I2" s="5" t="s">
        <v>83</v>
      </c>
      <c r="J2" s="5" t="s">
        <v>84</v>
      </c>
      <c r="K2" s="5" t="s">
        <v>85</v>
      </c>
      <c r="L2" s="5" t="s">
        <v>86</v>
      </c>
      <c r="M2" s="5" t="s">
        <v>87</v>
      </c>
      <c r="N2" s="5"/>
      <c r="O2" s="9" t="s">
        <v>9</v>
      </c>
      <c r="P2" s="9" t="s">
        <v>10</v>
      </c>
      <c r="Q2" s="9" t="s">
        <v>11</v>
      </c>
      <c r="R2" s="9" t="s">
        <v>12</v>
      </c>
      <c r="S2" s="9" t="s">
        <v>13</v>
      </c>
      <c r="T2" s="9" t="s">
        <v>14</v>
      </c>
      <c r="U2" s="9" t="s">
        <v>71</v>
      </c>
      <c r="V2" s="9" t="s">
        <v>24</v>
      </c>
      <c r="W2" s="9" t="s">
        <v>25</v>
      </c>
      <c r="X2" s="9" t="s">
        <v>72</v>
      </c>
      <c r="Y2" s="9" t="s">
        <v>73</v>
      </c>
      <c r="Z2" s="1" t="s">
        <v>26</v>
      </c>
      <c r="AA2" s="9" t="s">
        <v>27</v>
      </c>
      <c r="AB2" s="9" t="s">
        <v>28</v>
      </c>
      <c r="AC2" s="9" t="s">
        <v>29</v>
      </c>
      <c r="AD2" s="9" t="s">
        <v>74</v>
      </c>
      <c r="AE2" s="1" t="s">
        <v>26</v>
      </c>
      <c r="AF2" s="9" t="s">
        <v>79</v>
      </c>
      <c r="AG2" s="9" t="s">
        <v>45</v>
      </c>
      <c r="AH2" s="5" t="s">
        <v>88</v>
      </c>
      <c r="AI2" s="5" t="s">
        <v>75</v>
      </c>
      <c r="AJ2" s="5" t="s">
        <v>76</v>
      </c>
      <c r="AK2" s="5" t="s">
        <v>89</v>
      </c>
      <c r="AL2" s="9" t="s">
        <v>32</v>
      </c>
      <c r="AM2" s="9" t="s">
        <v>33</v>
      </c>
      <c r="AN2" s="9" t="s">
        <v>34</v>
      </c>
      <c r="AO2" s="9" t="s">
        <v>35</v>
      </c>
      <c r="AP2" s="1" t="s">
        <v>78</v>
      </c>
      <c r="AQ2" s="5" t="s">
        <v>90</v>
      </c>
    </row>
    <row r="3" spans="1:43">
      <c r="A3" t="s">
        <v>800</v>
      </c>
      <c r="B3" t="str">
        <f>UPPER(SUBSTITUTE(B2," ","_"))</f>
        <v>COMPANY_NAME</v>
      </c>
      <c r="C3" t="str">
        <f t="shared" ref="C3:AQ3" si="0">UPPER(SUBSTITUTE(C2," ","_"))</f>
        <v>TYPE1</v>
      </c>
      <c r="D3" t="str">
        <f t="shared" si="0"/>
        <v>TYPE2</v>
      </c>
      <c r="E3" t="str">
        <f t="shared" si="0"/>
        <v>DATE</v>
      </c>
      <c r="F3" t="str">
        <f t="shared" si="0"/>
        <v>SALES</v>
      </c>
      <c r="G3" t="str">
        <f t="shared" si="0"/>
        <v>RAW_MATERIAL_COST</v>
      </c>
      <c r="H3" t="str">
        <f t="shared" si="0"/>
        <v>CHANGE_IN_INVENTORY</v>
      </c>
      <c r="I3" t="str">
        <f t="shared" si="0"/>
        <v>POWER_AND_FUEL</v>
      </c>
      <c r="J3" t="str">
        <f t="shared" si="0"/>
        <v>OTHER_MFR._EXP</v>
      </c>
      <c r="K3" t="str">
        <f t="shared" si="0"/>
        <v>EMPLOYEE_COST</v>
      </c>
      <c r="L3" t="str">
        <f t="shared" si="0"/>
        <v>SELLING_AND_ADMIN</v>
      </c>
      <c r="M3" t="str">
        <f t="shared" si="0"/>
        <v>OTHER_EXPENSES</v>
      </c>
      <c r="N3" t="s">
        <v>911</v>
      </c>
      <c r="O3" t="str">
        <f t="shared" si="0"/>
        <v>OTHER_INCOME</v>
      </c>
      <c r="P3" t="str">
        <f t="shared" si="0"/>
        <v>DEPRECIATION</v>
      </c>
      <c r="Q3" t="str">
        <f t="shared" si="0"/>
        <v>INTEREST</v>
      </c>
      <c r="R3" t="str">
        <f t="shared" si="0"/>
        <v>PROFIT_BEFORE_TAX</v>
      </c>
      <c r="S3" t="str">
        <f t="shared" si="0"/>
        <v>TAX</v>
      </c>
      <c r="T3" t="str">
        <f t="shared" si="0"/>
        <v>NET_PROFIT</v>
      </c>
      <c r="U3" t="str">
        <f t="shared" si="0"/>
        <v>DIVIDEND_AMOUNT</v>
      </c>
      <c r="V3" t="str">
        <f t="shared" si="0"/>
        <v>EQUITY_SHARE_CAPITAL</v>
      </c>
      <c r="W3" t="str">
        <f t="shared" si="0"/>
        <v>RESERVES</v>
      </c>
      <c r="X3" t="str">
        <f t="shared" si="0"/>
        <v>BORROWINGS</v>
      </c>
      <c r="Y3" t="str">
        <f t="shared" si="0"/>
        <v>OTHER_LIABILITIES</v>
      </c>
      <c r="Z3" t="str">
        <f t="shared" si="0"/>
        <v>TOTAL</v>
      </c>
      <c r="AA3" t="str">
        <f t="shared" si="0"/>
        <v>NET_BLOCK</v>
      </c>
      <c r="AB3" t="str">
        <f t="shared" si="0"/>
        <v>CAPITAL_WORK_IN_PROGRESS</v>
      </c>
      <c r="AC3" t="str">
        <f t="shared" si="0"/>
        <v>INVESTMENTS</v>
      </c>
      <c r="AD3" t="str">
        <f t="shared" si="0"/>
        <v>OTHER_ASSETS</v>
      </c>
      <c r="AE3" t="str">
        <f t="shared" si="0"/>
        <v>TOTAL</v>
      </c>
      <c r="AF3" t="str">
        <f t="shared" si="0"/>
        <v>RECEIVABLES</v>
      </c>
      <c r="AG3" t="str">
        <f t="shared" si="0"/>
        <v>INVENTORY</v>
      </c>
      <c r="AH3" t="str">
        <f t="shared" si="0"/>
        <v>CASH_&amp;_BANK</v>
      </c>
      <c r="AI3" t="str">
        <f t="shared" si="0"/>
        <v>NO._OF_EQUITY_SHARES</v>
      </c>
      <c r="AJ3" t="str">
        <f t="shared" si="0"/>
        <v>NEW_BONUS_SHARES</v>
      </c>
      <c r="AK3" t="str">
        <f t="shared" si="0"/>
        <v>FACE_VALUE</v>
      </c>
      <c r="AL3" t="str">
        <f t="shared" si="0"/>
        <v>CASH_FROM_OPERATING_ACTIVITY</v>
      </c>
      <c r="AM3" t="str">
        <f t="shared" si="0"/>
        <v>CASH_FROM_INVESTING_ACTIVITY</v>
      </c>
      <c r="AN3" t="str">
        <f t="shared" si="0"/>
        <v>CASH_FROM_FINANCING_ACTIVITY</v>
      </c>
      <c r="AO3" t="str">
        <f t="shared" si="0"/>
        <v>NET_CASH_FLOW</v>
      </c>
      <c r="AP3" t="str">
        <f t="shared" si="0"/>
        <v>PRICE:</v>
      </c>
      <c r="AQ3" t="str">
        <f t="shared" si="0"/>
        <v>ADJUSTED_EQUITY_SHARES_IN_CR</v>
      </c>
    </row>
    <row r="4" spans="1:43">
      <c r="A4" t="str">
        <f t="shared" ref="A4:A24" si="1">IF(B4&lt;&gt;"",CONCATENATE(B4,DAY(E4),MONTH(E4),YEAR(E4),"-",C4),"")</f>
        <v>AMBIKA COTTON MILLS LTD3132008-PY9</v>
      </c>
      <c r="B4" t="str">
        <f>IF(E4&lt;&gt;"",'Data Sheet'!$B$1,"")</f>
        <v>AMBIKA COTTON MILLS LTD</v>
      </c>
      <c r="C4" t="s">
        <v>909</v>
      </c>
      <c r="D4" t="s">
        <v>914</v>
      </c>
      <c r="E4" s="279">
        <f>'Data Sheet'!B16</f>
        <v>39538</v>
      </c>
      <c r="F4" s="9">
        <f>IF($E4&lt;&gt;"",HLOOKUP(Model_Input2!$E4,'Data Sheet'!$B$16:$K$31,F$1,0),"")</f>
        <v>155.74</v>
      </c>
      <c r="G4" s="9">
        <f>IFERROR(IF($E4&lt;&gt;"",HLOOKUP(Model_Input2!$E4,'Data Sheet'!$B$16:$K$31,G$1,0),""),"NA")</f>
        <v>83.82</v>
      </c>
      <c r="H4" s="9">
        <f>IFERROR(IF($E4&lt;&gt;"",HLOOKUP(Model_Input2!$E4,'Data Sheet'!$B$16:$K$31,H$1,0),""),"NA")</f>
        <v>0.41</v>
      </c>
      <c r="I4" s="9">
        <f>IFERROR(IF($E4&lt;&gt;"",HLOOKUP(Model_Input2!$E4,'Data Sheet'!$B$16:$K$31,I$1,0),""),"NA")</f>
        <v>11.38</v>
      </c>
      <c r="J4" s="9">
        <f>IFERROR(IF($E4&lt;&gt;"",HLOOKUP(Model_Input2!$E4,'Data Sheet'!$B$16:$K$31,J$1,0),""),"NA")</f>
        <v>4.5</v>
      </c>
      <c r="K4" s="9">
        <f>IFERROR(IF($E4&lt;&gt;"",HLOOKUP(Model_Input2!$E4,'Data Sheet'!$B$16:$K$31,K$1,0),""),"NA")</f>
        <v>9.39</v>
      </c>
      <c r="L4" s="9">
        <f>IFERROR(IF($E4&lt;&gt;"",HLOOKUP(Model_Input2!$E4,'Data Sheet'!$B$16:$K$31,L$1,0),""),"NA")</f>
        <v>7.25</v>
      </c>
      <c r="M4" s="9">
        <f>IFERROR(IF($E4&lt;&gt;"",HLOOKUP(Model_Input2!$E4,'Data Sheet'!$B$16:$K$31,M$1,0),""),"NA")</f>
        <v>0.92</v>
      </c>
      <c r="N4" s="9">
        <f>SUM(G4:M4)</f>
        <v>117.66999999999999</v>
      </c>
      <c r="O4" s="9">
        <f>IFERROR(IF($E4&lt;&gt;"",HLOOKUP(Model_Input2!$E4,'Data Sheet'!$B$16:$K$31,O$1,0),""),"NA")</f>
        <v>7.01</v>
      </c>
      <c r="P4" s="9">
        <f>IFERROR(IF($E4&lt;&gt;"",HLOOKUP(Model_Input2!$E4,'Data Sheet'!$B$16:$K$31,P$1,0),""),"NA")</f>
        <v>13.85</v>
      </c>
      <c r="Q4" s="9">
        <f>IFERROR(IF($E4&lt;&gt;"",HLOOKUP(Model_Input2!$E4,'Data Sheet'!$B$16:$K$31,Q$1,0),""),"NA")</f>
        <v>13.01</v>
      </c>
      <c r="R4" s="9">
        <f>IFERROR(IF($E4&lt;&gt;"",HLOOKUP(Model_Input2!$E4,'Data Sheet'!$B$16:$K$31,R$1,0),""),"NA")</f>
        <v>19.04</v>
      </c>
      <c r="S4" s="9">
        <f>IFERROR(IF($E4&lt;&gt;"",HLOOKUP(Model_Input2!$E4,'Data Sheet'!$B$16:$K$31,S$1,0),""),"NA")</f>
        <v>5.8</v>
      </c>
      <c r="T4" s="9">
        <f>IFERROR(IF($E4&lt;&gt;"",HLOOKUP(Model_Input2!$E4,'Data Sheet'!$B$16:$K$31,T$1,0),""),"NA")</f>
        <v>13.24</v>
      </c>
      <c r="U4" s="9">
        <f>IFERROR(IF($E4&lt;&gt;"",HLOOKUP(Model_Input2!$E4,'Data Sheet'!$B$16:$K$31,U$1,0),""),"NA")</f>
        <v>1.175</v>
      </c>
      <c r="V4">
        <f>IFERROR(IF($E4&lt;&gt;"",HLOOKUP(Model_Input2!$E4,'Data Sheet'!$B$56:$K$72,V$1,0),""),"NA")</f>
        <v>5.88</v>
      </c>
      <c r="W4">
        <f>IFERROR(IF($E4&lt;&gt;"",HLOOKUP(Model_Input2!$E4,'Data Sheet'!$B$56:$K$72,W$1,0),""),"NA")</f>
        <v>105.34</v>
      </c>
      <c r="X4">
        <f>IFERROR(IF($E4&lt;&gt;"",HLOOKUP(Model_Input2!$E4,'Data Sheet'!$B$56:$K$72,X$1,0),""),"NA")</f>
        <v>279.2</v>
      </c>
      <c r="Y4">
        <f>IFERROR(IF($E4&lt;&gt;"",HLOOKUP(Model_Input2!$E4,'Data Sheet'!$B$56:$K$72,Y$1,0),""),"NA")</f>
        <v>66.959999999999994</v>
      </c>
      <c r="Z4">
        <f>IFERROR(IF($E4&lt;&gt;"",HLOOKUP(Model_Input2!$E4,'Data Sheet'!$B$56:$K$72,Z$1,0),""),"NA")</f>
        <v>457.38</v>
      </c>
      <c r="AA4">
        <f>IFERROR(IF($E4&lt;&gt;"",HLOOKUP(Model_Input2!$E4,'Data Sheet'!$B$56:$K$72,AA$1,0),""),"NA")</f>
        <v>272.57</v>
      </c>
      <c r="AB4">
        <f>IFERROR(IF($E4&lt;&gt;"",HLOOKUP(Model_Input2!$E4,'Data Sheet'!$B$56:$K$72,AB$1,0),""),"NA")</f>
        <v>20.93</v>
      </c>
      <c r="AC4">
        <f>IFERROR(IF($E4&lt;&gt;"",HLOOKUP(Model_Input2!$E4,'Data Sheet'!$B$56:$K$72,AC$1,0),""),"NA")</f>
        <v>0.21</v>
      </c>
      <c r="AD4">
        <f>IFERROR(IF($E4&lt;&gt;"",HLOOKUP(Model_Input2!$E4,'Data Sheet'!$B$56:$K$72,AD$1,0),""),"NA")</f>
        <v>163.66999999999999</v>
      </c>
      <c r="AE4">
        <f>IFERROR(IF($E4&lt;&gt;"",HLOOKUP(Model_Input2!$E4,'Data Sheet'!$B$56:$K$72,AE$1,0),""),"NA")</f>
        <v>457.38</v>
      </c>
      <c r="AF4">
        <f>IFERROR(IF($E4&lt;&gt;"",HLOOKUP(Model_Input2!$E4,'Data Sheet'!$B$56:$K$72,AF$1,0),""),"NA")</f>
        <v>4.26</v>
      </c>
      <c r="AG4">
        <f>IFERROR(IF($E4&lt;&gt;"",HLOOKUP(Model_Input2!$E4,'Data Sheet'!$B$56:$K$72,AG$1,0),""),"NA")</f>
        <v>108.11</v>
      </c>
      <c r="AH4">
        <f>IFERROR(IF($E4&lt;&gt;"",HLOOKUP(Model_Input2!$E4,'Data Sheet'!$B$56:$K$72,AH$1,0),""),"NA")</f>
        <v>13.02</v>
      </c>
      <c r="AI4">
        <f>IFERROR(IF($E4&lt;&gt;"",HLOOKUP(Model_Input2!$E4,'Data Sheet'!$B$56:$K$72,AI$1,0),""),"NA")</f>
        <v>5875000</v>
      </c>
      <c r="AJ4">
        <f>IFERROR(IF($E4&lt;&gt;"",HLOOKUP(Model_Input2!$E4,'Data Sheet'!$B$56:$K$72,AJ$1,0),""),"NA")</f>
        <v>0</v>
      </c>
      <c r="AK4">
        <f>IFERROR(IF($E4&lt;&gt;"",HLOOKUP(Model_Input2!$E4,'Data Sheet'!$B$56:$K$72,AK$1,0),""),"NA")</f>
        <v>10</v>
      </c>
      <c r="AL4">
        <f>IFERROR(IF($E4&lt;&gt;"",HLOOKUP(Model_Input2!$E4,'Data Sheet'!$B$81:$K$85,AL$1,0),""),"NA")</f>
        <v>40.479999999999997</v>
      </c>
      <c r="AM4">
        <f>IFERROR(IF($E4&lt;&gt;"",HLOOKUP(Model_Input2!$E4,'Data Sheet'!$B$81:$K$85,AM$1,0),""),"NA")</f>
        <v>-92.95</v>
      </c>
      <c r="AN4">
        <f>IFERROR(IF($E4&lt;&gt;"",HLOOKUP(Model_Input2!$E4,'Data Sheet'!$B$81:$K$85,AN$1,0),""),"NA")</f>
        <v>59.98</v>
      </c>
      <c r="AO4">
        <f>IFERROR(IF($E4&lt;&gt;"",HLOOKUP(Model_Input2!$E4,'Data Sheet'!$B$81:$K$85,AO$1,0),""),"NA")</f>
        <v>7.51</v>
      </c>
      <c r="AP4" s="38">
        <f>IFERROR(IF($E4&lt;&gt;"",HLOOKUP(Model_Input2!$E4,Trend!$B$1:$K$3,AP$1,0),""),"NA")</f>
        <v>109.42381</v>
      </c>
      <c r="AQ4" s="38">
        <f>IFERROR(IF($E4&lt;&gt;"",HLOOKUP(Model_Input2!$E4,Trend!$B$1:$K$3,AQ$1,0),""),"NA")</f>
        <v>0.58750000000000002</v>
      </c>
    </row>
    <row r="5" spans="1:43">
      <c r="A5" t="str">
        <f t="shared" si="1"/>
        <v>AMBIKA COTTON MILLS LTD3132009-PY8</v>
      </c>
      <c r="B5" t="str">
        <f>IF(E5&lt;&gt;"",'Data Sheet'!$B$1,"")</f>
        <v>AMBIKA COTTON MILLS LTD</v>
      </c>
      <c r="C5" t="s">
        <v>908</v>
      </c>
      <c r="D5" t="s">
        <v>914</v>
      </c>
      <c r="E5" s="279">
        <f>'Data Sheet'!C16</f>
        <v>39903</v>
      </c>
      <c r="F5" s="9">
        <f>IF($E5&lt;&gt;"",HLOOKUP(Model_Input2!$E5,'Data Sheet'!$B$16:$K$31,F$1,0),"")</f>
        <v>177.75</v>
      </c>
      <c r="G5" s="9">
        <f>IFERROR(IF($E5&lt;&gt;"",HLOOKUP(Model_Input2!$E5,'Data Sheet'!$B$16:$K$31,G$1,0),""),"NA")</f>
        <v>94.89</v>
      </c>
      <c r="H5" s="9">
        <f>IFERROR(IF($E5&lt;&gt;"",HLOOKUP(Model_Input2!$E5,'Data Sheet'!$B$16:$K$31,H$1,0),""),"NA")</f>
        <v>-0.68</v>
      </c>
      <c r="I5" s="9">
        <f>IFERROR(IF($E5&lt;&gt;"",HLOOKUP(Model_Input2!$E5,'Data Sheet'!$B$16:$K$31,I$1,0),""),"NA")</f>
        <v>14.94</v>
      </c>
      <c r="J5" s="9">
        <f>IFERROR(IF($E5&lt;&gt;"",HLOOKUP(Model_Input2!$E5,'Data Sheet'!$B$16:$K$31,J$1,0),""),"NA")</f>
        <v>4.7</v>
      </c>
      <c r="K5" s="9">
        <f>IFERROR(IF($E5&lt;&gt;"",HLOOKUP(Model_Input2!$E5,'Data Sheet'!$B$16:$K$31,K$1,0),""),"NA")</f>
        <v>9.81</v>
      </c>
      <c r="L5" s="9">
        <f>IFERROR(IF($E5&lt;&gt;"",HLOOKUP(Model_Input2!$E5,'Data Sheet'!$B$16:$K$31,L$1,0),""),"NA")</f>
        <v>6.91</v>
      </c>
      <c r="M5" s="9">
        <f>IFERROR(IF($E5&lt;&gt;"",HLOOKUP(Model_Input2!$E5,'Data Sheet'!$B$16:$K$31,M$1,0),""),"NA")</f>
        <v>4.7699999999999996</v>
      </c>
      <c r="N5" s="9">
        <f t="shared" ref="N5:N13" si="2">SUM(G5:M5)</f>
        <v>135.34</v>
      </c>
      <c r="O5" s="9">
        <f>IFERROR(IF($E5&lt;&gt;"",HLOOKUP(Model_Input2!$E5,'Data Sheet'!$B$16:$K$31,O$1,0),""),"NA")</f>
        <v>7.51</v>
      </c>
      <c r="P5" s="9">
        <f>IFERROR(IF($E5&lt;&gt;"",HLOOKUP(Model_Input2!$E5,'Data Sheet'!$B$16:$K$31,P$1,0),""),"NA")</f>
        <v>18.059999999999999</v>
      </c>
      <c r="Q5" s="9">
        <f>IFERROR(IF($E5&lt;&gt;"",HLOOKUP(Model_Input2!$E5,'Data Sheet'!$B$16:$K$31,Q$1,0),""),"NA")</f>
        <v>17.34</v>
      </c>
      <c r="R5" s="9">
        <f>IFERROR(IF($E5&lt;&gt;"",HLOOKUP(Model_Input2!$E5,'Data Sheet'!$B$16:$K$31,R$1,0),""),"NA")</f>
        <v>13.16</v>
      </c>
      <c r="S5" s="9">
        <f>IFERROR(IF($E5&lt;&gt;"",HLOOKUP(Model_Input2!$E5,'Data Sheet'!$B$16:$K$31,S$1,0),""),"NA")</f>
        <v>3.74</v>
      </c>
      <c r="T5" s="9">
        <f>IFERROR(IF($E5&lt;&gt;"",HLOOKUP(Model_Input2!$E5,'Data Sheet'!$B$16:$K$31,T$1,0),""),"NA")</f>
        <v>9.42</v>
      </c>
      <c r="U5" s="9">
        <f>IFERROR(IF($E5&lt;&gt;"",HLOOKUP(Model_Input2!$E5,'Data Sheet'!$B$16:$K$31,U$1,0),""),"NA")</f>
        <v>1.175</v>
      </c>
      <c r="V5">
        <f>IFERROR(IF($E5&lt;&gt;"",HLOOKUP(Model_Input2!$E5,'Data Sheet'!$B$56:$K$72,V$1,0),""),"NA")</f>
        <v>5.88</v>
      </c>
      <c r="W5">
        <f>IFERROR(IF($E5&lt;&gt;"",HLOOKUP(Model_Input2!$E5,'Data Sheet'!$B$56:$K$72,W$1,0),""),"NA")</f>
        <v>115.13</v>
      </c>
      <c r="X5">
        <f>IFERROR(IF($E5&lt;&gt;"",HLOOKUP(Model_Input2!$E5,'Data Sheet'!$B$56:$K$72,X$1,0),""),"NA")</f>
        <v>251.55</v>
      </c>
      <c r="Y5">
        <f>IFERROR(IF($E5&lt;&gt;"",HLOOKUP(Model_Input2!$E5,'Data Sheet'!$B$56:$K$72,Y$1,0),""),"NA")</f>
        <v>65.319999999999993</v>
      </c>
      <c r="Z5">
        <f>IFERROR(IF($E5&lt;&gt;"",HLOOKUP(Model_Input2!$E5,'Data Sheet'!$B$56:$K$72,Z$1,0),""),"NA")</f>
        <v>437.88</v>
      </c>
      <c r="AA5">
        <f>IFERROR(IF($E5&lt;&gt;"",HLOOKUP(Model_Input2!$E5,'Data Sheet'!$B$56:$K$72,AA$1,0),""),"NA")</f>
        <v>290.8</v>
      </c>
      <c r="AB5">
        <f>IFERROR(IF($E5&lt;&gt;"",HLOOKUP(Model_Input2!$E5,'Data Sheet'!$B$56:$K$72,AB$1,0),""),"NA")</f>
        <v>0.38</v>
      </c>
      <c r="AC5">
        <f>IFERROR(IF($E5&lt;&gt;"",HLOOKUP(Model_Input2!$E5,'Data Sheet'!$B$56:$K$72,AC$1,0),""),"NA")</f>
        <v>0.11</v>
      </c>
      <c r="AD5">
        <f>IFERROR(IF($E5&lt;&gt;"",HLOOKUP(Model_Input2!$E5,'Data Sheet'!$B$56:$K$72,AD$1,0),""),"NA")</f>
        <v>146.59</v>
      </c>
      <c r="AE5">
        <f>IFERROR(IF($E5&lt;&gt;"",HLOOKUP(Model_Input2!$E5,'Data Sheet'!$B$56:$K$72,AE$1,0),""),"NA")</f>
        <v>437.88</v>
      </c>
      <c r="AF5">
        <f>IFERROR(IF($E5&lt;&gt;"",HLOOKUP(Model_Input2!$E5,'Data Sheet'!$B$56:$K$72,AF$1,0),""),"NA")</f>
        <v>7.22</v>
      </c>
      <c r="AG5">
        <f>IFERROR(IF($E5&lt;&gt;"",HLOOKUP(Model_Input2!$E5,'Data Sheet'!$B$56:$K$72,AG$1,0),""),"NA")</f>
        <v>108.92</v>
      </c>
      <c r="AH5">
        <f>IFERROR(IF($E5&lt;&gt;"",HLOOKUP(Model_Input2!$E5,'Data Sheet'!$B$56:$K$72,AH$1,0),""),"NA")</f>
        <v>2.23</v>
      </c>
      <c r="AI5">
        <f>IFERROR(IF($E5&lt;&gt;"",HLOOKUP(Model_Input2!$E5,'Data Sheet'!$B$56:$K$72,AI$1,0),""),"NA")</f>
        <v>5875000</v>
      </c>
      <c r="AJ5">
        <f>IFERROR(IF($E5&lt;&gt;"",HLOOKUP(Model_Input2!$E5,'Data Sheet'!$B$56:$K$72,AJ$1,0),""),"NA")</f>
        <v>0</v>
      </c>
      <c r="AK5">
        <f>IFERROR(IF($E5&lt;&gt;"",HLOOKUP(Model_Input2!$E5,'Data Sheet'!$B$56:$K$72,AK$1,0),""),"NA")</f>
        <v>10</v>
      </c>
      <c r="AL5">
        <f>IFERROR(IF($E5&lt;&gt;"",HLOOKUP(Model_Input2!$E5,'Data Sheet'!$B$81:$K$85,AL$1,0),""),"NA")</f>
        <v>50.79</v>
      </c>
      <c r="AM5">
        <f>IFERROR(IF($E5&lt;&gt;"",HLOOKUP(Model_Input2!$E5,'Data Sheet'!$B$81:$K$85,AM$1,0),""),"NA")</f>
        <v>-14.98</v>
      </c>
      <c r="AN5">
        <f>IFERROR(IF($E5&lt;&gt;"",HLOOKUP(Model_Input2!$E5,'Data Sheet'!$B$81:$K$85,AN$1,0),""),"NA")</f>
        <v>-46.6</v>
      </c>
      <c r="AO5">
        <f>IFERROR(IF($E5&lt;&gt;"",HLOOKUP(Model_Input2!$E5,'Data Sheet'!$B$81:$K$85,AO$1,0),""),"NA")</f>
        <v>-10.79</v>
      </c>
      <c r="AP5" s="38">
        <f>IFERROR(IF($E5&lt;&gt;"",HLOOKUP(Model_Input2!$E5,Trend!$B$1:$K$3,AP$1,0),""),"NA")</f>
        <v>51.241667</v>
      </c>
      <c r="AQ5" s="38">
        <f>IFERROR(IF($E5&lt;&gt;"",HLOOKUP(Model_Input2!$E5,Trend!$B$1:$K$3,AQ$1,0),""),"NA")</f>
        <v>0.58750000000000002</v>
      </c>
    </row>
    <row r="6" spans="1:43">
      <c r="A6" t="str">
        <f t="shared" si="1"/>
        <v>AMBIKA COTTON MILLS LTD3132010-PY7</v>
      </c>
      <c r="B6" t="str">
        <f>IF(E6&lt;&gt;"",'Data Sheet'!$B$1,"")</f>
        <v>AMBIKA COTTON MILLS LTD</v>
      </c>
      <c r="C6" t="s">
        <v>907</v>
      </c>
      <c r="D6" t="s">
        <v>914</v>
      </c>
      <c r="E6" s="279">
        <f>'Data Sheet'!D16</f>
        <v>40268</v>
      </c>
      <c r="F6" s="9">
        <f>IF($E6&lt;&gt;"",HLOOKUP(Model_Input2!$E6,'Data Sheet'!$B$16:$K$31,F$1,0),"")</f>
        <v>208.07</v>
      </c>
      <c r="G6" s="9">
        <f>IFERROR(IF($E6&lt;&gt;"",HLOOKUP(Model_Input2!$E6,'Data Sheet'!$B$16:$K$31,G$1,0),""),"NA")</f>
        <v>120.94</v>
      </c>
      <c r="H6" s="9">
        <f>IFERROR(IF($E6&lt;&gt;"",HLOOKUP(Model_Input2!$E6,'Data Sheet'!$B$16:$K$31,H$1,0),""),"NA")</f>
        <v>2.92</v>
      </c>
      <c r="I6" s="9">
        <f>IFERROR(IF($E6&lt;&gt;"",HLOOKUP(Model_Input2!$E6,'Data Sheet'!$B$16:$K$31,I$1,0),""),"NA")</f>
        <v>16.34</v>
      </c>
      <c r="J6" s="9">
        <f>IFERROR(IF($E6&lt;&gt;"",HLOOKUP(Model_Input2!$E6,'Data Sheet'!$B$16:$K$31,J$1,0),""),"NA")</f>
        <v>6.79</v>
      </c>
      <c r="K6" s="9">
        <f>IFERROR(IF($E6&lt;&gt;"",HLOOKUP(Model_Input2!$E6,'Data Sheet'!$B$16:$K$31,K$1,0),""),"NA")</f>
        <v>11.03</v>
      </c>
      <c r="L6" s="9">
        <f>IFERROR(IF($E6&lt;&gt;"",HLOOKUP(Model_Input2!$E6,'Data Sheet'!$B$16:$K$31,L$1,0),""),"NA")</f>
        <v>8.7899999999999991</v>
      </c>
      <c r="M6" s="9">
        <f>IFERROR(IF($E6&lt;&gt;"",HLOOKUP(Model_Input2!$E6,'Data Sheet'!$B$16:$K$31,M$1,0),""),"NA")</f>
        <v>0.79</v>
      </c>
      <c r="N6" s="9">
        <f t="shared" si="2"/>
        <v>167.59999999999997</v>
      </c>
      <c r="O6" s="9">
        <f>IFERROR(IF($E6&lt;&gt;"",HLOOKUP(Model_Input2!$E6,'Data Sheet'!$B$16:$K$31,O$1,0),""),"NA")</f>
        <v>15.07</v>
      </c>
      <c r="P6" s="9">
        <f>IFERROR(IF($E6&lt;&gt;"",HLOOKUP(Model_Input2!$E6,'Data Sheet'!$B$16:$K$31,P$1,0),""),"NA")</f>
        <v>20.95</v>
      </c>
      <c r="Q6" s="9">
        <f>IFERROR(IF($E6&lt;&gt;"",HLOOKUP(Model_Input2!$E6,'Data Sheet'!$B$16:$K$31,Q$1,0),""),"NA")</f>
        <v>16.739999999999998</v>
      </c>
      <c r="R6" s="9">
        <f>IFERROR(IF($E6&lt;&gt;"",HLOOKUP(Model_Input2!$E6,'Data Sheet'!$B$16:$K$31,R$1,0),""),"NA")</f>
        <v>23.69</v>
      </c>
      <c r="S6" s="9">
        <f>IFERROR(IF($E6&lt;&gt;"",HLOOKUP(Model_Input2!$E6,'Data Sheet'!$B$16:$K$31,S$1,0),""),"NA")</f>
        <v>5.16</v>
      </c>
      <c r="T6" s="9">
        <f>IFERROR(IF($E6&lt;&gt;"",HLOOKUP(Model_Input2!$E6,'Data Sheet'!$B$16:$K$31,T$1,0),""),"NA")</f>
        <v>18.53</v>
      </c>
      <c r="U6" s="9">
        <f>IFERROR(IF($E6&lt;&gt;"",HLOOKUP(Model_Input2!$E6,'Data Sheet'!$B$16:$K$31,U$1,0),""),"NA")</f>
        <v>1.7625</v>
      </c>
      <c r="V6">
        <f>IFERROR(IF($E6&lt;&gt;"",HLOOKUP(Model_Input2!$E6,'Data Sheet'!$B$56:$K$72,V$1,0),""),"NA")</f>
        <v>5.88</v>
      </c>
      <c r="W6">
        <f>IFERROR(IF($E6&lt;&gt;"",HLOOKUP(Model_Input2!$E6,'Data Sheet'!$B$56:$K$72,W$1,0),""),"NA")</f>
        <v>130.44</v>
      </c>
      <c r="X6">
        <f>IFERROR(IF($E6&lt;&gt;"",HLOOKUP(Model_Input2!$E6,'Data Sheet'!$B$56:$K$72,X$1,0),""),"NA")</f>
        <v>233.96</v>
      </c>
      <c r="Y6">
        <f>IFERROR(IF($E6&lt;&gt;"",HLOOKUP(Model_Input2!$E6,'Data Sheet'!$B$56:$K$72,Y$1,0),""),"NA")</f>
        <v>94.58</v>
      </c>
      <c r="Z6">
        <f>IFERROR(IF($E6&lt;&gt;"",HLOOKUP(Model_Input2!$E6,'Data Sheet'!$B$56:$K$72,Z$1,0),""),"NA")</f>
        <v>464.86</v>
      </c>
      <c r="AA6">
        <f>IFERROR(IF($E6&lt;&gt;"",HLOOKUP(Model_Input2!$E6,'Data Sheet'!$B$56:$K$72,AA$1,0),""),"NA")</f>
        <v>271.52999999999997</v>
      </c>
      <c r="AB6">
        <f>IFERROR(IF($E6&lt;&gt;"",HLOOKUP(Model_Input2!$E6,'Data Sheet'!$B$56:$K$72,AB$1,0),""),"NA")</f>
        <v>0.66</v>
      </c>
      <c r="AC6">
        <f>IFERROR(IF($E6&lt;&gt;"",HLOOKUP(Model_Input2!$E6,'Data Sheet'!$B$56:$K$72,AC$1,0),""),"NA")</f>
        <v>0.05</v>
      </c>
      <c r="AD6">
        <f>IFERROR(IF($E6&lt;&gt;"",HLOOKUP(Model_Input2!$E6,'Data Sheet'!$B$56:$K$72,AD$1,0),""),"NA")</f>
        <v>192.62</v>
      </c>
      <c r="AE6">
        <f>IFERROR(IF($E6&lt;&gt;"",HLOOKUP(Model_Input2!$E6,'Data Sheet'!$B$56:$K$72,AE$1,0),""),"NA")</f>
        <v>464.86</v>
      </c>
      <c r="AF6">
        <f>IFERROR(IF($E6&lt;&gt;"",HLOOKUP(Model_Input2!$E6,'Data Sheet'!$B$56:$K$72,AF$1,0),""),"NA")</f>
        <v>23.66</v>
      </c>
      <c r="AG6">
        <f>IFERROR(IF($E6&lt;&gt;"",HLOOKUP(Model_Input2!$E6,'Data Sheet'!$B$56:$K$72,AG$1,0),""),"NA")</f>
        <v>136.62</v>
      </c>
      <c r="AH6">
        <f>IFERROR(IF($E6&lt;&gt;"",HLOOKUP(Model_Input2!$E6,'Data Sheet'!$B$56:$K$72,AH$1,0),""),"NA")</f>
        <v>5.6</v>
      </c>
      <c r="AI6">
        <f>IFERROR(IF($E6&lt;&gt;"",HLOOKUP(Model_Input2!$E6,'Data Sheet'!$B$56:$K$72,AI$1,0),""),"NA")</f>
        <v>5875000</v>
      </c>
      <c r="AJ6">
        <f>IFERROR(IF($E6&lt;&gt;"",HLOOKUP(Model_Input2!$E6,'Data Sheet'!$B$56:$K$72,AJ$1,0),""),"NA")</f>
        <v>0</v>
      </c>
      <c r="AK6">
        <f>IFERROR(IF($E6&lt;&gt;"",HLOOKUP(Model_Input2!$E6,'Data Sheet'!$B$56:$K$72,AK$1,0),""),"NA")</f>
        <v>10</v>
      </c>
      <c r="AL6">
        <f>IFERROR(IF($E6&lt;&gt;"",HLOOKUP(Model_Input2!$E6,'Data Sheet'!$B$81:$K$85,AL$1,0),""),"NA")</f>
        <v>38.630000000000003</v>
      </c>
      <c r="AM6">
        <f>IFERROR(IF($E6&lt;&gt;"",HLOOKUP(Model_Input2!$E6,'Data Sheet'!$B$81:$K$85,AM$1,0),""),"NA")</f>
        <v>-1.57</v>
      </c>
      <c r="AN6">
        <f>IFERROR(IF($E6&lt;&gt;"",HLOOKUP(Model_Input2!$E6,'Data Sheet'!$B$81:$K$85,AN$1,0),""),"NA")</f>
        <v>-33.700000000000003</v>
      </c>
      <c r="AO6">
        <f>IFERROR(IF($E6&lt;&gt;"",HLOOKUP(Model_Input2!$E6,'Data Sheet'!$B$81:$K$85,AO$1,0),""),"NA")</f>
        <v>3.36</v>
      </c>
      <c r="AP6" s="38">
        <f>IFERROR(IF($E6&lt;&gt;"",HLOOKUP(Model_Input2!$E6,Trend!$B$1:$K$3,AP$1,0),""),"NA")</f>
        <v>168.31428600000001</v>
      </c>
      <c r="AQ6" s="38">
        <f>IFERROR(IF($E6&lt;&gt;"",HLOOKUP(Model_Input2!$E6,Trend!$B$1:$K$3,AQ$1,0),""),"NA")</f>
        <v>0.58750000000000002</v>
      </c>
    </row>
    <row r="7" spans="1:43">
      <c r="A7" t="str">
        <f t="shared" si="1"/>
        <v>AMBIKA COTTON MILLS LTD3132011-PY6</v>
      </c>
      <c r="B7" t="str">
        <f>IF(E7&lt;&gt;"",'Data Sheet'!$B$1,"")</f>
        <v>AMBIKA COTTON MILLS LTD</v>
      </c>
      <c r="C7" t="s">
        <v>906</v>
      </c>
      <c r="D7" t="s">
        <v>914</v>
      </c>
      <c r="E7" s="279">
        <f>'Data Sheet'!E16</f>
        <v>40633</v>
      </c>
      <c r="F7" s="9">
        <f>IF($E7&lt;&gt;"",HLOOKUP(Model_Input2!$E7,'Data Sheet'!$B$16:$K$31,F$1,0),"")</f>
        <v>326.77999999999997</v>
      </c>
      <c r="G7" s="9">
        <f>IFERROR(IF($E7&lt;&gt;"",HLOOKUP(Model_Input2!$E7,'Data Sheet'!$B$16:$K$31,G$1,0),""),"NA")</f>
        <v>170.74</v>
      </c>
      <c r="H7" s="9">
        <f>IFERROR(IF($E7&lt;&gt;"",HLOOKUP(Model_Input2!$E7,'Data Sheet'!$B$16:$K$31,H$1,0),""),"NA")</f>
        <v>1.01</v>
      </c>
      <c r="I7" s="9">
        <f>IFERROR(IF($E7&lt;&gt;"",HLOOKUP(Model_Input2!$E7,'Data Sheet'!$B$16:$K$31,I$1,0),""),"NA")</f>
        <v>20.46</v>
      </c>
      <c r="J7" s="9">
        <f>IFERROR(IF($E7&lt;&gt;"",HLOOKUP(Model_Input2!$E7,'Data Sheet'!$B$16:$K$31,J$1,0),""),"NA")</f>
        <v>10.42</v>
      </c>
      <c r="K7" s="9">
        <f>IFERROR(IF($E7&lt;&gt;"",HLOOKUP(Model_Input2!$E7,'Data Sheet'!$B$16:$K$31,K$1,0),""),"NA")</f>
        <v>16.25</v>
      </c>
      <c r="L7" s="9">
        <f>IFERROR(IF($E7&lt;&gt;"",HLOOKUP(Model_Input2!$E7,'Data Sheet'!$B$16:$K$31,L$1,0),""),"NA")</f>
        <v>10.28</v>
      </c>
      <c r="M7" s="9">
        <f>IFERROR(IF($E7&lt;&gt;"",HLOOKUP(Model_Input2!$E7,'Data Sheet'!$B$16:$K$31,M$1,0),""),"NA")</f>
        <v>0.57999999999999996</v>
      </c>
      <c r="N7" s="9">
        <f t="shared" si="2"/>
        <v>229.74</v>
      </c>
      <c r="O7" s="9">
        <f>IFERROR(IF($E7&lt;&gt;"",HLOOKUP(Model_Input2!$E7,'Data Sheet'!$B$16:$K$31,O$1,0),""),"NA")</f>
        <v>0.46</v>
      </c>
      <c r="P7" s="9">
        <f>IFERROR(IF($E7&lt;&gt;"",HLOOKUP(Model_Input2!$E7,'Data Sheet'!$B$16:$K$31,P$1,0),""),"NA")</f>
        <v>24.22</v>
      </c>
      <c r="Q7" s="9">
        <f>IFERROR(IF($E7&lt;&gt;"",HLOOKUP(Model_Input2!$E7,'Data Sheet'!$B$16:$K$31,Q$1,0),""),"NA")</f>
        <v>15.49</v>
      </c>
      <c r="R7" s="9">
        <f>IFERROR(IF($E7&lt;&gt;"",HLOOKUP(Model_Input2!$E7,'Data Sheet'!$B$16:$K$31,R$1,0),""),"NA")</f>
        <v>59.81</v>
      </c>
      <c r="S7" s="9">
        <f>IFERROR(IF($E7&lt;&gt;"",HLOOKUP(Model_Input2!$E7,'Data Sheet'!$B$16:$K$31,S$1,0),""),"NA")</f>
        <v>17.37</v>
      </c>
      <c r="T7" s="9">
        <f>IFERROR(IF($E7&lt;&gt;"",HLOOKUP(Model_Input2!$E7,'Data Sheet'!$B$16:$K$31,T$1,0),""),"NA")</f>
        <v>42.44</v>
      </c>
      <c r="U7" s="9">
        <f>IFERROR(IF($E7&lt;&gt;"",HLOOKUP(Model_Input2!$E7,'Data Sheet'!$B$16:$K$31,U$1,0),""),"NA")</f>
        <v>2.9375</v>
      </c>
      <c r="V7">
        <f>IFERROR(IF($E7&lt;&gt;"",HLOOKUP(Model_Input2!$E7,'Data Sheet'!$B$56:$K$72,V$1,0),""),"NA")</f>
        <v>5.88</v>
      </c>
      <c r="W7">
        <f>IFERROR(IF($E7&lt;&gt;"",HLOOKUP(Model_Input2!$E7,'Data Sheet'!$B$56:$K$72,W$1,0),""),"NA")</f>
        <v>169.55</v>
      </c>
      <c r="X7">
        <f>IFERROR(IF($E7&lt;&gt;"",HLOOKUP(Model_Input2!$E7,'Data Sheet'!$B$56:$K$72,X$1,0),""),"NA")</f>
        <v>260.10000000000002</v>
      </c>
      <c r="Y7">
        <f>IFERROR(IF($E7&lt;&gt;"",HLOOKUP(Model_Input2!$E7,'Data Sheet'!$B$56:$K$72,Y$1,0),""),"NA")</f>
        <v>105.14</v>
      </c>
      <c r="Z7">
        <f>IFERROR(IF($E7&lt;&gt;"",HLOOKUP(Model_Input2!$E7,'Data Sheet'!$B$56:$K$72,Z$1,0),""),"NA")</f>
        <v>540.66999999999996</v>
      </c>
      <c r="AA7">
        <f>IFERROR(IF($E7&lt;&gt;"",HLOOKUP(Model_Input2!$E7,'Data Sheet'!$B$56:$K$72,AA$1,0),""),"NA")</f>
        <v>331.37</v>
      </c>
      <c r="AB7">
        <f>IFERROR(IF($E7&lt;&gt;"",HLOOKUP(Model_Input2!$E7,'Data Sheet'!$B$56:$K$72,AB$1,0),""),"NA")</f>
        <v>0.57999999999999996</v>
      </c>
      <c r="AC7">
        <f>IFERROR(IF($E7&lt;&gt;"",HLOOKUP(Model_Input2!$E7,'Data Sheet'!$B$56:$K$72,AC$1,0),""),"NA")</f>
        <v>0.06</v>
      </c>
      <c r="AD7">
        <f>IFERROR(IF($E7&lt;&gt;"",HLOOKUP(Model_Input2!$E7,'Data Sheet'!$B$56:$K$72,AD$1,0),""),"NA")</f>
        <v>208.66</v>
      </c>
      <c r="AE7">
        <f>IFERROR(IF($E7&lt;&gt;"",HLOOKUP(Model_Input2!$E7,'Data Sheet'!$B$56:$K$72,AE$1,0),""),"NA")</f>
        <v>540.66999999999996</v>
      </c>
      <c r="AF7">
        <f>IFERROR(IF($E7&lt;&gt;"",HLOOKUP(Model_Input2!$E7,'Data Sheet'!$B$56:$K$72,AF$1,0),""),"NA")</f>
        <v>21.17</v>
      </c>
      <c r="AG7">
        <f>IFERROR(IF($E7&lt;&gt;"",HLOOKUP(Model_Input2!$E7,'Data Sheet'!$B$56:$K$72,AG$1,0),""),"NA")</f>
        <v>150.43</v>
      </c>
      <c r="AH7">
        <f>IFERROR(IF($E7&lt;&gt;"",HLOOKUP(Model_Input2!$E7,'Data Sheet'!$B$56:$K$72,AH$1,0),""),"NA")</f>
        <v>2.65</v>
      </c>
      <c r="AI7">
        <f>IFERROR(IF($E7&lt;&gt;"",HLOOKUP(Model_Input2!$E7,'Data Sheet'!$B$56:$K$72,AI$1,0),""),"NA")</f>
        <v>5875000</v>
      </c>
      <c r="AJ7">
        <f>IFERROR(IF($E7&lt;&gt;"",HLOOKUP(Model_Input2!$E7,'Data Sheet'!$B$56:$K$72,AJ$1,0),""),"NA")</f>
        <v>0</v>
      </c>
      <c r="AK7">
        <f>IFERROR(IF($E7&lt;&gt;"",HLOOKUP(Model_Input2!$E7,'Data Sheet'!$B$56:$K$72,AK$1,0),""),"NA")</f>
        <v>10</v>
      </c>
      <c r="AL7">
        <f>IFERROR(IF($E7&lt;&gt;"",HLOOKUP(Model_Input2!$E7,'Data Sheet'!$B$81:$K$85,AL$1,0),""),"NA")</f>
        <v>72.69</v>
      </c>
      <c r="AM7">
        <f>IFERROR(IF($E7&lt;&gt;"",HLOOKUP(Model_Input2!$E7,'Data Sheet'!$B$81:$K$85,AM$1,0),""),"NA")</f>
        <v>-82.51</v>
      </c>
      <c r="AN7">
        <f>IFERROR(IF($E7&lt;&gt;"",HLOOKUP(Model_Input2!$E7,'Data Sheet'!$B$81:$K$85,AN$1,0),""),"NA")</f>
        <v>6.87</v>
      </c>
      <c r="AO7">
        <f>IFERROR(IF($E7&lt;&gt;"",HLOOKUP(Model_Input2!$E7,'Data Sheet'!$B$81:$K$85,AO$1,0),""),"NA")</f>
        <v>-2.95</v>
      </c>
      <c r="AP7" s="38">
        <f>IFERROR(IF($E7&lt;&gt;"",HLOOKUP(Model_Input2!$E7,Trend!$B$1:$K$3,AP$1,0),""),"NA")</f>
        <v>218.2</v>
      </c>
      <c r="AQ7" s="38">
        <f>IFERROR(IF($E7&lt;&gt;"",HLOOKUP(Model_Input2!$E7,Trend!$B$1:$K$3,AQ$1,0),""),"NA")</f>
        <v>0.58750000000000002</v>
      </c>
    </row>
    <row r="8" spans="1:43">
      <c r="A8" t="str">
        <f t="shared" si="1"/>
        <v>AMBIKA COTTON MILLS LTD3132012-PY5</v>
      </c>
      <c r="B8" t="str">
        <f>IF(E8&lt;&gt;"",'Data Sheet'!$B$1,"")</f>
        <v>AMBIKA COTTON MILLS LTD</v>
      </c>
      <c r="C8" t="s">
        <v>905</v>
      </c>
      <c r="D8" t="s">
        <v>914</v>
      </c>
      <c r="E8" s="279">
        <f>'Data Sheet'!F16</f>
        <v>40999</v>
      </c>
      <c r="F8" s="9">
        <f>IF($E8&lt;&gt;"",HLOOKUP(Model_Input2!$E8,'Data Sheet'!$B$16:$K$31,F$1,0),"")</f>
        <v>389.44</v>
      </c>
      <c r="G8" s="9">
        <f>IFERROR(IF($E8&lt;&gt;"",HLOOKUP(Model_Input2!$E8,'Data Sheet'!$B$16:$K$31,G$1,0),""),"NA")</f>
        <v>238.21</v>
      </c>
      <c r="H8" s="9">
        <f>IFERROR(IF($E8&lt;&gt;"",HLOOKUP(Model_Input2!$E8,'Data Sheet'!$B$16:$K$31,H$1,0),""),"NA")</f>
        <v>0.21</v>
      </c>
      <c r="I8" s="9">
        <f>IFERROR(IF($E8&lt;&gt;"",HLOOKUP(Model_Input2!$E8,'Data Sheet'!$B$16:$K$31,I$1,0),""),"NA")</f>
        <v>14.16</v>
      </c>
      <c r="J8" s="9">
        <f>IFERROR(IF($E8&lt;&gt;"",HLOOKUP(Model_Input2!$E8,'Data Sheet'!$B$16:$K$31,J$1,0),""),"NA")</f>
        <v>8.26</v>
      </c>
      <c r="K8" s="9">
        <f>IFERROR(IF($E8&lt;&gt;"",HLOOKUP(Model_Input2!$E8,'Data Sheet'!$B$16:$K$31,K$1,0),""),"NA")</f>
        <v>19.59</v>
      </c>
      <c r="L8" s="9">
        <f>IFERROR(IF($E8&lt;&gt;"",HLOOKUP(Model_Input2!$E8,'Data Sheet'!$B$16:$K$31,L$1,0),""),"NA")</f>
        <v>18.62</v>
      </c>
      <c r="M8" s="9">
        <f>IFERROR(IF($E8&lt;&gt;"",HLOOKUP(Model_Input2!$E8,'Data Sheet'!$B$16:$K$31,M$1,0),""),"NA")</f>
        <v>12.47</v>
      </c>
      <c r="N8" s="9">
        <f t="shared" si="2"/>
        <v>311.52000000000004</v>
      </c>
      <c r="O8" s="9">
        <f>IFERROR(IF($E8&lt;&gt;"",HLOOKUP(Model_Input2!$E8,'Data Sheet'!$B$16:$K$31,O$1,0),""),"NA")</f>
        <v>0.69</v>
      </c>
      <c r="P8" s="9">
        <f>IFERROR(IF($E8&lt;&gt;"",HLOOKUP(Model_Input2!$E8,'Data Sheet'!$B$16:$K$31,P$1,0),""),"NA")</f>
        <v>26.8</v>
      </c>
      <c r="Q8" s="9">
        <f>IFERROR(IF($E8&lt;&gt;"",HLOOKUP(Model_Input2!$E8,'Data Sheet'!$B$16:$K$31,Q$1,0),""),"NA")</f>
        <v>20.079999999999998</v>
      </c>
      <c r="R8" s="9">
        <f>IFERROR(IF($E8&lt;&gt;"",HLOOKUP(Model_Input2!$E8,'Data Sheet'!$B$16:$K$31,R$1,0),""),"NA")</f>
        <v>32.15</v>
      </c>
      <c r="S8" s="9">
        <f>IFERROR(IF($E8&lt;&gt;"",HLOOKUP(Model_Input2!$E8,'Data Sheet'!$B$16:$K$31,S$1,0),""),"NA")</f>
        <v>8.27</v>
      </c>
      <c r="T8" s="9">
        <f>IFERROR(IF($E8&lt;&gt;"",HLOOKUP(Model_Input2!$E8,'Data Sheet'!$B$16:$K$31,T$1,0),""),"NA")</f>
        <v>23.88</v>
      </c>
      <c r="U8" s="9">
        <f>IFERROR(IF($E8&lt;&gt;"",HLOOKUP(Model_Input2!$E8,'Data Sheet'!$B$16:$K$31,U$1,0),""),"NA")</f>
        <v>2.9375</v>
      </c>
      <c r="V8">
        <f>IFERROR(IF($E8&lt;&gt;"",HLOOKUP(Model_Input2!$E8,'Data Sheet'!$B$56:$K$72,V$1,0),""),"NA")</f>
        <v>5.88</v>
      </c>
      <c r="W8">
        <f>IFERROR(IF($E8&lt;&gt;"",HLOOKUP(Model_Input2!$E8,'Data Sheet'!$B$56:$K$72,W$1,0),""),"NA")</f>
        <v>190.01</v>
      </c>
      <c r="X8">
        <f>IFERROR(IF($E8&lt;&gt;"",HLOOKUP(Model_Input2!$E8,'Data Sheet'!$B$56:$K$72,X$1,0),""),"NA")</f>
        <v>152.19999999999999</v>
      </c>
      <c r="Y8">
        <f>IFERROR(IF($E8&lt;&gt;"",HLOOKUP(Model_Input2!$E8,'Data Sheet'!$B$56:$K$72,Y$1,0),""),"NA")</f>
        <v>89.97</v>
      </c>
      <c r="Z8">
        <f>IFERROR(IF($E8&lt;&gt;"",HLOOKUP(Model_Input2!$E8,'Data Sheet'!$B$56:$K$72,Z$1,0),""),"NA")</f>
        <v>438.06</v>
      </c>
      <c r="AA8">
        <f>IFERROR(IF($E8&lt;&gt;"",HLOOKUP(Model_Input2!$E8,'Data Sheet'!$B$56:$K$72,AA$1,0),""),"NA")</f>
        <v>310.12</v>
      </c>
      <c r="AB8">
        <f>IFERROR(IF($E8&lt;&gt;"",HLOOKUP(Model_Input2!$E8,'Data Sheet'!$B$56:$K$72,AB$1,0),""),"NA")</f>
        <v>0</v>
      </c>
      <c r="AC8">
        <f>IFERROR(IF($E8&lt;&gt;"",HLOOKUP(Model_Input2!$E8,'Data Sheet'!$B$56:$K$72,AC$1,0),""),"NA")</f>
        <v>0.05</v>
      </c>
      <c r="AD8">
        <f>IFERROR(IF($E8&lt;&gt;"",HLOOKUP(Model_Input2!$E8,'Data Sheet'!$B$56:$K$72,AD$1,0),""),"NA")</f>
        <v>127.89</v>
      </c>
      <c r="AE8">
        <f>IFERROR(IF($E8&lt;&gt;"",HLOOKUP(Model_Input2!$E8,'Data Sheet'!$B$56:$K$72,AE$1,0),""),"NA")</f>
        <v>438.06</v>
      </c>
      <c r="AF8">
        <f>IFERROR(IF($E8&lt;&gt;"",HLOOKUP(Model_Input2!$E8,'Data Sheet'!$B$56:$K$72,AF$1,0),""),"NA")</f>
        <v>10.53</v>
      </c>
      <c r="AG8">
        <f>IFERROR(IF($E8&lt;&gt;"",HLOOKUP(Model_Input2!$E8,'Data Sheet'!$B$56:$K$72,AG$1,0),""),"NA")</f>
        <v>82.72</v>
      </c>
      <c r="AH8">
        <f>IFERROR(IF($E8&lt;&gt;"",HLOOKUP(Model_Input2!$E8,'Data Sheet'!$B$56:$K$72,AH$1,0),""),"NA")</f>
        <v>2.04</v>
      </c>
      <c r="AI8">
        <f>IFERROR(IF($E8&lt;&gt;"",HLOOKUP(Model_Input2!$E8,'Data Sheet'!$B$56:$K$72,AI$1,0),""),"NA")</f>
        <v>5875000</v>
      </c>
      <c r="AJ8">
        <f>IFERROR(IF($E8&lt;&gt;"",HLOOKUP(Model_Input2!$E8,'Data Sheet'!$B$56:$K$72,AJ$1,0),""),"NA")</f>
        <v>0</v>
      </c>
      <c r="AK8">
        <f>IFERROR(IF($E8&lt;&gt;"",HLOOKUP(Model_Input2!$E8,'Data Sheet'!$B$56:$K$72,AK$1,0),""),"NA")</f>
        <v>10</v>
      </c>
      <c r="AL8">
        <f>IFERROR(IF($E8&lt;&gt;"",HLOOKUP(Model_Input2!$E8,'Data Sheet'!$B$81:$K$85,AL$1,0),""),"NA")</f>
        <v>135.4</v>
      </c>
      <c r="AM8">
        <f>IFERROR(IF($E8&lt;&gt;"",HLOOKUP(Model_Input2!$E8,'Data Sheet'!$B$81:$K$85,AM$1,0),""),"NA")</f>
        <v>-4.3099999999999996</v>
      </c>
      <c r="AN8">
        <f>IFERROR(IF($E8&lt;&gt;"",HLOOKUP(Model_Input2!$E8,'Data Sheet'!$B$81:$K$85,AN$1,0),""),"NA")</f>
        <v>-131.69</v>
      </c>
      <c r="AO8">
        <f>IFERROR(IF($E8&lt;&gt;"",HLOOKUP(Model_Input2!$E8,'Data Sheet'!$B$81:$K$85,AO$1,0),""),"NA")</f>
        <v>-0.6</v>
      </c>
      <c r="AP8" s="38">
        <f>IFERROR(IF($E8&lt;&gt;"",HLOOKUP(Model_Input2!$E8,Trend!$B$1:$K$3,AP$1,0),""),"NA")</f>
        <v>146.73421099999999</v>
      </c>
      <c r="AQ8" s="38">
        <f>IFERROR(IF($E8&lt;&gt;"",HLOOKUP(Model_Input2!$E8,Trend!$B$1:$K$3,AQ$1,0),""),"NA")</f>
        <v>0.58750000000000002</v>
      </c>
    </row>
    <row r="9" spans="1:43">
      <c r="A9" t="str">
        <f t="shared" si="1"/>
        <v>AMBIKA COTTON MILLS LTD3132013-PY4</v>
      </c>
      <c r="B9" t="str">
        <f>IF(E9&lt;&gt;"",'Data Sheet'!$B$1,"")</f>
        <v>AMBIKA COTTON MILLS LTD</v>
      </c>
      <c r="C9" t="s">
        <v>904</v>
      </c>
      <c r="D9" t="s">
        <v>914</v>
      </c>
      <c r="E9" s="279">
        <f>'Data Sheet'!G16</f>
        <v>41364</v>
      </c>
      <c r="F9" s="9">
        <f>IF($E9&lt;&gt;"",HLOOKUP(Model_Input2!$E9,'Data Sheet'!$B$16:$K$31,F$1,0),"")</f>
        <v>397.79</v>
      </c>
      <c r="G9" s="9">
        <f>IFERROR(IF($E9&lt;&gt;"",HLOOKUP(Model_Input2!$E9,'Data Sheet'!$B$16:$K$31,G$1,0),""),"NA")</f>
        <v>238.01</v>
      </c>
      <c r="H9" s="9">
        <f>IFERROR(IF($E9&lt;&gt;"",HLOOKUP(Model_Input2!$E9,'Data Sheet'!$B$16:$K$31,H$1,0),""),"NA")</f>
        <v>3.07</v>
      </c>
      <c r="I9" s="9">
        <f>IFERROR(IF($E9&lt;&gt;"",HLOOKUP(Model_Input2!$E9,'Data Sheet'!$B$16:$K$31,I$1,0),""),"NA")</f>
        <v>20.8</v>
      </c>
      <c r="J9" s="9">
        <f>IFERROR(IF($E9&lt;&gt;"",HLOOKUP(Model_Input2!$E9,'Data Sheet'!$B$16:$K$31,J$1,0),""),"NA")</f>
        <v>14.69</v>
      </c>
      <c r="K9" s="9">
        <f>IFERROR(IF($E9&lt;&gt;"",HLOOKUP(Model_Input2!$E9,'Data Sheet'!$B$16:$K$31,K$1,0),""),"NA")</f>
        <v>21.17</v>
      </c>
      <c r="L9" s="9">
        <f>IFERROR(IF($E9&lt;&gt;"",HLOOKUP(Model_Input2!$E9,'Data Sheet'!$B$16:$K$31,L$1,0),""),"NA")</f>
        <v>14.43</v>
      </c>
      <c r="M9" s="9">
        <f>IFERROR(IF($E9&lt;&gt;"",HLOOKUP(Model_Input2!$E9,'Data Sheet'!$B$16:$K$31,M$1,0),""),"NA")</f>
        <v>4.58</v>
      </c>
      <c r="N9" s="9">
        <f t="shared" si="2"/>
        <v>316.75</v>
      </c>
      <c r="O9" s="9">
        <f>IFERROR(IF($E9&lt;&gt;"",HLOOKUP(Model_Input2!$E9,'Data Sheet'!$B$16:$K$31,O$1,0),""),"NA")</f>
        <v>0.27</v>
      </c>
      <c r="P9" s="9">
        <f>IFERROR(IF($E9&lt;&gt;"",HLOOKUP(Model_Input2!$E9,'Data Sheet'!$B$16:$K$31,P$1,0),""),"NA")</f>
        <v>27.43</v>
      </c>
      <c r="Q9" s="9">
        <f>IFERROR(IF($E9&lt;&gt;"",HLOOKUP(Model_Input2!$E9,'Data Sheet'!$B$16:$K$31,Q$1,0),""),"NA")</f>
        <v>19.37</v>
      </c>
      <c r="R9" s="9">
        <f>IFERROR(IF($E9&lt;&gt;"",HLOOKUP(Model_Input2!$E9,'Data Sheet'!$B$16:$K$31,R$1,0),""),"NA")</f>
        <v>40.659999999999997</v>
      </c>
      <c r="S9" s="9">
        <f>IFERROR(IF($E9&lt;&gt;"",HLOOKUP(Model_Input2!$E9,'Data Sheet'!$B$16:$K$31,S$1,0),""),"NA")</f>
        <v>9.68</v>
      </c>
      <c r="T9" s="9">
        <f>IFERROR(IF($E9&lt;&gt;"",HLOOKUP(Model_Input2!$E9,'Data Sheet'!$B$16:$K$31,T$1,0),""),"NA")</f>
        <v>30.98</v>
      </c>
      <c r="U9" s="9">
        <f>IFERROR(IF($E9&lt;&gt;"",HLOOKUP(Model_Input2!$E9,'Data Sheet'!$B$16:$K$31,U$1,0),""),"NA")</f>
        <v>5.5812499999999998</v>
      </c>
      <c r="V9">
        <f>IFERROR(IF($E9&lt;&gt;"",HLOOKUP(Model_Input2!$E9,'Data Sheet'!$B$56:$K$72,V$1,0),""),"NA")</f>
        <v>5.88</v>
      </c>
      <c r="W9">
        <f>IFERROR(IF($E9&lt;&gt;"",HLOOKUP(Model_Input2!$E9,'Data Sheet'!$B$56:$K$72,W$1,0),""),"NA")</f>
        <v>214.51</v>
      </c>
      <c r="X9">
        <f>IFERROR(IF($E9&lt;&gt;"",HLOOKUP(Model_Input2!$E9,'Data Sheet'!$B$56:$K$72,X$1,0),""),"NA")</f>
        <v>93.75</v>
      </c>
      <c r="Y9">
        <f>IFERROR(IF($E9&lt;&gt;"",HLOOKUP(Model_Input2!$E9,'Data Sheet'!$B$56:$K$72,Y$1,0),""),"NA")</f>
        <v>108.38</v>
      </c>
      <c r="Z9">
        <f>IFERROR(IF($E9&lt;&gt;"",HLOOKUP(Model_Input2!$E9,'Data Sheet'!$B$56:$K$72,Z$1,0),""),"NA")</f>
        <v>422.52</v>
      </c>
      <c r="AA9">
        <f>IFERROR(IF($E9&lt;&gt;"",HLOOKUP(Model_Input2!$E9,'Data Sheet'!$B$56:$K$72,AA$1,0),""),"NA")</f>
        <v>291.31</v>
      </c>
      <c r="AB9">
        <f>IFERROR(IF($E9&lt;&gt;"",HLOOKUP(Model_Input2!$E9,'Data Sheet'!$B$56:$K$72,AB$1,0),""),"NA")</f>
        <v>0.36</v>
      </c>
      <c r="AC9">
        <f>IFERROR(IF($E9&lt;&gt;"",HLOOKUP(Model_Input2!$E9,'Data Sheet'!$B$56:$K$72,AC$1,0),""),"NA")</f>
        <v>0.06</v>
      </c>
      <c r="AD9">
        <f>IFERROR(IF($E9&lt;&gt;"",HLOOKUP(Model_Input2!$E9,'Data Sheet'!$B$56:$K$72,AD$1,0),""),"NA")</f>
        <v>130.79</v>
      </c>
      <c r="AE9">
        <f>IFERROR(IF($E9&lt;&gt;"",HLOOKUP(Model_Input2!$E9,'Data Sheet'!$B$56:$K$72,AE$1,0),""),"NA")</f>
        <v>422.52</v>
      </c>
      <c r="AF9">
        <f>IFERROR(IF($E9&lt;&gt;"",HLOOKUP(Model_Input2!$E9,'Data Sheet'!$B$56:$K$72,AF$1,0),""),"NA")</f>
        <v>6.53</v>
      </c>
      <c r="AG9">
        <f>IFERROR(IF($E9&lt;&gt;"",HLOOKUP(Model_Input2!$E9,'Data Sheet'!$B$56:$K$72,AG$1,0),""),"NA")</f>
        <v>92.18</v>
      </c>
      <c r="AH9">
        <f>IFERROR(IF($E9&lt;&gt;"",HLOOKUP(Model_Input2!$E9,'Data Sheet'!$B$56:$K$72,AH$1,0),""),"NA")</f>
        <v>1.53</v>
      </c>
      <c r="AI9">
        <f>IFERROR(IF($E9&lt;&gt;"",HLOOKUP(Model_Input2!$E9,'Data Sheet'!$B$56:$K$72,AI$1,0),""),"NA")</f>
        <v>5875000</v>
      </c>
      <c r="AJ9">
        <f>IFERROR(IF($E9&lt;&gt;"",HLOOKUP(Model_Input2!$E9,'Data Sheet'!$B$56:$K$72,AJ$1,0),""),"NA")</f>
        <v>0</v>
      </c>
      <c r="AK9">
        <f>IFERROR(IF($E9&lt;&gt;"",HLOOKUP(Model_Input2!$E9,'Data Sheet'!$B$56:$K$72,AK$1,0),""),"NA")</f>
        <v>10</v>
      </c>
      <c r="AL9">
        <f>IFERROR(IF($E9&lt;&gt;"",HLOOKUP(Model_Input2!$E9,'Data Sheet'!$B$81:$K$85,AL$1,0),""),"NA")</f>
        <v>87.41</v>
      </c>
      <c r="AM9">
        <f>IFERROR(IF($E9&lt;&gt;"",HLOOKUP(Model_Input2!$E9,'Data Sheet'!$B$81:$K$85,AM$1,0),""),"NA")</f>
        <v>-8.73</v>
      </c>
      <c r="AN9">
        <f>IFERROR(IF($E9&lt;&gt;"",HLOOKUP(Model_Input2!$E9,'Data Sheet'!$B$81:$K$85,AN$1,0),""),"NA")</f>
        <v>-79.19</v>
      </c>
      <c r="AO9">
        <f>IFERROR(IF($E9&lt;&gt;"",HLOOKUP(Model_Input2!$E9,'Data Sheet'!$B$81:$K$85,AO$1,0),""),"NA")</f>
        <v>-0.51</v>
      </c>
      <c r="AP9" s="38">
        <f>IFERROR(IF($E9&lt;&gt;"",HLOOKUP(Model_Input2!$E9,Trend!$B$1:$K$3,AP$1,0),""),"NA")</f>
        <v>198.59722199999999</v>
      </c>
      <c r="AQ9" s="38">
        <f>IFERROR(IF($E9&lt;&gt;"",HLOOKUP(Model_Input2!$E9,Trend!$B$1:$K$3,AQ$1,0),""),"NA")</f>
        <v>0.58750000000000002</v>
      </c>
    </row>
    <row r="10" spans="1:43">
      <c r="A10" t="str">
        <f t="shared" si="1"/>
        <v>AMBIKA COTTON MILLS LTD3132014-PY3</v>
      </c>
      <c r="B10" t="str">
        <f>IF(E10&lt;&gt;"",'Data Sheet'!$B$1,"")</f>
        <v>AMBIKA COTTON MILLS LTD</v>
      </c>
      <c r="C10" t="s">
        <v>903</v>
      </c>
      <c r="D10" t="s">
        <v>914</v>
      </c>
      <c r="E10" s="279">
        <f>'Data Sheet'!H16</f>
        <v>41729</v>
      </c>
      <c r="F10" s="9">
        <f>IF($E10&lt;&gt;"",HLOOKUP(Model_Input2!$E10,'Data Sheet'!$B$16:$K$31,F$1,0),"")</f>
        <v>476.78</v>
      </c>
      <c r="G10" s="9">
        <f>IFERROR(IF($E10&lt;&gt;"",HLOOKUP(Model_Input2!$E10,'Data Sheet'!$B$16:$K$31,G$1,0),""),"NA")</f>
        <v>285.92</v>
      </c>
      <c r="H10" s="9">
        <f>IFERROR(IF($E10&lt;&gt;"",HLOOKUP(Model_Input2!$E10,'Data Sheet'!$B$16:$K$31,H$1,0),""),"NA")</f>
        <v>8.3800000000000008</v>
      </c>
      <c r="I10" s="9">
        <f>IFERROR(IF($E10&lt;&gt;"",HLOOKUP(Model_Input2!$E10,'Data Sheet'!$B$16:$K$31,I$1,0),""),"NA")</f>
        <v>26.11</v>
      </c>
      <c r="J10" s="9">
        <f>IFERROR(IF($E10&lt;&gt;"",HLOOKUP(Model_Input2!$E10,'Data Sheet'!$B$16:$K$31,J$1,0),""),"NA")</f>
        <v>11.94</v>
      </c>
      <c r="K10" s="9">
        <f>IFERROR(IF($E10&lt;&gt;"",HLOOKUP(Model_Input2!$E10,'Data Sheet'!$B$16:$K$31,K$1,0),""),"NA")</f>
        <v>24.08</v>
      </c>
      <c r="L10" s="9">
        <f>IFERROR(IF($E10&lt;&gt;"",HLOOKUP(Model_Input2!$E10,'Data Sheet'!$B$16:$K$31,L$1,0),""),"NA")</f>
        <v>23.47</v>
      </c>
      <c r="M10" s="9">
        <f>IFERROR(IF($E10&lt;&gt;"",HLOOKUP(Model_Input2!$E10,'Data Sheet'!$B$16:$K$31,M$1,0),""),"NA")</f>
        <v>9.7100000000000009</v>
      </c>
      <c r="N10" s="9">
        <f t="shared" si="2"/>
        <v>389.60999999999996</v>
      </c>
      <c r="O10" s="9">
        <f>IFERROR(IF($E10&lt;&gt;"",HLOOKUP(Model_Input2!$E10,'Data Sheet'!$B$16:$K$31,O$1,0),""),"NA")</f>
        <v>0.22</v>
      </c>
      <c r="P10" s="9">
        <f>IFERROR(IF($E10&lt;&gt;"",HLOOKUP(Model_Input2!$E10,'Data Sheet'!$B$16:$K$31,P$1,0),""),"NA")</f>
        <v>31.62</v>
      </c>
      <c r="Q10" s="9">
        <f>IFERROR(IF($E10&lt;&gt;"",HLOOKUP(Model_Input2!$E10,'Data Sheet'!$B$16:$K$31,Q$1,0),""),"NA")</f>
        <v>12.87</v>
      </c>
      <c r="R10" s="9">
        <f>IFERROR(IF($E10&lt;&gt;"",HLOOKUP(Model_Input2!$E10,'Data Sheet'!$B$16:$K$31,R$1,0),""),"NA")</f>
        <v>59.66</v>
      </c>
      <c r="S10" s="9">
        <f>IFERROR(IF($E10&lt;&gt;"",HLOOKUP(Model_Input2!$E10,'Data Sheet'!$B$16:$K$31,S$1,0),""),"NA")</f>
        <v>11.52</v>
      </c>
      <c r="T10" s="9">
        <f>IFERROR(IF($E10&lt;&gt;"",HLOOKUP(Model_Input2!$E10,'Data Sheet'!$B$16:$K$31,T$1,0),""),"NA")</f>
        <v>48.14</v>
      </c>
      <c r="U10" s="9">
        <f>IFERROR(IF($E10&lt;&gt;"",HLOOKUP(Model_Input2!$E10,'Data Sheet'!$B$16:$K$31,U$1,0),""),"NA")</f>
        <v>7.34375</v>
      </c>
      <c r="V10">
        <f>IFERROR(IF($E10&lt;&gt;"",HLOOKUP(Model_Input2!$E10,'Data Sheet'!$B$56:$K$72,V$1,0),""),"NA")</f>
        <v>5.88</v>
      </c>
      <c r="W10">
        <f>IFERROR(IF($E10&lt;&gt;"",HLOOKUP(Model_Input2!$E10,'Data Sheet'!$B$56:$K$72,W$1,0),""),"NA")</f>
        <v>254.06</v>
      </c>
      <c r="X10">
        <f>IFERROR(IF($E10&lt;&gt;"",HLOOKUP(Model_Input2!$E10,'Data Sheet'!$B$56:$K$72,X$1,0),""),"NA")</f>
        <v>100.25</v>
      </c>
      <c r="Y10">
        <f>IFERROR(IF($E10&lt;&gt;"",HLOOKUP(Model_Input2!$E10,'Data Sheet'!$B$56:$K$72,Y$1,0),""),"NA")</f>
        <v>94.58</v>
      </c>
      <c r="Z10">
        <f>IFERROR(IF($E10&lt;&gt;"",HLOOKUP(Model_Input2!$E10,'Data Sheet'!$B$56:$K$72,Z$1,0),""),"NA")</f>
        <v>454.77</v>
      </c>
      <c r="AA10">
        <f>IFERROR(IF($E10&lt;&gt;"",HLOOKUP(Model_Input2!$E10,'Data Sheet'!$B$56:$K$72,AA$1,0),""),"NA")</f>
        <v>288.86</v>
      </c>
      <c r="AB10">
        <f>IFERROR(IF($E10&lt;&gt;"",HLOOKUP(Model_Input2!$E10,'Data Sheet'!$B$56:$K$72,AB$1,0),""),"NA")</f>
        <v>1</v>
      </c>
      <c r="AC10">
        <f>IFERROR(IF($E10&lt;&gt;"",HLOOKUP(Model_Input2!$E10,'Data Sheet'!$B$56:$K$72,AC$1,0),""),"NA")</f>
        <v>7.0000000000000007E-2</v>
      </c>
      <c r="AD10">
        <f>IFERROR(IF($E10&lt;&gt;"",HLOOKUP(Model_Input2!$E10,'Data Sheet'!$B$56:$K$72,AD$1,0),""),"NA")</f>
        <v>164.84</v>
      </c>
      <c r="AE10">
        <f>IFERROR(IF($E10&lt;&gt;"",HLOOKUP(Model_Input2!$E10,'Data Sheet'!$B$56:$K$72,AE$1,0),""),"NA")</f>
        <v>454.77</v>
      </c>
      <c r="AF10">
        <f>IFERROR(IF($E10&lt;&gt;"",HLOOKUP(Model_Input2!$E10,'Data Sheet'!$B$56:$K$72,AF$1,0),""),"NA")</f>
        <v>5.7</v>
      </c>
      <c r="AG10">
        <f>IFERROR(IF($E10&lt;&gt;"",HLOOKUP(Model_Input2!$E10,'Data Sheet'!$B$56:$K$72,AG$1,0),""),"NA")</f>
        <v>132.9</v>
      </c>
      <c r="AH10">
        <f>IFERROR(IF($E10&lt;&gt;"",HLOOKUP(Model_Input2!$E10,'Data Sheet'!$B$56:$K$72,AH$1,0),""),"NA")</f>
        <v>2.74</v>
      </c>
      <c r="AI10">
        <f>IFERROR(IF($E10&lt;&gt;"",HLOOKUP(Model_Input2!$E10,'Data Sheet'!$B$56:$K$72,AI$1,0),""),"NA")</f>
        <v>5875000</v>
      </c>
      <c r="AJ10">
        <f>IFERROR(IF($E10&lt;&gt;"",HLOOKUP(Model_Input2!$E10,'Data Sheet'!$B$56:$K$72,AJ$1,0),""),"NA")</f>
        <v>0</v>
      </c>
      <c r="AK10">
        <f>IFERROR(IF($E10&lt;&gt;"",HLOOKUP(Model_Input2!$E10,'Data Sheet'!$B$56:$K$72,AK$1,0),""),"NA")</f>
        <v>10</v>
      </c>
      <c r="AL10">
        <f>IFERROR(IF($E10&lt;&gt;"",HLOOKUP(Model_Input2!$E10,'Data Sheet'!$B$81:$K$85,AL$1,0),""),"NA")</f>
        <v>37.82</v>
      </c>
      <c r="AM10">
        <f>IFERROR(IF($E10&lt;&gt;"",HLOOKUP(Model_Input2!$E10,'Data Sheet'!$B$81:$K$85,AM$1,0),""),"NA")</f>
        <v>-28.48</v>
      </c>
      <c r="AN10">
        <f>IFERROR(IF($E10&lt;&gt;"",HLOOKUP(Model_Input2!$E10,'Data Sheet'!$B$81:$K$85,AN$1,0),""),"NA")</f>
        <v>-8.1199999999999992</v>
      </c>
      <c r="AO10">
        <f>IFERROR(IF($E10&lt;&gt;"",HLOOKUP(Model_Input2!$E10,'Data Sheet'!$B$81:$K$85,AO$1,0),""),"NA")</f>
        <v>1.22</v>
      </c>
      <c r="AP10" s="38">
        <f>IFERROR(IF($E10&lt;&gt;"",HLOOKUP(Model_Input2!$E10,Trend!$B$1:$K$3,AP$1,0),""),"NA")</f>
        <v>294.52631600000001</v>
      </c>
      <c r="AQ10" s="38">
        <f>IFERROR(IF($E10&lt;&gt;"",HLOOKUP(Model_Input2!$E10,Trend!$B$1:$K$3,AQ$1,0),""),"NA")</f>
        <v>0.58750000000000002</v>
      </c>
    </row>
    <row r="11" spans="1:43">
      <c r="A11" t="str">
        <f t="shared" si="1"/>
        <v>AMBIKA COTTON MILLS LTD3132015-PY2</v>
      </c>
      <c r="B11" t="str">
        <f>IF(E11&lt;&gt;"",'Data Sheet'!$B$1,"")</f>
        <v>AMBIKA COTTON MILLS LTD</v>
      </c>
      <c r="C11" t="s">
        <v>902</v>
      </c>
      <c r="D11" t="s">
        <v>914</v>
      </c>
      <c r="E11" s="279">
        <f>'Data Sheet'!I16</f>
        <v>42094</v>
      </c>
      <c r="F11" s="9">
        <f>IF($E11&lt;&gt;"",HLOOKUP(Model_Input2!$E11,'Data Sheet'!$B$16:$K$31,F$1,0),"")</f>
        <v>494.97</v>
      </c>
      <c r="G11" s="9">
        <f>IFERROR(IF($E11&lt;&gt;"",HLOOKUP(Model_Input2!$E11,'Data Sheet'!$B$16:$K$31,G$1,0),""),"NA")</f>
        <v>294.16000000000003</v>
      </c>
      <c r="H11" s="9">
        <f>IFERROR(IF($E11&lt;&gt;"",HLOOKUP(Model_Input2!$E11,'Data Sheet'!$B$16:$K$31,H$1,0),""),"NA")</f>
        <v>-10.91</v>
      </c>
      <c r="I11" s="9">
        <f>IFERROR(IF($E11&lt;&gt;"",HLOOKUP(Model_Input2!$E11,'Data Sheet'!$B$16:$K$31,I$1,0),""),"NA")</f>
        <v>25.35</v>
      </c>
      <c r="J11" s="9">
        <f>IFERROR(IF($E11&lt;&gt;"",HLOOKUP(Model_Input2!$E11,'Data Sheet'!$B$16:$K$31,J$1,0),""),"NA")</f>
        <v>11.85</v>
      </c>
      <c r="K11" s="9">
        <f>IFERROR(IF($E11&lt;&gt;"",HLOOKUP(Model_Input2!$E11,'Data Sheet'!$B$16:$K$31,K$1,0),""),"NA")</f>
        <v>24.34</v>
      </c>
      <c r="L11" s="9">
        <f>IFERROR(IF($E11&lt;&gt;"",HLOOKUP(Model_Input2!$E11,'Data Sheet'!$B$16:$K$31,L$1,0),""),"NA")</f>
        <v>26.44</v>
      </c>
      <c r="M11" s="9">
        <f>IFERROR(IF($E11&lt;&gt;"",HLOOKUP(Model_Input2!$E11,'Data Sheet'!$B$16:$K$31,M$1,0),""),"NA")</f>
        <v>2.21</v>
      </c>
      <c r="N11" s="9">
        <f t="shared" si="2"/>
        <v>373.44</v>
      </c>
      <c r="O11" s="9">
        <f>IFERROR(IF($E11&lt;&gt;"",HLOOKUP(Model_Input2!$E11,'Data Sheet'!$B$16:$K$31,O$1,0),""),"NA")</f>
        <v>0.55000000000000004</v>
      </c>
      <c r="P11" s="9">
        <f>IFERROR(IF($E11&lt;&gt;"",HLOOKUP(Model_Input2!$E11,'Data Sheet'!$B$16:$K$31,P$1,0),""),"NA")</f>
        <v>29.33</v>
      </c>
      <c r="Q11" s="9">
        <f>IFERROR(IF($E11&lt;&gt;"",HLOOKUP(Model_Input2!$E11,'Data Sheet'!$B$16:$K$31,Q$1,0),""),"NA")</f>
        <v>7.17</v>
      </c>
      <c r="R11" s="9">
        <f>IFERROR(IF($E11&lt;&gt;"",HLOOKUP(Model_Input2!$E11,'Data Sheet'!$B$16:$K$31,R$1,0),""),"NA")</f>
        <v>63.77</v>
      </c>
      <c r="S11" s="9">
        <f>IFERROR(IF($E11&lt;&gt;"",HLOOKUP(Model_Input2!$E11,'Data Sheet'!$B$16:$K$31,S$1,0),""),"NA")</f>
        <v>12.59</v>
      </c>
      <c r="T11" s="9">
        <f>IFERROR(IF($E11&lt;&gt;"",HLOOKUP(Model_Input2!$E11,'Data Sheet'!$B$16:$K$31,T$1,0),""),"NA")</f>
        <v>51.18</v>
      </c>
      <c r="U11" s="9">
        <f>IFERROR(IF($E11&lt;&gt;"",HLOOKUP(Model_Input2!$E11,'Data Sheet'!$B$16:$K$31,U$1,0),""),"NA")</f>
        <v>8.2249999999999996</v>
      </c>
      <c r="V11">
        <f>IFERROR(IF($E11&lt;&gt;"",HLOOKUP(Model_Input2!$E11,'Data Sheet'!$B$56:$K$72,V$1,0),""),"NA")</f>
        <v>5.88</v>
      </c>
      <c r="W11">
        <f>IFERROR(IF($E11&lt;&gt;"",HLOOKUP(Model_Input2!$E11,'Data Sheet'!$B$56:$K$72,W$1,0),""),"NA")</f>
        <v>295.33</v>
      </c>
      <c r="X11">
        <f>IFERROR(IF($E11&lt;&gt;"",HLOOKUP(Model_Input2!$E11,'Data Sheet'!$B$56:$K$72,X$1,0),""),"NA")</f>
        <v>62.63</v>
      </c>
      <c r="Y11">
        <f>IFERROR(IF($E11&lt;&gt;"",HLOOKUP(Model_Input2!$E11,'Data Sheet'!$B$56:$K$72,Y$1,0),""),"NA")</f>
        <v>86.02</v>
      </c>
      <c r="Z11">
        <f>IFERROR(IF($E11&lt;&gt;"",HLOOKUP(Model_Input2!$E11,'Data Sheet'!$B$56:$K$72,Z$1,0),""),"NA")</f>
        <v>449.86</v>
      </c>
      <c r="AA11">
        <f>IFERROR(IF($E11&lt;&gt;"",HLOOKUP(Model_Input2!$E11,'Data Sheet'!$B$56:$K$72,AA$1,0),""),"NA")</f>
        <v>269.97000000000003</v>
      </c>
      <c r="AB11">
        <f>IFERROR(IF($E11&lt;&gt;"",HLOOKUP(Model_Input2!$E11,'Data Sheet'!$B$56:$K$72,AB$1,0),""),"NA")</f>
        <v>0.01</v>
      </c>
      <c r="AC11">
        <f>IFERROR(IF($E11&lt;&gt;"",HLOOKUP(Model_Input2!$E11,'Data Sheet'!$B$56:$K$72,AC$1,0),""),"NA")</f>
        <v>0.08</v>
      </c>
      <c r="AD11">
        <f>IFERROR(IF($E11&lt;&gt;"",HLOOKUP(Model_Input2!$E11,'Data Sheet'!$B$56:$K$72,AD$1,0),""),"NA")</f>
        <v>179.8</v>
      </c>
      <c r="AE11">
        <f>IFERROR(IF($E11&lt;&gt;"",HLOOKUP(Model_Input2!$E11,'Data Sheet'!$B$56:$K$72,AE$1,0),""),"NA")</f>
        <v>449.86</v>
      </c>
      <c r="AF11">
        <f>IFERROR(IF($E11&lt;&gt;"",HLOOKUP(Model_Input2!$E11,'Data Sheet'!$B$56:$K$72,AF$1,0),""),"NA")</f>
        <v>6.04</v>
      </c>
      <c r="AG11">
        <f>IFERROR(IF($E11&lt;&gt;"",HLOOKUP(Model_Input2!$E11,'Data Sheet'!$B$56:$K$72,AG$1,0),""),"NA")</f>
        <v>144.53</v>
      </c>
      <c r="AH11">
        <f>IFERROR(IF($E11&lt;&gt;"",HLOOKUP(Model_Input2!$E11,'Data Sheet'!$B$56:$K$72,AH$1,0),""),"NA")</f>
        <v>2.84</v>
      </c>
      <c r="AI11">
        <f>IFERROR(IF($E11&lt;&gt;"",HLOOKUP(Model_Input2!$E11,'Data Sheet'!$B$56:$K$72,AI$1,0),""),"NA")</f>
        <v>5875000</v>
      </c>
      <c r="AJ11">
        <f>IFERROR(IF($E11&lt;&gt;"",HLOOKUP(Model_Input2!$E11,'Data Sheet'!$B$56:$K$72,AJ$1,0),""),"NA")</f>
        <v>0</v>
      </c>
      <c r="AK11">
        <f>IFERROR(IF($E11&lt;&gt;"",HLOOKUP(Model_Input2!$E11,'Data Sheet'!$B$56:$K$72,AK$1,0),""),"NA")</f>
        <v>10</v>
      </c>
      <c r="AL11">
        <f>IFERROR(IF($E11&lt;&gt;"",HLOOKUP(Model_Input2!$E11,'Data Sheet'!$B$81:$K$85,AL$1,0),""),"NA")</f>
        <v>42.95</v>
      </c>
      <c r="AM11">
        <f>IFERROR(IF($E11&lt;&gt;"",HLOOKUP(Model_Input2!$E11,'Data Sheet'!$B$81:$K$85,AM$1,0),""),"NA")</f>
        <v>-9.2799999999999994</v>
      </c>
      <c r="AN11">
        <f>IFERROR(IF($E11&lt;&gt;"",HLOOKUP(Model_Input2!$E11,'Data Sheet'!$B$81:$K$85,AN$1,0),""),"NA")</f>
        <v>-33.56</v>
      </c>
      <c r="AO11">
        <f>IFERROR(IF($E11&lt;&gt;"",HLOOKUP(Model_Input2!$E11,'Data Sheet'!$B$81:$K$85,AO$1,0),""),"NA")</f>
        <v>0.1</v>
      </c>
      <c r="AP11" s="38">
        <f>IFERROR(IF($E11&lt;&gt;"",HLOOKUP(Model_Input2!$E11,Trend!$B$1:$K$3,AP$1,0),""),"NA")</f>
        <v>869.3</v>
      </c>
      <c r="AQ11" s="38">
        <f>IFERROR(IF($E11&lt;&gt;"",HLOOKUP(Model_Input2!$E11,Trend!$B$1:$K$3,AQ$1,0),""),"NA")</f>
        <v>0.58750000000000002</v>
      </c>
    </row>
    <row r="12" spans="1:43">
      <c r="A12" t="str">
        <f t="shared" si="1"/>
        <v>AMBIKA COTTON MILLS LTD3132016-PY1</v>
      </c>
      <c r="B12" t="str">
        <f>IF(E12&lt;&gt;"",'Data Sheet'!$B$1,"")</f>
        <v>AMBIKA COTTON MILLS LTD</v>
      </c>
      <c r="C12" t="s">
        <v>901</v>
      </c>
      <c r="D12" t="s">
        <v>914</v>
      </c>
      <c r="E12" s="279">
        <f>'Data Sheet'!J16</f>
        <v>42460</v>
      </c>
      <c r="F12" s="9">
        <f>IF($E12&lt;&gt;"",HLOOKUP(Model_Input2!$E12,'Data Sheet'!$B$16:$K$31,F$1,0),"")</f>
        <v>492.14</v>
      </c>
      <c r="G12" s="9">
        <f>IFERROR(IF($E12&lt;&gt;"",HLOOKUP(Model_Input2!$E12,'Data Sheet'!$B$16:$K$31,G$1,0),""),"NA")</f>
        <v>305.98</v>
      </c>
      <c r="H12" s="9">
        <f>IFERROR(IF($E12&lt;&gt;"",HLOOKUP(Model_Input2!$E12,'Data Sheet'!$B$16:$K$31,H$1,0),""),"NA")</f>
        <v>4.54</v>
      </c>
      <c r="I12" s="9">
        <f>IFERROR(IF($E12&lt;&gt;"",HLOOKUP(Model_Input2!$E12,'Data Sheet'!$B$16:$K$31,I$1,0),""),"NA")</f>
        <v>32.69</v>
      </c>
      <c r="J12" s="9">
        <f>IFERROR(IF($E12&lt;&gt;"",HLOOKUP(Model_Input2!$E12,'Data Sheet'!$B$16:$K$31,J$1,0),""),"NA")</f>
        <v>11.78</v>
      </c>
      <c r="K12" s="9">
        <f>IFERROR(IF($E12&lt;&gt;"",HLOOKUP(Model_Input2!$E12,'Data Sheet'!$B$16:$K$31,K$1,0),""),"NA")</f>
        <v>25.11</v>
      </c>
      <c r="L12" s="9">
        <f>IFERROR(IF($E12&lt;&gt;"",HLOOKUP(Model_Input2!$E12,'Data Sheet'!$B$16:$K$31,L$1,0),""),"NA")</f>
        <v>27.24</v>
      </c>
      <c r="M12" s="9">
        <f>IFERROR(IF($E12&lt;&gt;"",HLOOKUP(Model_Input2!$E12,'Data Sheet'!$B$16:$K$31,M$1,0),""),"NA")</f>
        <v>0.92</v>
      </c>
      <c r="N12" s="9">
        <f t="shared" si="2"/>
        <v>408.26000000000005</v>
      </c>
      <c r="O12" s="9">
        <f>IFERROR(IF($E12&lt;&gt;"",HLOOKUP(Model_Input2!$E12,'Data Sheet'!$B$16:$K$31,O$1,0),""),"NA")</f>
        <v>1.77</v>
      </c>
      <c r="P12" s="9">
        <f>IFERROR(IF($E12&lt;&gt;"",HLOOKUP(Model_Input2!$E12,'Data Sheet'!$B$16:$K$31,P$1,0),""),"NA")</f>
        <v>29.92</v>
      </c>
      <c r="Q12" s="9">
        <f>IFERROR(IF($E12&lt;&gt;"",HLOOKUP(Model_Input2!$E12,'Data Sheet'!$B$16:$K$31,Q$1,0),""),"NA")</f>
        <v>5.87</v>
      </c>
      <c r="R12" s="9">
        <f>IFERROR(IF($E12&lt;&gt;"",HLOOKUP(Model_Input2!$E12,'Data Sheet'!$B$16:$K$31,R$1,0),""),"NA")</f>
        <v>58.96</v>
      </c>
      <c r="S12" s="9">
        <f>IFERROR(IF($E12&lt;&gt;"",HLOOKUP(Model_Input2!$E12,'Data Sheet'!$B$16:$K$31,S$1,0),""),"NA")</f>
        <v>14.5</v>
      </c>
      <c r="T12" s="9">
        <f>IFERROR(IF($E12&lt;&gt;"",HLOOKUP(Model_Input2!$E12,'Data Sheet'!$B$16:$K$31,T$1,0),""),"NA")</f>
        <v>44.46</v>
      </c>
      <c r="U12" s="9">
        <f>IFERROR(IF($E12&lt;&gt;"",HLOOKUP(Model_Input2!$E12,'Data Sheet'!$B$16:$K$31,U$1,0),""),"NA")</f>
        <v>8.8125</v>
      </c>
      <c r="V12">
        <f>IFERROR(IF($E12&lt;&gt;"",HLOOKUP(Model_Input2!$E12,'Data Sheet'!$B$56:$K$72,V$1,0),""),"NA")</f>
        <v>5.88</v>
      </c>
      <c r="W12">
        <f>IFERROR(IF($E12&lt;&gt;"",HLOOKUP(Model_Input2!$E12,'Data Sheet'!$B$56:$K$72,W$1,0),""),"NA")</f>
        <v>329.17</v>
      </c>
      <c r="X12">
        <f>IFERROR(IF($E12&lt;&gt;"",HLOOKUP(Model_Input2!$E12,'Data Sheet'!$B$56:$K$72,X$1,0),""),"NA")</f>
        <v>19.71</v>
      </c>
      <c r="Y12">
        <f>IFERROR(IF($E12&lt;&gt;"",HLOOKUP(Model_Input2!$E12,'Data Sheet'!$B$56:$K$72,Y$1,0),""),"NA")</f>
        <v>69.3</v>
      </c>
      <c r="Z12">
        <f>IFERROR(IF($E12&lt;&gt;"",HLOOKUP(Model_Input2!$E12,'Data Sheet'!$B$56:$K$72,Z$1,0),""),"NA")</f>
        <v>424.06</v>
      </c>
      <c r="AA12">
        <f>IFERROR(IF($E12&lt;&gt;"",HLOOKUP(Model_Input2!$E12,'Data Sheet'!$B$56:$K$72,AA$1,0),""),"NA")</f>
        <v>255.14</v>
      </c>
      <c r="AB12">
        <f>IFERROR(IF($E12&lt;&gt;"",HLOOKUP(Model_Input2!$E12,'Data Sheet'!$B$56:$K$72,AB$1,0),""),"NA")</f>
        <v>0</v>
      </c>
      <c r="AC12">
        <f>IFERROR(IF($E12&lt;&gt;"",HLOOKUP(Model_Input2!$E12,'Data Sheet'!$B$56:$K$72,AC$1,0),""),"NA")</f>
        <v>0.11</v>
      </c>
      <c r="AD12">
        <f>IFERROR(IF($E12&lt;&gt;"",HLOOKUP(Model_Input2!$E12,'Data Sheet'!$B$56:$K$72,AD$1,0),""),"NA")</f>
        <v>168.81</v>
      </c>
      <c r="AE12">
        <f>IFERROR(IF($E12&lt;&gt;"",HLOOKUP(Model_Input2!$E12,'Data Sheet'!$B$56:$K$72,AE$1,0),""),"NA")</f>
        <v>424.06</v>
      </c>
      <c r="AF12">
        <f>IFERROR(IF($E12&lt;&gt;"",HLOOKUP(Model_Input2!$E12,'Data Sheet'!$B$56:$K$72,AF$1,0),""),"NA")</f>
        <v>18.5</v>
      </c>
      <c r="AG12">
        <f>IFERROR(IF($E12&lt;&gt;"",HLOOKUP(Model_Input2!$E12,'Data Sheet'!$B$56:$K$72,AG$1,0),""),"NA")</f>
        <v>124.17</v>
      </c>
      <c r="AH12">
        <f>IFERROR(IF($E12&lt;&gt;"",HLOOKUP(Model_Input2!$E12,'Data Sheet'!$B$56:$K$72,AH$1,0),""),"NA")</f>
        <v>4.78</v>
      </c>
      <c r="AI12">
        <f>IFERROR(IF($E12&lt;&gt;"",HLOOKUP(Model_Input2!$E12,'Data Sheet'!$B$56:$K$72,AI$1,0),""),"NA")</f>
        <v>5875000</v>
      </c>
      <c r="AJ12">
        <f>IFERROR(IF($E12&lt;&gt;"",HLOOKUP(Model_Input2!$E12,'Data Sheet'!$B$56:$K$72,AJ$1,0),""),"NA")</f>
        <v>0</v>
      </c>
      <c r="AK12">
        <f>IFERROR(IF($E12&lt;&gt;"",HLOOKUP(Model_Input2!$E12,'Data Sheet'!$B$56:$K$72,AK$1,0),""),"NA")</f>
        <v>10</v>
      </c>
      <c r="AL12">
        <f>IFERROR(IF($E12&lt;&gt;"",HLOOKUP(Model_Input2!$E12,'Data Sheet'!$B$81:$K$85,AL$1,0),""),"NA")</f>
        <v>66.98</v>
      </c>
      <c r="AM12">
        <f>IFERROR(IF($E12&lt;&gt;"",HLOOKUP(Model_Input2!$E12,'Data Sheet'!$B$81:$K$85,AM$1,0),""),"NA")</f>
        <v>-12.91</v>
      </c>
      <c r="AN12">
        <f>IFERROR(IF($E12&lt;&gt;"",HLOOKUP(Model_Input2!$E12,'Data Sheet'!$B$81:$K$85,AN$1,0),""),"NA")</f>
        <v>-52.14</v>
      </c>
      <c r="AO12">
        <f>IFERROR(IF($E12&lt;&gt;"",HLOOKUP(Model_Input2!$E12,'Data Sheet'!$B$81:$K$85,AO$1,0),""),"NA")</f>
        <v>1.94</v>
      </c>
      <c r="AP12" s="38">
        <f>IFERROR(IF($E12&lt;&gt;"",HLOOKUP(Model_Input2!$E12,Trend!$B$1:$K$3,AP$1,0),""),"NA")</f>
        <v>844.25</v>
      </c>
      <c r="AQ12" s="38">
        <f>IFERROR(IF($E12&lt;&gt;"",HLOOKUP(Model_Input2!$E12,Trend!$B$1:$K$3,AQ$1,0),""),"NA")</f>
        <v>0.58750000000000002</v>
      </c>
    </row>
    <row r="13" spans="1:43">
      <c r="A13" t="str">
        <f t="shared" si="1"/>
        <v>AMBIKA COTTON MILLS LTD3132017-LY</v>
      </c>
      <c r="B13" t="str">
        <f>IF(E13&lt;&gt;"",'Data Sheet'!$B$1,"")</f>
        <v>AMBIKA COTTON MILLS LTD</v>
      </c>
      <c r="C13" t="s">
        <v>910</v>
      </c>
      <c r="D13" t="s">
        <v>914</v>
      </c>
      <c r="E13" s="279">
        <f>'Data Sheet'!K16</f>
        <v>42825</v>
      </c>
      <c r="F13" s="9">
        <f>IF($E13&lt;&gt;"",HLOOKUP(Model_Input2!$E13,'Data Sheet'!$B$16:$K$31,F$1,0),"")</f>
        <v>528.26</v>
      </c>
      <c r="G13" s="9">
        <f>IFERROR(IF($E13&lt;&gt;"",HLOOKUP(Model_Input2!$E13,'Data Sheet'!$B$16:$K$31,G$1,0),""),"NA")</f>
        <v>336.1</v>
      </c>
      <c r="H13" s="9">
        <f>IFERROR(IF($E13&lt;&gt;"",HLOOKUP(Model_Input2!$E13,'Data Sheet'!$B$16:$K$31,H$1,0),""),"NA")</f>
        <v>4.26</v>
      </c>
      <c r="I13" s="9">
        <f>IFERROR(IF($E13&lt;&gt;"",HLOOKUP(Model_Input2!$E13,'Data Sheet'!$B$16:$K$31,I$1,0),""),"NA")</f>
        <v>23.69</v>
      </c>
      <c r="J13" s="9">
        <f>IFERROR(IF($E13&lt;&gt;"",HLOOKUP(Model_Input2!$E13,'Data Sheet'!$B$16:$K$31,J$1,0),""),"NA")</f>
        <v>11.93</v>
      </c>
      <c r="K13" s="9">
        <f>IFERROR(IF($E13&lt;&gt;"",HLOOKUP(Model_Input2!$E13,'Data Sheet'!$B$16:$K$31,K$1,0),""),"NA")</f>
        <v>26.38</v>
      </c>
      <c r="L13" s="9">
        <f>IFERROR(IF($E13&lt;&gt;"",HLOOKUP(Model_Input2!$E13,'Data Sheet'!$B$16:$K$31,L$1,0),""),"NA")</f>
        <v>29.34</v>
      </c>
      <c r="M13" s="9">
        <f>IFERROR(IF($E13&lt;&gt;"",HLOOKUP(Model_Input2!$E13,'Data Sheet'!$B$16:$K$31,M$1,0),""),"NA")</f>
        <v>0.15</v>
      </c>
      <c r="N13" s="9">
        <f t="shared" si="2"/>
        <v>431.84999999999997</v>
      </c>
      <c r="O13" s="9">
        <f>IFERROR(IF($E13&lt;&gt;"",HLOOKUP(Model_Input2!$E13,'Data Sheet'!$B$16:$K$31,O$1,0),""),"NA")</f>
        <v>0.78</v>
      </c>
      <c r="P13" s="9">
        <f>IFERROR(IF($E13&lt;&gt;"",HLOOKUP(Model_Input2!$E13,'Data Sheet'!$B$16:$K$31,P$1,0),""),"NA")</f>
        <v>29.35</v>
      </c>
      <c r="Q13" s="9">
        <f>IFERROR(IF($E13&lt;&gt;"",HLOOKUP(Model_Input2!$E13,'Data Sheet'!$B$16:$K$31,Q$1,0),""),"NA")</f>
        <v>4.43</v>
      </c>
      <c r="R13" s="9">
        <f>IFERROR(IF($E13&lt;&gt;"",HLOOKUP(Model_Input2!$E13,'Data Sheet'!$B$16:$K$31,R$1,0),""),"NA")</f>
        <v>71.94</v>
      </c>
      <c r="S13" s="9">
        <f>IFERROR(IF($E13&lt;&gt;"",HLOOKUP(Model_Input2!$E13,'Data Sheet'!$B$16:$K$31,S$1,0),""),"NA")</f>
        <v>16.29</v>
      </c>
      <c r="T13" s="9">
        <f>IFERROR(IF($E13&lt;&gt;"",HLOOKUP(Model_Input2!$E13,'Data Sheet'!$B$16:$K$31,T$1,0),""),"NA")</f>
        <v>55.65</v>
      </c>
      <c r="U13" s="9">
        <f>IFERROR(IF($E13&lt;&gt;"",HLOOKUP(Model_Input2!$E13,'Data Sheet'!$B$16:$K$31,U$1,0),""),"NA")</f>
        <v>0</v>
      </c>
      <c r="V13">
        <f>IFERROR(IF($E13&lt;&gt;"",HLOOKUP(Model_Input2!$E13,'Data Sheet'!$B$56:$K$72,V$1,0),""),"NA")</f>
        <v>5.73</v>
      </c>
      <c r="W13">
        <f>IFERROR(IF($E13&lt;&gt;"",HLOOKUP(Model_Input2!$E13,'Data Sheet'!$B$56:$K$72,W$1,0),""),"NA")</f>
        <v>368.86</v>
      </c>
      <c r="X13">
        <f>IFERROR(IF($E13&lt;&gt;"",HLOOKUP(Model_Input2!$E13,'Data Sheet'!$B$56:$K$72,X$1,0),""),"NA")</f>
        <v>7.49</v>
      </c>
      <c r="Y13">
        <f>IFERROR(IF($E13&lt;&gt;"",HLOOKUP(Model_Input2!$E13,'Data Sheet'!$B$56:$K$72,Y$1,0),""),"NA")</f>
        <v>93.93</v>
      </c>
      <c r="Z13">
        <f>IFERROR(IF($E13&lt;&gt;"",HLOOKUP(Model_Input2!$E13,'Data Sheet'!$B$56:$K$72,Z$1,0),""),"NA")</f>
        <v>476.01</v>
      </c>
      <c r="AA13">
        <f>IFERROR(IF($E13&lt;&gt;"",HLOOKUP(Model_Input2!$E13,'Data Sheet'!$B$56:$K$72,AA$1,0),""),"NA")</f>
        <v>253.93</v>
      </c>
      <c r="AB13">
        <f>IFERROR(IF($E13&lt;&gt;"",HLOOKUP(Model_Input2!$E13,'Data Sheet'!$B$56:$K$72,AB$1,0),""),"NA")</f>
        <v>0</v>
      </c>
      <c r="AC13">
        <f>IFERROR(IF($E13&lt;&gt;"",HLOOKUP(Model_Input2!$E13,'Data Sheet'!$B$56:$K$72,AC$1,0),""),"NA")</f>
        <v>0.11</v>
      </c>
      <c r="AD13">
        <f>IFERROR(IF($E13&lt;&gt;"",HLOOKUP(Model_Input2!$E13,'Data Sheet'!$B$56:$K$72,AD$1,0),""),"NA")</f>
        <v>221.97</v>
      </c>
      <c r="AE13">
        <f>IFERROR(IF($E13&lt;&gt;"",HLOOKUP(Model_Input2!$E13,'Data Sheet'!$B$56:$K$72,AE$1,0),""),"NA")</f>
        <v>476.01</v>
      </c>
      <c r="AF13">
        <f>IFERROR(IF($E13&lt;&gt;"",HLOOKUP(Model_Input2!$E13,'Data Sheet'!$B$56:$K$72,AF$1,0),""),"NA")</f>
        <v>41.04</v>
      </c>
      <c r="AG13">
        <f>IFERROR(IF($E13&lt;&gt;"",HLOOKUP(Model_Input2!$E13,'Data Sheet'!$B$56:$K$72,AG$1,0),""),"NA")</f>
        <v>151.5</v>
      </c>
      <c r="AH13">
        <f>IFERROR(IF($E13&lt;&gt;"",HLOOKUP(Model_Input2!$E13,'Data Sheet'!$B$56:$K$72,AH$1,0),""),"NA")</f>
        <v>13.47</v>
      </c>
      <c r="AI13">
        <f>IFERROR(IF($E13&lt;&gt;"",HLOOKUP(Model_Input2!$E13,'Data Sheet'!$B$56:$K$72,AI$1,0),""),"NA")</f>
        <v>5725000</v>
      </c>
      <c r="AJ13">
        <f>IFERROR(IF($E13&lt;&gt;"",HLOOKUP(Model_Input2!$E13,'Data Sheet'!$B$56:$K$72,AJ$1,0),""),"NA")</f>
        <v>0</v>
      </c>
      <c r="AK13">
        <f>IFERROR(IF($E13&lt;&gt;"",HLOOKUP(Model_Input2!$E13,'Data Sheet'!$B$56:$K$72,AK$1,0),""),"NA")</f>
        <v>10</v>
      </c>
      <c r="AL13">
        <f>IFERROR(IF($E13&lt;&gt;"",HLOOKUP(Model_Input2!$E13,'Data Sheet'!$B$81:$K$85,AL$1,0),""),"NA")</f>
        <v>68.540000000000006</v>
      </c>
      <c r="AM13">
        <f>IFERROR(IF($E13&lt;&gt;"",HLOOKUP(Model_Input2!$E13,'Data Sheet'!$B$81:$K$85,AM$1,0),""),"NA")</f>
        <v>-27.67</v>
      </c>
      <c r="AN13">
        <f>IFERROR(IF($E13&lt;&gt;"",HLOOKUP(Model_Input2!$E13,'Data Sheet'!$B$81:$K$85,AN$1,0),""),"NA")</f>
        <v>-32.18</v>
      </c>
      <c r="AO13">
        <f>IFERROR(IF($E13&lt;&gt;"",HLOOKUP(Model_Input2!$E13,'Data Sheet'!$B$81:$K$85,AO$1,0),""),"NA")</f>
        <v>8.69</v>
      </c>
      <c r="AP13" s="38">
        <f>IFERROR(IF($E13&lt;&gt;"",HLOOKUP(Model_Input2!$E13,Trend!$B$1:$K$3,AP$1,0),""),"NA")</f>
        <v>1363.4605260000001</v>
      </c>
      <c r="AQ13" s="38">
        <f>IFERROR(IF($E13&lt;&gt;"",HLOOKUP(Model_Input2!$E13,Trend!$B$1:$K$3,AQ$1,0),""),"NA")</f>
        <v>0.57250000000000001</v>
      </c>
    </row>
    <row r="14" spans="1:43">
      <c r="A14" t="str">
        <f t="shared" si="1"/>
        <v>AMBIKA COTTON MILLS LTD3062018-TTM</v>
      </c>
      <c r="B14" t="str">
        <f>IF(E14&lt;&gt;"",'Data Sheet'!$B$1,"")</f>
        <v>AMBIKA COTTON MILLS LTD</v>
      </c>
      <c r="C14" t="s">
        <v>801</v>
      </c>
      <c r="D14" t="s">
        <v>914</v>
      </c>
      <c r="E14" s="279">
        <f>'Data Sheet'!K41</f>
        <v>43281</v>
      </c>
      <c r="F14" s="9">
        <f>SUM('Data Sheet'!H42:K42)</f>
        <v>609.83000000000004</v>
      </c>
      <c r="G14" s="9"/>
      <c r="H14" s="9"/>
      <c r="I14" s="9"/>
      <c r="J14" s="9"/>
      <c r="K14" s="9"/>
      <c r="L14" s="9"/>
      <c r="M14" s="9"/>
      <c r="N14" s="9">
        <f>SUM('Data Sheet'!H43:K43)</f>
        <v>492.53</v>
      </c>
      <c r="O14" s="9">
        <f>SUM('Data Sheet'!H44:K44)</f>
        <v>1.03</v>
      </c>
      <c r="P14" s="9">
        <f>SUM('Data Sheet'!H45:K45)</f>
        <v>28.87</v>
      </c>
      <c r="Q14" s="9">
        <f>SUM('Data Sheet'!H46:K46)</f>
        <v>6.1300000000000008</v>
      </c>
      <c r="R14" s="9">
        <f>SUM('Data Sheet'!H47:K47)</f>
        <v>83.33</v>
      </c>
      <c r="S14" s="9">
        <f>SUM('Data Sheet'!H48:K48)</f>
        <v>19.91</v>
      </c>
      <c r="T14" s="9">
        <f>SUM('Data Sheet'!H49:K49)</f>
        <v>63.42</v>
      </c>
      <c r="U14" s="9"/>
      <c r="V14" s="9"/>
      <c r="W14" s="9"/>
      <c r="X14" s="9"/>
      <c r="Y14" s="9"/>
      <c r="Z14" s="9"/>
      <c r="AA14" s="9"/>
      <c r="AB14" s="9"/>
      <c r="AC14" s="9"/>
      <c r="AD14" s="9"/>
      <c r="AE14" s="9"/>
      <c r="AF14" s="9"/>
      <c r="AG14" s="9"/>
      <c r="AH14" s="9"/>
      <c r="AI14" s="9"/>
      <c r="AJ14" s="9"/>
      <c r="AK14" s="9"/>
      <c r="AL14" s="9"/>
      <c r="AM14" s="9"/>
      <c r="AN14" s="9"/>
      <c r="AO14" s="9"/>
      <c r="AP14" s="38">
        <f>'Data Sheet'!$B$8</f>
        <v>1260.2</v>
      </c>
      <c r="AQ14" s="38">
        <f>'Data Sheet'!$B$6</f>
        <v>0.57249642913823207</v>
      </c>
    </row>
    <row r="15" spans="1:43">
      <c r="A15" t="str">
        <f t="shared" si="1"/>
        <v>AMBIKA COTTON MILLS LTD3132016-LQ10</v>
      </c>
      <c r="B15" t="str">
        <f>IF(E15&lt;&gt;"",'Data Sheet'!$B$1,"")</f>
        <v>AMBIKA COTTON MILLS LTD</v>
      </c>
      <c r="C15" t="s">
        <v>924</v>
      </c>
      <c r="D15" t="s">
        <v>925</v>
      </c>
      <c r="E15" s="279">
        <f>'Data Sheet'!B41</f>
        <v>42460</v>
      </c>
      <c r="F15" s="9">
        <f>'Data Sheet'!$B$42</f>
        <v>120.38</v>
      </c>
      <c r="G15" s="9"/>
      <c r="H15" s="9"/>
      <c r="I15" s="9"/>
      <c r="J15" s="9"/>
      <c r="K15" s="9"/>
      <c r="L15" s="9"/>
      <c r="M15" s="9"/>
      <c r="N15" s="9">
        <f>'Data Sheet'!$B$43</f>
        <v>98.56</v>
      </c>
      <c r="O15" s="9">
        <f>'Data Sheet'!$B$44</f>
        <v>1.54</v>
      </c>
      <c r="P15" s="9">
        <f>'Data Sheet'!$B$45</f>
        <v>7.61</v>
      </c>
      <c r="Q15" s="9">
        <f>'Data Sheet'!$B$46</f>
        <v>1.48</v>
      </c>
      <c r="R15" s="9">
        <f>'Data Sheet'!$B$47</f>
        <v>14.27</v>
      </c>
      <c r="S15" s="9">
        <f>'Data Sheet'!$B$48</f>
        <v>3.74</v>
      </c>
      <c r="T15" s="9">
        <f>'Data Sheet'!$B$49</f>
        <v>10.53</v>
      </c>
      <c r="U15" s="9"/>
      <c r="AP15" s="38">
        <f>'Data Sheet'!$B$8</f>
        <v>1260.2</v>
      </c>
      <c r="AQ15" s="38">
        <f>'Data Sheet'!$B$6</f>
        <v>0.57249642913823207</v>
      </c>
    </row>
    <row r="16" spans="1:43">
      <c r="A16" t="str">
        <f t="shared" si="1"/>
        <v>AMBIKA COTTON MILLS LTD3062016-LQ9</v>
      </c>
      <c r="B16" t="str">
        <f>IF(E16&lt;&gt;"",'Data Sheet'!$B$1,"")</f>
        <v>AMBIKA COTTON MILLS LTD</v>
      </c>
      <c r="C16" t="s">
        <v>923</v>
      </c>
      <c r="D16" t="s">
        <v>925</v>
      </c>
      <c r="E16" s="279">
        <f>'Data Sheet'!C41</f>
        <v>42551</v>
      </c>
      <c r="F16" s="9">
        <f>'Data Sheet'!$C$42</f>
        <v>125.57</v>
      </c>
      <c r="G16" s="9"/>
      <c r="H16" s="9"/>
      <c r="I16" s="9"/>
      <c r="J16" s="9"/>
      <c r="K16" s="9"/>
      <c r="L16" s="9"/>
      <c r="M16" s="9"/>
      <c r="N16" s="9">
        <f>'Data Sheet'!$C$43</f>
        <v>100.23</v>
      </c>
      <c r="O16" s="9">
        <f>'Data Sheet'!$C$44</f>
        <v>0.1</v>
      </c>
      <c r="P16" s="9">
        <f>'Data Sheet'!$C$45</f>
        <v>7.22</v>
      </c>
      <c r="Q16" s="9">
        <f>'Data Sheet'!$C$46</f>
        <v>1.44</v>
      </c>
      <c r="R16" s="9">
        <f>'Data Sheet'!$C$47</f>
        <v>16.78</v>
      </c>
      <c r="S16" s="9">
        <f>'Data Sheet'!$C$48</f>
        <v>4.24</v>
      </c>
      <c r="T16" s="9">
        <f>'Data Sheet'!$C$49</f>
        <v>12.54</v>
      </c>
      <c r="U16" s="9"/>
      <c r="AP16" s="38">
        <f>'Data Sheet'!$B$8</f>
        <v>1260.2</v>
      </c>
      <c r="AQ16" s="38">
        <f>'Data Sheet'!$B$6</f>
        <v>0.57249642913823207</v>
      </c>
    </row>
    <row r="17" spans="1:43">
      <c r="A17" t="str">
        <f t="shared" si="1"/>
        <v>AMBIKA COTTON MILLS LTD3092016-LQ8</v>
      </c>
      <c r="B17" t="str">
        <f>IF(E17&lt;&gt;"",'Data Sheet'!$B$1,"")</f>
        <v>AMBIKA COTTON MILLS LTD</v>
      </c>
      <c r="C17" t="s">
        <v>922</v>
      </c>
      <c r="D17" t="s">
        <v>925</v>
      </c>
      <c r="E17" s="279">
        <f>'Data Sheet'!D41</f>
        <v>42643</v>
      </c>
      <c r="F17" s="9">
        <f>'Data Sheet'!$D$42</f>
        <v>132.93</v>
      </c>
      <c r="G17" s="9"/>
      <c r="H17" s="9"/>
      <c r="I17" s="9"/>
      <c r="J17" s="9"/>
      <c r="K17" s="9"/>
      <c r="L17" s="9"/>
      <c r="M17" s="9"/>
      <c r="N17" s="9">
        <f>'Data Sheet'!$D$43</f>
        <v>106.23</v>
      </c>
      <c r="O17" s="9">
        <f>'Data Sheet'!$D$44</f>
        <v>0.24</v>
      </c>
      <c r="P17" s="9">
        <f>'Data Sheet'!$D$45</f>
        <v>7.24</v>
      </c>
      <c r="Q17" s="9">
        <f>'Data Sheet'!$D$46</f>
        <v>1.05</v>
      </c>
      <c r="R17" s="9">
        <f>'Data Sheet'!$D$47</f>
        <v>18.649999999999999</v>
      </c>
      <c r="S17" s="9">
        <f>'Data Sheet'!$D$48</f>
        <v>3.85</v>
      </c>
      <c r="T17" s="9">
        <f>'Data Sheet'!$D$49</f>
        <v>14.8</v>
      </c>
      <c r="U17" s="9"/>
      <c r="AP17" s="38">
        <f>'Data Sheet'!$B$8</f>
        <v>1260.2</v>
      </c>
      <c r="AQ17" s="38">
        <f>'Data Sheet'!$B$6</f>
        <v>0.57249642913823207</v>
      </c>
    </row>
    <row r="18" spans="1:43">
      <c r="A18" t="str">
        <f t="shared" si="1"/>
        <v>AMBIKA COTTON MILLS LTD31122016-LQ7</v>
      </c>
      <c r="B18" t="str">
        <f>IF(E18&lt;&gt;"",'Data Sheet'!$B$1,"")</f>
        <v>AMBIKA COTTON MILLS LTD</v>
      </c>
      <c r="C18" t="s">
        <v>921</v>
      </c>
      <c r="D18" t="s">
        <v>925</v>
      </c>
      <c r="E18" s="279">
        <f>'Data Sheet'!E41</f>
        <v>42735</v>
      </c>
      <c r="F18" s="9">
        <f>'Data Sheet'!$E$42</f>
        <v>127.36</v>
      </c>
      <c r="G18" s="9"/>
      <c r="H18" s="9"/>
      <c r="I18" s="9"/>
      <c r="J18" s="9"/>
      <c r="K18" s="9"/>
      <c r="L18" s="9"/>
      <c r="M18" s="9"/>
      <c r="N18" s="9">
        <f>'Data Sheet'!$E$43</f>
        <v>101.63</v>
      </c>
      <c r="O18" s="9">
        <f>'Data Sheet'!$E$44</f>
        <v>0.38</v>
      </c>
      <c r="P18" s="9">
        <f>'Data Sheet'!$E$45</f>
        <v>7.41</v>
      </c>
      <c r="Q18" s="9">
        <f>'Data Sheet'!$E$46</f>
        <v>0.37</v>
      </c>
      <c r="R18" s="9">
        <f>'Data Sheet'!$E$47</f>
        <v>18.329999999999998</v>
      </c>
      <c r="S18" s="9">
        <f>'Data Sheet'!$E$48</f>
        <v>3.93</v>
      </c>
      <c r="T18" s="9">
        <f>'Data Sheet'!$E$49</f>
        <v>14.4</v>
      </c>
      <c r="U18" s="9"/>
      <c r="AP18" s="38">
        <f>'Data Sheet'!$B$8</f>
        <v>1260.2</v>
      </c>
      <c r="AQ18" s="38">
        <f>'Data Sheet'!$B$6</f>
        <v>0.57249642913823207</v>
      </c>
    </row>
    <row r="19" spans="1:43">
      <c r="A19" t="str">
        <f t="shared" si="1"/>
        <v>AMBIKA COTTON MILLS LTD3132017-LQ6</v>
      </c>
      <c r="B19" t="str">
        <f>IF(E19&lt;&gt;"",'Data Sheet'!$B$1,"")</f>
        <v>AMBIKA COTTON MILLS LTD</v>
      </c>
      <c r="C19" t="s">
        <v>920</v>
      </c>
      <c r="D19" t="s">
        <v>925</v>
      </c>
      <c r="E19" s="279">
        <f>'Data Sheet'!F41</f>
        <v>42825</v>
      </c>
      <c r="F19" s="9">
        <f>'Data Sheet'!$F$42</f>
        <v>142.75</v>
      </c>
      <c r="G19" s="9"/>
      <c r="H19" s="9"/>
      <c r="I19" s="9"/>
      <c r="J19" s="9"/>
      <c r="K19" s="9"/>
      <c r="L19" s="9"/>
      <c r="M19" s="9"/>
      <c r="N19" s="9">
        <f>'Data Sheet'!$F$43</f>
        <v>116.1</v>
      </c>
      <c r="O19" s="9">
        <f>'Data Sheet'!$F$44</f>
        <v>0.11</v>
      </c>
      <c r="P19" s="9">
        <f>'Data Sheet'!$F$45</f>
        <v>7.48</v>
      </c>
      <c r="Q19" s="9">
        <f>'Data Sheet'!$F$46</f>
        <v>0.98</v>
      </c>
      <c r="R19" s="9">
        <f>'Data Sheet'!$F$47</f>
        <v>18.3</v>
      </c>
      <c r="S19" s="9">
        <f>'Data Sheet'!$F$48</f>
        <v>4.3099999999999996</v>
      </c>
      <c r="T19" s="9">
        <f>'Data Sheet'!$F$49</f>
        <v>13.99</v>
      </c>
      <c r="U19" s="9"/>
      <c r="AP19" s="38">
        <f>'Data Sheet'!$B$8</f>
        <v>1260.2</v>
      </c>
      <c r="AQ19" s="38">
        <f>'Data Sheet'!$B$6</f>
        <v>0.57249642913823207</v>
      </c>
    </row>
    <row r="20" spans="1:43">
      <c r="A20" t="str">
        <f t="shared" si="1"/>
        <v>AMBIKA COTTON MILLS LTD3062017-LQ5</v>
      </c>
      <c r="B20" t="str">
        <f>IF(E20&lt;&gt;"",'Data Sheet'!$B$1,"")</f>
        <v>AMBIKA COTTON MILLS LTD</v>
      </c>
      <c r="C20" t="s">
        <v>919</v>
      </c>
      <c r="D20" t="s">
        <v>925</v>
      </c>
      <c r="E20" s="279">
        <f>'Data Sheet'!G41</f>
        <v>42916</v>
      </c>
      <c r="F20" s="9">
        <f>'Data Sheet'!$G$42</f>
        <v>137.72999999999999</v>
      </c>
      <c r="G20" s="9"/>
      <c r="H20" s="9"/>
      <c r="I20" s="9"/>
      <c r="J20" s="9"/>
      <c r="K20" s="9"/>
      <c r="L20" s="9"/>
      <c r="M20" s="9"/>
      <c r="N20" s="9">
        <f>'Data Sheet'!$G$43</f>
        <v>110.61</v>
      </c>
      <c r="O20" s="9">
        <f>'Data Sheet'!$G$44</f>
        <v>0.33</v>
      </c>
      <c r="P20" s="9">
        <f>'Data Sheet'!$G$45</f>
        <v>7.06</v>
      </c>
      <c r="Q20" s="9">
        <f>'Data Sheet'!$G$46</f>
        <v>0.86</v>
      </c>
      <c r="R20" s="9">
        <f>'Data Sheet'!$G$47</f>
        <v>19.53</v>
      </c>
      <c r="S20" s="9">
        <f>'Data Sheet'!$G$48</f>
        <v>5.0999999999999996</v>
      </c>
      <c r="T20" s="9">
        <f>'Data Sheet'!$G$49</f>
        <v>14.43</v>
      </c>
      <c r="U20" s="9"/>
      <c r="AP20" s="38">
        <f>'Data Sheet'!$B$8</f>
        <v>1260.2</v>
      </c>
      <c r="AQ20" s="38">
        <f>'Data Sheet'!$B$6</f>
        <v>0.57249642913823207</v>
      </c>
    </row>
    <row r="21" spans="1:43">
      <c r="A21" t="str">
        <f t="shared" si="1"/>
        <v>AMBIKA COTTON MILLS LTD3092017-LQ4</v>
      </c>
      <c r="B21" t="str">
        <f>IF(E21&lt;&gt;"",'Data Sheet'!$B$1,"")</f>
        <v>AMBIKA COTTON MILLS LTD</v>
      </c>
      <c r="C21" t="s">
        <v>918</v>
      </c>
      <c r="D21" t="s">
        <v>925</v>
      </c>
      <c r="E21" s="279">
        <f>'Data Sheet'!H41</f>
        <v>43008</v>
      </c>
      <c r="F21" s="9">
        <f>'Data Sheet'!$H$42</f>
        <v>139.61000000000001</v>
      </c>
      <c r="G21" s="9"/>
      <c r="H21" s="9"/>
      <c r="I21" s="9"/>
      <c r="J21" s="9"/>
      <c r="K21" s="9"/>
      <c r="L21" s="9"/>
      <c r="M21" s="9"/>
      <c r="N21" s="9">
        <f>'Data Sheet'!$H$43</f>
        <v>112.19</v>
      </c>
      <c r="O21" s="9">
        <f>'Data Sheet'!$H$44</f>
        <v>0.06</v>
      </c>
      <c r="P21" s="9">
        <f>'Data Sheet'!$H$45</f>
        <v>7.11</v>
      </c>
      <c r="Q21" s="9">
        <f>'Data Sheet'!$H$46</f>
        <v>0.92</v>
      </c>
      <c r="R21" s="9">
        <f>'Data Sheet'!$H$47</f>
        <v>19.45</v>
      </c>
      <c r="S21" s="9">
        <f>'Data Sheet'!$H$48</f>
        <v>4.68</v>
      </c>
      <c r="T21" s="9">
        <f>'Data Sheet'!$H$49</f>
        <v>14.77</v>
      </c>
      <c r="U21" s="9"/>
      <c r="AP21" s="38">
        <f>'Data Sheet'!$B$8</f>
        <v>1260.2</v>
      </c>
      <c r="AQ21" s="38">
        <f>'Data Sheet'!$B$6</f>
        <v>0.57249642913823207</v>
      </c>
    </row>
    <row r="22" spans="1:43">
      <c r="A22" t="str">
        <f t="shared" si="1"/>
        <v>AMBIKA COTTON MILLS LTD31122017-LQ3</v>
      </c>
      <c r="B22" t="str">
        <f>IF(E22&lt;&gt;"",'Data Sheet'!$B$1,"")</f>
        <v>AMBIKA COTTON MILLS LTD</v>
      </c>
      <c r="C22" t="s">
        <v>917</v>
      </c>
      <c r="D22" t="s">
        <v>925</v>
      </c>
      <c r="E22" s="279">
        <f>'Data Sheet'!I41</f>
        <v>43100</v>
      </c>
      <c r="F22" s="9">
        <f>'Data Sheet'!$I$42</f>
        <v>148.01</v>
      </c>
      <c r="G22" s="9"/>
      <c r="H22" s="9"/>
      <c r="I22" s="9"/>
      <c r="J22" s="9"/>
      <c r="K22" s="9"/>
      <c r="L22" s="9"/>
      <c r="M22" s="9"/>
      <c r="N22" s="9">
        <f>'Data Sheet'!$I$43</f>
        <v>119.6</v>
      </c>
      <c r="O22" s="9">
        <f>'Data Sheet'!$I$44</f>
        <v>0.34</v>
      </c>
      <c r="P22" s="9">
        <f>'Data Sheet'!$I$45</f>
        <v>7.24</v>
      </c>
      <c r="Q22" s="9">
        <f>'Data Sheet'!$I$46</f>
        <v>0.94</v>
      </c>
      <c r="R22" s="9">
        <f>'Data Sheet'!$I$47</f>
        <v>20.57</v>
      </c>
      <c r="S22" s="9">
        <f>'Data Sheet'!$I$48</f>
        <v>4.72</v>
      </c>
      <c r="T22" s="9">
        <f>'Data Sheet'!$I$49</f>
        <v>15.85</v>
      </c>
      <c r="U22" s="9"/>
      <c r="AP22" s="38">
        <f>'Data Sheet'!$B$8</f>
        <v>1260.2</v>
      </c>
      <c r="AQ22" s="38">
        <f>'Data Sheet'!$B$6</f>
        <v>0.57249642913823207</v>
      </c>
    </row>
    <row r="23" spans="1:43">
      <c r="A23" t="str">
        <f t="shared" si="1"/>
        <v>AMBIKA COTTON MILLS LTD3132018-LQ2</v>
      </c>
      <c r="B23" t="str">
        <f>IF(E23&lt;&gt;"",'Data Sheet'!$B$1,"")</f>
        <v>AMBIKA COTTON MILLS LTD</v>
      </c>
      <c r="C23" t="s">
        <v>916</v>
      </c>
      <c r="D23" t="s">
        <v>925</v>
      </c>
      <c r="E23" s="279">
        <f>'Data Sheet'!J41</f>
        <v>43190</v>
      </c>
      <c r="F23" s="9">
        <f>'Data Sheet'!$J$42</f>
        <v>159.12</v>
      </c>
      <c r="G23" s="9"/>
      <c r="H23" s="9"/>
      <c r="I23" s="9"/>
      <c r="J23" s="9"/>
      <c r="K23" s="9"/>
      <c r="L23" s="9"/>
      <c r="M23" s="9"/>
      <c r="N23" s="9">
        <f>'Data Sheet'!$J$43</f>
        <v>129.88</v>
      </c>
      <c r="O23" s="9">
        <f>'Data Sheet'!$J$44</f>
        <v>0.5</v>
      </c>
      <c r="P23" s="9">
        <f>'Data Sheet'!$J$45</f>
        <v>7.46</v>
      </c>
      <c r="Q23" s="9">
        <f>'Data Sheet'!$J$46</f>
        <v>2.21</v>
      </c>
      <c r="R23" s="9">
        <f>'Data Sheet'!$J$47</f>
        <v>20.07</v>
      </c>
      <c r="S23" s="9">
        <f>'Data Sheet'!$J$48</f>
        <v>4.05</v>
      </c>
      <c r="T23" s="9">
        <f>'Data Sheet'!$J$49</f>
        <v>16.02</v>
      </c>
      <c r="U23" s="9"/>
      <c r="AP23" s="38">
        <f>'Data Sheet'!$B$8</f>
        <v>1260.2</v>
      </c>
      <c r="AQ23" s="38">
        <f>'Data Sheet'!$B$6</f>
        <v>0.57249642913823207</v>
      </c>
    </row>
    <row r="24" spans="1:43">
      <c r="A24" t="str">
        <f t="shared" si="1"/>
        <v>AMBIKA COTTON MILLS LTD3062018-LQ1</v>
      </c>
      <c r="B24" t="str">
        <f>IF(E24&lt;&gt;"",'Data Sheet'!$B$1,"")</f>
        <v>AMBIKA COTTON MILLS LTD</v>
      </c>
      <c r="C24" t="s">
        <v>915</v>
      </c>
      <c r="D24" t="s">
        <v>925</v>
      </c>
      <c r="E24" s="279">
        <f>'Data Sheet'!K41</f>
        <v>43281</v>
      </c>
      <c r="F24" s="9">
        <f>'Data Sheet'!$K$42</f>
        <v>163.09</v>
      </c>
      <c r="G24" s="9"/>
      <c r="H24" s="9"/>
      <c r="I24" s="9"/>
      <c r="J24" s="9"/>
      <c r="K24" s="9"/>
      <c r="L24" s="9"/>
      <c r="M24" s="9"/>
      <c r="N24" s="9">
        <f>'Data Sheet'!$K$43</f>
        <v>130.86000000000001</v>
      </c>
      <c r="O24" s="9">
        <f>'Data Sheet'!$K$44</f>
        <v>0.13</v>
      </c>
      <c r="P24" s="9">
        <f>'Data Sheet'!$K$45</f>
        <v>7.06</v>
      </c>
      <c r="Q24" s="9">
        <f>'Data Sheet'!$K$46</f>
        <v>2.06</v>
      </c>
      <c r="R24" s="9">
        <f>'Data Sheet'!$K$47</f>
        <v>23.24</v>
      </c>
      <c r="S24" s="9">
        <f>'Data Sheet'!$K$48</f>
        <v>6.46</v>
      </c>
      <c r="T24" s="9">
        <f>'Data Sheet'!$K$49</f>
        <v>16.78</v>
      </c>
      <c r="U24" s="9"/>
      <c r="AP24" s="38">
        <f>'Data Sheet'!$B$8</f>
        <v>1260.2</v>
      </c>
      <c r="AQ24" s="38">
        <f>'Data Sheet'!$B$6</f>
        <v>0.57249642913823207</v>
      </c>
    </row>
    <row r="25" spans="1:43">
      <c r="E25" s="279"/>
      <c r="U25" s="9"/>
      <c r="AP25" s="38"/>
      <c r="AQ25" s="38"/>
    </row>
    <row r="26" spans="1:43">
      <c r="E26" s="279"/>
      <c r="U26" s="9"/>
      <c r="AP26" s="38"/>
      <c r="AQ26" s="38"/>
    </row>
    <row r="27" spans="1:43">
      <c r="U27" s="9"/>
      <c r="AP27" s="38"/>
      <c r="AQ27" s="3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77"/>
  <sheetViews>
    <sheetView workbookViewId="0">
      <selection activeCell="G13" sqref="G13"/>
    </sheetView>
  </sheetViews>
  <sheetFormatPr defaultRowHeight="15"/>
  <cols>
    <col min="1" max="1" width="33.5703125" customWidth="1"/>
  </cols>
  <sheetData>
    <row r="1" spans="1:5">
      <c r="B1" t="s">
        <v>793</v>
      </c>
      <c r="C1" t="s">
        <v>794</v>
      </c>
      <c r="D1" t="s">
        <v>795</v>
      </c>
      <c r="E1" t="s">
        <v>792</v>
      </c>
    </row>
    <row r="2" spans="1:5">
      <c r="A2" s="247" t="s">
        <v>603</v>
      </c>
      <c r="B2" s="36">
        <f>Trend!R17</f>
        <v>0.16494640256207393</v>
      </c>
      <c r="C2" s="36">
        <f>Trend!Q17</f>
        <v>7.9199642057169894E-2</v>
      </c>
      <c r="D2" s="36">
        <f>Trend!P17</f>
        <v>5.2603594798253495E-2</v>
      </c>
      <c r="E2" s="36">
        <f>Trend!K17</f>
        <v>7.339374974600725E-2</v>
      </c>
    </row>
    <row r="3" spans="1:5">
      <c r="A3" s="247" t="s">
        <v>604</v>
      </c>
      <c r="B3" s="36">
        <f>Trend!R18</f>
        <v>0.19659490121185907</v>
      </c>
      <c r="C3" s="36">
        <f>Trend!Q18</f>
        <v>0.23554256476177748</v>
      </c>
      <c r="D3" s="36">
        <f>Trend!P18</f>
        <v>7.5175950084164223E-2</v>
      </c>
      <c r="E3" s="36">
        <f>Trend!K18</f>
        <v>0.25168690958164636</v>
      </c>
    </row>
    <row r="4" spans="1:5">
      <c r="A4" s="247" t="s">
        <v>639</v>
      </c>
      <c r="B4" s="36">
        <f>Trend!O19</f>
        <v>3.2394226816680124E-2</v>
      </c>
      <c r="C4" s="36">
        <f>Trend!N19</f>
        <v>1.6373125334000385E-2</v>
      </c>
      <c r="D4" s="36">
        <f>Trend!M19</f>
        <v>4.3276559520117198E-2</v>
      </c>
      <c r="E4" s="36">
        <f>Trend!K19</f>
        <v>7.7689016772044067E-2</v>
      </c>
    </row>
    <row r="5" spans="1:5">
      <c r="A5" s="247" t="s">
        <v>264</v>
      </c>
      <c r="B5" s="36">
        <f>Trend!O20</f>
        <v>0.36402493795959384</v>
      </c>
      <c r="C5" s="36">
        <f>Trend!N20</f>
        <v>0.25715471466418038</v>
      </c>
      <c r="D5" s="36">
        <f>Trend!M20</f>
        <v>0.27729201449151036</v>
      </c>
      <c r="E5" s="36">
        <f>Trend!K20</f>
        <v>0.28679059554007497</v>
      </c>
    </row>
    <row r="6" spans="1:5">
      <c r="A6" s="247" t="s">
        <v>427</v>
      </c>
      <c r="B6" s="36" t="e">
        <f>Trend!#REF!</f>
        <v>#REF!</v>
      </c>
      <c r="C6" s="36" t="e">
        <f>Trend!#REF!</f>
        <v>#REF!</v>
      </c>
      <c r="D6" s="36" t="e">
        <f>Trend!#REF!</f>
        <v>#REF!</v>
      </c>
      <c r="E6" s="36" t="e">
        <f>Trend!#REF!</f>
        <v>#REF!</v>
      </c>
    </row>
    <row r="7" spans="1:5">
      <c r="A7" s="247" t="s">
        <v>199</v>
      </c>
      <c r="B7" s="36">
        <f>Trend!O21</f>
        <v>9.0514288324223938E-2</v>
      </c>
      <c r="C7" s="36">
        <f>Trend!N21</f>
        <v>8.7653071666534021E-2</v>
      </c>
      <c r="D7" s="36">
        <f>Trend!M21</f>
        <v>9.9837003504094718E-2</v>
      </c>
      <c r="E7" s="36">
        <f>Trend!K21</f>
        <v>0.10534585242115625</v>
      </c>
    </row>
    <row r="8" spans="1:5">
      <c r="A8" s="247" t="s">
        <v>133</v>
      </c>
      <c r="B8" s="36">
        <f>Trend!O22</f>
        <v>0.31171943988898704</v>
      </c>
      <c r="C8" s="36">
        <f>Trend!N22</f>
        <v>0.27279802827863536</v>
      </c>
      <c r="D8" s="36">
        <f>Trend!M22</f>
        <v>0.28673408685306362</v>
      </c>
      <c r="E8" s="36">
        <f>Trend!K22</f>
        <v>0.22643869891576313</v>
      </c>
    </row>
    <row r="9" spans="1:5">
      <c r="A9" s="247" t="s">
        <v>640</v>
      </c>
      <c r="B9" s="36">
        <f>Trend!O23</f>
        <v>276.52999999999997</v>
      </c>
      <c r="C9" s="36">
        <f>Trend!N23</f>
        <v>73.29000000000002</v>
      </c>
      <c r="D9" s="36">
        <f>Trend!M23</f>
        <v>27.180000000000035</v>
      </c>
      <c r="E9" s="36">
        <f>Trend!K23</f>
        <v>12.890000000000008</v>
      </c>
    </row>
    <row r="10" spans="1:5">
      <c r="A10" s="247"/>
      <c r="B10" s="36"/>
      <c r="C10" s="36"/>
      <c r="D10" s="36"/>
      <c r="E10" s="36"/>
    </row>
    <row r="11" spans="1:5">
      <c r="A11" s="258" t="s">
        <v>648</v>
      </c>
      <c r="B11" s="36"/>
      <c r="C11" s="36"/>
      <c r="D11" s="36"/>
      <c r="E11" s="36"/>
    </row>
    <row r="12" spans="1:5">
      <c r="A12" s="247" t="s">
        <v>649</v>
      </c>
      <c r="B12" s="36">
        <f>Trend!O25</f>
        <v>0.58108262411887412</v>
      </c>
      <c r="C12" s="36">
        <f>Trend!N25</f>
        <v>0.60051848230224347</v>
      </c>
      <c r="D12" s="36">
        <f>Trend!M25</f>
        <v>0.6178293090136403</v>
      </c>
      <c r="E12" s="36">
        <f>Trend!K25</f>
        <v>0.63623973043577031</v>
      </c>
    </row>
    <row r="13" spans="1:5">
      <c r="A13" s="259" t="s">
        <v>652</v>
      </c>
      <c r="B13" s="36">
        <f>Trend!O26</f>
        <v>1.6785165111215994E-3</v>
      </c>
      <c r="C13" s="36">
        <f>Trend!N26</f>
        <v>4.2638347223959342E-4</v>
      </c>
      <c r="D13" s="36">
        <f>Trend!M26</f>
        <v>-1.3923992160330483E-3</v>
      </c>
      <c r="E13" s="36">
        <f>Trend!K26</f>
        <v>8.0642108052852764E-3</v>
      </c>
    </row>
    <row r="14" spans="1:5">
      <c r="A14" s="259" t="s">
        <v>653</v>
      </c>
      <c r="B14" s="36">
        <f>Trend!O27</f>
        <v>5.6917314982567788E-2</v>
      </c>
      <c r="C14" s="36">
        <f>Trend!N27</f>
        <v>4.9130746227927548E-2</v>
      </c>
      <c r="D14" s="36">
        <f>Trend!M27</f>
        <v>5.3934022713924661E-2</v>
      </c>
      <c r="E14" s="36">
        <f>Trend!K27</f>
        <v>4.4845341309203805E-2</v>
      </c>
    </row>
    <row r="15" spans="1:5">
      <c r="A15" s="259" t="s">
        <v>654</v>
      </c>
      <c r="B15" s="36">
        <f>Trend!O28</f>
        <v>2.7842059589239226E-2</v>
      </c>
      <c r="C15" s="36">
        <f>Trend!N28</f>
        <v>2.6572217989971461E-2</v>
      </c>
      <c r="D15" s="36">
        <f>Trend!M28</f>
        <v>2.3466216171628054E-2</v>
      </c>
      <c r="E15" s="36">
        <f>Trend!K28</f>
        <v>2.2583576269261347E-2</v>
      </c>
    </row>
    <row r="16" spans="1:5">
      <c r="A16" s="259" t="s">
        <v>655</v>
      </c>
      <c r="B16" s="36">
        <f>Trend!O29</f>
        <v>5.1634365056407297E-2</v>
      </c>
      <c r="C16" s="36">
        <f>Trend!N29</f>
        <v>5.0699837405769256E-2</v>
      </c>
      <c r="D16" s="36">
        <f>Trend!M29</f>
        <v>5.0040584147765896E-2</v>
      </c>
      <c r="E16" s="36">
        <f>Trend!K29</f>
        <v>4.9937530761367505E-2</v>
      </c>
    </row>
    <row r="17" spans="1:5">
      <c r="A17" s="259" t="s">
        <v>656</v>
      </c>
      <c r="B17" s="36">
        <f>Trend!O30</f>
        <v>4.4223771752203773E-2</v>
      </c>
      <c r="C17" s="36">
        <f>Trend!N30</f>
        <v>4.716369714266222E-2</v>
      </c>
      <c r="D17" s="36">
        <f>Trend!M30</f>
        <v>5.4785299959745806E-2</v>
      </c>
      <c r="E17" s="36">
        <f>Trend!K30</f>
        <v>5.5540832165978875E-2</v>
      </c>
    </row>
    <row r="18" spans="1:5">
      <c r="A18" s="259" t="s">
        <v>657</v>
      </c>
      <c r="B18" s="36">
        <f>Trend!O31</f>
        <v>1.3713594080660143E-2</v>
      </c>
      <c r="C18" s="36">
        <f>Trend!N31</f>
        <v>1.6469772254374695E-2</v>
      </c>
      <c r="D18" s="36">
        <f>Trend!M31</f>
        <v>2.1644878808475816E-3</v>
      </c>
      <c r="E18" s="36">
        <f>Trend!K31</f>
        <v>2.8395108469314351E-4</v>
      </c>
    </row>
    <row r="19" spans="1:5">
      <c r="A19" s="247" t="s">
        <v>651</v>
      </c>
      <c r="B19" s="36">
        <f>Trend!O32</f>
        <v>1.2095976127765177E-2</v>
      </c>
      <c r="C19" s="36">
        <f>Trend!N32</f>
        <v>9.8352454263266205E-4</v>
      </c>
      <c r="D19" s="36">
        <f>Trend!M32</f>
        <v>2.045705009337654E-3</v>
      </c>
      <c r="E19" s="36">
        <f>Trend!K32</f>
        <v>1.4765456404043464E-3</v>
      </c>
    </row>
    <row r="20" spans="1:5">
      <c r="A20" s="259" t="s">
        <v>658</v>
      </c>
      <c r="B20" s="36">
        <f>Trend!O33</f>
        <v>7.3177230029079068E-2</v>
      </c>
      <c r="C20" s="36">
        <f>Trend!N33</f>
        <v>6.5481131110075155E-2</v>
      </c>
      <c r="D20" s="36">
        <f>Trend!M33</f>
        <v>5.8467568976553579E-2</v>
      </c>
      <c r="E20" s="36">
        <f>Trend!K33</f>
        <v>5.5559762238291753E-2</v>
      </c>
    </row>
    <row r="21" spans="1:5">
      <c r="A21" s="247" t="s">
        <v>427</v>
      </c>
      <c r="B21" s="36">
        <f>Trend!O34</f>
        <v>0.41891737588112588</v>
      </c>
      <c r="C21" s="36">
        <f>Trend!N34</f>
        <v>0.39948151769775653</v>
      </c>
      <c r="D21" s="36">
        <f>Trend!M34</f>
        <v>0.3821706909863597</v>
      </c>
      <c r="E21" s="36">
        <f>Trend!K34</f>
        <v>0.36376026956422969</v>
      </c>
    </row>
    <row r="22" spans="1:5">
      <c r="A22" s="247" t="s">
        <v>650</v>
      </c>
      <c r="B22" s="36">
        <f>Trend!O35</f>
        <v>0.16519114534963386</v>
      </c>
      <c r="C22" s="36">
        <f>Trend!N35</f>
        <v>0.14538539380777496</v>
      </c>
      <c r="D22" s="36">
        <f>Trend!M35</f>
        <v>0.13999221312286769</v>
      </c>
      <c r="E22" s="36">
        <f>Trend!K35</f>
        <v>0.14456896225343582</v>
      </c>
    </row>
    <row r="23" spans="1:5">
      <c r="A23" s="247" t="s">
        <v>199</v>
      </c>
      <c r="B23" s="36">
        <f>Trend!O36</f>
        <v>9.0514288324223938E-2</v>
      </c>
      <c r="C23" s="36">
        <f>Trend!N36</f>
        <v>8.7653071666534021E-2</v>
      </c>
      <c r="D23" s="36">
        <f>Trend!M36</f>
        <v>9.9837003504094718E-2</v>
      </c>
      <c r="E23" s="36">
        <f>Trend!K36</f>
        <v>0.10534585242115625</v>
      </c>
    </row>
    <row r="24" spans="1:5">
      <c r="A24" s="247" t="s">
        <v>133</v>
      </c>
      <c r="B24" s="36">
        <f>Trend!O37</f>
        <v>0.23764185420273132</v>
      </c>
      <c r="C24" s="36">
        <f>Trend!N37</f>
        <v>0.21432939258051364</v>
      </c>
      <c r="D24" s="36">
        <f>Trend!M37</f>
        <v>0.22283865002311601</v>
      </c>
      <c r="E24" s="36">
        <f>Trend!K37</f>
        <v>0.22643869891576313</v>
      </c>
    </row>
    <row r="25" spans="1:5">
      <c r="A25" s="247"/>
      <c r="B25" s="36"/>
      <c r="C25" s="36"/>
      <c r="D25" s="36"/>
      <c r="E25" s="36"/>
    </row>
    <row r="26" spans="1:5">
      <c r="A26" s="258" t="s">
        <v>619</v>
      </c>
      <c r="B26" s="36">
        <f>Trend!O38</f>
        <v>0</v>
      </c>
      <c r="C26" s="36">
        <f>Trend!N38</f>
        <v>0</v>
      </c>
      <c r="D26" s="36">
        <f>Trend!M38</f>
        <v>0</v>
      </c>
      <c r="E26" s="36">
        <f>Trend!K38</f>
        <v>0</v>
      </c>
    </row>
    <row r="27" spans="1:5">
      <c r="A27" s="247" t="s">
        <v>606</v>
      </c>
      <c r="B27" s="36">
        <f>Trend!O41</f>
        <v>0.96262256522363077</v>
      </c>
      <c r="C27" s="36">
        <f>Trend!N41</f>
        <v>0.59170714519364076</v>
      </c>
      <c r="D27" s="36">
        <f>Trend!M41</f>
        <v>0.52923270180101922</v>
      </c>
      <c r="E27" s="36">
        <f>Trend!K41</f>
        <v>0.4940559572937569</v>
      </c>
    </row>
    <row r="28" spans="1:5">
      <c r="A28" s="247" t="s">
        <v>607</v>
      </c>
      <c r="B28" s="36">
        <f>Trend!O42</f>
        <v>0.93842537953141691</v>
      </c>
      <c r="C28" s="36">
        <f>Trend!N42</f>
        <v>0.57654501224100774</v>
      </c>
      <c r="D28" s="36">
        <f>Trend!M42</f>
        <v>0.51484934564602303</v>
      </c>
      <c r="E28" s="36">
        <f>Trend!K42</f>
        <v>0.48069132624086625</v>
      </c>
    </row>
    <row r="29" spans="1:5">
      <c r="A29" s="247" t="s">
        <v>617</v>
      </c>
      <c r="B29" s="36">
        <f>Trend!O44</f>
        <v>7.261515615558832E-2</v>
      </c>
      <c r="C29" s="36">
        <f>Trend!N44</f>
        <v>6.6030434402704952E-2</v>
      </c>
      <c r="D29" s="36">
        <f>Trend!M44</f>
        <v>6.6445214958601825E-2</v>
      </c>
      <c r="E29" s="36">
        <f>Trend!K44</f>
        <v>0.10782022299704977</v>
      </c>
    </row>
    <row r="30" spans="1:5">
      <c r="A30" s="247" t="s">
        <v>618</v>
      </c>
      <c r="B30" s="36">
        <f>Trend!O45</f>
        <v>7.441726236560231E-2</v>
      </c>
      <c r="C30" s="36">
        <f>Trend!N45</f>
        <v>6.7790337089032718E-2</v>
      </c>
      <c r="D30" s="36">
        <f>Trend!M45</f>
        <v>6.8308878826175909E-2</v>
      </c>
      <c r="E30" s="36">
        <f>Trend!K45</f>
        <v>0.11081794195250667</v>
      </c>
    </row>
    <row r="31" spans="1:5">
      <c r="A31" s="247" t="s">
        <v>615</v>
      </c>
      <c r="B31" s="36">
        <f>Trend!O51</f>
        <v>8.4677978318624808E-3</v>
      </c>
      <c r="C31" s="36">
        <f>Trend!N51</f>
        <v>9.2427003397503821E-4</v>
      </c>
      <c r="D31" s="36">
        <f>Trend!M51</f>
        <v>1.2024578237918302E-5</v>
      </c>
      <c r="E31" s="36">
        <f>Trend!K51</f>
        <v>0</v>
      </c>
    </row>
    <row r="32" spans="1:5">
      <c r="A32" s="247" t="s">
        <v>616</v>
      </c>
      <c r="B32" s="36">
        <f>Trend!O52</f>
        <v>8.7010056904491505E-3</v>
      </c>
      <c r="C32" s="36">
        <f>Trend!N52</f>
        <v>9.4694454401947586E-4</v>
      </c>
      <c r="D32" s="36">
        <f>Trend!M52</f>
        <v>1.2347050906890888E-5</v>
      </c>
      <c r="E32" s="36">
        <f>Trend!K52</f>
        <v>0</v>
      </c>
    </row>
    <row r="33" spans="1:5">
      <c r="A33" s="247"/>
      <c r="B33" s="36"/>
      <c r="C33" s="36"/>
      <c r="D33" s="36"/>
      <c r="E33" s="36"/>
    </row>
    <row r="34" spans="1:5">
      <c r="A34" s="261" t="s">
        <v>620</v>
      </c>
      <c r="B34" s="36"/>
      <c r="C34" s="36"/>
      <c r="D34" s="36"/>
      <c r="E34" s="36"/>
    </row>
    <row r="35" spans="1:5">
      <c r="A35" s="247" t="s">
        <v>621</v>
      </c>
      <c r="B35" s="42">
        <f>Trend!O54</f>
        <v>0.96627573308305892</v>
      </c>
      <c r="C35" s="42">
        <f>Trend!N54</f>
        <v>0.21955969178050797</v>
      </c>
      <c r="D35" s="42">
        <f>Trend!M54</f>
        <v>9.5583419708145781E-2</v>
      </c>
      <c r="E35" s="42">
        <f>Trend!K54</f>
        <v>1.9995194746255905E-2</v>
      </c>
    </row>
    <row r="36" spans="1:5">
      <c r="A36" s="247" t="s">
        <v>311</v>
      </c>
      <c r="B36" s="42">
        <f>Trend!O55</f>
        <v>1.9970046904422933</v>
      </c>
      <c r="C36" s="42">
        <f>Trend!N55</f>
        <v>1.9677841464746719</v>
      </c>
      <c r="D36" s="42">
        <f>Trend!M55</f>
        <v>2.2964283601742852</v>
      </c>
      <c r="E36" s="42">
        <f>Trend!K55</f>
        <v>2.3631427658894921</v>
      </c>
    </row>
    <row r="37" spans="1:5">
      <c r="A37" s="247" t="s">
        <v>307</v>
      </c>
      <c r="B37" s="42">
        <f>Trend!O56</f>
        <v>6.1012180569854504</v>
      </c>
      <c r="C37" s="42">
        <f>Trend!N56</f>
        <v>9.3824564893690443</v>
      </c>
      <c r="D37" s="42">
        <f>Trend!M56</f>
        <v>12.725857819034227</v>
      </c>
      <c r="E37" s="42">
        <f>Trend!K56</f>
        <v>17.239277652370205</v>
      </c>
    </row>
    <row r="38" spans="1:5">
      <c r="A38" s="247" t="s">
        <v>622</v>
      </c>
      <c r="B38" s="42">
        <f>Trend!O57</f>
        <v>2.4155810093112611</v>
      </c>
      <c r="C38" s="42">
        <f>Trend!N57</f>
        <v>1.5393173403135127</v>
      </c>
      <c r="D38" s="42">
        <f>Trend!M57</f>
        <v>1.3433069019260431</v>
      </c>
      <c r="E38" s="42">
        <f>Trend!K57</f>
        <v>1.2707493526255371</v>
      </c>
    </row>
    <row r="39" spans="1:5">
      <c r="A39" s="247" t="s">
        <v>312</v>
      </c>
      <c r="B39" s="42">
        <f>Trend!O58</f>
        <v>0.55527953880931125</v>
      </c>
      <c r="C39" s="42">
        <f>Trend!N58</f>
        <v>0.49967327619181734</v>
      </c>
      <c r="D39" s="42">
        <f>Trend!M58</f>
        <v>0.60147210320169286</v>
      </c>
      <c r="E39" s="42">
        <f>Trend!K58</f>
        <v>0.7502395400830405</v>
      </c>
    </row>
    <row r="40" spans="1:5">
      <c r="A40" s="247" t="s">
        <v>632</v>
      </c>
      <c r="B40" s="42">
        <f>Trend!O59</f>
        <v>0.73887483774279439</v>
      </c>
      <c r="C40" s="42">
        <f>Trend!N59</f>
        <v>0.6803808837329306</v>
      </c>
      <c r="D40" s="42">
        <f>Trend!M59</f>
        <v>0.73183905946233996</v>
      </c>
      <c r="E40" s="42">
        <f>Trend!K59</f>
        <v>0.72969232407111684</v>
      </c>
    </row>
    <row r="41" spans="1:5">
      <c r="A41" s="247" t="s">
        <v>646</v>
      </c>
      <c r="B41" s="38">
        <f>Trend!O63</f>
        <v>2.1428775121374528</v>
      </c>
      <c r="C41" s="38">
        <f>Trend!N63</f>
        <v>3.9059321245669523</v>
      </c>
      <c r="D41" s="38">
        <f>Trend!M63</f>
        <v>5.8100552976642321</v>
      </c>
      <c r="E41" s="38">
        <f>Trend!K63</f>
        <v>12.540720961281709</v>
      </c>
    </row>
    <row r="42" spans="1:5">
      <c r="A42" s="247" t="s">
        <v>641</v>
      </c>
      <c r="B42" s="36">
        <f>Trend!O64</f>
        <v>8.1739926737199514E-2</v>
      </c>
      <c r="C42" s="36">
        <f>Trend!N64</f>
        <v>9.8257104924196897E-2</v>
      </c>
      <c r="D42" s="36">
        <f>Trend!M64</f>
        <v>0.10218780652291221</v>
      </c>
      <c r="E42" s="36">
        <f>Trend!K64</f>
        <v>0.10360773792713922</v>
      </c>
    </row>
    <row r="43" spans="1:5">
      <c r="A43" s="247" t="s">
        <v>642</v>
      </c>
      <c r="B43" s="36">
        <f>Trend!O65</f>
        <v>8.9470055524611986E-2</v>
      </c>
      <c r="C43" s="36">
        <f>Trend!N65</f>
        <v>0.10902386764060761</v>
      </c>
      <c r="D43" s="36">
        <f>Trend!M65</f>
        <v>0.11383122866817241</v>
      </c>
      <c r="E43" s="36">
        <f>Trend!K65</f>
        <v>0.11558303469460088</v>
      </c>
    </row>
    <row r="44" spans="1:5">
      <c r="A44" s="247"/>
      <c r="B44" s="36"/>
      <c r="C44" s="36"/>
      <c r="D44" s="36"/>
      <c r="E44" s="36"/>
    </row>
    <row r="45" spans="1:5">
      <c r="A45" s="261" t="s">
        <v>623</v>
      </c>
      <c r="B45" s="36"/>
      <c r="C45" s="36"/>
      <c r="D45" s="36"/>
      <c r="E45" s="36"/>
    </row>
    <row r="46" spans="1:5">
      <c r="A46" s="247" t="s">
        <v>647</v>
      </c>
      <c r="B46" s="36">
        <f>Trend!O69</f>
        <v>0.28012773136083513</v>
      </c>
      <c r="C46" s="36">
        <f>Trend!N69</f>
        <v>0.16754901145110745</v>
      </c>
      <c r="D46" s="36">
        <f>Trend!M69</f>
        <v>0.21134841184105835</v>
      </c>
      <c r="E46" s="36">
        <f>Trend!K69</f>
        <v>0.2423806458940673</v>
      </c>
    </row>
    <row r="47" spans="1:5">
      <c r="A47" s="247" t="s">
        <v>46</v>
      </c>
      <c r="B47" s="190">
        <f>Trend!O70</f>
        <v>15.671637555800382</v>
      </c>
      <c r="C47" s="190">
        <f>Trend!N70</f>
        <v>11.377312955713341</v>
      </c>
      <c r="D47" s="190">
        <f>Trend!M70</f>
        <v>15.510395890047079</v>
      </c>
      <c r="E47" s="190">
        <f>Trend!K70</f>
        <v>28.356491121796086</v>
      </c>
    </row>
    <row r="48" spans="1:5">
      <c r="A48" s="247" t="s">
        <v>624</v>
      </c>
      <c r="B48" s="38">
        <f>Trend!O71</f>
        <v>38.837740517256385</v>
      </c>
      <c r="C48" s="38">
        <f>Trend!N71</f>
        <v>53.197117759986632</v>
      </c>
      <c r="D48" s="38">
        <f>Trend!M71</f>
        <v>40.474223339175126</v>
      </c>
      <c r="E48" s="38">
        <f>Trend!K71</f>
        <v>12.871832358674464</v>
      </c>
    </row>
    <row r="49" spans="1:5">
      <c r="A49" s="247" t="s">
        <v>473</v>
      </c>
      <c r="B49" s="190">
        <f>Trend!O72</f>
        <v>145.19203175031996</v>
      </c>
      <c r="C49" s="190">
        <f>Trend!N72</f>
        <v>97.934578494286171</v>
      </c>
      <c r="D49" s="190">
        <f>Trend!M72</f>
        <v>101.11647859976667</v>
      </c>
      <c r="E49" s="190">
        <f>Trend!K72</f>
        <v>104.67856737212736</v>
      </c>
    </row>
    <row r="50" spans="1:5">
      <c r="A50" s="247" t="s">
        <v>47</v>
      </c>
      <c r="B50" s="38">
        <f>Trend!O73</f>
        <v>3.0253580845396626</v>
      </c>
      <c r="C50" s="38">
        <f>Trend!N73</f>
        <v>3.7555718962276989</v>
      </c>
      <c r="D50" s="38">
        <f>Trend!M73</f>
        <v>3.624996275280536</v>
      </c>
      <c r="E50" s="38">
        <f>Trend!K73</f>
        <v>3.486864686468647</v>
      </c>
    </row>
    <row r="51" spans="1:5">
      <c r="A51" s="247" t="s">
        <v>667</v>
      </c>
      <c r="B51" s="36">
        <f>Trend!O74</f>
        <v>0.1418582203140239</v>
      </c>
      <c r="C51" s="36">
        <f>Trend!N74</f>
        <v>0.13749055288479262</v>
      </c>
      <c r="D51" s="36">
        <f>Trend!M74</f>
        <v>0.13247068865725678</v>
      </c>
      <c r="E51" s="36">
        <f>Trend!K74</f>
        <v>0.14398857166866244</v>
      </c>
    </row>
    <row r="52" spans="1:5">
      <c r="A52" s="247" t="s">
        <v>629</v>
      </c>
      <c r="B52" s="36">
        <f>Trend!O96</f>
        <v>7.3802934225772332E-2</v>
      </c>
      <c r="C52" s="36">
        <f>Trend!N96</f>
        <v>0.10293987421630713</v>
      </c>
      <c r="D52" s="36">
        <f>Trend!M96</f>
        <v>0.11184056362552454</v>
      </c>
      <c r="E52" s="36">
        <f>Trend!K96</f>
        <v>0.11690930862797</v>
      </c>
    </row>
    <row r="53" spans="1:5">
      <c r="A53" s="247" t="s">
        <v>630</v>
      </c>
      <c r="B53" s="38">
        <f>Trend!O97</f>
        <v>0.80478976358440302</v>
      </c>
      <c r="C53" s="38">
        <f>Trend!N97</f>
        <v>1.0720907759597145</v>
      </c>
      <c r="D53" s="38">
        <f>Trend!M97</f>
        <v>1.1235285207314059</v>
      </c>
      <c r="E53" s="38">
        <f>Trend!K97</f>
        <v>1.1097666015419845</v>
      </c>
    </row>
    <row r="54" spans="1:5">
      <c r="A54" s="247" t="s">
        <v>288</v>
      </c>
      <c r="B54" s="38">
        <f>Trend!O98</f>
        <v>1.3049572156041986</v>
      </c>
      <c r="C54" s="38">
        <f>Trend!N98</f>
        <v>1.7717486891680199</v>
      </c>
      <c r="D54" s="38">
        <f>Trend!M98</f>
        <v>1.9475549388020539</v>
      </c>
      <c r="E54" s="38">
        <f>Trend!K98</f>
        <v>2.0803371007758042</v>
      </c>
    </row>
    <row r="55" spans="1:5">
      <c r="A55" s="247" t="s">
        <v>395</v>
      </c>
      <c r="B55" s="38">
        <f>Trend!O99</f>
        <v>2.5101103698714051</v>
      </c>
      <c r="C55" s="38">
        <f>Trend!N99</f>
        <v>1.436893390126404</v>
      </c>
      <c r="D55" s="38">
        <f>Trend!M99</f>
        <v>1.1924479834983217</v>
      </c>
      <c r="E55" s="38">
        <f>Trend!K99</f>
        <v>1.2316262353998204</v>
      </c>
    </row>
    <row r="56" spans="1:5">
      <c r="A56" s="247" t="s">
        <v>625</v>
      </c>
      <c r="B56" s="36">
        <f>Trend!O100</f>
        <v>0.19531213921356258</v>
      </c>
      <c r="C56" s="36">
        <f>Trend!N100</f>
        <v>0.13033639813777292</v>
      </c>
      <c r="D56" s="36">
        <f>Trend!M100</f>
        <v>0.11753971175087714</v>
      </c>
      <c r="E56" s="36">
        <f>Trend!K100</f>
        <v>0.12974671563245374</v>
      </c>
    </row>
    <row r="57" spans="1:5">
      <c r="A57" s="247" t="s">
        <v>626</v>
      </c>
      <c r="B57" s="275">
        <f>Trend!O101</f>
        <v>0.59021890090439677</v>
      </c>
      <c r="C57" s="275">
        <f>Trend!N101</f>
        <v>0.38771681879315867</v>
      </c>
      <c r="D57" s="275">
        <f>Trend!M101</f>
        <v>0.3431613674535729</v>
      </c>
      <c r="E57" s="275">
        <f>Trend!K101</f>
        <v>0.50566037735849101</v>
      </c>
    </row>
    <row r="58" spans="1:5">
      <c r="A58" s="247" t="s">
        <v>627</v>
      </c>
      <c r="B58" s="36">
        <f>Trend!O102</f>
        <v>0.11924487000744857</v>
      </c>
      <c r="C58" s="36">
        <f>Trend!N102</f>
        <v>0.13832511811816606</v>
      </c>
      <c r="D58" s="36">
        <f>Trend!M102</f>
        <v>0.11963972779515446</v>
      </c>
      <c r="E58" s="36">
        <f>Trend!K102</f>
        <v>0</v>
      </c>
    </row>
    <row r="59" spans="1:5">
      <c r="A59" s="247" t="s">
        <v>477</v>
      </c>
      <c r="B59" s="38">
        <f>Trend!O103</f>
        <v>1.6141512876981263</v>
      </c>
      <c r="C59" s="38">
        <f>Trend!N103</f>
        <v>1.0491765713332453</v>
      </c>
      <c r="D59" s="38">
        <f>Trend!M103</f>
        <v>0.84928661604474887</v>
      </c>
      <c r="E59" s="38">
        <f>Trend!K103</f>
        <v>0.72596585804132951</v>
      </c>
    </row>
    <row r="60" spans="1:5">
      <c r="A60" s="247" t="s">
        <v>398</v>
      </c>
      <c r="B60" s="38">
        <f>Trend!O104</f>
        <v>0.57006657212485756</v>
      </c>
      <c r="C60" s="38">
        <f>Trend!N104</f>
        <v>0.65066603405635504</v>
      </c>
      <c r="D60" s="38">
        <f>Trend!M104</f>
        <v>0.71475723631379262</v>
      </c>
      <c r="E60" s="38">
        <f>Trend!K104</f>
        <v>0.58943682521155505</v>
      </c>
    </row>
    <row r="61" spans="1:5">
      <c r="A61" s="247" t="s">
        <v>628</v>
      </c>
      <c r="B61" s="36">
        <f>Trend!O105</f>
        <v>0.11373740844179978</v>
      </c>
      <c r="C61" s="36">
        <f>Trend!N105</f>
        <v>9.271613850876835E-2</v>
      </c>
      <c r="D61" s="36">
        <f>Trend!M105</f>
        <v>8.3205386084541089E-2</v>
      </c>
      <c r="E61" s="36">
        <f>Trend!K105</f>
        <v>7.6477492144019957E-2</v>
      </c>
    </row>
    <row r="62" spans="1:5">
      <c r="A62" s="269" t="s">
        <v>250</v>
      </c>
      <c r="B62" s="36">
        <f>Trend!O106</f>
        <v>8.96193452705316E-2</v>
      </c>
      <c r="C62" s="36">
        <f>Trend!N106</f>
        <v>9.5587098915775784E-2</v>
      </c>
      <c r="D62" s="36">
        <f>Trend!M106</f>
        <v>9.969540186895394E-2</v>
      </c>
      <c r="E62" s="36">
        <f>Trend!K106</f>
        <v>0.10534585242115625</v>
      </c>
    </row>
    <row r="63" spans="1:5">
      <c r="A63" s="269" t="s">
        <v>252</v>
      </c>
      <c r="B63" s="38">
        <f>Trend!O107</f>
        <v>0.80478976358440302</v>
      </c>
      <c r="C63" s="38">
        <f>Trend!N107</f>
        <v>1.0720907759597145</v>
      </c>
      <c r="D63" s="38">
        <f>Trend!M107</f>
        <v>1.1235285207314059</v>
      </c>
      <c r="E63" s="38">
        <f>Trend!K107</f>
        <v>1.1097666015419845</v>
      </c>
    </row>
    <row r="64" spans="1:5">
      <c r="A64" s="269" t="s">
        <v>254</v>
      </c>
      <c r="B64" s="38">
        <f>Trend!O108</f>
        <v>2.4155810093112611</v>
      </c>
      <c r="C64" s="38">
        <f>Trend!N108</f>
        <v>1.5393173403135127</v>
      </c>
      <c r="D64" s="38">
        <f>Trend!M108</f>
        <v>1.3433069019260431</v>
      </c>
      <c r="E64" s="38">
        <f>Trend!K108</f>
        <v>1.2707493526255371</v>
      </c>
    </row>
    <row r="65" spans="1:5">
      <c r="A65" s="247" t="s">
        <v>60</v>
      </c>
      <c r="B65" s="36">
        <f>Trend!O109</f>
        <v>0.14735826063145746</v>
      </c>
      <c r="C65" s="36">
        <f>Trend!N109</f>
        <v>0.15538785866578508</v>
      </c>
      <c r="D65" s="36">
        <f>Trend!M109</f>
        <v>0.15039123938944773</v>
      </c>
      <c r="E65" s="36">
        <f>Trend!K109</f>
        <v>0.14856242825489202</v>
      </c>
    </row>
    <row r="66" spans="1:5">
      <c r="A66" s="247" t="s">
        <v>631</v>
      </c>
      <c r="B66" s="36">
        <f>Trend!O110</f>
        <v>0.15661427020555047</v>
      </c>
      <c r="C66" s="36">
        <f>Trend!N110</f>
        <v>0.19401155437921441</v>
      </c>
      <c r="D66" s="36">
        <f>Trend!M110</f>
        <v>0.192532894320217</v>
      </c>
      <c r="E66" s="36">
        <f>Trend!K110</f>
        <v>0.19987960636515911</v>
      </c>
    </row>
    <row r="67" spans="1:5">
      <c r="A67" s="269" t="s">
        <v>659</v>
      </c>
      <c r="B67" s="38">
        <f>Trend!O111</f>
        <v>1.0027245804808507</v>
      </c>
      <c r="C67" s="38">
        <f>Trend!N111</f>
        <v>1.3440432493699042</v>
      </c>
      <c r="D67" s="38">
        <f>Trend!M111</f>
        <v>1.3767478076967736</v>
      </c>
      <c r="E67" s="38">
        <f>Trend!K111</f>
        <v>1.3825900335008374</v>
      </c>
    </row>
    <row r="68" spans="1:5">
      <c r="A68" s="269" t="s">
        <v>660</v>
      </c>
      <c r="B68" s="36">
        <f>Trend!O112</f>
        <v>9.1919801558601411E-2</v>
      </c>
      <c r="C68" s="36">
        <f>Trend!N112</f>
        <v>0.12878212991226884</v>
      </c>
      <c r="D68" s="36">
        <f>Trend!M112</f>
        <v>0.13721350511845551</v>
      </c>
      <c r="E68" s="36">
        <f>Trend!K112</f>
        <v>0.1456501256281407</v>
      </c>
    </row>
    <row r="69" spans="1:5">
      <c r="A69" s="269" t="s">
        <v>661</v>
      </c>
      <c r="B69" s="36">
        <f>Trend!O113</f>
        <v>0.1769705145355327</v>
      </c>
      <c r="C69" s="36">
        <f>Trend!N113</f>
        <v>0.17389769638360636</v>
      </c>
      <c r="D69" s="36">
        <f>Trend!M113</f>
        <v>0.16207886940237903</v>
      </c>
      <c r="E69" s="36">
        <f>Trend!K113</f>
        <v>0.17938651591289781</v>
      </c>
    </row>
    <row r="70" spans="1:5">
      <c r="A70" s="269" t="s">
        <v>662</v>
      </c>
      <c r="B70" s="36">
        <f>Trend!O114</f>
        <v>0.11579020378196232</v>
      </c>
      <c r="C70" s="36">
        <f>Trend!N114</f>
        <v>0.12320211241134553</v>
      </c>
      <c r="D70" s="36">
        <f>Trend!M114</f>
        <v>0.11470218159848762</v>
      </c>
      <c r="E70" s="36">
        <f>Trend!K114</f>
        <v>0.10573701842546059</v>
      </c>
    </row>
    <row r="71" spans="1:5">
      <c r="A71" s="269" t="s">
        <v>663</v>
      </c>
      <c r="B71" s="38">
        <f>Trend!O115</f>
        <v>-9.5795402422244749</v>
      </c>
      <c r="C71" s="38">
        <f>Trend!N115</f>
        <v>-16.131180173202385</v>
      </c>
      <c r="D71" s="38">
        <f>Trend!M115</f>
        <v>-22.287603035721546</v>
      </c>
      <c r="E71" s="38">
        <f>Trend!K115</f>
        <v>-44.666666666667105</v>
      </c>
    </row>
    <row r="72" spans="1:5">
      <c r="A72" s="269" t="s">
        <v>664</v>
      </c>
      <c r="B72" s="36">
        <f>Trend!O116</f>
        <v>-0.93643173077619402</v>
      </c>
      <c r="C72" s="36">
        <f>Trend!N116</f>
        <v>-1.7550116388169816</v>
      </c>
      <c r="D72" s="36">
        <f>Trend!M116</f>
        <v>-2.4626705515715823</v>
      </c>
      <c r="E72" s="36">
        <f>Trend!K116</f>
        <v>-5.0851318944844621</v>
      </c>
    </row>
    <row r="73" spans="1:5">
      <c r="A73" s="269" t="s">
        <v>665</v>
      </c>
      <c r="B73" s="36">
        <f>Trend!O117</f>
        <v>-0.74906286818564105</v>
      </c>
      <c r="C73" s="36">
        <f>Trend!N117</f>
        <v>-0.94556125058992291</v>
      </c>
      <c r="D73" s="36">
        <f>Trend!M117</f>
        <v>-1.4001883210011694</v>
      </c>
      <c r="E73" s="36">
        <f>Trend!K117</f>
        <v>-3.3645083932854059</v>
      </c>
    </row>
    <row r="74" spans="1:5">
      <c r="A74" s="269" t="s">
        <v>666</v>
      </c>
      <c r="B74" s="36">
        <f>Trend!O118</f>
        <v>-1.7742023687727813</v>
      </c>
      <c r="C74" s="36">
        <f>Trend!N118</f>
        <v>-1.7706074515753447</v>
      </c>
      <c r="D74" s="36">
        <f>Trend!M118</f>
        <v>-2.519961017243403</v>
      </c>
      <c r="E74" s="36">
        <f>Trend!K118</f>
        <v>-4.8441247002398535</v>
      </c>
    </row>
    <row r="75" spans="1:5">
      <c r="A75" s="273" t="s">
        <v>668</v>
      </c>
      <c r="B75" s="36">
        <f>Trend!O120</f>
        <v>0.2036730560071264</v>
      </c>
      <c r="C75" s="36">
        <f>Trend!N120</f>
        <v>0.17061882566725872</v>
      </c>
      <c r="D75" s="36">
        <f>Trend!M120</f>
        <v>9.8287890472619432E-2</v>
      </c>
      <c r="E75" s="36">
        <f>Trend!K120</f>
        <v>8.8484247537678432E-2</v>
      </c>
    </row>
    <row r="76" spans="1:5">
      <c r="A76" s="247" t="s">
        <v>144</v>
      </c>
      <c r="B76" s="36">
        <f>Trend!O121</f>
        <v>2.5627077001612562E-2</v>
      </c>
      <c r="C76" s="36">
        <f>Trend!N121</f>
        <v>2.4829740667707774E-2</v>
      </c>
      <c r="D76" s="36">
        <f>Trend!M121</f>
        <v>1.1290720345255594E-2</v>
      </c>
      <c r="E76" s="36">
        <f>Trend!K121</f>
        <v>0</v>
      </c>
    </row>
    <row r="77" spans="1:5">
      <c r="A77" s="247" t="s">
        <v>17</v>
      </c>
      <c r="B77" s="36">
        <f>Trend!O122</f>
        <v>0.11924487000744857</v>
      </c>
      <c r="C77" s="36">
        <f>Trend!N122</f>
        <v>0.13832511811816606</v>
      </c>
      <c r="D77" s="36">
        <f>Trend!M122</f>
        <v>0.11963972779515446</v>
      </c>
      <c r="E77" s="36">
        <f>Trend!K122</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120"/>
  <sheetViews>
    <sheetView topLeftCell="A91" workbookViewId="0">
      <selection activeCell="A2" sqref="A2:A120"/>
    </sheetView>
  </sheetViews>
  <sheetFormatPr defaultRowHeight="15"/>
  <cols>
    <col min="1" max="1" width="38.5703125" customWidth="1"/>
  </cols>
  <sheetData>
    <row r="1" spans="1:2">
      <c r="A1" s="33" t="s">
        <v>672</v>
      </c>
      <c r="B1" s="33" t="s">
        <v>791</v>
      </c>
    </row>
    <row r="2" spans="1:2">
      <c r="A2" t="s">
        <v>673</v>
      </c>
      <c r="B2" s="36">
        <f>Trend!R17</f>
        <v>0.16494640256207393</v>
      </c>
    </row>
    <row r="3" spans="1:2">
      <c r="A3" t="s">
        <v>674</v>
      </c>
      <c r="B3" s="36">
        <f>Trend!Q17</f>
        <v>7.9199642057169894E-2</v>
      </c>
    </row>
    <row r="4" spans="1:2">
      <c r="A4" t="s">
        <v>675</v>
      </c>
      <c r="B4" s="36">
        <f>Trend!P17</f>
        <v>5.2603594798253495E-2</v>
      </c>
    </row>
    <row r="5" spans="1:2">
      <c r="A5" t="s">
        <v>676</v>
      </c>
      <c r="B5" s="36">
        <f>Trend!R18</f>
        <v>0.19659490121185907</v>
      </c>
    </row>
    <row r="6" spans="1:2">
      <c r="A6" t="s">
        <v>677</v>
      </c>
      <c r="B6" s="36">
        <f>Trend!Q18</f>
        <v>0.23554256476177748</v>
      </c>
    </row>
    <row r="7" spans="1:2">
      <c r="A7" t="s">
        <v>678</v>
      </c>
      <c r="B7" s="36">
        <f>Trend!P18</f>
        <v>7.5175950084164223E-2</v>
      </c>
    </row>
    <row r="8" spans="1:2">
      <c r="A8" t="s">
        <v>679</v>
      </c>
      <c r="B8" s="36">
        <f>Trend!O19</f>
        <v>3.2394226816680124E-2</v>
      </c>
    </row>
    <row r="9" spans="1:2">
      <c r="A9" t="s">
        <v>680</v>
      </c>
      <c r="B9" s="36">
        <f>Trend!N19</f>
        <v>1.6373125334000385E-2</v>
      </c>
    </row>
    <row r="10" spans="1:2">
      <c r="A10" t="s">
        <v>681</v>
      </c>
      <c r="B10" s="36">
        <f>Trend!M19</f>
        <v>4.3276559520117198E-2</v>
      </c>
    </row>
    <row r="11" spans="1:2">
      <c r="A11" t="s">
        <v>682</v>
      </c>
      <c r="B11" s="36">
        <f>Trend!O20</f>
        <v>0.36402493795959384</v>
      </c>
    </row>
    <row r="12" spans="1:2">
      <c r="A12" t="s">
        <v>683</v>
      </c>
      <c r="B12" s="36">
        <f>Trend!N20</f>
        <v>0.25715471466418038</v>
      </c>
    </row>
    <row r="13" spans="1:2">
      <c r="A13" t="s">
        <v>684</v>
      </c>
      <c r="B13" s="36">
        <f>Trend!M20</f>
        <v>0.27729201449151036</v>
      </c>
    </row>
    <row r="14" spans="1:2">
      <c r="A14" t="s">
        <v>685</v>
      </c>
      <c r="B14" s="36">
        <f>Trend!O34</f>
        <v>0.41891737588112588</v>
      </c>
    </row>
    <row r="15" spans="1:2">
      <c r="A15" t="s">
        <v>686</v>
      </c>
      <c r="B15" s="36">
        <f>Trend!N34</f>
        <v>0.39948151769775653</v>
      </c>
    </row>
    <row r="16" spans="1:2">
      <c r="A16" t="s">
        <v>687</v>
      </c>
      <c r="B16" s="36">
        <f>Trend!M34</f>
        <v>0.3821706909863597</v>
      </c>
    </row>
    <row r="17" spans="1:2">
      <c r="A17" t="s">
        <v>688</v>
      </c>
      <c r="B17" s="36">
        <f>Trend!O35</f>
        <v>0.16519114534963386</v>
      </c>
    </row>
    <row r="18" spans="1:2">
      <c r="A18" t="s">
        <v>689</v>
      </c>
      <c r="B18" s="36">
        <f>Trend!N35</f>
        <v>0.14538539380777496</v>
      </c>
    </row>
    <row r="19" spans="1:2">
      <c r="A19" t="s">
        <v>690</v>
      </c>
      <c r="B19" s="36">
        <f>Trend!M35</f>
        <v>0.13999221312286769</v>
      </c>
    </row>
    <row r="20" spans="1:2">
      <c r="A20" t="s">
        <v>691</v>
      </c>
      <c r="B20" s="36">
        <f>Trend!O36</f>
        <v>9.0514288324223938E-2</v>
      </c>
    </row>
    <row r="21" spans="1:2">
      <c r="A21" t="s">
        <v>692</v>
      </c>
      <c r="B21" s="36">
        <f>Trend!N36</f>
        <v>8.7653071666534021E-2</v>
      </c>
    </row>
    <row r="22" spans="1:2">
      <c r="A22" t="s">
        <v>693</v>
      </c>
      <c r="B22" s="36">
        <f>Trend!M36</f>
        <v>9.9837003504094718E-2</v>
      </c>
    </row>
    <row r="23" spans="1:2">
      <c r="A23" t="s">
        <v>694</v>
      </c>
      <c r="B23" s="36">
        <f>Trend!O37</f>
        <v>0.23764185420273132</v>
      </c>
    </row>
    <row r="24" spans="1:2">
      <c r="A24" t="s">
        <v>695</v>
      </c>
      <c r="B24" s="36">
        <f>Trend!N37</f>
        <v>0.21432939258051364</v>
      </c>
    </row>
    <row r="25" spans="1:2">
      <c r="A25" t="s">
        <v>696</v>
      </c>
      <c r="B25" s="36">
        <f>Trend!M37</f>
        <v>0.22283865002311601</v>
      </c>
    </row>
    <row r="26" spans="1:2">
      <c r="A26" t="s">
        <v>697</v>
      </c>
      <c r="B26" s="36">
        <f>Trend!O41</f>
        <v>0.96262256522363077</v>
      </c>
    </row>
    <row r="27" spans="1:2">
      <c r="A27" t="s">
        <v>698</v>
      </c>
      <c r="B27" s="36">
        <f>Trend!N41</f>
        <v>0.59170714519364076</v>
      </c>
    </row>
    <row r="28" spans="1:2">
      <c r="A28" t="s">
        <v>699</v>
      </c>
      <c r="B28" s="36">
        <f>Trend!M41</f>
        <v>0.52923270180101922</v>
      </c>
    </row>
    <row r="29" spans="1:2">
      <c r="A29" t="s">
        <v>700</v>
      </c>
      <c r="B29" s="36">
        <f>Trend!O42</f>
        <v>0.93842537953141691</v>
      </c>
    </row>
    <row r="30" spans="1:2">
      <c r="A30" t="s">
        <v>701</v>
      </c>
      <c r="B30" s="36">
        <f>Trend!N42</f>
        <v>0.57654501224100774</v>
      </c>
    </row>
    <row r="31" spans="1:2">
      <c r="A31" t="s">
        <v>702</v>
      </c>
      <c r="B31" s="36">
        <f>Trend!M42</f>
        <v>0.51484934564602303</v>
      </c>
    </row>
    <row r="32" spans="1:2">
      <c r="A32" t="s">
        <v>703</v>
      </c>
      <c r="B32" s="36">
        <f>Trend!O45</f>
        <v>7.441726236560231E-2</v>
      </c>
    </row>
    <row r="33" spans="1:2">
      <c r="A33" t="s">
        <v>704</v>
      </c>
      <c r="B33" s="36">
        <f>Trend!N45</f>
        <v>6.7790337089032718E-2</v>
      </c>
    </row>
    <row r="34" spans="1:2">
      <c r="A34" t="s">
        <v>705</v>
      </c>
      <c r="B34" s="36">
        <f>Trend!M45</f>
        <v>6.8308878826175909E-2</v>
      </c>
    </row>
    <row r="35" spans="1:2">
      <c r="A35" t="s">
        <v>706</v>
      </c>
      <c r="B35" s="36">
        <f>Trend!O52</f>
        <v>8.7010056904491505E-3</v>
      </c>
    </row>
    <row r="36" spans="1:2">
      <c r="A36" t="s">
        <v>707</v>
      </c>
      <c r="B36" s="36">
        <f>Trend!N52</f>
        <v>9.4694454401947586E-4</v>
      </c>
    </row>
    <row r="37" spans="1:2">
      <c r="A37" t="s">
        <v>708</v>
      </c>
      <c r="B37" s="36">
        <f>Trend!M52</f>
        <v>1.2347050906890888E-5</v>
      </c>
    </row>
    <row r="38" spans="1:2">
      <c r="A38" t="s">
        <v>709</v>
      </c>
      <c r="B38" s="38">
        <f>Trend!O54</f>
        <v>0.96627573308305892</v>
      </c>
    </row>
    <row r="39" spans="1:2">
      <c r="A39" t="s">
        <v>710</v>
      </c>
      <c r="B39" s="38">
        <f>Trend!N54</f>
        <v>0.21955969178050797</v>
      </c>
    </row>
    <row r="40" spans="1:2">
      <c r="A40" t="s">
        <v>710</v>
      </c>
      <c r="B40" s="38">
        <f>Trend!M54</f>
        <v>9.5583419708145781E-2</v>
      </c>
    </row>
    <row r="41" spans="1:2">
      <c r="A41" t="s">
        <v>712</v>
      </c>
      <c r="B41" s="38">
        <f>Trend!O55</f>
        <v>1.9970046904422933</v>
      </c>
    </row>
    <row r="42" spans="1:2">
      <c r="A42" t="s">
        <v>713</v>
      </c>
      <c r="B42" s="38">
        <f>Trend!N55</f>
        <v>1.9677841464746719</v>
      </c>
    </row>
    <row r="43" spans="1:2">
      <c r="A43" t="s">
        <v>711</v>
      </c>
      <c r="B43" s="38">
        <f>Trend!M55</f>
        <v>2.2964283601742852</v>
      </c>
    </row>
    <row r="44" spans="1:2">
      <c r="A44" t="s">
        <v>715</v>
      </c>
      <c r="B44" s="36">
        <f>Trend!O64</f>
        <v>8.1739926737199514E-2</v>
      </c>
    </row>
    <row r="45" spans="1:2">
      <c r="A45" t="s">
        <v>716</v>
      </c>
      <c r="B45" s="36">
        <f>Trend!N64</f>
        <v>9.8257104924196897E-2</v>
      </c>
    </row>
    <row r="46" spans="1:2">
      <c r="A46" t="s">
        <v>714</v>
      </c>
      <c r="B46" s="36">
        <f>Trend!M64</f>
        <v>0.10218780652291221</v>
      </c>
    </row>
    <row r="47" spans="1:2">
      <c r="A47" t="s">
        <v>717</v>
      </c>
      <c r="B47" s="36">
        <f>Trend!O65</f>
        <v>8.9470055524611986E-2</v>
      </c>
    </row>
    <row r="48" spans="1:2">
      <c r="A48" t="s">
        <v>718</v>
      </c>
      <c r="B48" s="36">
        <f>Trend!N65</f>
        <v>0.10902386764060761</v>
      </c>
    </row>
    <row r="49" spans="1:2">
      <c r="A49" t="s">
        <v>719</v>
      </c>
      <c r="B49" s="36">
        <f>Trend!M65</f>
        <v>0.11383122866817241</v>
      </c>
    </row>
    <row r="50" spans="1:2">
      <c r="A50" t="s">
        <v>720</v>
      </c>
      <c r="B50" s="36">
        <f>Trend!O69</f>
        <v>0.28012773136083513</v>
      </c>
    </row>
    <row r="51" spans="1:2">
      <c r="A51" t="s">
        <v>721</v>
      </c>
      <c r="B51" s="36">
        <f>Trend!N69</f>
        <v>0.16754901145110745</v>
      </c>
    </row>
    <row r="52" spans="1:2">
      <c r="A52" t="s">
        <v>722</v>
      </c>
      <c r="B52" s="36">
        <f>Trend!M69</f>
        <v>0.21134841184105835</v>
      </c>
    </row>
    <row r="53" spans="1:2">
      <c r="A53" t="s">
        <v>723</v>
      </c>
      <c r="B53" s="190">
        <f>Trend!O70</f>
        <v>15.671637555800382</v>
      </c>
    </row>
    <row r="54" spans="1:2">
      <c r="A54" t="s">
        <v>724</v>
      </c>
      <c r="B54" s="190">
        <f>Trend!N70</f>
        <v>11.377312955713341</v>
      </c>
    </row>
    <row r="55" spans="1:2">
      <c r="A55" t="s">
        <v>725</v>
      </c>
      <c r="B55" s="190">
        <f>Trend!M70</f>
        <v>15.510395890047079</v>
      </c>
    </row>
    <row r="56" spans="1:2">
      <c r="A56" t="s">
        <v>726</v>
      </c>
      <c r="B56" s="38">
        <f>Trend!O71</f>
        <v>38.837740517256385</v>
      </c>
    </row>
    <row r="57" spans="1:2">
      <c r="A57" t="s">
        <v>727</v>
      </c>
      <c r="B57" s="38">
        <f>Trend!N71</f>
        <v>53.197117759986632</v>
      </c>
    </row>
    <row r="58" spans="1:2">
      <c r="A58" t="s">
        <v>728</v>
      </c>
      <c r="B58" s="38">
        <f>Trend!M71</f>
        <v>40.474223339175126</v>
      </c>
    </row>
    <row r="59" spans="1:2">
      <c r="A59" t="s">
        <v>729</v>
      </c>
      <c r="B59" s="190">
        <f>Trend!O72</f>
        <v>145.19203175031996</v>
      </c>
    </row>
    <row r="60" spans="1:2">
      <c r="A60" t="s">
        <v>730</v>
      </c>
      <c r="B60" s="190">
        <f>Trend!N72</f>
        <v>97.934578494286171</v>
      </c>
    </row>
    <row r="61" spans="1:2">
      <c r="A61" t="s">
        <v>731</v>
      </c>
      <c r="B61" s="190">
        <f>Trend!M72</f>
        <v>101.11647859976667</v>
      </c>
    </row>
    <row r="62" spans="1:2">
      <c r="A62" t="s">
        <v>732</v>
      </c>
      <c r="B62" s="38">
        <f>Trend!O73</f>
        <v>3.0253580845396626</v>
      </c>
    </row>
    <row r="63" spans="1:2">
      <c r="A63" t="s">
        <v>733</v>
      </c>
      <c r="B63" s="38">
        <f>Trend!N73</f>
        <v>3.7555718962276989</v>
      </c>
    </row>
    <row r="64" spans="1:2">
      <c r="A64" t="s">
        <v>734</v>
      </c>
      <c r="B64" s="38">
        <f>Trend!M73</f>
        <v>3.624996275280536</v>
      </c>
    </row>
    <row r="65" spans="1:2">
      <c r="A65" t="s">
        <v>735</v>
      </c>
      <c r="B65" s="36">
        <f>Trend!O74</f>
        <v>0.1418582203140239</v>
      </c>
    </row>
    <row r="66" spans="1:2">
      <c r="A66" t="s">
        <v>736</v>
      </c>
      <c r="B66" s="36">
        <f>Trend!N74</f>
        <v>0.13749055288479262</v>
      </c>
    </row>
    <row r="67" spans="1:2">
      <c r="A67" t="s">
        <v>737</v>
      </c>
      <c r="B67" s="36">
        <f>Trend!M74</f>
        <v>0.13247068865725678</v>
      </c>
    </row>
    <row r="68" spans="1:2">
      <c r="A68" t="s">
        <v>738</v>
      </c>
      <c r="B68" s="36">
        <f>Trend!O96</f>
        <v>7.3802934225772332E-2</v>
      </c>
    </row>
    <row r="69" spans="1:2">
      <c r="A69" t="s">
        <v>739</v>
      </c>
      <c r="B69" s="36">
        <f>Trend!N96</f>
        <v>0.10293987421630713</v>
      </c>
    </row>
    <row r="70" spans="1:2">
      <c r="A70" t="s">
        <v>740</v>
      </c>
      <c r="B70" s="36">
        <f>Trend!M96</f>
        <v>0.11184056362552454</v>
      </c>
    </row>
    <row r="71" spans="1:2">
      <c r="A71" t="s">
        <v>741</v>
      </c>
      <c r="B71" s="38">
        <f>Trend!O97</f>
        <v>0.80478976358440302</v>
      </c>
    </row>
    <row r="72" spans="1:2">
      <c r="A72" t="s">
        <v>742</v>
      </c>
      <c r="B72" s="38">
        <f>Trend!N97</f>
        <v>1.0720907759597145</v>
      </c>
    </row>
    <row r="73" spans="1:2">
      <c r="A73" t="s">
        <v>743</v>
      </c>
      <c r="B73" s="38">
        <f>Trend!M97</f>
        <v>1.1235285207314059</v>
      </c>
    </row>
    <row r="74" spans="1:2">
      <c r="A74" t="s">
        <v>744</v>
      </c>
      <c r="B74" s="38">
        <f>Trend!O99</f>
        <v>2.5101103698714051</v>
      </c>
    </row>
    <row r="75" spans="1:2">
      <c r="A75" t="s">
        <v>745</v>
      </c>
      <c r="B75" s="38">
        <f>Trend!N99</f>
        <v>1.436893390126404</v>
      </c>
    </row>
    <row r="76" spans="1:2">
      <c r="A76" t="s">
        <v>746</v>
      </c>
      <c r="B76" s="38">
        <f>Trend!M99</f>
        <v>1.1924479834983217</v>
      </c>
    </row>
    <row r="77" spans="1:2">
      <c r="A77" t="s">
        <v>747</v>
      </c>
      <c r="B77" s="36">
        <f>Trend!O100</f>
        <v>0.19531213921356258</v>
      </c>
    </row>
    <row r="78" spans="1:2">
      <c r="A78" t="s">
        <v>748</v>
      </c>
      <c r="B78" s="36">
        <f>Trend!N100</f>
        <v>0.13033639813777292</v>
      </c>
    </row>
    <row r="79" spans="1:2">
      <c r="A79" t="s">
        <v>749</v>
      </c>
      <c r="B79" s="36">
        <f>Trend!M100</f>
        <v>0.11753971175087714</v>
      </c>
    </row>
    <row r="80" spans="1:2">
      <c r="A80" t="s">
        <v>750</v>
      </c>
      <c r="B80" s="38">
        <f>Trend!O103</f>
        <v>1.6141512876981263</v>
      </c>
    </row>
    <row r="81" spans="1:2">
      <c r="A81" t="s">
        <v>751</v>
      </c>
      <c r="B81" s="38">
        <f>Trend!N103</f>
        <v>1.0491765713332453</v>
      </c>
    </row>
    <row r="82" spans="1:2">
      <c r="A82" t="s">
        <v>752</v>
      </c>
      <c r="B82" s="38">
        <f>Trend!M103</f>
        <v>0.84928661604474887</v>
      </c>
    </row>
    <row r="83" spans="1:2">
      <c r="A83" t="s">
        <v>753</v>
      </c>
      <c r="B83" s="36">
        <f>Trend!O109</f>
        <v>0.14735826063145746</v>
      </c>
    </row>
    <row r="84" spans="1:2">
      <c r="A84" t="s">
        <v>754</v>
      </c>
      <c r="B84" s="36">
        <f>Trend!N109</f>
        <v>0.15538785866578508</v>
      </c>
    </row>
    <row r="85" spans="1:2">
      <c r="A85" t="s">
        <v>755</v>
      </c>
      <c r="B85" s="36">
        <f>Trend!M109</f>
        <v>0.15039123938944773</v>
      </c>
    </row>
    <row r="86" spans="1:2">
      <c r="A86" t="s">
        <v>756</v>
      </c>
      <c r="B86" s="36">
        <f>Trend!O110</f>
        <v>0.15661427020555047</v>
      </c>
    </row>
    <row r="87" spans="1:2">
      <c r="A87" t="s">
        <v>757</v>
      </c>
      <c r="B87" s="36">
        <f>Trend!N110</f>
        <v>0.19401155437921441</v>
      </c>
    </row>
    <row r="88" spans="1:2">
      <c r="A88" t="s">
        <v>758</v>
      </c>
      <c r="B88" s="36">
        <f>Trend!M110</f>
        <v>0.192532894320217</v>
      </c>
    </row>
    <row r="89" spans="1:2">
      <c r="A89" t="s">
        <v>759</v>
      </c>
      <c r="B89" s="36">
        <f>Trend!O120</f>
        <v>0.2036730560071264</v>
      </c>
    </row>
    <row r="90" spans="1:2">
      <c r="A90" t="s">
        <v>760</v>
      </c>
      <c r="B90" s="36">
        <f>Trend!N120</f>
        <v>0.17061882566725872</v>
      </c>
    </row>
    <row r="91" spans="1:2">
      <c r="A91" t="s">
        <v>761</v>
      </c>
      <c r="B91" s="36">
        <f>Trend!M120</f>
        <v>9.8287890472619432E-2</v>
      </c>
    </row>
    <row r="92" spans="1:2">
      <c r="A92" t="s">
        <v>762</v>
      </c>
      <c r="B92" s="38">
        <f>Trend!O111</f>
        <v>1.0027245804808507</v>
      </c>
    </row>
    <row r="93" spans="1:2">
      <c r="A93" t="s">
        <v>763</v>
      </c>
      <c r="B93" s="38">
        <f>Trend!N111</f>
        <v>1.3440432493699042</v>
      </c>
    </row>
    <row r="94" spans="1:2">
      <c r="A94" t="s">
        <v>764</v>
      </c>
      <c r="B94" s="38">
        <f>Trend!M111</f>
        <v>1.3767478076967736</v>
      </c>
    </row>
    <row r="95" spans="1:2">
      <c r="A95" t="s">
        <v>765</v>
      </c>
      <c r="B95" s="36">
        <f>Trend!O112</f>
        <v>9.1919801558601411E-2</v>
      </c>
    </row>
    <row r="96" spans="1:2">
      <c r="A96" t="s">
        <v>766</v>
      </c>
      <c r="B96" s="36">
        <f>Trend!N112</f>
        <v>0.12878212991226884</v>
      </c>
    </row>
    <row r="97" spans="1:2">
      <c r="A97" t="s">
        <v>767</v>
      </c>
      <c r="B97" s="36">
        <f>Trend!M112</f>
        <v>0.13721350511845551</v>
      </c>
    </row>
    <row r="98" spans="1:2">
      <c r="A98" t="s">
        <v>768</v>
      </c>
      <c r="B98" s="36">
        <f>Trend!O113</f>
        <v>0.1769705145355327</v>
      </c>
    </row>
    <row r="99" spans="1:2">
      <c r="A99" t="s">
        <v>769</v>
      </c>
      <c r="B99" s="36">
        <f>Trend!N113</f>
        <v>0.17389769638360636</v>
      </c>
    </row>
    <row r="100" spans="1:2">
      <c r="A100" t="s">
        <v>770</v>
      </c>
      <c r="B100" s="36">
        <f>Trend!M113</f>
        <v>0.16207886940237903</v>
      </c>
    </row>
    <row r="101" spans="1:2">
      <c r="A101" t="s">
        <v>771</v>
      </c>
      <c r="B101" s="36">
        <f>Trend!O114</f>
        <v>0.11579020378196232</v>
      </c>
    </row>
    <row r="102" spans="1:2">
      <c r="A102" t="s">
        <v>772</v>
      </c>
      <c r="B102" s="36">
        <f>Trend!N114</f>
        <v>0.12320211241134553</v>
      </c>
    </row>
    <row r="103" spans="1:2">
      <c r="A103" t="s">
        <v>773</v>
      </c>
      <c r="B103" s="36">
        <f>Trend!M114</f>
        <v>0.11470218159848762</v>
      </c>
    </row>
    <row r="104" spans="1:2">
      <c r="A104" t="s">
        <v>774</v>
      </c>
      <c r="B104" s="38">
        <f>Trend!O115</f>
        <v>-9.5795402422244749</v>
      </c>
    </row>
    <row r="105" spans="1:2">
      <c r="A105" t="s">
        <v>775</v>
      </c>
      <c r="B105" s="38">
        <f>Trend!N115</f>
        <v>-16.131180173202385</v>
      </c>
    </row>
    <row r="106" spans="1:2">
      <c r="A106" t="s">
        <v>776</v>
      </c>
      <c r="B106" s="38">
        <f>Trend!M115</f>
        <v>-22.287603035721546</v>
      </c>
    </row>
    <row r="107" spans="1:2">
      <c r="A107" t="s">
        <v>777</v>
      </c>
      <c r="B107" s="36">
        <f>Trend!O116</f>
        <v>-0.93643173077619402</v>
      </c>
    </row>
    <row r="108" spans="1:2">
      <c r="A108" t="s">
        <v>778</v>
      </c>
      <c r="B108" s="36">
        <f>Trend!N116</f>
        <v>-1.7550116388169816</v>
      </c>
    </row>
    <row r="109" spans="1:2">
      <c r="A109" t="s">
        <v>779</v>
      </c>
      <c r="B109" s="36">
        <f>Trend!M116</f>
        <v>-2.4626705515715823</v>
      </c>
    </row>
    <row r="110" spans="1:2">
      <c r="A110" t="s">
        <v>780</v>
      </c>
      <c r="B110" s="36">
        <f>Trend!O117</f>
        <v>-0.74906286818564105</v>
      </c>
    </row>
    <row r="111" spans="1:2">
      <c r="A111" t="s">
        <v>781</v>
      </c>
      <c r="B111" s="36">
        <f>Trend!N117</f>
        <v>-0.94556125058992291</v>
      </c>
    </row>
    <row r="112" spans="1:2">
      <c r="A112" t="s">
        <v>782</v>
      </c>
      <c r="B112" s="36">
        <f>Trend!M117</f>
        <v>-1.4001883210011694</v>
      </c>
    </row>
    <row r="113" spans="1:2">
      <c r="A113" t="s">
        <v>783</v>
      </c>
      <c r="B113" s="36">
        <f>Trend!O118</f>
        <v>-1.7742023687727813</v>
      </c>
    </row>
    <row r="114" spans="1:2">
      <c r="A114" t="s">
        <v>784</v>
      </c>
      <c r="B114" s="36">
        <f>Trend!N118</f>
        <v>-1.7706074515753447</v>
      </c>
    </row>
    <row r="115" spans="1:2">
      <c r="A115" t="s">
        <v>785</v>
      </c>
      <c r="B115" s="36">
        <f>Trend!M118</f>
        <v>-2.519961017243403</v>
      </c>
    </row>
    <row r="116" spans="1:2">
      <c r="A116" t="s">
        <v>786</v>
      </c>
      <c r="B116" s="36">
        <f>Trend!N121</f>
        <v>2.4829740667707774E-2</v>
      </c>
    </row>
    <row r="117" spans="1:2">
      <c r="A117" t="s">
        <v>787</v>
      </c>
      <c r="B117" s="36">
        <f>Trend!M121</f>
        <v>1.1290720345255594E-2</v>
      </c>
    </row>
    <row r="118" spans="1:2">
      <c r="A118" t="s">
        <v>788</v>
      </c>
      <c r="B118" s="36">
        <f>Trend!O122</f>
        <v>0.11924487000744857</v>
      </c>
    </row>
    <row r="119" spans="1:2">
      <c r="A119" t="s">
        <v>789</v>
      </c>
      <c r="B119" s="36">
        <f>Trend!N122</f>
        <v>0.13832511811816606</v>
      </c>
    </row>
    <row r="120" spans="1:2">
      <c r="A120" t="s">
        <v>790</v>
      </c>
      <c r="B120" s="36">
        <f>Trend!M122</f>
        <v>0.11963972779515446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I108"/>
  <sheetViews>
    <sheetView topLeftCell="A16" zoomScaleNormal="100" workbookViewId="0">
      <selection activeCell="F30" sqref="F30"/>
    </sheetView>
  </sheetViews>
  <sheetFormatPr defaultColWidth="14.42578125" defaultRowHeight="12"/>
  <cols>
    <col min="1" max="1" width="17.28515625" style="44" customWidth="1"/>
    <col min="2" max="2" width="16.28515625" style="44" customWidth="1"/>
    <col min="3" max="4" width="14.42578125" style="44"/>
    <col min="5" max="5" width="12.28515625" style="44" customWidth="1"/>
    <col min="6" max="6" width="14.7109375" style="44" customWidth="1"/>
    <col min="7" max="7" width="14.42578125" style="44"/>
    <col min="8" max="8" width="11.140625" style="44" customWidth="1"/>
    <col min="9" max="9" width="10.7109375" style="44" customWidth="1"/>
    <col min="10" max="10" width="14.42578125" style="44"/>
    <col min="11" max="11" width="11.85546875" style="44" customWidth="1"/>
    <col min="12" max="12" width="14.42578125" style="44"/>
    <col min="13" max="13" width="13.28515625" style="44" customWidth="1"/>
    <col min="14" max="14" width="15.28515625" style="44" customWidth="1"/>
    <col min="15" max="16384" width="14.42578125" style="44"/>
  </cols>
  <sheetData>
    <row r="1" spans="1:35" ht="14.25" customHeight="1">
      <c r="A1" s="456" t="s">
        <v>359</v>
      </c>
      <c r="B1" s="456"/>
      <c r="C1" s="456"/>
      <c r="D1" s="456"/>
      <c r="E1" s="456"/>
      <c r="F1" s="456"/>
      <c r="G1" s="456"/>
      <c r="H1" s="456"/>
      <c r="I1" s="456"/>
      <c r="J1" s="456"/>
      <c r="K1" s="456" t="s">
        <v>360</v>
      </c>
      <c r="L1" s="456"/>
      <c r="M1" s="456"/>
      <c r="N1" s="456"/>
      <c r="O1" s="456"/>
      <c r="P1" s="456"/>
      <c r="Q1" s="456"/>
      <c r="R1" s="456"/>
      <c r="S1" s="456"/>
      <c r="T1" s="456"/>
      <c r="U1" s="456"/>
      <c r="V1" s="456"/>
      <c r="W1" s="456"/>
      <c r="X1" s="456"/>
      <c r="Y1" s="456"/>
      <c r="Z1" s="456"/>
      <c r="AA1" s="456"/>
      <c r="AB1" s="456"/>
      <c r="AC1" s="456"/>
      <c r="AD1" s="456"/>
      <c r="AE1" s="456"/>
      <c r="AF1" s="456"/>
      <c r="AG1" s="456"/>
      <c r="AH1" s="456"/>
      <c r="AI1" s="456"/>
    </row>
    <row r="2" spans="1:35" ht="15.75" customHeight="1">
      <c r="A2" s="45"/>
      <c r="B2" s="46" t="s">
        <v>137</v>
      </c>
      <c r="C2" s="46" t="s">
        <v>361</v>
      </c>
      <c r="D2" s="46" t="s">
        <v>143</v>
      </c>
      <c r="E2" s="46" t="s">
        <v>362</v>
      </c>
      <c r="F2" s="46" t="s">
        <v>363</v>
      </c>
      <c r="G2" s="46" t="s">
        <v>145</v>
      </c>
      <c r="H2" s="46" t="s">
        <v>237</v>
      </c>
      <c r="I2" s="46" t="s">
        <v>138</v>
      </c>
      <c r="J2" s="46" t="s">
        <v>364</v>
      </c>
      <c r="K2" s="46" t="s">
        <v>930</v>
      </c>
      <c r="L2" s="46" t="s">
        <v>111</v>
      </c>
      <c r="M2" s="46" t="s">
        <v>113</v>
      </c>
      <c r="N2" s="46" t="s">
        <v>115</v>
      </c>
      <c r="O2" s="46" t="s">
        <v>365</v>
      </c>
      <c r="P2" s="46" t="s">
        <v>366</v>
      </c>
      <c r="Q2" s="46" t="s">
        <v>367</v>
      </c>
      <c r="R2" s="46" t="s">
        <v>368</v>
      </c>
      <c r="S2" s="46" t="s">
        <v>369</v>
      </c>
      <c r="T2" s="46" t="s">
        <v>370</v>
      </c>
      <c r="U2" s="46" t="s">
        <v>371</v>
      </c>
      <c r="V2" s="46" t="s">
        <v>372</v>
      </c>
      <c r="W2" s="46" t="s">
        <v>373</v>
      </c>
      <c r="X2" s="46" t="s">
        <v>374</v>
      </c>
      <c r="Y2" s="46" t="s">
        <v>375</v>
      </c>
      <c r="Z2" s="46" t="s">
        <v>376</v>
      </c>
      <c r="AA2" s="46" t="s">
        <v>377</v>
      </c>
      <c r="AB2" s="46" t="s">
        <v>378</v>
      </c>
      <c r="AC2" s="46" t="s">
        <v>379</v>
      </c>
      <c r="AD2" s="46" t="s">
        <v>380</v>
      </c>
      <c r="AE2" s="46" t="s">
        <v>381</v>
      </c>
      <c r="AF2" s="46" t="s">
        <v>382</v>
      </c>
      <c r="AG2" s="46" t="s">
        <v>383</v>
      </c>
      <c r="AH2" s="46" t="s">
        <v>384</v>
      </c>
      <c r="AI2" s="46" t="s">
        <v>385</v>
      </c>
    </row>
    <row r="3" spans="1:35" ht="12.75" customHeight="1">
      <c r="A3" s="47" t="s">
        <v>386</v>
      </c>
      <c r="B3" s="48">
        <f>MIN(Other_input_data!H85:M85)</f>
        <v>3.5943957343165764</v>
      </c>
      <c r="C3" s="48">
        <f>MIN(Other_input_data!G87:L87)</f>
        <v>0.44007529206442397</v>
      </c>
      <c r="D3" s="48">
        <f>MIN(Other_input_data!G91:L91)</f>
        <v>2.3887463456260711</v>
      </c>
      <c r="E3" s="48">
        <f>MIN(Other_input_data!G90:L90)</f>
        <v>0.22135977034331347</v>
      </c>
      <c r="F3" s="49">
        <f>MIN(Other_input_data!G92:L92)</f>
        <v>0</v>
      </c>
      <c r="G3" s="50">
        <f>MIN(Other_input_data!G93:L93)</f>
        <v>208.895867925</v>
      </c>
      <c r="H3" s="49">
        <f>MIN('Financial Analysis'!F61:K61)</f>
        <v>-2.3218414205056659E-2</v>
      </c>
      <c r="I3" s="51">
        <f>MIN('Financial Analysis'!F126:K126)</f>
        <v>-0.84965083858484436</v>
      </c>
      <c r="J3" s="52">
        <f>1/B4</f>
        <v>7.1293035860630752E-2</v>
      </c>
      <c r="K3" s="52">
        <f>MIN('Financial Analysis'!F27:K27)</f>
        <v>0.78083913622765777</v>
      </c>
      <c r="L3" s="52">
        <f>MIN(F60:K60)</f>
        <v>0.19248587800219447</v>
      </c>
      <c r="M3" s="52"/>
      <c r="N3" s="52">
        <f>MIN('Financial Analysis'!F31:K31)</f>
        <v>6.1318816762530814E-2</v>
      </c>
      <c r="O3" s="52">
        <f>MIN('Financial Analysis'!F32:K32)</f>
        <v>0.19309420046932618</v>
      </c>
      <c r="P3" s="53">
        <f>MIN('Financial Analysis'!F110:K110)</f>
        <v>2.6010956175298805</v>
      </c>
      <c r="Q3" s="53">
        <f>MIN(Analysis2!F47:K47)</f>
        <v>1.9995194746255905E-2</v>
      </c>
      <c r="R3" s="53">
        <f>MIN(F54:K54)</f>
        <v>1.2067724672448792</v>
      </c>
      <c r="S3" s="54">
        <f>MIN(F49:K49)</f>
        <v>5.6336257824480242E-2</v>
      </c>
      <c r="T3" s="53">
        <f>MIN(F51:K51)</f>
        <v>77.528759244042732</v>
      </c>
      <c r="U3" s="53"/>
      <c r="V3" s="53"/>
      <c r="W3" s="53"/>
      <c r="X3" s="229">
        <f>MIN('Financial Analysis'!B34:K34)</f>
        <v>0.21240755957271981</v>
      </c>
      <c r="Y3" s="54">
        <f>MIN('Financial Analysis'!F33:K33)</f>
        <v>1.1955199463064727E-2</v>
      </c>
      <c r="Z3" s="53">
        <f>MIN('Financial Analysis'!F74:K74)</f>
        <v>0.88901063781217182</v>
      </c>
      <c r="AA3" s="54">
        <f>MIN('Financial Analysis'!F68:K68)</f>
        <v>5.4513080399945207E-2</v>
      </c>
      <c r="AB3" s="53">
        <f>MIN('Financial Analysis'!F75:K75)</f>
        <v>1.2656618415161915</v>
      </c>
      <c r="AC3" s="54">
        <f>MIN('Financial Analysis'!F72:K72)</f>
        <v>0.12190515084996682</v>
      </c>
      <c r="AD3" s="54">
        <f>MIN('Financial Analysis'!F70:K70)</f>
        <v>0.15004740153408602</v>
      </c>
      <c r="AE3" s="52"/>
      <c r="AF3" s="52"/>
      <c r="AG3" s="52"/>
      <c r="AH3" s="52"/>
      <c r="AI3" s="52"/>
    </row>
    <row r="4" spans="1:35" ht="12.75" customHeight="1">
      <c r="A4" s="47" t="s">
        <v>387</v>
      </c>
      <c r="B4" s="48">
        <f>MAX(Other_input_data!H85:M85)</f>
        <v>14.026615474123991</v>
      </c>
      <c r="C4" s="48">
        <f>MAX(Other_input_data!G87:L87)</f>
        <v>2.0838280550335031</v>
      </c>
      <c r="D4" s="48">
        <f>MAX(Other_input_data!G91:L91)</f>
        <v>7.3276052514899277</v>
      </c>
      <c r="E4" s="48">
        <f>MAX(Other_input_data!G90:L90)</f>
        <v>1.4776457637053724</v>
      </c>
      <c r="F4" s="49">
        <f>MAX(Other_input_data!G92:L92)</f>
        <v>4.783551302646117E-2</v>
      </c>
      <c r="G4" s="50">
        <f>MAX(Other_input_data!G93:L93)</f>
        <v>774.60115113500001</v>
      </c>
      <c r="H4" s="49">
        <f>MAX('Financial Analysis'!F61:K61)</f>
        <v>0.10253250971239147</v>
      </c>
      <c r="I4" s="48">
        <f>MAX('Financial Analysis'!F126:K126)</f>
        <v>1.5801916818992865</v>
      </c>
      <c r="J4" s="49">
        <f>1/B3</f>
        <v>0.27821087991306998</v>
      </c>
      <c r="K4" s="49">
        <f>MAX('Financial Analysis'!F27:K27)</f>
        <v>0.81111065956841555</v>
      </c>
      <c r="L4" s="49">
        <f>MAX(F60:K60)</f>
        <v>0.21983961386661308</v>
      </c>
      <c r="M4" s="49"/>
      <c r="N4" s="49">
        <f>MAX('Financial Analysis'!F31:K31)</f>
        <v>0.10534585242115625</v>
      </c>
      <c r="O4" s="49">
        <f>MAX('Financial Analysis'!F32:K32)</f>
        <v>0.25723172628304819</v>
      </c>
      <c r="P4" s="55">
        <f>MAX('Financial Analysis'!F110:K110)</f>
        <v>17.239277652370205</v>
      </c>
      <c r="Q4" s="55">
        <f>MAX(Analysis2!F47:K47)</f>
        <v>0.77696666496503142</v>
      </c>
      <c r="R4" s="55">
        <f>MAX(F54:K54)</f>
        <v>2.4359307359307363</v>
      </c>
      <c r="S4" s="56">
        <f>MAX(F49:K49)</f>
        <v>0.2423806458940673</v>
      </c>
      <c r="T4" s="55">
        <f>MAX(F51:K51)</f>
        <v>106.57908560114755</v>
      </c>
      <c r="U4" s="55"/>
      <c r="V4" s="55"/>
      <c r="W4" s="55"/>
      <c r="X4" s="230">
        <f>MAX('Financial Analysis'!B34:K34)</f>
        <v>0.65660594992069976</v>
      </c>
      <c r="Y4" s="56">
        <f>MAX('Financial Analysis'!F33:K33)</f>
        <v>7.7689016772044067E-2</v>
      </c>
      <c r="Z4" s="55">
        <f>MAX('Financial Analysis'!F74:K74)</f>
        <v>1.1605433193416026</v>
      </c>
      <c r="AA4" s="56">
        <f>MAX('Financial Analysis'!F68:K68)</f>
        <v>0.11690930862797</v>
      </c>
      <c r="AB4" s="55">
        <f>MAX('Financial Analysis'!F75:K75)</f>
        <v>2.2362550410944921</v>
      </c>
      <c r="AC4" s="56">
        <f>MAX('Financial Analysis'!F72:K72)</f>
        <v>0.18519658382703702</v>
      </c>
      <c r="AD4" s="56">
        <f>MAX('Financial Analysis'!F70:K70)</f>
        <v>0.20136594575085373</v>
      </c>
      <c r="AE4" s="49"/>
      <c r="AF4" s="49"/>
      <c r="AG4" s="49"/>
      <c r="AH4" s="49"/>
      <c r="AI4" s="49"/>
    </row>
    <row r="5" spans="1:35" ht="12.75" customHeight="1">
      <c r="A5" s="57" t="s">
        <v>388</v>
      </c>
      <c r="B5" s="58">
        <f>AVERAGE(Other_input_data!G85:L85)</f>
        <v>7.6886601248288367</v>
      </c>
      <c r="C5" s="58">
        <f>AVERAGE(Other_input_data!G87:L87)</f>
        <v>1.1491477903562208</v>
      </c>
      <c r="D5" s="58">
        <f>AVERAGE(Other_input_data!G91:L91)</f>
        <v>4.3980973987867484</v>
      </c>
      <c r="E5" s="58">
        <f>AVERAGE(Other_input_data!G90:L90)</f>
        <v>0.73248045285085361</v>
      </c>
      <c r="F5" s="59">
        <f>AVERAGE(Other_input_data!G92:L92)</f>
        <v>2.6370653297584395E-2</v>
      </c>
      <c r="G5" s="60"/>
      <c r="H5" s="59">
        <f>AVERAGE('Financial Analysis'!F61:K61)</f>
        <v>2.5411559311613912E-2</v>
      </c>
      <c r="I5" s="58"/>
      <c r="J5" s="59">
        <f>1/B5</f>
        <v>0.13006167313479236</v>
      </c>
      <c r="K5" s="59">
        <f>AVERAGE('Financial Analysis'!F27:K27)</f>
        <v>0.79545436948398651</v>
      </c>
      <c r="L5" s="59">
        <f>AVERAGE(F60:K60)</f>
        <v>0.20606166641067272</v>
      </c>
      <c r="M5" s="59"/>
      <c r="N5" s="59">
        <f>AVERAGE('Financial Analysis'!F31:K31)</f>
        <v>8.9875718556901629E-2</v>
      </c>
      <c r="O5" s="59">
        <f>AVERAGE('Financial Analysis'!F32:K32)</f>
        <v>0.22636569036864951</v>
      </c>
      <c r="P5" s="61">
        <f>AVERAGE('Financial Analysis'!F110:K110)</f>
        <v>8.2522296773958512</v>
      </c>
      <c r="Q5" s="61">
        <f>AVERAGE(Analysis2!F47:K47)</f>
        <v>0.31246085397792855</v>
      </c>
      <c r="R5" s="61">
        <f>AVERAGE(F54:K54)</f>
        <v>1.8767324261635938</v>
      </c>
      <c r="S5" s="62">
        <f>AVERAGE(F49:K49)</f>
        <v>0.1558526067762242</v>
      </c>
      <c r="T5" s="61">
        <f>AVERAGE(F51:K51)</f>
        <v>94.533608619245612</v>
      </c>
      <c r="U5" s="61"/>
      <c r="V5" s="61"/>
      <c r="W5" s="61"/>
      <c r="X5" s="231">
        <f>AVERAGE('Financial Analysis'!B34:K34)</f>
        <v>0.36485490149341171</v>
      </c>
      <c r="Y5" s="62">
        <f>AVERAGE('Financial Analysis'!F33:K33)</f>
        <v>3.0482071185419526E-2</v>
      </c>
      <c r="Z5" s="61">
        <f>AVERAGE('Financial Analysis'!F74:K74)</f>
        <v>1.0415774196017906</v>
      </c>
      <c r="AA5" s="62">
        <f>AVERAGE('Financial Analysis'!F68:K68)</f>
        <v>9.4868741913580149E-2</v>
      </c>
      <c r="AB5" s="61">
        <f>AVERAGE('Financial Analysis'!F75:K75)</f>
        <v>1.6554736237770094</v>
      </c>
      <c r="AC5" s="62">
        <f>AVERAGE('Financial Analysis'!F72:K72)</f>
        <v>0.14980740736314868</v>
      </c>
      <c r="AD5" s="62">
        <f>AVERAGE('Financial Analysis'!F70:K70)</f>
        <v>0.18668419557169302</v>
      </c>
      <c r="AE5" s="59"/>
      <c r="AF5" s="59"/>
      <c r="AG5" s="59"/>
      <c r="AH5" s="59"/>
      <c r="AI5" s="59"/>
    </row>
    <row r="6" spans="1:35" ht="12.75" customHeight="1">
      <c r="A6" s="63" t="s">
        <v>389</v>
      </c>
      <c r="B6" s="64">
        <f>'Data Sheet'!B8/'Profit &amp; Loss'!L13</f>
        <v>11.375906654052351</v>
      </c>
      <c r="C6" s="64">
        <f>Other_input_data!L87</f>
        <v>2.0838280550335031</v>
      </c>
      <c r="D6" s="64">
        <f>Other_input_data!M91</f>
        <v>6.0464801825403534</v>
      </c>
      <c r="E6" s="64">
        <f>Other_input_data!M90</f>
        <v>1.1830510142170769</v>
      </c>
      <c r="F6" s="65">
        <f>Other_input_data!L92</f>
        <v>0</v>
      </c>
      <c r="G6" s="66">
        <f>Trend!L16</f>
        <v>715.48</v>
      </c>
      <c r="H6" s="65">
        <f>'Financial Analysis'!L61</f>
        <v>9.9738084376988168E-2</v>
      </c>
      <c r="I6" s="64">
        <f>'Financial Analysis'!L126</f>
        <v>0.81471940438741852</v>
      </c>
      <c r="J6" s="65">
        <f>1/B6</f>
        <v>8.7905081362792112E-2</v>
      </c>
      <c r="K6" s="65">
        <f>'Financial Analysis'!L27</f>
        <v>0.8076513126609054</v>
      </c>
      <c r="L6" s="65">
        <f>L60</f>
        <v>0.20010979441941462</v>
      </c>
      <c r="M6" s="65"/>
      <c r="N6" s="65">
        <f>'Financial Analysis'!L31</f>
        <v>0.10399619566108587</v>
      </c>
      <c r="O6" s="65">
        <f>'Financial Analysis'!L32</f>
        <v>0.22643869891576313</v>
      </c>
      <c r="P6" s="67">
        <f>'Financial Analysis'!L110</f>
        <v>12.458401305057095</v>
      </c>
      <c r="Q6" s="67">
        <f>Analysis2!L47</f>
        <v>1.9995194746255905E-2</v>
      </c>
      <c r="R6" s="67">
        <f>K54</f>
        <v>2.3631427658894921</v>
      </c>
      <c r="S6" s="68">
        <f>K49</f>
        <v>0.2423806458940673</v>
      </c>
      <c r="T6" s="67">
        <f>K51</f>
        <v>104.67856737212736</v>
      </c>
      <c r="U6" s="67"/>
      <c r="V6" s="67"/>
      <c r="W6" s="67"/>
      <c r="X6" s="232">
        <f>'Financial Analysis'!K34</f>
        <v>0.28679059554007497</v>
      </c>
      <c r="Y6" s="68">
        <f>'Financial Analysis'!K33</f>
        <v>7.7689016772044067E-2</v>
      </c>
      <c r="Z6" s="67">
        <f>'Financial Analysis'!L74</f>
        <v>1.1097666015419845</v>
      </c>
      <c r="AA6" s="68">
        <f>'Financial Analysis'!K68</f>
        <v>0.11690930862797</v>
      </c>
      <c r="AB6" s="67">
        <f>'Financial Analysis'!K75</f>
        <v>1.2707493526255371</v>
      </c>
      <c r="AC6" s="68">
        <f>'Financial Analysis'!K72</f>
        <v>0.14856242825489199</v>
      </c>
      <c r="AD6" s="68">
        <f>'Financial Analysis'!K70</f>
        <v>0.19987960636515911</v>
      </c>
      <c r="AE6" s="65"/>
      <c r="AF6" s="65"/>
      <c r="AG6" s="65"/>
      <c r="AH6" s="65"/>
      <c r="AI6" s="65"/>
    </row>
    <row r="7" spans="1:35" ht="12.75" customHeight="1">
      <c r="A7" s="57" t="s">
        <v>390</v>
      </c>
      <c r="B7" s="69">
        <f>(B5-B6)/B5</f>
        <v>-0.47956945285126629</v>
      </c>
      <c r="C7" s="69">
        <f>(C5-C6)/C5</f>
        <v>-0.81336819556302986</v>
      </c>
      <c r="D7" s="69">
        <f>(D5-D6)/D5</f>
        <v>-0.3747945155121678</v>
      </c>
      <c r="E7" s="69">
        <f>(E5-E6)/E5</f>
        <v>-0.6151298094202764</v>
      </c>
      <c r="F7" s="70"/>
      <c r="G7" s="70"/>
      <c r="H7" s="70"/>
      <c r="I7" s="69">
        <f>1-I6-(B6/100)</f>
        <v>7.1521529072057971E-2</v>
      </c>
      <c r="J7" s="69">
        <f>(J6-J5)/J6</f>
        <v>-0.47956945285126618</v>
      </c>
      <c r="K7" s="71">
        <f>K5-K6</f>
        <v>-1.2196943176918884E-2</v>
      </c>
      <c r="L7" s="71">
        <f>L6-L5</f>
        <v>-5.9518719912581008E-3</v>
      </c>
      <c r="M7" s="71"/>
      <c r="N7" s="71">
        <f>N6-N5</f>
        <v>1.4120477104184237E-2</v>
      </c>
      <c r="O7" s="71">
        <f>O5-O6</f>
        <v>-7.3008547113617706E-5</v>
      </c>
      <c r="P7" s="72" t="str">
        <f>IF(P6&gt;4,"Positive","Negative")</f>
        <v>Positive</v>
      </c>
      <c r="Q7" s="72" t="str">
        <f>IF(Q6&lt;0.5,"Positive","Negative")</f>
        <v>Positive</v>
      </c>
      <c r="R7" s="72" t="str">
        <f>IF(R6&gt;1,"Positive","Negative")</f>
        <v>Positive</v>
      </c>
      <c r="S7" s="71">
        <f>S5-S6</f>
        <v>-8.6528039117843097E-2</v>
      </c>
      <c r="T7" s="73">
        <f>T5-T6</f>
        <v>-10.144958752881749</v>
      </c>
      <c r="U7" s="72"/>
      <c r="V7" s="72"/>
      <c r="W7" s="72"/>
      <c r="X7" s="74">
        <f>X5-X6</f>
        <v>7.8064305953336743E-2</v>
      </c>
      <c r="Y7" s="74">
        <f>Y5-Y6</f>
        <v>-4.7206945586624541E-2</v>
      </c>
      <c r="Z7" s="74">
        <f>Z6-Z5</f>
        <v>6.8189181940193855E-2</v>
      </c>
      <c r="AA7" s="74">
        <f>AA6-AA5</f>
        <v>2.204056671438985E-2</v>
      </c>
      <c r="AB7" s="74">
        <f>AB5-AB6</f>
        <v>0.38472427115147223</v>
      </c>
      <c r="AC7" s="74">
        <f>AC6-AC5</f>
        <v>-1.2449791082566886E-3</v>
      </c>
      <c r="AD7" s="74">
        <f>AD6-AD5</f>
        <v>1.3195410793466089E-2</v>
      </c>
      <c r="AE7" s="72"/>
      <c r="AF7" s="72"/>
      <c r="AG7" s="72"/>
      <c r="AH7" s="72"/>
      <c r="AI7" s="72"/>
    </row>
    <row r="8" spans="1:35" ht="12.75" customHeight="1">
      <c r="A8" s="57" t="s">
        <v>391</v>
      </c>
      <c r="B8" s="69">
        <f>(10-B6)/10</f>
        <v>-0.13759066540523507</v>
      </c>
      <c r="C8" s="70"/>
      <c r="D8" s="70"/>
      <c r="E8" s="70"/>
      <c r="F8" s="70"/>
      <c r="G8" s="70"/>
      <c r="H8" s="70"/>
      <c r="I8" s="69">
        <f>(1-I6)/1</f>
        <v>0.18528059561258148</v>
      </c>
      <c r="J8" s="69">
        <f>(J6-0.08)/0.08</f>
        <v>9.8813517034901377E-2</v>
      </c>
    </row>
    <row r="9" spans="1:35" ht="8.25" customHeight="1">
      <c r="A9" s="75"/>
      <c r="B9" s="75"/>
      <c r="C9" s="75"/>
      <c r="D9" s="75"/>
      <c r="E9" s="76"/>
      <c r="F9" s="77"/>
      <c r="G9" s="77"/>
      <c r="H9" s="77"/>
      <c r="I9" s="77"/>
      <c r="J9" s="77"/>
      <c r="K9" s="77"/>
      <c r="L9" s="77"/>
      <c r="M9" s="77"/>
      <c r="N9" s="77"/>
      <c r="O9" s="77"/>
    </row>
    <row r="10" spans="1:35" ht="13.5" customHeight="1">
      <c r="A10" s="78"/>
      <c r="B10" s="78" t="s">
        <v>566</v>
      </c>
      <c r="C10" s="78" t="s">
        <v>392</v>
      </c>
      <c r="D10" s="78" t="s">
        <v>393</v>
      </c>
      <c r="E10" s="78" t="s">
        <v>394</v>
      </c>
      <c r="F10" s="79" t="s">
        <v>301</v>
      </c>
      <c r="G10" s="79" t="s">
        <v>115</v>
      </c>
      <c r="H10" s="79" t="s">
        <v>395</v>
      </c>
      <c r="I10" s="79" t="s">
        <v>219</v>
      </c>
      <c r="J10" s="79" t="s">
        <v>396</v>
      </c>
      <c r="K10" s="79" t="s">
        <v>397</v>
      </c>
      <c r="L10" s="79" t="s">
        <v>302</v>
      </c>
      <c r="M10" s="79" t="s">
        <v>398</v>
      </c>
      <c r="N10" s="79" t="s">
        <v>399</v>
      </c>
      <c r="O10" s="79" t="s">
        <v>400</v>
      </c>
      <c r="P10" s="79" t="s">
        <v>401</v>
      </c>
      <c r="Q10" s="79" t="s">
        <v>402</v>
      </c>
    </row>
    <row r="11" spans="1:35" ht="13.5" customHeight="1">
      <c r="A11" s="80" t="s">
        <v>403</v>
      </c>
      <c r="B11" s="81">
        <f>AVERAGE('Financial Analysis'!D107:L107)</f>
        <v>5.882607035617414</v>
      </c>
      <c r="C11" s="81">
        <f>Other_input_data!L48-Other_input_data!C48</f>
        <v>263.37</v>
      </c>
      <c r="D11" s="81">
        <f>Other_input_data!L43-Other_input_data!C43</f>
        <v>716.29466276000005</v>
      </c>
      <c r="E11" s="82">
        <f>D11/C11</f>
        <v>2.7197276180278696</v>
      </c>
      <c r="F11" s="55">
        <f>SUM('Data Sheet'!B82:K82)</f>
        <v>641.68999999999994</v>
      </c>
      <c r="G11" s="55">
        <f>SUM('Data Sheet'!B30:K30)</f>
        <v>337.91999999999996</v>
      </c>
      <c r="H11" s="83">
        <f>F11/G11</f>
        <v>1.8989405776515151</v>
      </c>
      <c r="I11" s="55">
        <f>SUM('Financial Analysis'!C45:K45)</f>
        <v>198.10999999999999</v>
      </c>
      <c r="J11" s="67">
        <f>SUM('Data Sheet'!B31:K31)</f>
        <v>39.950000000000003</v>
      </c>
      <c r="K11" s="67">
        <f>F11-I11</f>
        <v>443.57999999999993</v>
      </c>
      <c r="L11" s="84">
        <f>F11-I11-J11</f>
        <v>403.62999999999994</v>
      </c>
      <c r="M11" s="48">
        <f>K11/F11</f>
        <v>0.69126836946188963</v>
      </c>
      <c r="N11" s="69">
        <f>'Financial Analysis'!N3</f>
        <v>0.16494640256207393</v>
      </c>
      <c r="O11" s="69">
        <f>'Financial Analysis'!N8</f>
        <v>0.20046967940981419</v>
      </c>
      <c r="P11" s="85">
        <f>'Financial Analysis'!N13</f>
        <v>0.32731719053458397</v>
      </c>
      <c r="Q11" s="85">
        <f>'Financial Analysis'!N14</f>
        <v>4.3081746958860245E-2</v>
      </c>
    </row>
    <row r="12" spans="1:35" ht="13.5" customHeight="1">
      <c r="A12" s="80" t="s">
        <v>404</v>
      </c>
      <c r="B12" s="81">
        <f>AVERAGE('Financial Analysis'!H107:L107)</f>
        <v>9.3297266503052221</v>
      </c>
      <c r="C12" s="81">
        <f>Other_input_data!L48-Other_input_data!G48</f>
        <v>178.70000000000005</v>
      </c>
      <c r="D12" s="81">
        <f>Other_input_data!L43-Other_input_data!H43</f>
        <v>663.90528320999999</v>
      </c>
      <c r="E12" s="82">
        <f>D12/C12</f>
        <v>3.7151946458310006</v>
      </c>
      <c r="F12" s="53">
        <f>SUM('Data Sheet'!G82:K82)</f>
        <v>303.70000000000005</v>
      </c>
      <c r="G12" s="53">
        <f>SUM('Data Sheet'!G30:K30)</f>
        <v>230.41000000000003</v>
      </c>
      <c r="H12" s="83">
        <f t="shared" ref="H12:H13" si="0">F12/G12</f>
        <v>1.3180851525541426</v>
      </c>
      <c r="I12" s="53">
        <f>SUM('Financial Analysis'!G45:K45)</f>
        <v>91.460000000000008</v>
      </c>
      <c r="J12" s="67">
        <f>SUM('Data Sheet'!G31:K31)</f>
        <v>29.962499999999999</v>
      </c>
      <c r="K12" s="67">
        <f t="shared" ref="K12:K14" si="1">F12-I12</f>
        <v>212.24000000000004</v>
      </c>
      <c r="L12" s="84">
        <f>F12-I12-J12</f>
        <v>182.27750000000003</v>
      </c>
      <c r="M12" s="48">
        <f>K12/F12</f>
        <v>0.69884754692130391</v>
      </c>
      <c r="N12" s="69">
        <f>'Financial Analysis'!O3</f>
        <v>7.9199642057169894E-2</v>
      </c>
      <c r="O12" s="69">
        <f>'Financial Analysis'!O8</f>
        <v>0.24355731508818734</v>
      </c>
      <c r="P12" s="85">
        <f>'Financial Analysis'!O13</f>
        <v>-3.2144861428592186E-2</v>
      </c>
      <c r="Q12" s="85">
        <f>'Financial Analysis'!O14</f>
        <v>0.13225430930650028</v>
      </c>
    </row>
    <row r="13" spans="1:35" ht="13.5" customHeight="1">
      <c r="A13" s="80" t="s">
        <v>405</v>
      </c>
      <c r="B13" s="81">
        <f>AVERAGE('Financial Analysis'!J107:L107)</f>
        <v>10.060846267839127</v>
      </c>
      <c r="C13" s="81">
        <f>Other_input_data!L48-Other_input_data!I48</f>
        <v>114.65000000000003</v>
      </c>
      <c r="D13" s="81">
        <f>Other_input_data!L43-Other_input_data!J43</f>
        <v>269.86740113500002</v>
      </c>
      <c r="E13" s="82">
        <f>D13/C13</f>
        <v>2.3538369047972085</v>
      </c>
      <c r="F13" s="55">
        <f>SUM('Data Sheet'!I82:K82)</f>
        <v>178.47000000000003</v>
      </c>
      <c r="G13" s="55">
        <f>SUM('Data Sheet'!I30:K30)</f>
        <v>151.29</v>
      </c>
      <c r="H13" s="83">
        <f t="shared" si="0"/>
        <v>1.1796549672813803</v>
      </c>
      <c r="I13" s="55">
        <f>SUM('Financial Analysis'!I45:K45)</f>
        <v>52.669999999999995</v>
      </c>
      <c r="J13" s="67">
        <f>SUM('Data Sheet'!I31:K31)</f>
        <v>17.037500000000001</v>
      </c>
      <c r="K13" s="67">
        <f t="shared" si="1"/>
        <v>125.80000000000004</v>
      </c>
      <c r="L13" s="84">
        <f>F13-I13-J13</f>
        <v>108.76250000000005</v>
      </c>
      <c r="M13" s="48">
        <f>K13/F13</f>
        <v>0.70488037205132525</v>
      </c>
      <c r="N13" s="69">
        <f>'Financial Analysis'!P3</f>
        <v>5.2603594798253495E-2</v>
      </c>
      <c r="O13" s="69">
        <f>'Financial Analysis'!P8</f>
        <v>8.9170152147324711E-2</v>
      </c>
      <c r="P13" s="85">
        <f>'Financial Analysis'!P13</f>
        <v>1.6066649164698878</v>
      </c>
      <c r="Q13" s="85">
        <f>'Financial Analysis'!P14</f>
        <v>0.2819998209431398</v>
      </c>
    </row>
    <row r="14" spans="1:35" ht="13.5" customHeight="1">
      <c r="A14" s="80" t="s">
        <v>406</v>
      </c>
      <c r="B14" s="81">
        <f>'Financial Analysis'!L107</f>
        <v>11.388694939232565</v>
      </c>
      <c r="C14" s="81">
        <f>Other_input_data!L48-Other_input_data!K48</f>
        <v>39.54000000000002</v>
      </c>
      <c r="D14" s="81">
        <f>Other_input_data!L43-Other_input_data!K43</f>
        <v>284.58427613499998</v>
      </c>
      <c r="E14" s="82">
        <f>D14/C14</f>
        <v>7.197376735837123</v>
      </c>
      <c r="F14" s="67">
        <f>'Data Sheet'!K82</f>
        <v>68.540000000000006</v>
      </c>
      <c r="G14" s="67">
        <f>'Data Sheet'!K30</f>
        <v>55.65</v>
      </c>
      <c r="H14" s="83">
        <f>F14/G14</f>
        <v>1.2316262353998204</v>
      </c>
      <c r="I14" s="67">
        <f>'Financial Analysis'!K45</f>
        <v>28.140000000000022</v>
      </c>
      <c r="J14" s="67">
        <f>'Data Sheet'!K31</f>
        <v>0</v>
      </c>
      <c r="K14" s="67">
        <f t="shared" si="1"/>
        <v>40.399999999999984</v>
      </c>
      <c r="L14" s="84">
        <f>F14-I14-J14</f>
        <v>40.399999999999984</v>
      </c>
      <c r="M14" s="48">
        <f>K14/F14</f>
        <v>0.58943682521155505</v>
      </c>
      <c r="N14" s="69">
        <f>'Financial Analysis'!K3</f>
        <v>7.339374974600725E-2</v>
      </c>
      <c r="O14" s="69">
        <f>'Financial Analysis'!K8</f>
        <v>0.28448219978902567</v>
      </c>
      <c r="P14" s="85">
        <f>'Financial Analysis'!L13</f>
        <v>1.2183783783783784</v>
      </c>
      <c r="Q14" s="85">
        <f>'Financial Analysis'!L14</f>
        <v>0.22010147378593861</v>
      </c>
    </row>
    <row r="15" spans="1:35" ht="11.25" customHeight="1">
      <c r="A15" s="457" t="s">
        <v>407</v>
      </c>
      <c r="B15" s="457"/>
      <c r="C15" s="457"/>
      <c r="D15" s="457"/>
      <c r="E15" s="76"/>
      <c r="F15" s="77"/>
      <c r="G15" s="77"/>
      <c r="H15" s="77"/>
      <c r="I15" s="77"/>
      <c r="J15" s="77"/>
      <c r="K15" s="77"/>
      <c r="L15" s="77"/>
      <c r="M15" s="77"/>
      <c r="N15" s="77"/>
      <c r="O15" s="77"/>
    </row>
    <row r="16" spans="1:35" ht="6.75" customHeight="1">
      <c r="A16" s="86"/>
      <c r="B16" s="86"/>
      <c r="C16" s="86"/>
      <c r="D16" s="86"/>
      <c r="E16" s="86"/>
      <c r="F16" s="86"/>
      <c r="G16" s="86"/>
      <c r="H16" s="86"/>
      <c r="I16" s="86"/>
      <c r="J16" s="86"/>
    </row>
    <row r="17" spans="1:20" ht="14.25" customHeight="1">
      <c r="A17" s="180" t="str">
        <f>'Data Sheet'!A1</f>
        <v>COMPANY NAME</v>
      </c>
      <c r="B17" s="87" t="s">
        <v>408</v>
      </c>
      <c r="C17" s="87" t="s">
        <v>409</v>
      </c>
      <c r="D17" s="87" t="s">
        <v>113</v>
      </c>
      <c r="E17" s="87" t="s">
        <v>115</v>
      </c>
      <c r="F17" s="87" t="s">
        <v>410</v>
      </c>
      <c r="G17" s="87" t="s">
        <v>411</v>
      </c>
      <c r="H17" s="87" t="s">
        <v>412</v>
      </c>
      <c r="I17" s="87" t="s">
        <v>413</v>
      </c>
      <c r="J17" s="87" t="s">
        <v>414</v>
      </c>
      <c r="K17" s="87" t="s">
        <v>413</v>
      </c>
      <c r="L17" s="87" t="s">
        <v>415</v>
      </c>
      <c r="M17" s="87" t="s">
        <v>301</v>
      </c>
      <c r="N17" s="87" t="s">
        <v>302</v>
      </c>
      <c r="O17" s="87" t="s">
        <v>416</v>
      </c>
      <c r="P17" s="87" t="s">
        <v>417</v>
      </c>
      <c r="Q17" s="87" t="s">
        <v>418</v>
      </c>
      <c r="S17" s="88" t="s">
        <v>419</v>
      </c>
      <c r="T17" s="88"/>
    </row>
    <row r="18" spans="1:20" ht="10.5" customHeight="1">
      <c r="A18" s="89" t="s">
        <v>420</v>
      </c>
      <c r="B18" s="69">
        <f>POWER(Other_input_data!L32/Other_input_data!C32,1/9)-1</f>
        <v>0.14535104764280815</v>
      </c>
      <c r="C18" s="69">
        <f>POWER(Other_input_data!L34/Other_input_data!C34,1/9)-1</f>
        <v>0.11538217895145597</v>
      </c>
      <c r="D18" s="69">
        <f>POWER(Other_input_data!L37/Other_input_data!C37,1/9)-1</f>
        <v>0.10126819905016449</v>
      </c>
      <c r="E18" s="69">
        <f>POWER(Other_input_data!L41/Other_input_data!C41,1/9)-1</f>
        <v>0.17294509048396112</v>
      </c>
      <c r="F18" s="90">
        <f>IFERROR(POWER(Other_input_data!L42/Other_input_data!C42,1/9)-1,0)</f>
        <v>-1</v>
      </c>
      <c r="G18" s="90">
        <f>AVERAGE(B70:K70)</f>
        <v>0.11920586561025656</v>
      </c>
      <c r="H18" s="90">
        <f>L74</f>
        <v>-4.4100560380839822</v>
      </c>
      <c r="I18" s="90">
        <f>POWER(K87/B87,1/9)-1</f>
        <v>-2.0246395934160013</v>
      </c>
      <c r="J18" s="90">
        <f>SUM(B87:K87)/SUM('Data Sheet'!B17:K17)</f>
        <v>1.8611372919044133E-2</v>
      </c>
      <c r="K18" s="90">
        <f>POWER(K87/B87,1/9)-1</f>
        <v>-2.0246395934160013</v>
      </c>
      <c r="L18" s="90">
        <f>POWER(K89/B89,1/9)-1</f>
        <v>0.3197072276393329</v>
      </c>
      <c r="M18" s="69">
        <f>(Other_input_data!L77/Other_input_data!C77)^(1/9)-1</f>
        <v>6.0257884415183982E-2</v>
      </c>
      <c r="N18" s="69">
        <f>(Other_input_data!L78/Other_input_data!C77)^(1/9)-1</f>
        <v>-2.1978029056224369E-4</v>
      </c>
      <c r="O18" s="91">
        <f>(Other_input_data!L48/Other_input_data!C48)^(1/9)-1</f>
        <v>0.14445054964692416</v>
      </c>
      <c r="P18" s="91">
        <f>(Other_input_data!L82/Other_input_data!D82)^(1/9)-1</f>
        <v>0.43146775016794403</v>
      </c>
      <c r="S18" s="92" t="s">
        <v>421</v>
      </c>
      <c r="T18" s="93">
        <v>0.1</v>
      </c>
    </row>
    <row r="19" spans="1:20" ht="10.5" customHeight="1">
      <c r="A19" s="89" t="s">
        <v>422</v>
      </c>
      <c r="B19" s="69">
        <f>POWER(Other_input_data!L32/Other_input_data!G32,1/5)-1</f>
        <v>6.2873144929614933E-2</v>
      </c>
      <c r="C19" s="69">
        <f>POWER(Other_input_data!L34/Other_input_data!G34,1/5)-1</f>
        <v>4.9071303896994767E-2</v>
      </c>
      <c r="D19" s="69">
        <f>POWER(Other_input_data!L37/Other_input_data!G37,1/5)-1</f>
        <v>7.891983867916319E-2</v>
      </c>
      <c r="E19" s="69">
        <f>POWER(Other_input_data!L41/Other_input_data!G41,1/5)-1</f>
        <v>0.18432408057035521</v>
      </c>
      <c r="F19" s="90">
        <f>IFERROR(POWER(Other_input_data!L42/Other_input_data!G42,1/5)-1,0)</f>
        <v>-1</v>
      </c>
      <c r="G19" s="90">
        <f>AVERAGE(G70:K70)</f>
        <v>0.15136745770153295</v>
      </c>
      <c r="H19" s="90">
        <f>L73</f>
        <v>0.59640924299155007</v>
      </c>
      <c r="I19" s="90">
        <f>POWER(K87/F87,1/5)-1</f>
        <v>0.39237041298026609</v>
      </c>
      <c r="J19" s="90">
        <f>SUM(G87:K87)/SUM('Data Sheet'!G17:K17)</f>
        <v>3.8330732548414438E-2</v>
      </c>
      <c r="K19" s="90">
        <f>POWER(K87/F87,1/5)-1</f>
        <v>0.39237041298026609</v>
      </c>
      <c r="L19" s="90">
        <f>POWER(K89/G89,1/5)-1</f>
        <v>0.46247147467327543</v>
      </c>
      <c r="M19" s="69">
        <f>(Other_input_data!L77/Other_input_data!G77)^(1/5)-1</f>
        <v>-0.12729977658307345</v>
      </c>
      <c r="N19" s="69">
        <f>(Other_input_data!L78/Other_input_data!G78)^(1/5)-1</f>
        <v>-0.20895575707953951</v>
      </c>
      <c r="O19" s="91">
        <f>(Other_input_data!L48/Other_input_data!G48)^(1/5)-1</f>
        <v>0.1384364244532883</v>
      </c>
      <c r="P19" s="91">
        <f>(Other_input_data!L82/Other_input_data!H82)^(1/5)-1</f>
        <v>0.45848773748037974</v>
      </c>
      <c r="S19" s="94" t="s">
        <v>423</v>
      </c>
      <c r="T19" s="48">
        <f>('Profit &amp; Loss'!K10/'Data Sheet'!K93)/T18</f>
        <v>1256.593886462882</v>
      </c>
    </row>
    <row r="20" spans="1:20" ht="10.5" customHeight="1">
      <c r="A20" s="89" t="s">
        <v>424</v>
      </c>
      <c r="B20" s="69">
        <f>POWER(Other_input_data!L32/Other_input_data!I32,1/3)-1</f>
        <v>3.4768578497668123E-2</v>
      </c>
      <c r="C20" s="69">
        <f>POWER(Other_input_data!L34/Other_input_data!I34,1/3)-1</f>
        <v>2.2652896812904721E-3</v>
      </c>
      <c r="D20" s="69">
        <f>POWER(Other_input_data!L37/Other_input_data!I37,1/3)-1</f>
        <v>1.7300865732681858E-2</v>
      </c>
      <c r="E20" s="69">
        <f>POWER(Other_input_data!L41/Other_input_data!I41,1/3)-1</f>
        <v>4.9446600652200745E-2</v>
      </c>
      <c r="F20" s="90">
        <f>IFERROR(POWER(Other_input_data!L42/Other_input_data!I42,1/3)-1,0)</f>
        <v>-1</v>
      </c>
      <c r="G20" s="90">
        <f>AVERAGE(I70:K70)</f>
        <v>0.14959671049008447</v>
      </c>
      <c r="I20" s="90">
        <f>POWER(K87/H87,1/3)-1</f>
        <v>-2.501630618226458E-2</v>
      </c>
      <c r="J20" s="90">
        <f>SUM(I87:K87)/SUM('Data Sheet'!I17:K17)</f>
        <v>3.6155433189684838E-2</v>
      </c>
      <c r="K20" s="90">
        <f>POWER(K87/H87,1/3)-1</f>
        <v>-2.501630618226458E-2</v>
      </c>
      <c r="L20" s="90">
        <f>POWER(K89/H89,1/3)-1</f>
        <v>0.65232457176922609</v>
      </c>
      <c r="M20" s="69">
        <f>(Other_input_data!L77/Other_input_data!I77)^(1/3)-1</f>
        <v>0.21919786045438294</v>
      </c>
      <c r="N20" s="69">
        <f>(Other_input_data!L78/Other_input_data!I78)^(1/3)-1</f>
        <v>0.71494270968586315</v>
      </c>
      <c r="O20" s="91">
        <f>(Other_input_data!L48/Other_input_data!I48)^(1/3)-1</f>
        <v>0.1295211175481461</v>
      </c>
      <c r="P20" s="91">
        <f>(Other_input_data!L82/Other_input_data!J82)^(1/3)-1</f>
        <v>0.15072589949843684</v>
      </c>
      <c r="S20" s="95" t="s">
        <v>425</v>
      </c>
      <c r="T20" s="49">
        <f>('Profit &amp; Loss'!K10/'Data Sheet'!K93)/'Data Sheet'!B8</f>
        <v>9.9713845934207429E-2</v>
      </c>
    </row>
    <row r="21" spans="1:20" ht="10.5" customHeight="1">
      <c r="A21" s="89" t="s">
        <v>426</v>
      </c>
      <c r="B21" s="69">
        <f>POWER(Other_input_data!L32/Other_input_data!K32,1/1)-1</f>
        <v>7.339374974600732E-2</v>
      </c>
      <c r="C21" s="69">
        <f>POWER(Other_input_data!L34/Other_input_data!K34,1/1)-1</f>
        <v>3.2230339492909321E-2</v>
      </c>
      <c r="D21" s="69">
        <f>POWER(Other_input_data!L37/Other_input_data!K37,1/1)-1</f>
        <v>0.17821323869773154</v>
      </c>
      <c r="E21" s="69">
        <f>POWER(Other_input_data!L41/Other_input_data!K41,1/1)-1</f>
        <v>0.25202520252025162</v>
      </c>
      <c r="F21" s="96">
        <f>POWER(Other_input_data!L42/Other_input_data!K42,1/1)-1</f>
        <v>-1</v>
      </c>
      <c r="G21" s="90">
        <f>K70</f>
        <v>0.15459259083312185</v>
      </c>
      <c r="I21" s="90">
        <f>POWER(K87/J87,1/1)-1</f>
        <v>0.55779583060733118</v>
      </c>
      <c r="J21" s="90">
        <f>K87/'Data Sheet'!K17</f>
        <v>3.9485740176275312E-2</v>
      </c>
      <c r="K21" s="90">
        <f>POWER(K87/J87,1/1)-1</f>
        <v>0.55779583060733118</v>
      </c>
      <c r="L21" s="90">
        <f>POWER(K89/J89,1/1)-1</f>
        <v>0.57376223617336297</v>
      </c>
      <c r="M21" s="69">
        <f>(Other_input_data!L77/Other_input_data!K77)^(1/1)-1</f>
        <v>2.3290534487906855E-2</v>
      </c>
      <c r="N21" s="69">
        <f>(Other_input_data!L78/Other_input_data!K78)^(1/1)-1</f>
        <v>-0.22157996146435543</v>
      </c>
      <c r="O21" s="91">
        <f>(Other_input_data!L48/Other_input_data!K48)^(1/1)-1</f>
        <v>0.11801223697955532</v>
      </c>
      <c r="P21" s="91">
        <f>(Other_input_data!L82/Other_input_data!K82)^(1/1)-1</f>
        <v>0.56556803715626169</v>
      </c>
    </row>
    <row r="22" spans="1:20" s="101" customFormat="1" ht="9" customHeight="1">
      <c r="A22" s="97"/>
      <c r="B22" s="98"/>
      <c r="C22" s="98"/>
      <c r="D22" s="98"/>
      <c r="E22" s="98"/>
      <c r="F22" s="99"/>
      <c r="G22" s="99"/>
      <c r="H22" s="99"/>
      <c r="I22" s="98"/>
      <c r="J22" s="98"/>
      <c r="K22" s="100"/>
      <c r="L22" s="100"/>
    </row>
    <row r="23" spans="1:20" s="101" customFormat="1" ht="26.25" customHeight="1">
      <c r="A23" s="102" t="s">
        <v>427</v>
      </c>
      <c r="B23" s="102" t="s">
        <v>428</v>
      </c>
      <c r="C23" s="102" t="s">
        <v>133</v>
      </c>
      <c r="D23" s="102" t="s">
        <v>429</v>
      </c>
      <c r="E23" s="102" t="s">
        <v>264</v>
      </c>
      <c r="F23" s="102" t="s">
        <v>430</v>
      </c>
      <c r="G23" s="102" t="s">
        <v>431</v>
      </c>
      <c r="H23" s="102" t="s">
        <v>311</v>
      </c>
      <c r="I23" s="102" t="s">
        <v>432</v>
      </c>
      <c r="J23" s="102" t="s">
        <v>433</v>
      </c>
      <c r="K23" s="102" t="s">
        <v>434</v>
      </c>
      <c r="L23" s="102" t="s">
        <v>435</v>
      </c>
    </row>
    <row r="24" spans="1:20" s="101" customFormat="1" ht="15.75" customHeight="1">
      <c r="A24" s="70">
        <f>1-'Financial Analysis'!K27</f>
        <v>0.19863324877901034</v>
      </c>
      <c r="B24" s="70">
        <f>'Financial Analysis'!K31</f>
        <v>0.10534585242115625</v>
      </c>
      <c r="C24" s="70">
        <f>'Financial Analysis'!K32</f>
        <v>0.22643869891576313</v>
      </c>
      <c r="D24" s="70">
        <f>'Financial Analysis'!K33</f>
        <v>7.7689016772044067E-2</v>
      </c>
      <c r="E24" s="70">
        <f>'Financial Analysis'!K34</f>
        <v>0.28679059554007497</v>
      </c>
      <c r="F24" s="103">
        <f>Analysis2!K48</f>
        <v>17.237020316027078</v>
      </c>
      <c r="G24" s="103">
        <f>K47</f>
        <v>1.9995194746255905E-2</v>
      </c>
      <c r="H24" s="103">
        <f>K54</f>
        <v>2.3631427658894921</v>
      </c>
      <c r="I24" s="104">
        <f>F13/3</f>
        <v>59.490000000000009</v>
      </c>
      <c r="J24" s="105">
        <f>F12/G12</f>
        <v>1.3180851525541426</v>
      </c>
      <c r="K24" s="106">
        <f>IF(F12&lt;0,-M12,M12)</f>
        <v>0.69884754692130391</v>
      </c>
      <c r="L24" s="107">
        <v>0.1847</v>
      </c>
    </row>
    <row r="25" spans="1:20" s="101" customFormat="1" ht="4.5" customHeight="1">
      <c r="A25" s="98"/>
      <c r="B25" s="98"/>
      <c r="C25" s="98"/>
      <c r="D25" s="98"/>
      <c r="E25" s="98"/>
      <c r="F25" s="108"/>
      <c r="G25" s="108"/>
      <c r="H25" s="108"/>
      <c r="I25" s="109"/>
      <c r="J25" s="110"/>
      <c r="K25" s="111"/>
      <c r="L25" s="100"/>
    </row>
    <row r="26" spans="1:20" s="101" customFormat="1" ht="21.75" customHeight="1">
      <c r="A26" s="102" t="s">
        <v>436</v>
      </c>
      <c r="B26" s="102" t="s">
        <v>437</v>
      </c>
      <c r="C26" s="102" t="s">
        <v>438</v>
      </c>
      <c r="D26" s="102" t="s">
        <v>439</v>
      </c>
      <c r="E26" s="102" t="s">
        <v>440</v>
      </c>
      <c r="F26" s="102" t="s">
        <v>441</v>
      </c>
      <c r="G26" s="102" t="s">
        <v>442</v>
      </c>
      <c r="H26" s="102" t="s">
        <v>443</v>
      </c>
      <c r="I26" s="102" t="s">
        <v>444</v>
      </c>
      <c r="J26" s="102" t="s">
        <v>445</v>
      </c>
      <c r="K26" s="102" t="s">
        <v>446</v>
      </c>
      <c r="L26" s="102" t="s">
        <v>447</v>
      </c>
      <c r="M26" s="102" t="s">
        <v>448</v>
      </c>
      <c r="N26" s="102" t="s">
        <v>449</v>
      </c>
      <c r="O26" s="102" t="s">
        <v>450</v>
      </c>
    </row>
    <row r="27" spans="1:20" s="101" customFormat="1" ht="13.5" customHeight="1">
      <c r="A27" s="112">
        <f>B19</f>
        <v>6.2873144929614933E-2</v>
      </c>
      <c r="B27" s="112">
        <f>E19</f>
        <v>0.18432408057035521</v>
      </c>
      <c r="C27" s="70">
        <f>'Financial Analysis'!O8</f>
        <v>0.24355731508818734</v>
      </c>
      <c r="D27" s="112">
        <f>F19</f>
        <v>-1</v>
      </c>
      <c r="E27" s="113"/>
      <c r="F27" s="114">
        <f>C27/A27</f>
        <v>3.8737892841346535</v>
      </c>
      <c r="G27" s="115">
        <f>H5</f>
        <v>2.5411559311613912E-2</v>
      </c>
      <c r="H27" s="115">
        <f>G19</f>
        <v>0.15136745770153295</v>
      </c>
      <c r="I27" s="70">
        <f>H19</f>
        <v>0.59640924299155007</v>
      </c>
      <c r="J27" s="70">
        <f>I19</f>
        <v>0.39237041298026609</v>
      </c>
      <c r="K27" s="116">
        <f>J19</f>
        <v>3.8330732548414438E-2</v>
      </c>
      <c r="L27" s="117"/>
      <c r="M27" s="113"/>
      <c r="N27" s="113"/>
      <c r="O27" s="113"/>
    </row>
    <row r="28" spans="1:20" s="101" customFormat="1" ht="5.25" customHeight="1">
      <c r="A28" s="118"/>
      <c r="B28" s="118"/>
      <c r="C28" s="98"/>
      <c r="D28" s="118"/>
      <c r="E28" s="119"/>
      <c r="F28" s="120"/>
      <c r="G28" s="121"/>
      <c r="H28" s="121"/>
      <c r="I28" s="98"/>
      <c r="J28" s="98"/>
      <c r="K28" s="122"/>
      <c r="L28" s="100"/>
      <c r="M28" s="119"/>
      <c r="N28" s="119"/>
      <c r="O28" s="119"/>
    </row>
    <row r="29" spans="1:20" s="101" customFormat="1" ht="27.75" customHeight="1">
      <c r="A29" s="102" t="s">
        <v>137</v>
      </c>
      <c r="B29" s="102" t="s">
        <v>138</v>
      </c>
      <c r="C29" s="102" t="s">
        <v>451</v>
      </c>
      <c r="D29" s="102" t="s">
        <v>361</v>
      </c>
      <c r="E29" s="102" t="s">
        <v>362</v>
      </c>
      <c r="F29" s="102" t="s">
        <v>363</v>
      </c>
      <c r="G29" s="102" t="s">
        <v>237</v>
      </c>
      <c r="H29" s="102" t="s">
        <v>411</v>
      </c>
      <c r="I29" s="102" t="s">
        <v>412</v>
      </c>
      <c r="J29" s="102" t="s">
        <v>413</v>
      </c>
      <c r="K29" s="102" t="s">
        <v>414</v>
      </c>
      <c r="L29" s="102" t="s">
        <v>385</v>
      </c>
      <c r="M29" s="102" t="s">
        <v>565</v>
      </c>
      <c r="N29" s="102" t="s">
        <v>452</v>
      </c>
    </row>
    <row r="30" spans="1:20" s="101" customFormat="1" ht="15.75" customHeight="1">
      <c r="A30" s="123">
        <f>B6</f>
        <v>11.375906654052351</v>
      </c>
      <c r="B30" s="73">
        <f>I6</f>
        <v>0.81471940438741852</v>
      </c>
      <c r="C30" s="71">
        <f>J6</f>
        <v>8.7905081362792112E-2</v>
      </c>
      <c r="D30" s="73">
        <f>C6</f>
        <v>2.0838280550335031</v>
      </c>
      <c r="E30" s="73">
        <f>E6</f>
        <v>1.1830510142170769</v>
      </c>
      <c r="F30" s="71">
        <f>F6</f>
        <v>0</v>
      </c>
      <c r="G30" s="71">
        <f>H6</f>
        <v>9.9738084376988168E-2</v>
      </c>
      <c r="H30" s="74">
        <f>G21</f>
        <v>0.15459259083312185</v>
      </c>
      <c r="I30" s="124">
        <f>L74</f>
        <v>-4.4100560380839822</v>
      </c>
      <c r="J30" s="74">
        <f>I21</f>
        <v>0.55779583060733118</v>
      </c>
      <c r="K30" s="124">
        <f>J21</f>
        <v>3.9485740176275312E-2</v>
      </c>
      <c r="L30" s="72" t="s">
        <v>453</v>
      </c>
      <c r="M30" s="73">
        <f>H5/B19</f>
        <v>0.40417191378070205</v>
      </c>
      <c r="N30" s="113"/>
    </row>
    <row r="31" spans="1:20" s="101" customFormat="1" ht="6.75" customHeight="1">
      <c r="A31" s="125"/>
      <c r="B31" s="126"/>
      <c r="C31" s="127"/>
      <c r="D31" s="126"/>
      <c r="E31" s="126"/>
      <c r="F31" s="127"/>
      <c r="G31" s="127"/>
      <c r="H31" s="128"/>
      <c r="I31" s="129"/>
      <c r="J31" s="128"/>
      <c r="K31" s="129"/>
      <c r="L31" s="130"/>
      <c r="M31" s="126"/>
    </row>
    <row r="32" spans="1:20" s="101" customFormat="1" ht="24.75" customHeight="1">
      <c r="A32" s="102" t="s">
        <v>454</v>
      </c>
      <c r="B32" s="102" t="s">
        <v>455</v>
      </c>
      <c r="C32" s="102" t="s">
        <v>456</v>
      </c>
      <c r="D32" s="102" t="s">
        <v>457</v>
      </c>
      <c r="E32" s="102" t="s">
        <v>458</v>
      </c>
      <c r="F32" s="102" t="s">
        <v>459</v>
      </c>
      <c r="G32" s="102" t="s">
        <v>460</v>
      </c>
      <c r="H32" s="102" t="s">
        <v>461</v>
      </c>
      <c r="I32" s="102" t="s">
        <v>462</v>
      </c>
      <c r="J32" s="102" t="s">
        <v>463</v>
      </c>
      <c r="K32" s="102" t="s">
        <v>464</v>
      </c>
      <c r="L32" s="102" t="s">
        <v>465</v>
      </c>
      <c r="M32" s="102" t="s">
        <v>466</v>
      </c>
      <c r="N32" s="102" t="s">
        <v>467</v>
      </c>
      <c r="O32" s="102" t="s">
        <v>468</v>
      </c>
    </row>
    <row r="33" spans="1:35" s="101" customFormat="1" ht="13.5" customHeight="1">
      <c r="A33" s="131" t="str">
        <f>IF(B19&lt;B21,"+VE","-VE")</f>
        <v>+VE</v>
      </c>
      <c r="B33" s="131" t="str">
        <f>IF(E19&lt;E21,"+VE","-VE")</f>
        <v>+VE</v>
      </c>
      <c r="C33" s="131" t="str">
        <f>IF(N6&lt;N5,"+VE","-VE")</f>
        <v>-VE</v>
      </c>
      <c r="D33" s="131" t="str">
        <f>IF(N6&gt;N5,"+VE","-VE")</f>
        <v>+VE</v>
      </c>
      <c r="E33" s="131" t="str">
        <f>IF(Y6&gt;Y5,"-VE","+VE")</f>
        <v>-VE</v>
      </c>
      <c r="F33" s="131" t="str">
        <f>IF(X6&gt;X5,"-VE","+VE")</f>
        <v>+VE</v>
      </c>
      <c r="G33" s="131" t="str">
        <f>IF(H6&gt;H5,"+VE","-VE")</f>
        <v>+VE</v>
      </c>
      <c r="H33" s="131" t="str">
        <f>IF(G21&gt;G20,"+VE","-VE")</f>
        <v>+VE</v>
      </c>
      <c r="I33" s="131" t="str">
        <f>IF('Financial Analysis'!N35&lt;0,"+VE","-VE")</f>
        <v>-VE</v>
      </c>
      <c r="J33" s="131" t="str">
        <f>IF(I21&gt;I20,"+VE","-VE")</f>
        <v>+VE</v>
      </c>
      <c r="K33" s="131" t="str">
        <f>IF(J21&gt;J19,"+VE","-VE")</f>
        <v>+VE</v>
      </c>
      <c r="L33" s="131" t="str">
        <f>IF(Q6&lt;Q5,"+VE","-VE")</f>
        <v>+VE</v>
      </c>
      <c r="M33" s="131" t="str">
        <f>IF('Financial Analysis'!M74&gt;0,"+VE","-VE")</f>
        <v>+VE</v>
      </c>
      <c r="N33" s="131"/>
      <c r="O33" s="131" t="str">
        <f>IF(E21&gt;B21,"+VE","-VE")</f>
        <v>+VE</v>
      </c>
    </row>
    <row r="34" spans="1:35">
      <c r="H34" s="130"/>
      <c r="M34" s="130"/>
      <c r="N34" s="130"/>
    </row>
    <row r="35" spans="1:35">
      <c r="H35" s="130"/>
      <c r="I35" s="130"/>
      <c r="J35" s="130"/>
      <c r="K35" s="130"/>
      <c r="L35" s="130"/>
      <c r="M35" s="130"/>
      <c r="N35" s="130"/>
    </row>
    <row r="36" spans="1:35">
      <c r="H36" s="130"/>
      <c r="I36" s="130"/>
      <c r="J36" s="130"/>
      <c r="K36" s="130"/>
      <c r="L36" s="130"/>
      <c r="M36" s="130"/>
      <c r="N36" s="130"/>
    </row>
    <row r="37" spans="1:35">
      <c r="H37" s="130"/>
      <c r="I37" s="130"/>
      <c r="J37" s="130"/>
      <c r="K37" s="130"/>
      <c r="L37" s="130"/>
      <c r="M37" s="130"/>
      <c r="N37" s="130"/>
    </row>
    <row r="38" spans="1:35">
      <c r="H38" s="130"/>
      <c r="I38" s="130"/>
      <c r="J38" s="130"/>
      <c r="K38" s="130"/>
      <c r="L38" s="130"/>
      <c r="M38" s="130"/>
      <c r="N38" s="130"/>
    </row>
    <row r="39" spans="1:35">
      <c r="B39" s="126"/>
      <c r="C39" s="127"/>
      <c r="D39" s="126"/>
      <c r="E39" s="126"/>
      <c r="F39" s="127"/>
      <c r="G39" s="127"/>
      <c r="H39" s="130"/>
      <c r="I39" s="130"/>
      <c r="J39" s="130"/>
      <c r="K39" s="130"/>
      <c r="L39" s="130"/>
      <c r="M39" s="130"/>
      <c r="N39" s="130"/>
    </row>
    <row r="40" spans="1:35">
      <c r="A40" s="125"/>
      <c r="B40" s="126"/>
      <c r="C40" s="127"/>
      <c r="D40" s="126"/>
      <c r="E40" s="126"/>
      <c r="F40" s="127"/>
      <c r="G40" s="127"/>
      <c r="H40" s="130"/>
      <c r="I40" s="130"/>
      <c r="J40" s="130"/>
      <c r="K40" s="130"/>
      <c r="L40" s="130"/>
      <c r="M40" s="130"/>
      <c r="N40" s="130"/>
    </row>
    <row r="41" spans="1:35">
      <c r="A41" s="77"/>
      <c r="B41" s="132"/>
    </row>
    <row r="42" spans="1:35">
      <c r="A42" s="180" t="str">
        <f>'Data Sheet'!A1</f>
        <v>COMPANY NAME</v>
      </c>
      <c r="B42" s="133">
        <f>'Data Sheet'!B16</f>
        <v>39538</v>
      </c>
      <c r="C42" s="133">
        <f>'Data Sheet'!C16</f>
        <v>39903</v>
      </c>
      <c r="D42" s="133">
        <f>'Data Sheet'!D16</f>
        <v>40268</v>
      </c>
      <c r="E42" s="133">
        <f>'Data Sheet'!E16</f>
        <v>40633</v>
      </c>
      <c r="F42" s="133">
        <f>'Data Sheet'!F16</f>
        <v>40999</v>
      </c>
      <c r="G42" s="133">
        <f>'Data Sheet'!G16</f>
        <v>41364</v>
      </c>
      <c r="H42" s="133">
        <f>'Data Sheet'!H16</f>
        <v>41729</v>
      </c>
      <c r="I42" s="133">
        <f>'Data Sheet'!I16</f>
        <v>42094</v>
      </c>
      <c r="J42" s="133">
        <f>'Data Sheet'!J16</f>
        <v>42460</v>
      </c>
      <c r="K42" s="133">
        <f>'Data Sheet'!K16</f>
        <v>42825</v>
      </c>
      <c r="L42" s="133">
        <f>'Data Sheet'!K16</f>
        <v>42825</v>
      </c>
      <c r="M42" s="44" t="s">
        <v>469</v>
      </c>
    </row>
    <row r="43" spans="1:35">
      <c r="A43" s="89" t="s">
        <v>254</v>
      </c>
      <c r="B43" s="135">
        <f>Other_input_data!C72/(Other_input_data!C46+Other_input_data!C47)</f>
        <v>4.1123898579392195</v>
      </c>
      <c r="C43" s="135">
        <f>Other_input_data!D72/(Other_input_data!D46+Other_input_data!D47)</f>
        <v>3.6185439219899185</v>
      </c>
      <c r="D43" s="135">
        <f>Other_input_data!E72/(Other_input_data!E46+Other_input_data!E47)</f>
        <v>3.4100645539906105</v>
      </c>
      <c r="E43" s="135">
        <f>Other_input_data!F72/(Other_input_data!F46+Other_input_data!F47)</f>
        <v>3.0819700165308097</v>
      </c>
      <c r="F43" s="135">
        <f>Other_input_data!G72/(Other_input_data!G46+Other_input_data!G47)</f>
        <v>2.2362550410944921</v>
      </c>
      <c r="G43" s="135">
        <f>Other_input_data!H72/(Other_input_data!H46+Other_input_data!H47)</f>
        <v>1.9171468759925587</v>
      </c>
      <c r="H43" s="135">
        <f>Other_input_data!I72/(Other_input_data!I46+Other_input_data!I47)</f>
        <v>1.7495191197968762</v>
      </c>
      <c r="I43" s="135">
        <f>Other_input_data!J72/(Other_input_data!J46+Other_input_data!J47)</f>
        <v>1.4935095116364001</v>
      </c>
      <c r="J43" s="135">
        <f>Other_input_data!K72/(Other_input_data!K46+Other_input_data!K47)</f>
        <v>1.2656618415161915</v>
      </c>
      <c r="K43" s="135">
        <f>Other_input_data!L72/(Other_input_data!L46+Other_input_data!L47)</f>
        <v>1.2707493526255371</v>
      </c>
      <c r="L43" s="135">
        <f>Other_input_data!L72/(Other_input_data!L46+Other_input_data!L47)</f>
        <v>1.2707493526255371</v>
      </c>
      <c r="M43" s="136">
        <f t="shared" ref="M43:M57" si="2">(L43/C43)^(1/9)-1</f>
        <v>-0.10976862918708896</v>
      </c>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1:35" ht="24">
      <c r="A44" s="89" t="s">
        <v>470</v>
      </c>
      <c r="B44" s="135">
        <f>Other_input_data!C51/Other_input_data!C41</f>
        <v>21.087613293051351</v>
      </c>
      <c r="C44" s="135">
        <f>Other_input_data!D51/Other_input_data!D41</f>
        <v>26.703821656050948</v>
      </c>
      <c r="D44" s="135">
        <f>Other_input_data!E51/Other_input_data!E41</f>
        <v>12.626011872638969</v>
      </c>
      <c r="E44" s="135">
        <f>Other_input_data!F51/Other_input_data!F41</f>
        <v>6.1286522148916189</v>
      </c>
      <c r="F44" s="135">
        <f>Other_input_data!G51/Other_input_data!G41</f>
        <v>6.3735343383584606</v>
      </c>
      <c r="G44" s="135">
        <f>Other_input_data!H51/Other_input_data!H41</f>
        <v>3.0271230222796235</v>
      </c>
      <c r="H44" s="135">
        <f>Other_input_data!I51/Other_input_data!I41</f>
        <v>2.0824678022434591</v>
      </c>
      <c r="I44" s="135">
        <f>Other_input_data!J51/Other_input_data!J41</f>
        <v>1.223959351182333</v>
      </c>
      <c r="J44" s="135">
        <f>Other_input_data!K51/Other_input_data!K41</f>
        <v>0.44351935193519376</v>
      </c>
      <c r="K44" s="135">
        <f>Other_input_data!L51/Other_input_data!L41</f>
        <v>0.13461538461538475</v>
      </c>
      <c r="L44" s="135">
        <f>Other_input_data!L51/Other_input_data!L41</f>
        <v>0.13461538461538475</v>
      </c>
      <c r="M44" s="136">
        <f t="shared" si="2"/>
        <v>-0.44444816503421403</v>
      </c>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1:35" ht="24">
      <c r="A45" s="89" t="s">
        <v>471</v>
      </c>
      <c r="B45" s="135">
        <f>Other_input_data!C58/Other_input_data!C41</f>
        <v>7.3043806646525642</v>
      </c>
      <c r="C45" s="135">
        <f>Other_input_data!D58/Other_input_data!D41</f>
        <v>8.6273885350318444</v>
      </c>
      <c r="D45" s="135">
        <f>Other_input_data!E58/Other_input_data!E41</f>
        <v>5.290879654614141</v>
      </c>
      <c r="E45" s="135">
        <f>Other_input_data!F58/Other_input_data!F41</f>
        <v>2.4392082940622077</v>
      </c>
      <c r="F45" s="135">
        <f>Other_input_data!G58/Other_input_data!G41</f>
        <v>1.587939698492463</v>
      </c>
      <c r="G45" s="135">
        <f>Other_input_data!H58/Other_input_data!H41</f>
        <v>0.7236034872457211</v>
      </c>
      <c r="H45" s="135">
        <f>Other_input_data!I58/Other_input_data!I41</f>
        <v>1.45949314499377</v>
      </c>
      <c r="I45" s="135">
        <f>Other_input_data!J58/Other_input_data!J41</f>
        <v>1.8327144811412934</v>
      </c>
      <c r="J45" s="135">
        <f>Other_input_data!K58/Other_input_data!K41</f>
        <v>2.2391989198919906</v>
      </c>
      <c r="K45" s="135">
        <f>Other_input_data!L58/Other_input_data!L41</f>
        <v>2.3012221423436396</v>
      </c>
      <c r="L45" s="135">
        <f>Other_input_data!L58/Other_input_data!L41</f>
        <v>2.3012221423436396</v>
      </c>
      <c r="M45" s="136">
        <f t="shared" si="2"/>
        <v>-0.13656227294956325</v>
      </c>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1:35">
      <c r="A46" s="89" t="s">
        <v>472</v>
      </c>
      <c r="B46" s="135">
        <f>Other_input_data!C71/Other_input_data!C41</f>
        <v>26.145015105740168</v>
      </c>
      <c r="C46" s="135">
        <f>Other_input_data!D71/Other_input_data!D41</f>
        <v>33.638004246284488</v>
      </c>
      <c r="D46" s="135">
        <f>Other_input_data!E71/Other_input_data!E41</f>
        <v>17.730167296276317</v>
      </c>
      <c r="E46" s="135">
        <f>Other_input_data!F71/Other_input_data!F41</f>
        <v>8.6060320452403491</v>
      </c>
      <c r="F46" s="135">
        <f>Other_input_data!G71/Other_input_data!G41</f>
        <v>10.141122278056955</v>
      </c>
      <c r="G46" s="135">
        <f>Other_input_data!H71/Other_input_data!H41</f>
        <v>6.5266386825960563</v>
      </c>
      <c r="H46" s="135">
        <f>Other_input_data!I71/Other_input_data!I41</f>
        <v>4.0471541337764894</v>
      </c>
      <c r="I46" s="135">
        <f>Other_input_data!J71/Other_input_data!J41</f>
        <v>2.9050224741059205</v>
      </c>
      <c r="J46" s="135">
        <f>Other_input_data!K71/Other_input_data!K41</f>
        <v>2.002925292529254</v>
      </c>
      <c r="K46" s="135">
        <f>Other_input_data!L71/Other_input_data!L41</f>
        <v>1.8227893601725393</v>
      </c>
      <c r="L46" s="135">
        <f>Other_input_data!L71/Other_input_data!L41</f>
        <v>1.8227893601725393</v>
      </c>
      <c r="M46" s="136">
        <f t="shared" si="2"/>
        <v>-0.27669258349180714</v>
      </c>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1:35">
      <c r="A47" s="137" t="s">
        <v>431</v>
      </c>
      <c r="B47" s="135">
        <f>Other_input_data!C51/Other_input_data!C48</f>
        <v>2.510339866930408</v>
      </c>
      <c r="C47" s="135">
        <f>Other_input_data!D51/Other_input_data!D48</f>
        <v>2.0787538219981823</v>
      </c>
      <c r="D47" s="135">
        <f>Other_input_data!E51/Other_input_data!E48</f>
        <v>1.716255868544601</v>
      </c>
      <c r="E47" s="135">
        <f>Other_input_data!F51/Other_input_data!F48</f>
        <v>1.482642649489825</v>
      </c>
      <c r="F47" s="135">
        <f>Other_input_data!G51/Other_input_data!G48</f>
        <v>0.77696666496503142</v>
      </c>
      <c r="G47" s="135">
        <f>Other_input_data!H51/Other_input_data!H48</f>
        <v>0.42538227687281638</v>
      </c>
      <c r="H47" s="135">
        <f>Other_input_data!I51/Other_input_data!I48</f>
        <v>0.38566592290528584</v>
      </c>
      <c r="I47" s="135">
        <f>Other_input_data!J51/Other_input_data!J48</f>
        <v>0.20792802363799345</v>
      </c>
      <c r="J47" s="135">
        <f>Other_input_data!K51/Other_input_data!K48</f>
        <v>5.8827040740188033E-2</v>
      </c>
      <c r="K47" s="135">
        <f>Other_input_data!L51/Other_input_data!L48</f>
        <v>1.9995194746255905E-2</v>
      </c>
      <c r="L47" s="135">
        <f>Other_input_data!L51/Other_input_data!L48</f>
        <v>1.9995194746255905E-2</v>
      </c>
      <c r="M47" s="136">
        <f t="shared" si="2"/>
        <v>-0.40309872215793918</v>
      </c>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1:35">
      <c r="A48" s="137" t="s">
        <v>430</v>
      </c>
      <c r="B48" s="135">
        <f>Other_input_data!C37/Other_input_data!C38</f>
        <v>2.4634896233666415</v>
      </c>
      <c r="C48" s="135">
        <f>Other_input_data!D37/Other_input_data!D38</f>
        <v>1.7589388696655135</v>
      </c>
      <c r="D48" s="135">
        <f>Other_input_data!E37/Other_input_data!E38</f>
        <v>2.4151732377538826</v>
      </c>
      <c r="E48" s="135">
        <f>Other_input_data!F37/Other_input_data!F38</f>
        <v>4.8612007746933479</v>
      </c>
      <c r="F48" s="135">
        <f>Other_input_data!G37/Other_input_data!G38</f>
        <v>2.6010956175298801</v>
      </c>
      <c r="G48" s="135">
        <f>Other_input_data!H37/Other_input_data!H38</f>
        <v>3.0986060918946832</v>
      </c>
      <c r="H48" s="135">
        <f>Other_input_data!I37/Other_input_data!I38</f>
        <v>5.6355866355866313</v>
      </c>
      <c r="I48" s="135">
        <f>Other_input_data!J37/Other_input_data!J38</f>
        <v>9.8926080892608113</v>
      </c>
      <c r="J48" s="135">
        <f>Other_input_data!K37/Other_input_data!K38</f>
        <v>11.04088586030664</v>
      </c>
      <c r="K48" s="135">
        <f>Other_input_data!L37/Other_input_data!L38</f>
        <v>17.237020316027078</v>
      </c>
      <c r="L48" s="135">
        <f>Other_input_data!L37/Other_input_data!L38</f>
        <v>17.237020316027078</v>
      </c>
      <c r="M48" s="136">
        <f t="shared" si="2"/>
        <v>0.28864889371008373</v>
      </c>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1:35" s="138" customFormat="1">
      <c r="A49" s="89" t="s">
        <v>274</v>
      </c>
      <c r="B49" s="135">
        <f>Other_input_data!C58/Other_input_data!C32</f>
        <v>0.62097084885064846</v>
      </c>
      <c r="C49" s="135">
        <f>Other_input_data!D58/Other_input_data!D32</f>
        <v>0.4572151898734178</v>
      </c>
      <c r="D49" s="135">
        <f>Other_input_data!E58/Other_input_data!E32</f>
        <v>0.47118758110251363</v>
      </c>
      <c r="E49" s="135">
        <f>Other_input_data!F58/Other_input_data!F32</f>
        <v>0.31678805312442626</v>
      </c>
      <c r="F49" s="135">
        <f>Other_input_data!G58/Other_input_data!G32</f>
        <v>9.7370583401807723E-2</v>
      </c>
      <c r="G49" s="135">
        <f>Other_input_data!H58/Other_input_data!H32</f>
        <v>5.6336257824480242E-2</v>
      </c>
      <c r="H49" s="135">
        <f>Other_input_data!I58/Other_input_data!I32</f>
        <v>0.14736356390788205</v>
      </c>
      <c r="I49" s="135">
        <f>Other_input_data!J58/Other_input_data!J32</f>
        <v>0.18946602824413603</v>
      </c>
      <c r="J49" s="135">
        <f>Other_input_data!K58/Other_input_data!K32</f>
        <v>0.20219856138497178</v>
      </c>
      <c r="K49" s="135">
        <f>Other_input_data!L58/Other_input_data!L32</f>
        <v>0.2423806458940673</v>
      </c>
      <c r="L49" s="135">
        <f>Other_input_data!L58/Other_input_data!L32</f>
        <v>0.2423806458940673</v>
      </c>
      <c r="M49" s="136">
        <f t="shared" si="2"/>
        <v>-6.808724862286375E-2</v>
      </c>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1:35" s="138" customFormat="1">
      <c r="A50" s="89" t="s">
        <v>46</v>
      </c>
      <c r="B50" s="139">
        <f>IFERROR((Other_input_data!C7/Other_input_data!C32)*365,"NA")</f>
        <v>9.9839476049826619</v>
      </c>
      <c r="C50" s="139">
        <f>IFERROR((Other_input_data!D7/Other_input_data!D32)*365,"NA")</f>
        <v>14.825879043600562</v>
      </c>
      <c r="D50" s="139">
        <f>IFERROR((Other_input_data!E7/Other_input_data!E32)*365,"NA")</f>
        <v>41.504782044504253</v>
      </c>
      <c r="E50" s="139">
        <f>IFERROR((Other_input_data!F7/Other_input_data!F32)*365,"NA")</f>
        <v>23.646030968847548</v>
      </c>
      <c r="F50" s="139">
        <f>IFERROR((Other_input_data!G7/Other_input_data!G32)*365,"NA")</f>
        <v>9.869171117502054</v>
      </c>
      <c r="G50" s="139">
        <f>IFERROR((Other_input_data!H7/Other_input_data!H32)*365,"NA")</f>
        <v>5.9917293044068476</v>
      </c>
      <c r="H50" s="139">
        <f>IFERROR((Other_input_data!I7/Other_input_data!I32)*365,"NA")</f>
        <v>4.3636478040186253</v>
      </c>
      <c r="I50" s="139">
        <f>IFERROR((Other_input_data!J7/Other_input_data!J32)*365,"NA")</f>
        <v>4.4540073135745599</v>
      </c>
      <c r="J50" s="139">
        <f>IFERROR((Other_input_data!K7/Other_input_data!K32)*365,"NA")</f>
        <v>13.720689234770594</v>
      </c>
      <c r="K50" s="139">
        <f>IFERROR((Other_input_data!L7/Other_input_data!L32)*365,"NA")</f>
        <v>28.356491121796086</v>
      </c>
      <c r="L50" s="139">
        <f>IFERROR((Other_input_data!L7/Other_input_data!L32)*365,"NA")</f>
        <v>28.356491121796086</v>
      </c>
      <c r="M50" s="136">
        <f t="shared" si="2"/>
        <v>7.4712867114878234E-2</v>
      </c>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s="138" customFormat="1">
      <c r="A51" s="89" t="s">
        <v>473</v>
      </c>
      <c r="B51" s="139">
        <f>IFERROR((Other_input_data!C6/Other_input_data!C32)*365,"NA")</f>
        <v>253.3719660973417</v>
      </c>
      <c r="C51" s="139">
        <f>IFERROR((Other_input_data!D6/Other_input_data!D32)*365,"NA")</f>
        <v>223.66132208157524</v>
      </c>
      <c r="D51" s="139">
        <f>IFERROR((Other_input_data!E6/Other_input_data!E32)*365,"NA")</f>
        <v>239.66117172105541</v>
      </c>
      <c r="E51" s="139">
        <f>IFERROR((Other_input_data!F6/Other_input_data!F32)*365,"NA")</f>
        <v>168.02420588775325</v>
      </c>
      <c r="F51" s="139">
        <f>IFERROR((Other_input_data!G6/Other_input_data!G32)*365,"NA")</f>
        <v>77.528759244042732</v>
      </c>
      <c r="G51" s="139">
        <f>IFERROR((Other_input_data!H6/Other_input_data!H32)*365,"NA")</f>
        <v>84.581563136328214</v>
      </c>
      <c r="H51" s="139">
        <f>IFERROR((Other_input_data!I6/Other_input_data!I32)*365,"NA")</f>
        <v>101.74189353580267</v>
      </c>
      <c r="I51" s="139">
        <f>IFERROR((Other_input_data!J6/Other_input_data!J32)*365,"NA")</f>
        <v>106.57908560114755</v>
      </c>
      <c r="J51" s="139">
        <f>IFERROR((Other_input_data!K6/Other_input_data!K32)*365,"NA")</f>
        <v>92.09178282602511</v>
      </c>
      <c r="K51" s="139">
        <f>IFERROR((Other_input_data!L6/Other_input_data!L32)*365,"NA")</f>
        <v>104.67856737212736</v>
      </c>
      <c r="L51" s="139">
        <f>IFERROR((Other_input_data!L6/Other_input_data!L32)*365,"NA")</f>
        <v>104.67856737212736</v>
      </c>
      <c r="M51" s="136">
        <f t="shared" si="2"/>
        <v>-8.089953262300742E-2</v>
      </c>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1:35" s="138" customFormat="1">
      <c r="A52" s="89" t="s">
        <v>474</v>
      </c>
      <c r="B52" s="135">
        <f t="shared" ref="B52" si="3">365/B51</f>
        <v>1.4405697900286747</v>
      </c>
      <c r="C52" s="135">
        <f t="shared" ref="C52:L52" si="4">365/C51</f>
        <v>1.6319316929856775</v>
      </c>
      <c r="D52" s="135">
        <f t="shared" si="4"/>
        <v>1.5229834577660666</v>
      </c>
      <c r="E52" s="135">
        <f t="shared" si="4"/>
        <v>2.1723060559728773</v>
      </c>
      <c r="F52" s="135">
        <f t="shared" si="4"/>
        <v>4.7079303675048356</v>
      </c>
      <c r="G52" s="135">
        <f t="shared" si="4"/>
        <v>4.3153612497287916</v>
      </c>
      <c r="H52" s="135">
        <f t="shared" si="4"/>
        <v>3.5875094055680963</v>
      </c>
      <c r="I52" s="135">
        <f t="shared" si="4"/>
        <v>3.4246869162111668</v>
      </c>
      <c r="J52" s="135">
        <f t="shared" si="4"/>
        <v>3.9634372231617947</v>
      </c>
      <c r="K52" s="135">
        <f t="shared" si="4"/>
        <v>3.486864686468647</v>
      </c>
      <c r="L52" s="135">
        <f t="shared" si="4"/>
        <v>3.486864686468647</v>
      </c>
      <c r="M52" s="136">
        <f t="shared" si="2"/>
        <v>8.8020336725413095E-2</v>
      </c>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1:35" s="138" customFormat="1" ht="24">
      <c r="A53" s="89" t="s">
        <v>475</v>
      </c>
      <c r="B53" s="135">
        <f>(Other_input_data!C7+Other_input_data!C8)/(Other_input_data!C10)</f>
        <v>0.25806451612903231</v>
      </c>
      <c r="C53" s="135">
        <f>(Other_input_data!D7+Other_input_data!D8)/(Other_input_data!D10)</f>
        <v>0.14467238211879976</v>
      </c>
      <c r="D53" s="135">
        <f>(Other_input_data!E7+Other_input_data!E8)/(Other_input_data!E10)</f>
        <v>0.30936773102135756</v>
      </c>
      <c r="E53" s="135">
        <f>(Other_input_data!F7+Other_input_data!F8)/(Other_input_data!F10)</f>
        <v>0.22655506943123455</v>
      </c>
      <c r="F53" s="135">
        <f>(Other_input_data!G7+Other_input_data!G8)/(Other_input_data!G10)</f>
        <v>0.13971323774591532</v>
      </c>
      <c r="G53" s="135">
        <f>(Other_input_data!H7+Other_input_data!H8)/(Other_input_data!H10)</f>
        <v>7.4367964569108699E-2</v>
      </c>
      <c r="H53" s="135">
        <f>(Other_input_data!I7+Other_input_data!I8)/(Other_input_data!I10)</f>
        <v>8.9236625079297957E-2</v>
      </c>
      <c r="I53" s="135">
        <f>(Other_input_data!J7+Other_input_data!J8)/(Other_input_data!J10)</f>
        <v>0.10323180655661474</v>
      </c>
      <c r="J53" s="135">
        <f>(Other_input_data!K7+Other_input_data!K8)/(Other_input_data!K10)</f>
        <v>0.33593073593073597</v>
      </c>
      <c r="K53" s="135">
        <f>(Other_input_data!L7+Other_input_data!L8)/(Other_input_data!L10)</f>
        <v>0.5803257745129351</v>
      </c>
      <c r="L53" s="135">
        <f>(Other_input_data!L7+Other_input_data!L8)/(Other_input_data!L10)</f>
        <v>0.5803257745129351</v>
      </c>
      <c r="M53" s="136">
        <f t="shared" si="2"/>
        <v>0.16689506469726401</v>
      </c>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1:35" s="138" customFormat="1">
      <c r="A54" s="89" t="s">
        <v>311</v>
      </c>
      <c r="B54" s="135">
        <f>Other_input_data!C9/Other_input_data!C10</f>
        <v>2.4442951015531662</v>
      </c>
      <c r="C54" s="135">
        <f>Other_input_data!D9/Other_input_data!D10</f>
        <v>2.2441824862216784</v>
      </c>
      <c r="D54" s="135">
        <f>Other_input_data!E9/Other_input_data!E10</f>
        <v>2.0365827870585749</v>
      </c>
      <c r="E54" s="135">
        <f>Other_input_data!F9/Other_input_data!F10</f>
        <v>1.9845919726079513</v>
      </c>
      <c r="F54" s="135">
        <f>Other_input_data!G9/Other_input_data!G10</f>
        <v>1.4214738246082028</v>
      </c>
      <c r="G54" s="135">
        <f>Other_input_data!H9/Other_input_data!H10</f>
        <v>1.2067724672448792</v>
      </c>
      <c r="H54" s="135">
        <f>Other_input_data!I9/Other_input_data!I10</f>
        <v>1.7428631846056248</v>
      </c>
      <c r="I54" s="135">
        <f>Other_input_data!J9/Other_input_data!J10</f>
        <v>2.0902115787026276</v>
      </c>
      <c r="J54" s="135">
        <f>Other_input_data!K9/Other_input_data!K10</f>
        <v>2.4359307359307363</v>
      </c>
      <c r="K54" s="135">
        <f>Other_input_data!L9/Other_input_data!L10</f>
        <v>2.3631427658894921</v>
      </c>
      <c r="L54" s="135">
        <f>Other_input_data!L9/Other_input_data!L10</f>
        <v>2.3631427658894921</v>
      </c>
      <c r="M54" s="136">
        <f t="shared" si="2"/>
        <v>5.7555116111076554E-3</v>
      </c>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1:35" s="138" customFormat="1">
      <c r="A55" s="140" t="s">
        <v>476</v>
      </c>
      <c r="B55" s="135">
        <f>Other_input_data!C30/Other_input_data!C78</f>
        <v>0</v>
      </c>
      <c r="C55" s="135">
        <f>Other_input_data!D30/Other_input_data!D78</f>
        <v>0.44907275320970108</v>
      </c>
      <c r="D55" s="135">
        <f>Other_input_data!E30/Other_input_data!E78</f>
        <v>5.3449686392145063E-2</v>
      </c>
      <c r="E55" s="135">
        <f>Other_input_data!F30/Other_input_data!F78</f>
        <v>-7.4384410983170746</v>
      </c>
      <c r="F55" s="135">
        <f>Other_input_data!G30/Other_input_data!G78</f>
        <v>3.8104730506785263E-2</v>
      </c>
      <c r="G55" s="135">
        <f>Other_input_data!H30/Other_input_data!H78</f>
        <v>0.11449700369756466</v>
      </c>
      <c r="H55" s="135">
        <f>Other_input_data!I30/Other_input_data!I78</f>
        <v>3.7215980024968864</v>
      </c>
      <c r="I55" s="135">
        <f>Other_input_data!J30/Other_input_data!J78</f>
        <v>0.2820895522388065</v>
      </c>
      <c r="J55" s="135">
        <f>Other_input_data!K30/Other_input_data!K78</f>
        <v>0.2905587668593439</v>
      </c>
      <c r="K55" s="135">
        <f>Other_input_data!L30/Other_input_data!L78</f>
        <v>0.69653465346534738</v>
      </c>
      <c r="L55" s="135">
        <f>Other_input_data!L30/Other_input_data!L78</f>
        <v>0.69653465346534738</v>
      </c>
      <c r="M55" s="136">
        <f t="shared" si="2"/>
        <v>4.9979135503953831E-2</v>
      </c>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1:35" s="138" customFormat="1">
      <c r="A56" s="140" t="s">
        <v>477</v>
      </c>
      <c r="B56" s="135">
        <f>Other_input_data!C78/Other_input_data!C41</f>
        <v>3.0574018126888203</v>
      </c>
      <c r="C56" s="135">
        <f>Other_input_data!D78/Other_input_data!D41</f>
        <v>3.7208067940551985</v>
      </c>
      <c r="D56" s="135">
        <f>Other_input_data!E78/Other_input_data!E41</f>
        <v>1.9789530491095551</v>
      </c>
      <c r="E56" s="135">
        <f>Other_input_data!F78/Other_input_data!F41</f>
        <v>-0.26602262016965239</v>
      </c>
      <c r="F56" s="135">
        <f>Other_input_data!G78/Other_input_data!G41</f>
        <v>5.4618927973199352</v>
      </c>
      <c r="G56" s="135">
        <f>Other_input_data!H78/Other_input_data!H41</f>
        <v>2.5324507587988361</v>
      </c>
      <c r="H56" s="135">
        <f>Other_input_data!I78/Other_input_data!I41</f>
        <v>0.16638969671790604</v>
      </c>
      <c r="I56" s="135">
        <f>Other_input_data!J78/Other_input_data!J41</f>
        <v>0.65468047684189912</v>
      </c>
      <c r="J56" s="135">
        <f>Other_input_data!K78/Other_input_data!K41</f>
        <v>1.1678667866786694</v>
      </c>
      <c r="K56" s="135">
        <f>Other_input_data!L78/Other_input_data!L41</f>
        <v>0.72609633357296943</v>
      </c>
      <c r="L56" s="135">
        <f>Other_input_data!L78/Other_input_data!L41</f>
        <v>0.72609633357296943</v>
      </c>
      <c r="M56" s="136">
        <f t="shared" si="2"/>
        <v>-0.16602930229484048</v>
      </c>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1:35" s="138" customFormat="1">
      <c r="A57" s="141" t="s">
        <v>395</v>
      </c>
      <c r="B57" s="135">
        <f>Other_input_data!C77/Other_input_data!C41</f>
        <v>3.0574018126888203</v>
      </c>
      <c r="C57" s="135">
        <f>Other_input_data!D77/Other_input_data!D41</f>
        <v>5.391719745222928</v>
      </c>
      <c r="D57" s="135">
        <f>Other_input_data!E77/Other_input_data!E41</f>
        <v>2.0847274689692399</v>
      </c>
      <c r="E57" s="135">
        <f>Other_input_data!F77/Other_input_data!F41</f>
        <v>1.7127709707822827</v>
      </c>
      <c r="F57" s="135">
        <f>Other_input_data!G77/Other_input_data!G41</f>
        <v>5.6700167504187631</v>
      </c>
      <c r="G57" s="135">
        <f>Other_input_data!H77/Other_input_data!H41</f>
        <v>2.8224087826929267</v>
      </c>
      <c r="H57" s="135">
        <f>Other_input_data!I77/Other_input_data!I41</f>
        <v>0.78562525965932783</v>
      </c>
      <c r="I57" s="135">
        <f>Other_input_data!J77/Other_input_data!J41</f>
        <v>0.83935899941371872</v>
      </c>
      <c r="J57" s="135">
        <f>Other_input_data!K77/Other_input_data!K41</f>
        <v>1.5072007200720081</v>
      </c>
      <c r="K57" s="135">
        <f>Other_input_data!L77/Other_input_data!L41</f>
        <v>1.231847591660677</v>
      </c>
      <c r="L57" s="135">
        <f>Other_input_data!L77/Other_input_data!L41</f>
        <v>1.231847591660677</v>
      </c>
      <c r="M57" s="136">
        <f t="shared" si="2"/>
        <v>-0.15129091308784681</v>
      </c>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1:35">
      <c r="A58" s="458"/>
      <c r="B58" s="458"/>
      <c r="C58" s="458"/>
      <c r="D58" s="458"/>
      <c r="E58" s="458"/>
      <c r="F58" s="458"/>
      <c r="G58" s="458"/>
      <c r="H58" s="458"/>
      <c r="I58" s="458"/>
      <c r="J58" s="458"/>
      <c r="K58" s="458"/>
      <c r="L58" s="44" t="s">
        <v>478</v>
      </c>
    </row>
    <row r="59" spans="1:35">
      <c r="A59" s="142" t="s">
        <v>427</v>
      </c>
      <c r="B59" s="143">
        <f>Other_input_data!C34/Other_input_data!C32</f>
        <v>0.46179529985873902</v>
      </c>
      <c r="C59" s="144">
        <f>Other_input_data!D34/Other_input_data!D32</f>
        <v>0.46616033755274261</v>
      </c>
      <c r="D59" s="144">
        <f>Other_input_data!E34/Other_input_data!E32</f>
        <v>0.41875330417647905</v>
      </c>
      <c r="E59" s="144">
        <f>Other_input_data!F34/Other_input_data!F32</f>
        <v>0.4775078034151416</v>
      </c>
      <c r="F59" s="144">
        <f>Other_input_data!G34/Other_input_data!G32</f>
        <v>0.38832682826622839</v>
      </c>
      <c r="G59" s="144">
        <f>Other_input_data!H34/Other_input_data!H32</f>
        <v>0.40166922245405873</v>
      </c>
      <c r="H59" s="144">
        <f>Other_input_data!I34/Other_input_data!I32</f>
        <v>0.40031041570535669</v>
      </c>
      <c r="I59" s="144">
        <f>Other_input_data!J34/Other_input_data!J32</f>
        <v>0.40570135563771542</v>
      </c>
      <c r="J59" s="144">
        <f>Other_input_data!K34/Other_input_data!K32</f>
        <v>0.37826634697443812</v>
      </c>
      <c r="K59" s="144">
        <f>Other_input_data!L34/Other_input_data!L32</f>
        <v>0.36376026956422969</v>
      </c>
      <c r="L59" s="144">
        <f>Other_input_data!L34/Other_input_data!L32</f>
        <v>0.36376026956422969</v>
      </c>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row>
    <row r="60" spans="1:35">
      <c r="A60" s="89" t="s">
        <v>479</v>
      </c>
      <c r="B60" s="146">
        <f>Other_input_data!C35/Other_input_data!C32</f>
        <v>0.29472197251829974</v>
      </c>
      <c r="C60" s="147">
        <f>Other_input_data!D35/Other_input_data!D32</f>
        <v>0.27319268635724331</v>
      </c>
      <c r="D60" s="147">
        <f>Other_input_data!E35/Other_input_data!E32</f>
        <v>0.29499687605132885</v>
      </c>
      <c r="E60" s="147">
        <f>Other_input_data!F35/Other_input_data!F32</f>
        <v>0.30454740192178215</v>
      </c>
      <c r="F60" s="147">
        <f>Other_input_data!G35/Other_input_data!G32</f>
        <v>0.20293241577649956</v>
      </c>
      <c r="G60" s="147">
        <f>Other_input_data!H35/Other_input_data!H32</f>
        <v>0.21983961386661308</v>
      </c>
      <c r="H60" s="147">
        <f>Other_input_data!I35/Other_input_data!I32</f>
        <v>0.21844456562775275</v>
      </c>
      <c r="I60" s="147">
        <f>Other_input_data!J35/Other_input_data!J32</f>
        <v>0.20255773077156194</v>
      </c>
      <c r="J60" s="147">
        <f>Other_input_data!K35/Other_input_data!K32</f>
        <v>0.19248587800219447</v>
      </c>
      <c r="K60" s="147">
        <f>Other_input_data!L35/Other_input_data!L32</f>
        <v>0.20010979441941462</v>
      </c>
      <c r="L60" s="147">
        <f>Other_input_data!L35/Other_input_data!L32</f>
        <v>0.20010979441941462</v>
      </c>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row>
    <row r="61" spans="1:35">
      <c r="A61" s="89" t="s">
        <v>480</v>
      </c>
      <c r="B61" s="146">
        <f>Other_input_data!C41/Other_input_data!C32</f>
        <v>8.5013484011814591E-2</v>
      </c>
      <c r="C61" s="147">
        <f>Other_input_data!D41/Other_input_data!D32</f>
        <v>5.2995780590717322E-2</v>
      </c>
      <c r="D61" s="147">
        <f>Other_input_data!E41/Other_input_data!E32</f>
        <v>8.905656750132164E-2</v>
      </c>
      <c r="E61" s="147">
        <f>Other_input_data!F41/Other_input_data!F32</f>
        <v>0.1298733092600525</v>
      </c>
      <c r="F61" s="147">
        <f>Other_input_data!G41/Other_input_data!G32</f>
        <v>6.1318816762530794E-2</v>
      </c>
      <c r="G61" s="147">
        <f>Other_input_data!H41/Other_input_data!H32</f>
        <v>7.7855149702104179E-2</v>
      </c>
      <c r="H61" s="147">
        <f>Other_input_data!I41/Other_input_data!I32</f>
        <v>0.10096900037753251</v>
      </c>
      <c r="I61" s="147">
        <f>Other_input_data!J41/Other_input_data!J32</f>
        <v>0.10338000282845428</v>
      </c>
      <c r="J61" s="147">
        <f>Other_input_data!K41/Other_input_data!K32</f>
        <v>9.0299508270004422E-2</v>
      </c>
      <c r="K61" s="147">
        <f>Other_input_data!L41/Other_input_data!L32</f>
        <v>0.10532692234884328</v>
      </c>
      <c r="L61" s="147">
        <f>Other_input_data!L41/Other_input_data!L32</f>
        <v>0.10532692234884328</v>
      </c>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row>
    <row r="62" spans="1:35">
      <c r="A62" s="89" t="s">
        <v>481</v>
      </c>
      <c r="B62" s="146">
        <f>Other_input_data!C78/Other_input_data!C32</f>
        <v>0.259920380120714</v>
      </c>
      <c r="C62" s="147">
        <f>Other_input_data!D78/Other_input_data!D32</f>
        <v>0.19718706047819962</v>
      </c>
      <c r="D62" s="147">
        <f>Other_input_data!E78/Other_input_data!E32</f>
        <v>0.17623876579997139</v>
      </c>
      <c r="E62" s="147">
        <f>Other_input_data!F78/Other_input_data!F32</f>
        <v>-3.4549238019462747E-2</v>
      </c>
      <c r="F62" s="147">
        <f>Other_input_data!G78/Other_input_data!G32</f>
        <v>0.33491680361544784</v>
      </c>
      <c r="G62" s="147">
        <f>Other_input_data!H78/Other_input_data!H32</f>
        <v>0.19716433293949071</v>
      </c>
      <c r="H62" s="147">
        <f>Other_input_data!I78/Other_input_data!I32</f>
        <v>1.6800201350727774E-2</v>
      </c>
      <c r="I62" s="147">
        <f>Other_input_data!J78/Other_input_data!J32</f>
        <v>6.7680869547649319E-2</v>
      </c>
      <c r="J62" s="147">
        <f>Other_input_data!K78/Other_input_data!K32</f>
        <v>0.105457796561954</v>
      </c>
      <c r="K62" s="147">
        <f>Other_input_data!L78/Other_input_data!L32</f>
        <v>7.6477492144019957E-2</v>
      </c>
      <c r="L62" s="147">
        <f>Other_input_data!L78/Other_input_data!L32</f>
        <v>7.6477492144019957E-2</v>
      </c>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row>
    <row r="63" spans="1:35">
      <c r="A63" s="458"/>
      <c r="B63" s="458"/>
      <c r="C63" s="458"/>
      <c r="D63" s="458"/>
      <c r="E63" s="458"/>
      <c r="F63" s="458"/>
      <c r="G63" s="458"/>
      <c r="H63" s="458"/>
      <c r="I63" s="458"/>
      <c r="J63" s="458"/>
      <c r="K63" s="458"/>
    </row>
    <row r="64" spans="1:35">
      <c r="A64" s="89" t="s">
        <v>482</v>
      </c>
      <c r="B64" s="134">
        <f>Other_input_data!C32/Other_input_data!C63</f>
        <v>0.39890374468521084</v>
      </c>
      <c r="C64" s="135">
        <f>Other_input_data!D32/Other_input_data!D63</f>
        <v>0.47710435902941806</v>
      </c>
      <c r="D64" s="135">
        <f>Other_input_data!E32/Other_input_data!E63</f>
        <v>0.56192610997083292</v>
      </c>
      <c r="E64" s="135">
        <f>Other_input_data!F32/Other_input_data!F63</f>
        <v>0.7503042270337289</v>
      </c>
      <c r="F64" s="135">
        <f>Other_input_data!G32/Other_input_data!G63</f>
        <v>1.1187911172397944</v>
      </c>
      <c r="G64" s="135">
        <f>Other_input_data!H32/Other_input_data!H63</f>
        <v>1.2662825491818936</v>
      </c>
      <c r="H64" s="135">
        <f>Other_input_data!I32/Other_input_data!I63</f>
        <v>1.3236902745773063</v>
      </c>
      <c r="I64" s="135">
        <f>Other_input_data!J32/Other_input_data!J63</f>
        <v>1.3604056728232192</v>
      </c>
      <c r="J64" s="135">
        <f>Other_input_data!K32/Other_input_data!K63</f>
        <v>1.3872477167662645</v>
      </c>
      <c r="K64" s="135">
        <f>Other_input_data!L32/Other_input_data!L63</f>
        <v>1.3825900335008374</v>
      </c>
      <c r="L64" s="135">
        <f>Other_input_data!L32/Other_input_data!L63</f>
        <v>1.3825900335008374</v>
      </c>
    </row>
    <row r="65" spans="1:35" s="138" customFormat="1">
      <c r="A65" s="89" t="s">
        <v>483</v>
      </c>
      <c r="B65" s="134">
        <f>Other_input_data!C32/Other_input_data!C56</f>
        <v>0.57137616025241222</v>
      </c>
      <c r="C65" s="135">
        <f>Other_input_data!D32/Other_input_data!D56</f>
        <v>0.61124484181568084</v>
      </c>
      <c r="D65" s="135">
        <f>Other_input_data!E32/Other_input_data!E56</f>
        <v>0.76628733473281041</v>
      </c>
      <c r="E65" s="135">
        <f>Other_input_data!F32/Other_input_data!F56</f>
        <v>0.9861484141593988</v>
      </c>
      <c r="F65" s="135">
        <f>Other_input_data!G32/Other_input_data!G56</f>
        <v>1.2557719592415839</v>
      </c>
      <c r="G65" s="135">
        <f>Other_input_data!H32/Other_input_data!H56</f>
        <v>1.3655212660052864</v>
      </c>
      <c r="H65" s="135">
        <f>Other_input_data!I32/Other_input_data!I56</f>
        <v>1.6505573634286503</v>
      </c>
      <c r="I65" s="135">
        <f>Other_input_data!J32/Other_input_data!J56</f>
        <v>1.8334259362151348</v>
      </c>
      <c r="J65" s="135">
        <f>Other_input_data!K32/Other_input_data!K56</f>
        <v>1.928901779415223</v>
      </c>
      <c r="K65" s="135">
        <f>Other_input_data!L32/Other_input_data!L56</f>
        <v>2.0803371007758042</v>
      </c>
      <c r="L65" s="135">
        <f>Other_input_data!L32/Other_input_data!L56</f>
        <v>2.0803371007758042</v>
      </c>
    </row>
    <row r="66" spans="1:35">
      <c r="A66" s="89" t="s">
        <v>484</v>
      </c>
      <c r="B66" s="134">
        <f>Other_input_data!C32/Other_input_data!C72</f>
        <v>0.34050461323188597</v>
      </c>
      <c r="C66" s="135">
        <f>Other_input_data!D32/Other_input_data!D72</f>
        <v>0.40593313236503153</v>
      </c>
      <c r="D66" s="135">
        <f>Other_input_data!E32/Other_input_data!E72</f>
        <v>0.44759712601643503</v>
      </c>
      <c r="E66" s="135">
        <f>Other_input_data!F32/Other_input_data!F72</f>
        <v>0.60439824661993458</v>
      </c>
      <c r="F66" s="135">
        <f>Other_input_data!G32/Other_input_data!G72</f>
        <v>0.88901063781217182</v>
      </c>
      <c r="G66" s="135">
        <f>Other_input_data!H32/Other_input_data!H72</f>
        <v>0.9414702262614788</v>
      </c>
      <c r="H66" s="135">
        <f>Other_input_data!I32/Other_input_data!I72</f>
        <v>1.0483980913428765</v>
      </c>
      <c r="I66" s="135">
        <f>Other_input_data!J32/Other_input_data!J72</f>
        <v>1.10027564131063</v>
      </c>
      <c r="J66" s="135">
        <f>Other_input_data!K32/Other_input_data!K72</f>
        <v>1.1605433193416026</v>
      </c>
      <c r="K66" s="135">
        <f>Other_input_data!L32/Other_input_data!L72</f>
        <v>1.1097666015419845</v>
      </c>
      <c r="L66" s="135">
        <f>Other_input_data!L32/Other_input_data!L72</f>
        <v>1.1097666015419845</v>
      </c>
    </row>
    <row r="67" spans="1:35">
      <c r="A67" s="89" t="s">
        <v>485</v>
      </c>
      <c r="B67" s="147">
        <f>B61*B66</f>
        <v>2.8947483492938048E-2</v>
      </c>
      <c r="C67" s="147">
        <f t="shared" ref="C67:L67" si="5">C61*C66</f>
        <v>2.1512743217319823E-2</v>
      </c>
      <c r="D67" s="147">
        <f t="shared" si="5"/>
        <v>3.9861463666480218E-2</v>
      </c>
      <c r="E67" s="147">
        <f t="shared" si="5"/>
        <v>7.849520039950425E-2</v>
      </c>
      <c r="F67" s="147">
        <f t="shared" si="5"/>
        <v>5.4513080399945193E-2</v>
      </c>
      <c r="G67" s="147">
        <f t="shared" si="5"/>
        <v>7.3298305405661332E-2</v>
      </c>
      <c r="H67" s="147">
        <f t="shared" si="5"/>
        <v>0.10585570728060326</v>
      </c>
      <c r="I67" s="147">
        <f t="shared" si="5"/>
        <v>0.11374649891077228</v>
      </c>
      <c r="J67" s="147">
        <f t="shared" si="5"/>
        <v>0.10479649106258543</v>
      </c>
      <c r="K67" s="147">
        <f t="shared" si="5"/>
        <v>0.11688830066595229</v>
      </c>
      <c r="L67" s="147">
        <f t="shared" si="5"/>
        <v>0.11688830066595229</v>
      </c>
    </row>
    <row r="68" spans="1:35">
      <c r="A68" s="89" t="s">
        <v>486</v>
      </c>
      <c r="B68" s="147">
        <f>B61*B66*B43</f>
        <v>0.1190433375292214</v>
      </c>
      <c r="C68" s="147">
        <f t="shared" ref="C68:L68" si="6">C61*C66*C43</f>
        <v>7.7844806214362489E-2</v>
      </c>
      <c r="D68" s="147">
        <f t="shared" si="6"/>
        <v>0.13593016431924879</v>
      </c>
      <c r="E68" s="147">
        <f t="shared" si="6"/>
        <v>0.24191985407284933</v>
      </c>
      <c r="F68" s="147">
        <f t="shared" si="6"/>
        <v>0.1219051508499668</v>
      </c>
      <c r="G68" s="147">
        <f t="shared" si="6"/>
        <v>0.1405236172240121</v>
      </c>
      <c r="H68" s="147">
        <f t="shared" si="6"/>
        <v>0.1851965838270368</v>
      </c>
      <c r="I68" s="147">
        <f t="shared" si="6"/>
        <v>0.16988147803857781</v>
      </c>
      <c r="J68" s="147">
        <f t="shared" si="6"/>
        <v>0.13263691986270698</v>
      </c>
      <c r="K68" s="147">
        <f t="shared" si="6"/>
        <v>0.14853573240075801</v>
      </c>
      <c r="L68" s="147">
        <f t="shared" si="6"/>
        <v>0.14853573240075801</v>
      </c>
    </row>
    <row r="69" spans="1:35">
      <c r="A69" s="89" t="s">
        <v>487</v>
      </c>
      <c r="B69" s="147">
        <f>Other_input_data!C37/Other_input_data!C65</f>
        <v>8.209108139951847E-2</v>
      </c>
      <c r="C69" s="147">
        <f>Other_input_data!D37/Other_input_data!D65</f>
        <v>8.1866008159759515E-2</v>
      </c>
      <c r="D69" s="147">
        <f>Other_input_data!E37/Other_input_data!E65</f>
        <v>0.10918764178459542</v>
      </c>
      <c r="E69" s="147">
        <f>Other_input_data!F37/Other_input_data!F65</f>
        <v>0.17289279728147305</v>
      </c>
      <c r="F69" s="147">
        <f>Other_input_data!G37/Other_input_data!G65</f>
        <v>0.15004740153408597</v>
      </c>
      <c r="G69" s="147">
        <f>Other_input_data!H37/Other_input_data!H65</f>
        <v>0.19106131024384038</v>
      </c>
      <c r="H69" s="147">
        <f>Other_input_data!I37/Other_input_data!I65</f>
        <v>0.20136594575085356</v>
      </c>
      <c r="I69" s="147">
        <f>Other_input_data!J37/Other_input_data!J65</f>
        <v>0.194948328935796</v>
      </c>
      <c r="J69" s="147">
        <f>Other_input_data!K37/Other_input_data!K65</f>
        <v>0.18268688690945986</v>
      </c>
      <c r="K69" s="147">
        <f>Other_input_data!L37/Other_input_data!L65</f>
        <v>0.19985343383584578</v>
      </c>
      <c r="L69" s="147">
        <f>Other_input_data!L37/Other_input_data!L65</f>
        <v>0.19985343383584578</v>
      </c>
    </row>
    <row r="70" spans="1:35">
      <c r="A70" s="89" t="s">
        <v>488</v>
      </c>
      <c r="B70" s="147">
        <f t="shared" ref="B70:L70" si="7">B85*(1-B78)</f>
        <v>5.7084344418572734E-2</v>
      </c>
      <c r="C70" s="147">
        <f t="shared" si="7"/>
        <v>5.8600136539888652E-2</v>
      </c>
      <c r="D70" s="147">
        <f t="shared" si="7"/>
        <v>8.5405107736114524E-2</v>
      </c>
      <c r="E70" s="147">
        <f t="shared" si="7"/>
        <v>0.12268132948713781</v>
      </c>
      <c r="F70" s="147">
        <f t="shared" si="7"/>
        <v>0.11145044941318735</v>
      </c>
      <c r="G70" s="147">
        <f t="shared" si="7"/>
        <v>0.14556380758306858</v>
      </c>
      <c r="H70" s="147">
        <f t="shared" si="7"/>
        <v>0.16248334945434276</v>
      </c>
      <c r="I70" s="147">
        <f t="shared" si="7"/>
        <v>0.15645398355778992</v>
      </c>
      <c r="J70" s="147">
        <f t="shared" si="7"/>
        <v>0.13774355707934163</v>
      </c>
      <c r="K70" s="147">
        <f t="shared" si="7"/>
        <v>0.15459259083312185</v>
      </c>
      <c r="L70" s="147">
        <f t="shared" si="7"/>
        <v>0.15459259083312185</v>
      </c>
    </row>
    <row r="71" spans="1:35">
      <c r="A71" s="89" t="s">
        <v>489</v>
      </c>
      <c r="B71" s="147"/>
      <c r="C71" s="147">
        <f>(Other_input_data!D80-Other_input_data!C80)/(Other_input_data!D63-Other_input_data!C63)</f>
        <v>2.5464886819610778E-2</v>
      </c>
      <c r="D71" s="147">
        <f>(Other_input_data!E80-Other_input_data!D80)/(Other_input_data!E63-Other_input_data!D63)</f>
        <v>-4.2946212382576485</v>
      </c>
      <c r="E71" s="147">
        <f>(Other_input_data!F80-Other_input_data!E80)/(Other_input_data!F63-Other_input_data!E63)</f>
        <v>0.33421603278168027</v>
      </c>
      <c r="F71" s="147">
        <f>(Other_input_data!G80-Other_input_data!F80)/(Other_input_data!G63-Other_input_data!F63)</f>
        <v>0.16739035333139002</v>
      </c>
      <c r="G71" s="147">
        <f>(Other_input_data!H80-Other_input_data!G80)/(Other_input_data!H63-Other_input_data!G63)</f>
        <v>-0.2042011068603469</v>
      </c>
      <c r="H71" s="147">
        <f>(Other_input_data!I80-Other_input_data!H80)/(Other_input_data!I63-Other_input_data!H63)</f>
        <v>0.27790365094059827</v>
      </c>
      <c r="I71" s="147">
        <f>(Other_input_data!J80-Other_input_data!I80)/(Other_input_data!J63-Other_input_data!I63)</f>
        <v>-0.43853705816258848</v>
      </c>
      <c r="J71" s="147">
        <f>(Other_input_data!K80-Other_input_data!J80)/(Other_input_data!K63-Other_input_data!J63)</f>
        <v>0.88747941279725362</v>
      </c>
      <c r="K71" s="147">
        <f>(Other_input_data!L80-Other_input_data!K80)/(Other_input_data!L63-Other_input_data!K63)</f>
        <v>0.373383338069252</v>
      </c>
      <c r="L71" s="147">
        <f>(Other_input_data!L80-Other_input_data!K80)/(Other_input_data!L63-Other_input_data!K63)</f>
        <v>0.373383338069252</v>
      </c>
    </row>
    <row r="72" spans="1:35" ht="15" customHeight="1">
      <c r="A72" s="89" t="s">
        <v>490</v>
      </c>
      <c r="B72" s="453"/>
      <c r="C72" s="454"/>
      <c r="D72" s="455"/>
      <c r="E72" s="147">
        <f>(Other_input_data!F80-Other_input_data!C80)/(Other_input_data!F63-Other_input_data!C63)</f>
        <v>0.69041298345453173</v>
      </c>
      <c r="F72" s="147">
        <f>(Other_input_data!G80-Other_input_data!D80)/(Other_input_data!G63-Other_input_data!D63)</f>
        <v>-0.69320474323397829</v>
      </c>
      <c r="G72" s="147">
        <f>(Other_input_data!H80-Other_input_data!E80)/(Other_input_data!H63-Other_input_data!E63)</f>
        <v>-0.25122214502345352</v>
      </c>
      <c r="H72" s="147">
        <f>(Other_input_data!I80-Other_input_data!F80)/(Other_input_data!I63-Other_input_data!F63)</f>
        <v>-6.7606559708343145E-2</v>
      </c>
      <c r="I72" s="147">
        <f>(Other_input_data!J80-Other_input_data!G80)/(Other_input_data!J63-Other_input_data!G63)</f>
        <v>1.1510749486622152</v>
      </c>
      <c r="J72" s="147">
        <f>(Other_input_data!K80-Other_input_data!H80)/(Other_input_data!K63-Other_input_data!H63)</f>
        <v>7.7264642917825338E-2</v>
      </c>
      <c r="K72" s="147">
        <f>(Other_input_data!L80-Other_input_data!I80)/(Other_input_data!L63-Other_input_data!I63)</f>
        <v>2.4753744429396811E-2</v>
      </c>
      <c r="L72" s="147">
        <f>(Other_input_data!L80-Other_input_data!I80)/(Other_input_data!L63-Other_input_data!I63)</f>
        <v>2.4753744429396811E-2</v>
      </c>
    </row>
    <row r="73" spans="1:35" ht="15" customHeight="1">
      <c r="A73" s="89" t="s">
        <v>491</v>
      </c>
      <c r="B73" s="453"/>
      <c r="C73" s="454"/>
      <c r="D73" s="454"/>
      <c r="E73" s="454"/>
      <c r="F73" s="455"/>
      <c r="G73" s="147">
        <f>(Other_input_data!H80-Other_input_data!C80)/(Other_input_data!H63-Other_input_data!C63)</f>
        <v>-0.30729607716630841</v>
      </c>
      <c r="H73" s="147">
        <f>(Other_input_data!I80-Other_input_data!D80)/(Other_input_data!I63-Other_input_data!D63)</f>
        <v>-2.9662741124218903</v>
      </c>
      <c r="I73" s="147">
        <f>(Other_input_data!J80-Other_input_data!E80)/(Other_input_data!J63-Other_input_data!E63)</f>
        <v>-3.9286357275058696</v>
      </c>
      <c r="J73" s="147">
        <f>(Other_input_data!K80-Other_input_data!F80)/(Other_input_data!K63-Other_input_data!F63)</f>
        <v>5.652463937186962E-2</v>
      </c>
      <c r="K73" s="147">
        <f>(Other_input_data!L80-Other_input_data!G80)/(Other_input_data!L63-Other_input_data!G63)</f>
        <v>0.59640924299155007</v>
      </c>
      <c r="L73" s="147">
        <f>(Other_input_data!L80-Other_input_data!G80)/(Other_input_data!L63-Other_input_data!G63)</f>
        <v>0.59640924299155007</v>
      </c>
    </row>
    <row r="74" spans="1:35" ht="15" customHeight="1">
      <c r="A74" s="89" t="s">
        <v>492</v>
      </c>
      <c r="B74" s="453"/>
      <c r="C74" s="454"/>
      <c r="D74" s="454"/>
      <c r="E74" s="454"/>
      <c r="F74" s="454"/>
      <c r="G74" s="454"/>
      <c r="H74" s="454"/>
      <c r="I74" s="454"/>
      <c r="J74" s="454"/>
      <c r="K74" s="455"/>
      <c r="L74" s="148">
        <f>(Other_input_data!L80-Other_input_data!C80)/(Other_input_data!L63-Other_input_data!C63)</f>
        <v>-4.4100560380839822</v>
      </c>
    </row>
    <row r="75" spans="1:35" ht="15" customHeight="1">
      <c r="A75" s="89"/>
      <c r="B75" s="149"/>
      <c r="C75" s="150"/>
      <c r="D75" s="151"/>
      <c r="E75" s="151"/>
      <c r="F75" s="151"/>
      <c r="G75" s="151"/>
      <c r="H75" s="151"/>
      <c r="I75" s="151"/>
      <c r="J75" s="151"/>
      <c r="K75" s="152"/>
    </row>
    <row r="76" spans="1:35">
      <c r="A76" s="153"/>
      <c r="B76" s="154">
        <f>B42</f>
        <v>39538</v>
      </c>
      <c r="C76" s="154">
        <f t="shared" ref="C76:L76" si="8">C42</f>
        <v>39903</v>
      </c>
      <c r="D76" s="154">
        <f t="shared" si="8"/>
        <v>40268</v>
      </c>
      <c r="E76" s="154">
        <f t="shared" si="8"/>
        <v>40633</v>
      </c>
      <c r="F76" s="154">
        <f t="shared" si="8"/>
        <v>40999</v>
      </c>
      <c r="G76" s="154">
        <f t="shared" si="8"/>
        <v>41364</v>
      </c>
      <c r="H76" s="154">
        <f t="shared" si="8"/>
        <v>41729</v>
      </c>
      <c r="I76" s="154">
        <f t="shared" si="8"/>
        <v>42094</v>
      </c>
      <c r="J76" s="154">
        <f t="shared" si="8"/>
        <v>42460</v>
      </c>
      <c r="K76" s="154">
        <f t="shared" si="8"/>
        <v>42825</v>
      </c>
      <c r="L76" s="154">
        <f t="shared" si="8"/>
        <v>42825</v>
      </c>
    </row>
    <row r="77" spans="1:35">
      <c r="A77" s="155" t="s">
        <v>151</v>
      </c>
      <c r="B77" s="156">
        <f>Other_input_data!C101</f>
        <v>1.7698502981444539</v>
      </c>
      <c r="C77" s="157">
        <f>Other_input_data!D101</f>
        <v>1.1371470529936205</v>
      </c>
      <c r="D77" s="157">
        <f>Other_input_data!E101</f>
        <v>2.7641117761397953</v>
      </c>
      <c r="E77" s="157">
        <f>Other_input_data!F101</f>
        <v>3.3057350588936827</v>
      </c>
      <c r="F77" s="157">
        <f>Other_input_data!G101</f>
        <v>3.6287759586240611</v>
      </c>
      <c r="G77" s="157">
        <f>Other_input_data!H101</f>
        <v>5.3841470069796689</v>
      </c>
      <c r="H77" s="157">
        <f>Other_input_data!I101</f>
        <v>7.8839029990497895</v>
      </c>
      <c r="I77" s="157">
        <f>Other_input_data!J101</f>
        <v>27.543054370737405</v>
      </c>
      <c r="J77" s="157">
        <f>Other_input_data!K101</f>
        <v>44.048424702306221</v>
      </c>
      <c r="K77" s="157">
        <f>Other_input_data!L101</f>
        <v>60.346200786815281</v>
      </c>
      <c r="L77" s="157">
        <f>Other_input_data!L101</f>
        <v>60.346200786815281</v>
      </c>
    </row>
    <row r="78" spans="1:35">
      <c r="A78" s="158" t="s">
        <v>133</v>
      </c>
      <c r="B78" s="159">
        <f>Other_input_data!C40/Other_input_data!C39</f>
        <v>0.30462184873949572</v>
      </c>
      <c r="C78" s="159">
        <f>Other_input_data!D40/Other_input_data!D39</f>
        <v>0.28419452887537988</v>
      </c>
      <c r="D78" s="159">
        <f>Other_input_data!E40/Other_input_data!E39</f>
        <v>0.21781342338539475</v>
      </c>
      <c r="E78" s="159">
        <f>Other_input_data!F40/Other_input_data!F39</f>
        <v>0.29041966226383575</v>
      </c>
      <c r="F78" s="159">
        <f>Other_input_data!G40/Other_input_data!G39</f>
        <v>0.25723172628304825</v>
      </c>
      <c r="G78" s="159">
        <f>Other_input_data!H40/Other_input_data!H39</f>
        <v>0.23813038130381292</v>
      </c>
      <c r="H78" s="159">
        <f>Other_input_data!I40/Other_input_data!I39</f>
        <v>0.19309420046932635</v>
      </c>
      <c r="I78" s="159">
        <f>Other_input_data!J40/Other_input_data!J39</f>
        <v>0.19745922208281047</v>
      </c>
      <c r="J78" s="159">
        <f>Other_input_data!K40/Other_input_data!K39</f>
        <v>0.24601289446895158</v>
      </c>
      <c r="K78" s="159">
        <f>Other_input_data!L40/Other_input_data!L39</f>
        <v>0.22647017934102615</v>
      </c>
      <c r="L78" s="181">
        <f>Other_input_data!L40/Other_input_data!L39</f>
        <v>0.22647017934102615</v>
      </c>
    </row>
    <row r="79" spans="1:35" ht="24">
      <c r="A79" s="158" t="s">
        <v>493</v>
      </c>
      <c r="B79" s="159"/>
      <c r="C79" s="159">
        <f>(Other_input_data!D46-Other_input_data!C46)/Other_input_data!C46</f>
        <v>0</v>
      </c>
      <c r="D79" s="159">
        <f>(Other_input_data!E46-Other_input_data!D46)/Other_input_data!D46</f>
        <v>0</v>
      </c>
      <c r="E79" s="159">
        <f>(Other_input_data!F46-Other_input_data!E46)/Other_input_data!E46</f>
        <v>0</v>
      </c>
      <c r="F79" s="159">
        <f>(Other_input_data!G46-Other_input_data!F46)/Other_input_data!F46</f>
        <v>0</v>
      </c>
      <c r="G79" s="159">
        <f>(Other_input_data!H46-Other_input_data!G46)/Other_input_data!G46</f>
        <v>0</v>
      </c>
      <c r="H79" s="159">
        <f>(Other_input_data!I46-Other_input_data!H46)/Other_input_data!H46</f>
        <v>0</v>
      </c>
      <c r="I79" s="159">
        <f>(Other_input_data!J46-Other_input_data!I46)/Other_input_data!I46</f>
        <v>0</v>
      </c>
      <c r="J79" s="159">
        <f>(Other_input_data!K46-Other_input_data!J46)/Other_input_data!J46</f>
        <v>0</v>
      </c>
      <c r="K79" s="159">
        <f>(Other_input_data!L46-Other_input_data!K46)/Other_input_data!K46</f>
        <v>-2.5510204081632563E-2</v>
      </c>
      <c r="L79" s="159">
        <f>(Other_input_data!L46-Other_input_data!K46)/Other_input_data!K46</f>
        <v>-2.5510204081632563E-2</v>
      </c>
      <c r="M79" s="136" t="e">
        <f>(L79/F79)^(1/6)-1</f>
        <v>#DIV/0!</v>
      </c>
      <c r="N79" s="136"/>
      <c r="O79" s="136"/>
      <c r="P79" s="136"/>
      <c r="Q79" s="136"/>
      <c r="R79" s="136"/>
      <c r="S79" s="136"/>
      <c r="T79" s="136"/>
      <c r="U79" s="136"/>
      <c r="V79" s="136"/>
      <c r="W79" s="136"/>
      <c r="X79" s="136"/>
      <c r="Y79" s="136"/>
      <c r="Z79" s="136"/>
      <c r="AA79" s="136"/>
      <c r="AB79" s="136"/>
      <c r="AC79" s="136"/>
      <c r="AD79" s="136"/>
      <c r="AE79" s="136"/>
      <c r="AF79" s="136"/>
      <c r="AG79" s="136"/>
      <c r="AH79" s="136"/>
      <c r="AI79" s="136"/>
    </row>
    <row r="80" spans="1:35" ht="36">
      <c r="A80" s="158" t="s">
        <v>494</v>
      </c>
      <c r="B80" s="160"/>
      <c r="C80" s="156">
        <f>((Other_input_data!D6-Other_input_data!C6)/Other_input_data!C6)/((Other_input_data!D32-Other_input_data!C32)/Other_input_data!C32)</f>
        <v>5.3015062695285338E-2</v>
      </c>
      <c r="D80" s="156">
        <f>((Other_input_data!E6-Other_input_data!D6)/Other_input_data!D6)/((Other_input_data!E32-Other_input_data!D32)/Other_input_data!D32)</f>
        <v>1.4909138488028788</v>
      </c>
      <c r="E80" s="156">
        <f>((Other_input_data!F6-Other_input_data!E6)/Other_input_data!E6)/((Other_input_data!F32-Other_input_data!E32)/Other_input_data!E32)</f>
        <v>0.1771746403146271</v>
      </c>
      <c r="F80" s="156">
        <f>((Other_input_data!G6-Other_input_data!F6)/Other_input_data!F6)/((Other_input_data!G32-Other_input_data!F32)/Other_input_data!F32)</f>
        <v>-2.3473801954983</v>
      </c>
      <c r="G80" s="156">
        <f>((Other_input_data!H6-Other_input_data!G6)/Other_input_data!G6)/((Other_input_data!H32-Other_input_data!G32)/Other_input_data!G32)</f>
        <v>5.3337750031851092</v>
      </c>
      <c r="H80" s="156">
        <f>((Other_input_data!I6-Other_input_data!H6)/Other_input_data!H6)/((Other_input_data!I32-Other_input_data!H32)/Other_input_data!H32)</f>
        <v>2.2246045080257812</v>
      </c>
      <c r="I80" s="156">
        <f>((Other_input_data!J6-Other_input_data!I6)/Other_input_data!I6)/((Other_input_data!J32-Other_input_data!I32)/Other_input_data!I32)</f>
        <v>2.2937182180734919</v>
      </c>
      <c r="J80" s="156">
        <f>((Other_input_data!K6-Other_input_data!J6)/Other_input_data!J6)/((Other_input_data!K32-Other_input_data!J32)/Other_input_data!J32)</f>
        <v>24.638383609207899</v>
      </c>
      <c r="K80" s="156">
        <f>((Other_input_data!L6-Other_input_data!K6)/Other_input_data!K6)/((Other_input_data!L32-Other_input_data!K32)/Other_input_data!K32)</f>
        <v>2.9989130484222537</v>
      </c>
      <c r="L80" s="156">
        <f>((Other_input_data!L6-Other_input_data!K6)/Other_input_data!K6)/((Other_input_data!L32-Other_input_data!K32)/Other_input_data!K32)</f>
        <v>2.9989130484222537</v>
      </c>
    </row>
    <row r="81" spans="1:35" ht="36">
      <c r="A81" s="158" t="s">
        <v>495</v>
      </c>
      <c r="B81" s="160"/>
      <c r="C81" s="156">
        <f>((Other_input_data!D7-Other_input_data!C7)/Other_input_data!C7)/((Other_input_data!D32-Other_input_data!C32)/Other_input_data!C32)</f>
        <v>4.9165701463056726</v>
      </c>
      <c r="D81" s="156">
        <f>((Other_input_data!E7-Other_input_data!D7)/Other_input_data!D7)/((Other_input_data!E32-Other_input_data!D32)/Other_input_data!D32)</f>
        <v>13.348886119617895</v>
      </c>
      <c r="E81" s="156">
        <f>((Other_input_data!F7-Other_input_data!E7)/Other_input_data!E7)/((Other_input_data!F32-Other_input_data!E32)/Other_input_data!E32)</f>
        <v>-0.18446193879214223</v>
      </c>
      <c r="F81" s="156">
        <f>((Other_input_data!G7-Other_input_data!F7)/Other_input_data!F7)/((Other_input_data!G32-Other_input_data!F32)/Other_input_data!F32)</f>
        <v>-2.6211136241340247</v>
      </c>
      <c r="G81" s="156">
        <f>((Other_input_data!H7-Other_input_data!G7)/Other_input_data!G7)/((Other_input_data!H32-Other_input_data!G32)/Other_input_data!G32)</f>
        <v>-17.716817078094472</v>
      </c>
      <c r="H81" s="156">
        <f>((Other_input_data!I7-Other_input_data!H7)/Other_input_data!H7)/((Other_input_data!I32-Other_input_data!H32)/Other_input_data!H32)</f>
        <v>-0.64009827750697157</v>
      </c>
      <c r="I81" s="156">
        <f>((Other_input_data!J7-Other_input_data!I7)/Other_input_data!I7)/((Other_input_data!J32-Other_input_data!I32)/Other_input_data!I32)</f>
        <v>1.5634694212165874</v>
      </c>
      <c r="J81" s="156">
        <f>((Other_input_data!K7-Other_input_data!J7)/Other_input_data!J7)/((Other_input_data!K32-Other_input_data!J32)/Other_input_data!J32)</f>
        <v>-360.80582921863146</v>
      </c>
      <c r="K81" s="156">
        <f>((Other_input_data!L7-Other_input_data!K7)/Other_input_data!K7)/((Other_input_data!L32-Other_input_data!K32)/Other_input_data!K32)</f>
        <v>16.600574062434525</v>
      </c>
      <c r="L81" s="156">
        <f>((Other_input_data!L7-Other_input_data!K7)/Other_input_data!K7)/((Other_input_data!L32-Other_input_data!K32)/Other_input_data!K32)</f>
        <v>16.600574062434525</v>
      </c>
    </row>
    <row r="82" spans="1:35">
      <c r="A82" s="158" t="s">
        <v>496</v>
      </c>
      <c r="B82" s="160"/>
      <c r="C82" s="160">
        <f>Other_input_data!D30/Other_input_data!D36</f>
        <v>0.87153931339977952</v>
      </c>
      <c r="D82" s="160">
        <f>Other_input_data!E30/Other_input_data!E36</f>
        <v>9.3556085918852588E-2</v>
      </c>
      <c r="E82" s="160">
        <f>Other_input_data!F30/Other_input_data!F36</f>
        <v>3.4673823286540064</v>
      </c>
      <c r="F82" s="160">
        <f>Other_input_data!G30/Other_input_data!G36</f>
        <v>0.18544776119402995</v>
      </c>
      <c r="G82" s="160">
        <f>Other_input_data!H30/Other_input_data!H36</f>
        <v>0.32737878235508555</v>
      </c>
      <c r="H82" s="160">
        <f>Other_input_data!I30/Other_input_data!I36</f>
        <v>0.94275774826059489</v>
      </c>
      <c r="I82" s="160">
        <f>Other_input_data!J30/Other_input_data!J36</f>
        <v>0.32219570405727971</v>
      </c>
      <c r="J82" s="160">
        <f>Other_input_data!K30/Other_input_data!K36</f>
        <v>0.50401069518716446</v>
      </c>
      <c r="K82" s="160">
        <f>Other_input_data!L30/Other_input_data!L36</f>
        <v>0.95877342419080136</v>
      </c>
      <c r="L82" s="160">
        <f>Other_input_data!L30/Other_input_data!L36</f>
        <v>0.95877342419080136</v>
      </c>
    </row>
    <row r="83" spans="1:35">
      <c r="A83" s="158" t="s">
        <v>17</v>
      </c>
      <c r="B83" s="181">
        <f>Other_input_data!C42/Other_input_data!C41</f>
        <v>8.8746223564954652E-2</v>
      </c>
      <c r="C83" s="181">
        <f>Other_input_data!D42/Other_input_data!D41</f>
        <v>0.12473460721868361</v>
      </c>
      <c r="D83" s="181">
        <f>Other_input_data!E42/Other_input_data!E41</f>
        <v>9.5116028062601221E-2</v>
      </c>
      <c r="E83" s="181">
        <f>Other_input_data!F42/Other_input_data!F41</f>
        <v>6.9215362865221564E-2</v>
      </c>
      <c r="F83" s="181">
        <f>Other_input_data!G42/Other_input_data!G41</f>
        <v>0.12301088777219435</v>
      </c>
      <c r="G83" s="181">
        <f>Other_input_data!H42/Other_input_data!H41</f>
        <v>0.18021472392638024</v>
      </c>
      <c r="H83" s="181">
        <f>Other_input_data!I42/Other_input_data!I41</f>
        <v>0.15254985459077708</v>
      </c>
      <c r="I83" s="181">
        <f>Other_input_data!J42/Other_input_data!J41</f>
        <v>0.16073871409028723</v>
      </c>
      <c r="J83" s="181">
        <f>Other_input_data!K42/Other_input_data!K41</f>
        <v>0.1983010801080109</v>
      </c>
      <c r="K83" s="181">
        <f>Other_input_data!L42/Other_input_data!L41</f>
        <v>0</v>
      </c>
      <c r="L83" s="181">
        <f>Other_input_data!L42/Other_input_data!L41</f>
        <v>0</v>
      </c>
      <c r="M83" s="136">
        <f>(L83/F83)^(1/6)-1</f>
        <v>-1</v>
      </c>
      <c r="N83" s="136"/>
      <c r="O83" s="136"/>
      <c r="P83" s="136"/>
      <c r="Q83" s="136"/>
      <c r="R83" s="136"/>
      <c r="S83" s="136"/>
      <c r="T83" s="136"/>
      <c r="U83" s="136"/>
      <c r="V83" s="136"/>
      <c r="W83" s="136"/>
      <c r="X83" s="136"/>
      <c r="Y83" s="136"/>
      <c r="Z83" s="136"/>
      <c r="AA83" s="136"/>
      <c r="AB83" s="136"/>
      <c r="AC83" s="136"/>
      <c r="AD83" s="136"/>
      <c r="AE83" s="136"/>
      <c r="AF83" s="136"/>
      <c r="AG83" s="136"/>
      <c r="AH83" s="136"/>
      <c r="AI83" s="136"/>
    </row>
    <row r="84" spans="1:35">
      <c r="A84" s="158" t="s">
        <v>497</v>
      </c>
      <c r="B84" s="161">
        <f>Other_input_data!C8/Other_input_data!C55</f>
        <v>2.8466483011937556E-2</v>
      </c>
      <c r="C84" s="161">
        <f>Other_input_data!D8/Other_input_data!D55</f>
        <v>5.0927194665205079E-3</v>
      </c>
      <c r="D84" s="161">
        <f>Other_input_data!E8/Other_input_data!E55</f>
        <v>1.204663769737125E-2</v>
      </c>
      <c r="E84" s="161">
        <f>Other_input_data!F8/Other_input_data!F55</f>
        <v>4.9013261323912925E-3</v>
      </c>
      <c r="F84" s="161">
        <f>Other_input_data!G8/Other_input_data!G55</f>
        <v>4.6568963155732088E-3</v>
      </c>
      <c r="G84" s="161">
        <f>Other_input_data!H8/Other_input_data!H55</f>
        <v>3.6211303606929852E-3</v>
      </c>
      <c r="H84" s="161">
        <f>Other_input_data!I8/Other_input_data!I55</f>
        <v>6.025023638322669E-3</v>
      </c>
      <c r="I84" s="161">
        <f>Other_input_data!J8/Other_input_data!J55</f>
        <v>6.3130751789445601E-3</v>
      </c>
      <c r="J84" s="161">
        <f>Other_input_data!K8/Other_input_data!K55</f>
        <v>1.1271989812762345E-2</v>
      </c>
      <c r="K84" s="161">
        <f>Other_input_data!L8/Other_input_data!L55</f>
        <v>2.8297724837713496E-2</v>
      </c>
      <c r="L84" s="182">
        <f>Other_input_data!L8/Other_input_data!L55</f>
        <v>2.8297724837713496E-2</v>
      </c>
    </row>
    <row r="85" spans="1:35" ht="24">
      <c r="A85" s="158" t="s">
        <v>498</v>
      </c>
      <c r="B85" s="159">
        <f>Other_input_data!C37/Other_input_data!C63</f>
        <v>8.2091081399518484E-2</v>
      </c>
      <c r="C85" s="159">
        <f>Other_input_data!D37/Other_input_data!D63</f>
        <v>8.1866008159759515E-2</v>
      </c>
      <c r="D85" s="159">
        <f>Other_input_data!E37/Other_input_data!E63</f>
        <v>0.10918764178459543</v>
      </c>
      <c r="E85" s="159">
        <f>Other_input_data!F37/Other_input_data!F63</f>
        <v>0.17289279728147303</v>
      </c>
      <c r="F85" s="159">
        <f>Other_input_data!G37/Other_input_data!G63</f>
        <v>0.15004740153408599</v>
      </c>
      <c r="G85" s="159">
        <f>Other_input_data!H37/Other_input_data!H63</f>
        <v>0.19106131024384038</v>
      </c>
      <c r="H85" s="159">
        <f>Other_input_data!I37/Other_input_data!I63</f>
        <v>0.20136594575085356</v>
      </c>
      <c r="I85" s="159">
        <f>Other_input_data!J37/Other_input_data!J63</f>
        <v>0.19494832893579603</v>
      </c>
      <c r="J85" s="159">
        <f>Other_input_data!K37/Other_input_data!K63</f>
        <v>0.18268688690945986</v>
      </c>
      <c r="K85" s="159">
        <f>Other_input_data!L37/Other_input_data!L63</f>
        <v>0.19985343383584575</v>
      </c>
      <c r="L85" s="159">
        <f>Other_input_data!L37/Other_input_data!L63</f>
        <v>0.19985343383584575</v>
      </c>
    </row>
    <row r="86" spans="1:35">
      <c r="A86" s="158" t="s">
        <v>499</v>
      </c>
      <c r="B86" s="159">
        <v>0.1</v>
      </c>
      <c r="C86" s="159">
        <v>0.1</v>
      </c>
      <c r="D86" s="159">
        <v>0.1</v>
      </c>
      <c r="E86" s="159">
        <v>0.1</v>
      </c>
      <c r="F86" s="159">
        <v>0.1</v>
      </c>
      <c r="G86" s="159">
        <v>0.1</v>
      </c>
      <c r="H86" s="159">
        <v>0.1</v>
      </c>
      <c r="I86" s="159">
        <v>0.1</v>
      </c>
      <c r="J86" s="159">
        <v>0.1</v>
      </c>
      <c r="K86" s="159">
        <v>0.1</v>
      </c>
      <c r="L86" s="162">
        <v>0.1</v>
      </c>
    </row>
    <row r="87" spans="1:35">
      <c r="A87" s="158" t="s">
        <v>413</v>
      </c>
      <c r="B87" s="160">
        <f>Other_input_data!C63*(Analysis2!B70-Analysis2!B86)</f>
        <v>-16.755130252100834</v>
      </c>
      <c r="C87" s="160">
        <f>Other_input_data!D63*(Analysis2!C70-Analysis2!C86)</f>
        <v>-15.423933130699085</v>
      </c>
      <c r="D87" s="160">
        <f>Other_input_data!E63*(Analysis2!D70-Analysis2!D86)</f>
        <v>-5.4041967074715158</v>
      </c>
      <c r="E87" s="160">
        <f>Other_input_data!F63*(Analysis2!E70-Analysis2!E86)</f>
        <v>9.8783994315331274</v>
      </c>
      <c r="F87" s="160">
        <f>Other_input_data!G63*(Analysis2!F70-Analysis2!F86)</f>
        <v>3.9857869362363831</v>
      </c>
      <c r="G87" s="160">
        <f>Other_input_data!H63*(Analysis2!G70-Analysis2!G86)</f>
        <v>14.313414514145162</v>
      </c>
      <c r="H87" s="160">
        <f>Other_input_data!I63*(Analysis2!H70-Analysis2!H86)</f>
        <v>22.505877639959717</v>
      </c>
      <c r="I87" s="160">
        <f>Other_input_data!J63*(Analysis2!I70-Analysis2!I86)</f>
        <v>20.540217377666281</v>
      </c>
      <c r="J87" s="160">
        <f>Other_input_data!K63*(Analysis2!J70-Analysis2!J86)</f>
        <v>13.389904309467235</v>
      </c>
      <c r="K87" s="160">
        <f>Other_input_data!L63*(Analysis2!K70-Analysis2!K86)</f>
        <v>20.858737105519197</v>
      </c>
      <c r="L87" s="160">
        <f>Other_input_data!L63*(Analysis2!L70-Analysis2!L86)</f>
        <v>20.858737105519197</v>
      </c>
    </row>
    <row r="88" spans="1:35">
      <c r="A88" s="158" t="s">
        <v>414</v>
      </c>
      <c r="B88" s="159">
        <f>B87/Other_input_data!C32</f>
        <v>-0.10758398774945957</v>
      </c>
      <c r="C88" s="159">
        <f>C87/Other_input_data!D32</f>
        <v>-8.6773182169896407E-2</v>
      </c>
      <c r="D88" s="159">
        <f>D87/Other_input_data!E32</f>
        <v>-2.5972974035043572E-2</v>
      </c>
      <c r="E88" s="159">
        <f>E87/Other_input_data!F32</f>
        <v>3.02295104704484E-2</v>
      </c>
      <c r="F88" s="159">
        <f>F87/Other_input_data!G32</f>
        <v>1.0234662428708872E-2</v>
      </c>
      <c r="G88" s="159">
        <f>G87/Other_input_data!H32</f>
        <v>3.598233870671752E-2</v>
      </c>
      <c r="H88" s="159">
        <f>H87/Other_input_data!I32</f>
        <v>4.7203904610008215E-2</v>
      </c>
      <c r="I88" s="159">
        <f>I87/Other_input_data!J32</f>
        <v>4.1497903666214676E-2</v>
      </c>
      <c r="J88" s="159">
        <f>J87/Other_input_data!K32</f>
        <v>2.720751068693306E-2</v>
      </c>
      <c r="K88" s="159">
        <f>K87/Other_input_data!L32</f>
        <v>3.9485740176275312E-2</v>
      </c>
      <c r="L88" s="159">
        <f>L87/Other_input_data!L32</f>
        <v>3.9485740176275312E-2</v>
      </c>
    </row>
    <row r="89" spans="1:35" ht="15" customHeight="1">
      <c r="A89" s="163" t="s">
        <v>500</v>
      </c>
      <c r="B89" s="44">
        <f>Other_input_data!C43</f>
        <v>64.286488375000005</v>
      </c>
      <c r="C89" s="164">
        <f>Other_input_data!D43</f>
        <v>30.104479362500001</v>
      </c>
      <c r="D89" s="164">
        <f>Other_input_data!E43</f>
        <v>98.884643025000003</v>
      </c>
      <c r="E89" s="164">
        <f>Other_input_data!F43</f>
        <v>128.1925</v>
      </c>
      <c r="F89" s="164">
        <f>Other_input_data!G43</f>
        <v>86.206348962500002</v>
      </c>
      <c r="G89" s="164">
        <f>Other_input_data!H43</f>
        <v>116.67586792499999</v>
      </c>
      <c r="H89" s="164">
        <f>Other_input_data!I43</f>
        <v>173.03421065000001</v>
      </c>
      <c r="I89" s="164">
        <f>Other_input_data!J43</f>
        <v>510.71375</v>
      </c>
      <c r="J89" s="164">
        <f>Other_input_data!K43</f>
        <v>495.99687500000005</v>
      </c>
      <c r="K89" s="164">
        <f>Other_input_data!L43</f>
        <v>780.58115113500003</v>
      </c>
      <c r="L89" s="164">
        <f>Other_input_data!L43</f>
        <v>780.58115113500003</v>
      </c>
    </row>
    <row r="90" spans="1:35" ht="15" customHeight="1">
      <c r="A90" s="165" t="s">
        <v>501</v>
      </c>
      <c r="B90" s="166"/>
      <c r="D90" s="167">
        <f t="shared" ref="D90:L90" si="9">D89-C89</f>
        <v>68.780163662500001</v>
      </c>
      <c r="E90" s="167">
        <f t="shared" si="9"/>
        <v>29.307856974999993</v>
      </c>
      <c r="F90" s="167">
        <f t="shared" si="9"/>
        <v>-41.986151037499994</v>
      </c>
      <c r="G90" s="167">
        <f t="shared" si="9"/>
        <v>30.46951896249999</v>
      </c>
      <c r="H90" s="167">
        <f t="shared" si="9"/>
        <v>56.358342725000014</v>
      </c>
      <c r="I90" s="167">
        <f t="shared" si="9"/>
        <v>337.67953935000003</v>
      </c>
      <c r="J90" s="167">
        <f t="shared" si="9"/>
        <v>-14.716874999999959</v>
      </c>
      <c r="K90" s="167">
        <f t="shared" si="9"/>
        <v>284.58427613499998</v>
      </c>
      <c r="L90" s="167">
        <f t="shared" si="9"/>
        <v>0</v>
      </c>
    </row>
    <row r="91" spans="1:35">
      <c r="A91" s="168" t="s">
        <v>502</v>
      </c>
      <c r="B91" s="169"/>
      <c r="D91" s="169">
        <f t="shared" ref="D91:L91" si="10">D90-C87</f>
        <v>84.204096793199085</v>
      </c>
      <c r="E91" s="169">
        <f t="shared" si="10"/>
        <v>34.712053682471506</v>
      </c>
      <c r="F91" s="169">
        <f t="shared" si="10"/>
        <v>-51.864550469033119</v>
      </c>
      <c r="G91" s="169">
        <f t="shared" si="10"/>
        <v>26.483732026263606</v>
      </c>
      <c r="H91" s="169">
        <f t="shared" si="10"/>
        <v>42.044928210854849</v>
      </c>
      <c r="I91" s="169">
        <f t="shared" si="10"/>
        <v>315.17366171004034</v>
      </c>
      <c r="J91" s="169">
        <f t="shared" si="10"/>
        <v>-35.25709237766624</v>
      </c>
      <c r="K91" s="169">
        <f t="shared" si="10"/>
        <v>271.19437182553276</v>
      </c>
      <c r="L91" s="169">
        <f t="shared" si="10"/>
        <v>-20.858737105519197</v>
      </c>
    </row>
    <row r="92" spans="1:35">
      <c r="A92" s="76"/>
      <c r="B92" s="170"/>
      <c r="C92" s="170"/>
      <c r="D92" s="170"/>
      <c r="E92" s="170"/>
      <c r="F92" s="170"/>
      <c r="G92" s="170"/>
      <c r="H92" s="170"/>
      <c r="I92" s="170"/>
      <c r="J92" s="170"/>
      <c r="K92" s="170"/>
    </row>
    <row r="93" spans="1:35" ht="24">
      <c r="A93" s="165" t="s">
        <v>503</v>
      </c>
      <c r="B93" s="171">
        <f>SUM(Other_input_data!C30:L30)/SUM(Other_input_data!C77:L77)</f>
        <v>0.30873163053811031</v>
      </c>
      <c r="C93" s="233" t="s">
        <v>564</v>
      </c>
      <c r="D93" s="172"/>
      <c r="E93" s="172"/>
      <c r="F93" s="172"/>
      <c r="G93" s="172"/>
      <c r="H93" s="172"/>
      <c r="I93" s="172"/>
      <c r="J93" s="172"/>
      <c r="K93" s="172"/>
    </row>
    <row r="94" spans="1:35" ht="24">
      <c r="A94" s="165" t="s">
        <v>504</v>
      </c>
      <c r="B94" s="171">
        <f>SUM(Other_input_data!F30:L30)/SUM(Other_input_data!F77:L77)</f>
        <v>0.35250786455382094</v>
      </c>
      <c r="C94" s="173"/>
      <c r="D94" s="173"/>
      <c r="E94" s="173"/>
      <c r="F94" s="173"/>
      <c r="G94" s="173"/>
      <c r="H94" s="173"/>
      <c r="I94" s="173"/>
      <c r="J94" s="173"/>
      <c r="K94" s="173"/>
    </row>
    <row r="95" spans="1:35" ht="24">
      <c r="A95" s="165" t="s">
        <v>505</v>
      </c>
      <c r="B95" s="171">
        <f>SUM(Other_input_data!H30:L30)/SUM(Other_input_data!H77:L77)</f>
        <v>0.30115245307869604</v>
      </c>
      <c r="C95" s="174"/>
      <c r="D95" s="174"/>
      <c r="E95" s="174"/>
      <c r="F95" s="174"/>
      <c r="G95" s="174"/>
      <c r="H95" s="174"/>
      <c r="I95" s="174"/>
      <c r="J95" s="174"/>
      <c r="K95" s="174"/>
    </row>
    <row r="96" spans="1:35" ht="24">
      <c r="A96" s="165" t="s">
        <v>506</v>
      </c>
      <c r="B96" s="171">
        <f>SUM(Other_input_data!J30:L30)/SUM(Other_input_data!J77:L77)</f>
        <v>0.29511962794867475</v>
      </c>
      <c r="C96" s="175"/>
      <c r="D96" s="175"/>
      <c r="E96" s="175"/>
      <c r="F96" s="175"/>
      <c r="G96" s="175"/>
      <c r="H96" s="175"/>
      <c r="I96" s="175"/>
      <c r="J96" s="175"/>
      <c r="K96" s="175"/>
    </row>
    <row r="97" spans="1:3" ht="24">
      <c r="A97" s="168" t="s">
        <v>507</v>
      </c>
      <c r="B97" s="169">
        <f>SUM(Other_input_data!D30:M30)/SUM(Other_input_data!D36:M36)</f>
        <v>-0.2348535846516325</v>
      </c>
      <c r="C97" s="233" t="s">
        <v>564</v>
      </c>
    </row>
    <row r="98" spans="1:3">
      <c r="B98" s="176"/>
    </row>
    <row r="99" spans="1:3" ht="24">
      <c r="A99" s="60" t="s">
        <v>508</v>
      </c>
      <c r="B99" s="177">
        <f>AVERAGE(I60:K60)</f>
        <v>0.19838446773105703</v>
      </c>
    </row>
    <row r="100" spans="1:3" ht="24">
      <c r="A100" s="60" t="s">
        <v>509</v>
      </c>
      <c r="B100" s="177">
        <f>AVERAGE(G60:K60)</f>
        <v>0.20668751653750736</v>
      </c>
    </row>
    <row r="101" spans="1:3" ht="24">
      <c r="A101" s="60" t="s">
        <v>510</v>
      </c>
      <c r="B101" s="178">
        <f>AVERAGE(I64:K64)</f>
        <v>1.3767478076967736</v>
      </c>
    </row>
    <row r="102" spans="1:3" ht="24">
      <c r="A102" s="60" t="s">
        <v>511</v>
      </c>
      <c r="B102" s="178">
        <f>AVERAGE(G64:K64)</f>
        <v>1.3440432493699042</v>
      </c>
    </row>
    <row r="103" spans="1:3">
      <c r="A103" s="60" t="s">
        <v>512</v>
      </c>
      <c r="B103" s="177">
        <f>AVERAGE(I70:K70)</f>
        <v>0.14959671049008447</v>
      </c>
    </row>
    <row r="104" spans="1:3">
      <c r="A104" s="60" t="s">
        <v>513</v>
      </c>
      <c r="B104" s="177">
        <f>AVERAGE(G70:K70)</f>
        <v>0.15136745770153295</v>
      </c>
    </row>
    <row r="105" spans="1:3" ht="24">
      <c r="A105" s="60" t="s">
        <v>514</v>
      </c>
      <c r="B105" s="178">
        <f>AVERAGE(Other_input_data!J63:L63)</f>
        <v>366.89333333333326</v>
      </c>
    </row>
    <row r="106" spans="1:3" ht="24">
      <c r="A106" s="60" t="s">
        <v>515</v>
      </c>
      <c r="B106" s="178">
        <f>AVERAGE(Other_input_data!G63:L63)</f>
        <v>353.84999999999997</v>
      </c>
    </row>
    <row r="107" spans="1:3">
      <c r="A107" s="60" t="s">
        <v>516</v>
      </c>
      <c r="B107" s="179">
        <f>AVERAGE(I88:K88)</f>
        <v>3.6063718176474351E-2</v>
      </c>
    </row>
    <row r="108" spans="1:3">
      <c r="A108" s="60" t="s">
        <v>517</v>
      </c>
      <c r="B108" s="179">
        <f>AVERAGE(G88:K88)</f>
        <v>3.8275479569229762E-2</v>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S110"/>
  <sheetViews>
    <sheetView workbookViewId="0">
      <selection activeCell="B13" sqref="B13"/>
    </sheetView>
  </sheetViews>
  <sheetFormatPr defaultRowHeight="1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c r="A1" s="461" t="str">
        <f>CONCATENATE('Data Sheet'!B1,"    : 3-Stage DCF")</f>
        <v>AMBIKA COTTON MILLS LTD    : 3-Stage DCF</v>
      </c>
      <c r="B1" s="462"/>
      <c r="C1" s="463"/>
      <c r="D1" s="183"/>
      <c r="E1" s="16"/>
      <c r="F1" s="16"/>
      <c r="G1" s="16"/>
      <c r="H1" s="16"/>
      <c r="I1" s="16"/>
      <c r="J1" s="16"/>
      <c r="K1" s="16"/>
      <c r="L1" s="16"/>
    </row>
    <row r="2" spans="1:19" ht="4.5" customHeight="1" thickBot="1">
      <c r="A2" s="464"/>
      <c r="B2" s="465"/>
      <c r="C2" s="466"/>
      <c r="D2" s="183"/>
      <c r="M2" s="38"/>
    </row>
    <row r="3" spans="1:19">
      <c r="A3" s="467" t="s">
        <v>518</v>
      </c>
      <c r="B3" s="467"/>
      <c r="C3" s="467"/>
      <c r="D3" s="459" t="s">
        <v>519</v>
      </c>
      <c r="E3" s="459"/>
      <c r="F3" s="39">
        <f>Analysis2!B24</f>
        <v>0.10534585242115625</v>
      </c>
      <c r="G3" s="184" t="s">
        <v>520</v>
      </c>
      <c r="H3" s="184"/>
      <c r="I3" s="185">
        <f>Analysis2!H14</f>
        <v>1.2316262353998204</v>
      </c>
      <c r="M3" s="38"/>
      <c r="N3" s="468" t="s">
        <v>521</v>
      </c>
      <c r="O3" s="469"/>
      <c r="P3" s="183"/>
      <c r="Q3" s="468" t="s">
        <v>522</v>
      </c>
      <c r="R3" s="469"/>
      <c r="S3" s="183"/>
    </row>
    <row r="4" spans="1:19" ht="15" customHeight="1">
      <c r="A4" s="183" t="s">
        <v>523</v>
      </c>
      <c r="B4" s="42">
        <f>Analysis2!K13/3</f>
        <v>41.933333333333344</v>
      </c>
      <c r="C4" s="183"/>
      <c r="D4" s="459" t="s">
        <v>524</v>
      </c>
      <c r="E4" s="459"/>
      <c r="F4" s="39">
        <f>AVERAGE('Financial Analysis'!E31:K31)</f>
        <v>9.5589660085923192E-2</v>
      </c>
      <c r="G4" s="459" t="s">
        <v>525</v>
      </c>
      <c r="H4" s="459"/>
      <c r="I4" s="185">
        <f>Analysis2!H12</f>
        <v>1.3180851525541426</v>
      </c>
      <c r="M4" s="38"/>
      <c r="N4" s="186" t="s">
        <v>526</v>
      </c>
      <c r="O4" s="187">
        <f>(B45*B30)+B45</f>
        <v>48.445081440862538</v>
      </c>
      <c r="P4" s="183"/>
      <c r="Q4" s="186" t="s">
        <v>526</v>
      </c>
      <c r="R4" s="187">
        <f>(G45*B31)+G45</f>
        <v>37.996142306558852</v>
      </c>
      <c r="S4" s="183"/>
    </row>
    <row r="5" spans="1:19">
      <c r="A5" s="188" t="s">
        <v>527</v>
      </c>
      <c r="B5" s="189">
        <f>'Financial Analysis'!N46</f>
        <v>-5.1772515101816574E-2</v>
      </c>
      <c r="C5" s="183"/>
      <c r="D5" s="459" t="s">
        <v>528</v>
      </c>
      <c r="E5" s="459"/>
      <c r="F5" s="35">
        <f>'Financial Analysis'!L78</f>
        <v>0</v>
      </c>
      <c r="G5" s="459" t="s">
        <v>234</v>
      </c>
      <c r="H5" s="459"/>
      <c r="I5" s="227">
        <f>Other_input_data!M56</f>
        <v>0</v>
      </c>
      <c r="J5" s="190"/>
      <c r="K5" s="190"/>
      <c r="L5" s="190"/>
      <c r="M5" s="190"/>
      <c r="N5" s="191" t="s">
        <v>529</v>
      </c>
      <c r="O5" s="187">
        <f>SUM(D36:D45)</f>
        <v>291.83730770069428</v>
      </c>
      <c r="Q5" s="191" t="s">
        <v>529</v>
      </c>
      <c r="R5" s="187">
        <f>SUM(I36:I45)</f>
        <v>233.46984616055548</v>
      </c>
    </row>
    <row r="6" spans="1:19">
      <c r="A6" s="188" t="s">
        <v>530</v>
      </c>
      <c r="B6" s="192">
        <v>0.2</v>
      </c>
      <c r="C6" s="183"/>
      <c r="D6" s="459" t="s">
        <v>531</v>
      </c>
      <c r="E6" s="459"/>
      <c r="F6" s="228">
        <f>AVERAGE('Financial Analysis'!G78:K78)</f>
        <v>0.13832511811816606</v>
      </c>
      <c r="G6" s="459" t="s">
        <v>532</v>
      </c>
      <c r="H6" s="459"/>
      <c r="I6" s="193">
        <v>0.24</v>
      </c>
      <c r="N6" s="186" t="s">
        <v>533</v>
      </c>
      <c r="O6" s="187">
        <f>((O4)/($B$28-$B$30))/(1+$B$28)^A45</f>
        <v>233.47095069239612</v>
      </c>
      <c r="Q6" s="186" t="s">
        <v>533</v>
      </c>
      <c r="R6" s="187">
        <f>((R4)/($B$29-$B$31))/(1+$B$29)^F45</f>
        <v>146.49157690503284</v>
      </c>
    </row>
    <row r="7" spans="1:19">
      <c r="A7" t="s">
        <v>534</v>
      </c>
      <c r="B7" s="34">
        <f>AVERAGE(Other_input_data!D30:M30)/AVERAGE(Other_input_data!D56:M56)</f>
        <v>-2.1778910118102412E-2</v>
      </c>
      <c r="C7" s="183"/>
      <c r="D7" s="459" t="s">
        <v>535</v>
      </c>
      <c r="E7" s="459"/>
      <c r="F7" s="43">
        <f>Analysis2!K14</f>
        <v>40.399999999999984</v>
      </c>
      <c r="G7" s="459" t="s">
        <v>10</v>
      </c>
      <c r="H7" s="459"/>
      <c r="I7" s="185">
        <f>AVERAGE('Financial Analysis'!G24:K24)</f>
        <v>0.10902386764060761</v>
      </c>
      <c r="N7" s="186" t="s">
        <v>536</v>
      </c>
      <c r="O7" s="187">
        <f>O5+O6</f>
        <v>525.30825839309045</v>
      </c>
      <c r="P7" s="183"/>
      <c r="Q7" s="186" t="s">
        <v>536</v>
      </c>
      <c r="R7" s="187">
        <f>R5+R6</f>
        <v>379.96142306558829</v>
      </c>
    </row>
    <row r="8" spans="1:19">
      <c r="A8" s="188"/>
      <c r="B8" s="194"/>
      <c r="C8" s="183"/>
      <c r="D8" s="459" t="s">
        <v>537</v>
      </c>
      <c r="E8" s="459"/>
      <c r="F8" s="39">
        <f>Analysis2!B21</f>
        <v>7.339374974600732E-2</v>
      </c>
      <c r="G8" s="459" t="s">
        <v>538</v>
      </c>
      <c r="H8" s="459"/>
      <c r="I8" s="39">
        <f>Analysis2!B19</f>
        <v>6.2873144929614933E-2</v>
      </c>
      <c r="N8" s="186" t="s">
        <v>539</v>
      </c>
      <c r="O8" s="195">
        <f>B32</f>
        <v>0.57249642913823207</v>
      </c>
      <c r="P8" s="183"/>
      <c r="Q8" s="186" t="s">
        <v>539</v>
      </c>
      <c r="R8" s="195">
        <f>B32</f>
        <v>0.57249642913823207</v>
      </c>
    </row>
    <row r="9" spans="1:19" ht="15.75" thickBot="1">
      <c r="A9" s="188"/>
      <c r="B9" s="194"/>
      <c r="C9" s="183"/>
      <c r="D9" s="184"/>
      <c r="E9" s="184"/>
      <c r="N9" s="196" t="s">
        <v>540</v>
      </c>
      <c r="O9" s="197">
        <f>(O7-B33)/O8</f>
        <v>904.68382339557638</v>
      </c>
      <c r="P9" s="183"/>
      <c r="Q9" s="196" t="s">
        <v>540</v>
      </c>
      <c r="R9" s="197">
        <f>(R7-B33)/R8</f>
        <v>650.80130478093633</v>
      </c>
    </row>
    <row r="10" spans="1:19" ht="13.5" customHeight="1" thickBot="1">
      <c r="A10" s="198" t="s">
        <v>541</v>
      </c>
      <c r="B10" s="199">
        <v>1</v>
      </c>
      <c r="C10" s="199">
        <v>2</v>
      </c>
      <c r="D10" s="200">
        <v>3</v>
      </c>
      <c r="E10" s="201">
        <v>4</v>
      </c>
      <c r="F10" s="201">
        <v>5</v>
      </c>
      <c r="G10" s="201">
        <v>6</v>
      </c>
      <c r="H10" s="201">
        <v>7</v>
      </c>
      <c r="I10" s="201">
        <v>8</v>
      </c>
      <c r="J10" s="201">
        <v>9</v>
      </c>
      <c r="K10" s="201">
        <v>10</v>
      </c>
      <c r="N10" s="202" t="s">
        <v>542</v>
      </c>
      <c r="O10" s="203">
        <f>O5/O7</f>
        <v>0.55555438742467123</v>
      </c>
      <c r="P10" s="40"/>
      <c r="Q10" s="202" t="s">
        <v>542</v>
      </c>
      <c r="R10" s="203">
        <f>R5/R7</f>
        <v>0.61445671057046836</v>
      </c>
      <c r="S10" s="183"/>
    </row>
    <row r="11" spans="1:19" ht="13.5" customHeight="1">
      <c r="A11" s="198" t="s">
        <v>163</v>
      </c>
      <c r="B11" s="192">
        <v>0</v>
      </c>
      <c r="C11" s="192">
        <v>0</v>
      </c>
      <c r="D11" s="192">
        <v>0</v>
      </c>
      <c r="E11" s="192">
        <v>0</v>
      </c>
      <c r="F11" s="192">
        <v>0</v>
      </c>
      <c r="G11" s="192">
        <v>0</v>
      </c>
      <c r="H11" s="192">
        <v>0</v>
      </c>
      <c r="I11" s="192">
        <v>0</v>
      </c>
      <c r="J11" s="192">
        <v>0</v>
      </c>
      <c r="K11" s="192">
        <v>0</v>
      </c>
      <c r="N11" s="202" t="s">
        <v>543</v>
      </c>
      <c r="O11" s="203">
        <f>O6/O7</f>
        <v>0.44444561257532866</v>
      </c>
      <c r="P11" s="40"/>
      <c r="Q11" s="202" t="s">
        <v>543</v>
      </c>
      <c r="R11" s="203">
        <f>R6/R7</f>
        <v>0.3855432894295317</v>
      </c>
      <c r="S11" s="183"/>
    </row>
    <row r="12" spans="1:19" ht="13.5" customHeight="1">
      <c r="A12" s="198" t="s">
        <v>544</v>
      </c>
      <c r="B12" s="204">
        <f>'Data Sheet'!K17*(1+B11)</f>
        <v>528.26</v>
      </c>
      <c r="C12" s="204">
        <f>B12*(1+C11)</f>
        <v>528.26</v>
      </c>
      <c r="D12" s="204">
        <f t="shared" ref="D12:K12" si="0">C12*(1+D11)</f>
        <v>528.26</v>
      </c>
      <c r="E12" s="204">
        <f t="shared" si="0"/>
        <v>528.26</v>
      </c>
      <c r="F12" s="204">
        <f t="shared" si="0"/>
        <v>528.26</v>
      </c>
      <c r="G12" s="204">
        <f t="shared" si="0"/>
        <v>528.26</v>
      </c>
      <c r="H12" s="204">
        <f t="shared" si="0"/>
        <v>528.26</v>
      </c>
      <c r="I12" s="204">
        <f t="shared" si="0"/>
        <v>528.26</v>
      </c>
      <c r="J12" s="204">
        <f t="shared" si="0"/>
        <v>528.26</v>
      </c>
      <c r="K12" s="204">
        <f t="shared" si="0"/>
        <v>528.26</v>
      </c>
      <c r="S12" s="183"/>
    </row>
    <row r="13" spans="1:19" ht="13.5" customHeight="1">
      <c r="A13" s="198" t="s">
        <v>199</v>
      </c>
      <c r="B13" s="205">
        <v>7.2999999999999995E-2</v>
      </c>
      <c r="C13" s="205">
        <v>7.2999999999999995E-2</v>
      </c>
      <c r="D13" s="205">
        <v>7.2999999999999995E-2</v>
      </c>
      <c r="E13" s="205">
        <v>7.2999999999999995E-2</v>
      </c>
      <c r="F13" s="205">
        <v>7.2999999999999995E-2</v>
      </c>
      <c r="G13" s="205">
        <v>7.2999999999999995E-2</v>
      </c>
      <c r="H13" s="205">
        <v>7.2999999999999995E-2</v>
      </c>
      <c r="I13" s="205">
        <v>7.2999999999999995E-2</v>
      </c>
      <c r="J13" s="205">
        <v>7.2999999999999995E-2</v>
      </c>
      <c r="K13" s="205">
        <v>7.2999999999999995E-2</v>
      </c>
      <c r="N13" s="236" t="s">
        <v>587</v>
      </c>
      <c r="O13" s="190">
        <f>'Data Sheet'!B8</f>
        <v>1260.2</v>
      </c>
      <c r="Q13" s="236" t="s">
        <v>587</v>
      </c>
      <c r="R13" s="237">
        <f>'Data Sheet'!B8</f>
        <v>1260.2</v>
      </c>
    </row>
    <row r="14" spans="1:19" ht="13.5" customHeight="1">
      <c r="A14" s="198" t="s">
        <v>115</v>
      </c>
      <c r="B14" s="206">
        <f>B12*B13</f>
        <v>38.562979999999996</v>
      </c>
      <c r="C14" s="206">
        <f t="shared" ref="C14:K14" si="1">C12*C13</f>
        <v>38.562979999999996</v>
      </c>
      <c r="D14" s="206">
        <f t="shared" si="1"/>
        <v>38.562979999999996</v>
      </c>
      <c r="E14" s="206">
        <f t="shared" si="1"/>
        <v>38.562979999999996</v>
      </c>
      <c r="F14" s="206">
        <f t="shared" si="1"/>
        <v>38.562979999999996</v>
      </c>
      <c r="G14" s="206">
        <f t="shared" si="1"/>
        <v>38.562979999999996</v>
      </c>
      <c r="H14" s="206">
        <f t="shared" si="1"/>
        <v>38.562979999999996</v>
      </c>
      <c r="I14" s="206">
        <f t="shared" si="1"/>
        <v>38.562979999999996</v>
      </c>
      <c r="J14" s="206">
        <f t="shared" si="1"/>
        <v>38.562979999999996</v>
      </c>
      <c r="K14" s="206">
        <f t="shared" si="1"/>
        <v>38.562979999999996</v>
      </c>
    </row>
    <row r="15" spans="1:19" ht="13.5" customHeight="1">
      <c r="A15" s="198" t="s">
        <v>301</v>
      </c>
      <c r="B15" s="206">
        <f t="shared" ref="B15:K15" si="2">MIN($I$3,$I$4)*B14</f>
        <v>47.495177883198565</v>
      </c>
      <c r="C15" s="206">
        <f t="shared" si="2"/>
        <v>47.495177883198565</v>
      </c>
      <c r="D15" s="206">
        <f t="shared" si="2"/>
        <v>47.495177883198565</v>
      </c>
      <c r="E15" s="206">
        <f t="shared" si="2"/>
        <v>47.495177883198565</v>
      </c>
      <c r="F15" s="206">
        <f t="shared" si="2"/>
        <v>47.495177883198565</v>
      </c>
      <c r="G15" s="206">
        <f t="shared" si="2"/>
        <v>47.495177883198565</v>
      </c>
      <c r="H15" s="206">
        <f t="shared" si="2"/>
        <v>47.495177883198565</v>
      </c>
      <c r="I15" s="206">
        <f t="shared" si="2"/>
        <v>47.495177883198565</v>
      </c>
      <c r="J15" s="206">
        <f t="shared" si="2"/>
        <v>47.495177883198565</v>
      </c>
      <c r="K15" s="206">
        <f t="shared" si="2"/>
        <v>47.495177883198565</v>
      </c>
      <c r="N15" s="238" t="s">
        <v>592</v>
      </c>
      <c r="O15" s="240">
        <f>(O9-O13)/O9</f>
        <v>-0.39297284577285174</v>
      </c>
      <c r="Q15" s="238" t="s">
        <v>593</v>
      </c>
      <c r="R15" s="240">
        <f>(R9-R13)/R9</f>
        <v>-0.93638210424945445</v>
      </c>
    </row>
    <row r="16" spans="1:19" ht="13.5" customHeight="1">
      <c r="A16" s="198" t="s">
        <v>234</v>
      </c>
      <c r="B16" s="206">
        <f>I5*(1-I7)</f>
        <v>0</v>
      </c>
      <c r="C16" s="206">
        <f>(B16+B21)*(1-$I$7)</f>
        <v>0</v>
      </c>
      <c r="D16" s="206">
        <f t="shared" ref="D16:K16" si="3">(C16+C21)*(1-$I$7)</f>
        <v>0</v>
      </c>
      <c r="E16" s="206">
        <f t="shared" si="3"/>
        <v>0</v>
      </c>
      <c r="F16" s="206">
        <f t="shared" si="3"/>
        <v>0</v>
      </c>
      <c r="G16" s="206">
        <f t="shared" si="3"/>
        <v>0</v>
      </c>
      <c r="H16" s="206">
        <f t="shared" si="3"/>
        <v>0</v>
      </c>
      <c r="I16" s="206">
        <f t="shared" si="3"/>
        <v>0</v>
      </c>
      <c r="J16" s="206">
        <f t="shared" si="3"/>
        <v>0</v>
      </c>
      <c r="K16" s="206">
        <f t="shared" si="3"/>
        <v>0</v>
      </c>
    </row>
    <row r="17" spans="1:18" ht="13.5" customHeight="1">
      <c r="A17" s="198" t="s">
        <v>545</v>
      </c>
      <c r="B17" s="207">
        <f>AVERAGE($B$7*(B11/$I$8),$B$7)</f>
        <v>-1.0889455059051206E-2</v>
      </c>
      <c r="C17" s="207">
        <f t="shared" ref="C17:K17" si="4">AVERAGE($B$7*(C11/$I$8),$B$7)</f>
        <v>-1.0889455059051206E-2</v>
      </c>
      <c r="D17" s="207">
        <f t="shared" si="4"/>
        <v>-1.0889455059051206E-2</v>
      </c>
      <c r="E17" s="207">
        <f t="shared" si="4"/>
        <v>-1.0889455059051206E-2</v>
      </c>
      <c r="F17" s="207">
        <f t="shared" si="4"/>
        <v>-1.0889455059051206E-2</v>
      </c>
      <c r="G17" s="207">
        <f t="shared" si="4"/>
        <v>-1.0889455059051206E-2</v>
      </c>
      <c r="H17" s="207">
        <f t="shared" si="4"/>
        <v>-1.0889455059051206E-2</v>
      </c>
      <c r="I17" s="207">
        <f t="shared" si="4"/>
        <v>-1.0889455059051206E-2</v>
      </c>
      <c r="J17" s="207">
        <f t="shared" si="4"/>
        <v>-1.0889455059051206E-2</v>
      </c>
      <c r="K17" s="207">
        <f t="shared" si="4"/>
        <v>-1.0889455059051206E-2</v>
      </c>
      <c r="N17" t="str">
        <f>'PE Forecast'!D13</f>
        <v>Aggressive PE 2 Quarters Forward</v>
      </c>
      <c r="O17" s="42">
        <f>'PE Forecast'!E13</f>
        <v>9.593066635064103</v>
      </c>
      <c r="Q17" s="239" t="s">
        <v>589</v>
      </c>
      <c r="R17" s="240">
        <f>($O$20-O17)/$O$20</f>
        <v>-0.24769029704998982</v>
      </c>
    </row>
    <row r="18" spans="1:18" ht="13.5" customHeight="1">
      <c r="A18" s="198" t="s">
        <v>546</v>
      </c>
      <c r="B18" s="208">
        <v>-0.4</v>
      </c>
      <c r="C18" s="208">
        <v>-0.4</v>
      </c>
      <c r="D18" s="208">
        <v>-0.6</v>
      </c>
      <c r="E18" s="208">
        <v>0</v>
      </c>
      <c r="F18" s="208">
        <v>0</v>
      </c>
      <c r="G18" s="208">
        <v>0.5</v>
      </c>
      <c r="H18" s="208">
        <v>2.1</v>
      </c>
      <c r="I18" s="208">
        <v>-0.4</v>
      </c>
      <c r="J18" s="208">
        <v>-0.4</v>
      </c>
      <c r="K18" s="208">
        <v>-0.6</v>
      </c>
      <c r="N18" t="str">
        <f>'PE Forecast'!D14</f>
        <v>Moderate PE 2 Quarters Forward</v>
      </c>
      <c r="O18" s="42">
        <f>'PE Forecast'!E14</f>
        <v>10.588119820584641</v>
      </c>
      <c r="Q18" s="239" t="s">
        <v>590</v>
      </c>
      <c r="R18" s="240">
        <f>($O$20-O18)/$O$20</f>
        <v>-0.37710857921689594</v>
      </c>
    </row>
    <row r="19" spans="1:18" ht="13.5" customHeight="1">
      <c r="A19" s="198" t="s">
        <v>547</v>
      </c>
      <c r="B19" s="209">
        <f>B17*B18</f>
        <v>4.3557820236204822E-3</v>
      </c>
      <c r="C19" s="209">
        <f t="shared" ref="C19:K19" si="5">C17*C18</f>
        <v>4.3557820236204822E-3</v>
      </c>
      <c r="D19" s="209">
        <f t="shared" si="5"/>
        <v>6.5336730354307237E-3</v>
      </c>
      <c r="E19" s="209">
        <f t="shared" si="5"/>
        <v>0</v>
      </c>
      <c r="F19" s="209">
        <f t="shared" si="5"/>
        <v>0</v>
      </c>
      <c r="G19" s="209">
        <f t="shared" si="5"/>
        <v>-5.444727529525603E-3</v>
      </c>
      <c r="H19" s="209">
        <f t="shared" si="5"/>
        <v>-2.2867855624007533E-2</v>
      </c>
      <c r="I19" s="209">
        <f t="shared" si="5"/>
        <v>4.3557820236204822E-3</v>
      </c>
      <c r="J19" s="209">
        <f t="shared" si="5"/>
        <v>4.3557820236204822E-3</v>
      </c>
      <c r="K19" s="209">
        <f t="shared" si="5"/>
        <v>6.5336730354307237E-3</v>
      </c>
      <c r="N19" t="str">
        <f>'PE Forecast'!D15</f>
        <v>Conservative PE 2 Quarters Forward</v>
      </c>
      <c r="O19" s="42">
        <f>'PE Forecast'!E15</f>
        <v>12.539065956740025</v>
      </c>
      <c r="Q19" s="239" t="s">
        <v>591</v>
      </c>
      <c r="R19" s="240">
        <f>($O$20-O19)/$O$20</f>
        <v>-0.63085189788112361</v>
      </c>
    </row>
    <row r="20" spans="1:18" ht="13.5" customHeight="1">
      <c r="A20" s="198" t="s">
        <v>548</v>
      </c>
      <c r="B20" s="209">
        <f>B17+B19</f>
        <v>-6.5336730354307237E-3</v>
      </c>
      <c r="C20" s="209">
        <f t="shared" ref="C20:K20" si="6">C17+C19</f>
        <v>-6.5336730354307237E-3</v>
      </c>
      <c r="D20" s="209">
        <f t="shared" si="6"/>
        <v>-4.3557820236204822E-3</v>
      </c>
      <c r="E20" s="209">
        <f t="shared" si="6"/>
        <v>-1.0889455059051206E-2</v>
      </c>
      <c r="F20" s="209">
        <f t="shared" si="6"/>
        <v>-1.0889455059051206E-2</v>
      </c>
      <c r="G20" s="209">
        <f t="shared" si="6"/>
        <v>-1.6334182588576808E-2</v>
      </c>
      <c r="H20" s="209">
        <f t="shared" si="6"/>
        <v>-3.375731068305874E-2</v>
      </c>
      <c r="I20" s="209">
        <f t="shared" si="6"/>
        <v>-6.5336730354307237E-3</v>
      </c>
      <c r="J20" s="209">
        <f t="shared" si="6"/>
        <v>-6.5336730354307237E-3</v>
      </c>
      <c r="K20" s="209">
        <f t="shared" si="6"/>
        <v>-4.3557820236204822E-3</v>
      </c>
      <c r="N20" t="s">
        <v>588</v>
      </c>
      <c r="O20" s="41">
        <f>Analysis2!B5</f>
        <v>7.6886601248288367</v>
      </c>
      <c r="P20" s="40"/>
      <c r="R20" s="40"/>
    </row>
    <row r="21" spans="1:18" ht="13.5" customHeight="1">
      <c r="A21" s="198" t="s">
        <v>219</v>
      </c>
      <c r="B21" s="206">
        <f>B20*B16</f>
        <v>0</v>
      </c>
      <c r="C21" s="206">
        <f t="shared" ref="C21:K21" si="7">C20*C16</f>
        <v>0</v>
      </c>
      <c r="D21" s="206">
        <f t="shared" si="7"/>
        <v>0</v>
      </c>
      <c r="E21" s="206">
        <f t="shared" si="7"/>
        <v>0</v>
      </c>
      <c r="F21" s="206">
        <f t="shared" si="7"/>
        <v>0</v>
      </c>
      <c r="G21" s="206">
        <f t="shared" si="7"/>
        <v>0</v>
      </c>
      <c r="H21" s="206">
        <f t="shared" si="7"/>
        <v>0</v>
      </c>
      <c r="I21" s="206">
        <f t="shared" si="7"/>
        <v>0</v>
      </c>
      <c r="J21" s="206">
        <f t="shared" si="7"/>
        <v>0</v>
      </c>
      <c r="K21" s="206">
        <f t="shared" si="7"/>
        <v>0</v>
      </c>
      <c r="P21" s="40"/>
      <c r="Q21" s="242" t="s">
        <v>594</v>
      </c>
      <c r="R21" s="41">
        <f>'Data Sheet'!B9/('Data Sheet'!K57+'Data Sheet'!K58)</f>
        <v>1.9259990923409593</v>
      </c>
    </row>
    <row r="22" spans="1:18" ht="13.5" customHeight="1">
      <c r="A22" s="198" t="s">
        <v>549</v>
      </c>
      <c r="B22" s="210">
        <v>0</v>
      </c>
      <c r="C22" s="210">
        <v>0</v>
      </c>
      <c r="D22" s="210">
        <v>0</v>
      </c>
      <c r="E22" s="210">
        <v>0.1</v>
      </c>
      <c r="F22" s="210">
        <v>0</v>
      </c>
      <c r="G22" s="210">
        <v>0</v>
      </c>
      <c r="H22" s="210">
        <v>0</v>
      </c>
      <c r="I22" s="210">
        <v>0.1</v>
      </c>
      <c r="J22" s="210">
        <v>0</v>
      </c>
      <c r="K22" s="210">
        <v>0</v>
      </c>
      <c r="N22" s="245" t="s">
        <v>600</v>
      </c>
      <c r="O22" s="246">
        <v>1.2</v>
      </c>
      <c r="P22" s="40"/>
      <c r="Q22" s="242" t="s">
        <v>595</v>
      </c>
      <c r="R22" s="241">
        <f>Analysis2!C5</f>
        <v>1.1491477903562208</v>
      </c>
    </row>
    <row r="23" spans="1:18" ht="13.5" customHeight="1">
      <c r="A23" s="198" t="s">
        <v>396</v>
      </c>
      <c r="B23" s="206">
        <f>B14*($F$5*(1+B22))</f>
        <v>0</v>
      </c>
      <c r="C23" s="206">
        <f t="shared" ref="C23:K23" si="8">C14*($F$5*(1+C22))</f>
        <v>0</v>
      </c>
      <c r="D23" s="206">
        <f t="shared" si="8"/>
        <v>0</v>
      </c>
      <c r="E23" s="206">
        <f t="shared" si="8"/>
        <v>0</v>
      </c>
      <c r="F23" s="206">
        <f t="shared" si="8"/>
        <v>0</v>
      </c>
      <c r="G23" s="206">
        <f t="shared" si="8"/>
        <v>0</v>
      </c>
      <c r="H23" s="206">
        <f t="shared" si="8"/>
        <v>0</v>
      </c>
      <c r="I23" s="206">
        <f t="shared" si="8"/>
        <v>0</v>
      </c>
      <c r="J23" s="206">
        <f t="shared" si="8"/>
        <v>0</v>
      </c>
      <c r="K23" s="206">
        <f t="shared" si="8"/>
        <v>0</v>
      </c>
      <c r="N23" s="245" t="s">
        <v>601</v>
      </c>
      <c r="O23" s="246">
        <v>1</v>
      </c>
      <c r="P23" s="40"/>
      <c r="Q23" t="s">
        <v>597</v>
      </c>
      <c r="R23" s="34">
        <f>(('Data Sheet'!K57+'Data Sheet'!K58)-('Data Sheet'!J57+'Data Sheet'!J58))/('Data Sheet'!J57+'Data Sheet'!J58)</f>
        <v>0.11801223697955535</v>
      </c>
    </row>
    <row r="24" spans="1:18" ht="13.5" customHeight="1">
      <c r="A24" s="198" t="s">
        <v>550</v>
      </c>
      <c r="B24" s="206">
        <f>B15-B21</f>
        <v>47.495177883198565</v>
      </c>
      <c r="C24" s="206">
        <f t="shared" ref="C24:K24" si="9">C15-C21</f>
        <v>47.495177883198565</v>
      </c>
      <c r="D24" s="206">
        <f t="shared" si="9"/>
        <v>47.495177883198565</v>
      </c>
      <c r="E24" s="206">
        <f t="shared" si="9"/>
        <v>47.495177883198565</v>
      </c>
      <c r="F24" s="206">
        <f t="shared" si="9"/>
        <v>47.495177883198565</v>
      </c>
      <c r="G24" s="206">
        <f t="shared" si="9"/>
        <v>47.495177883198565</v>
      </c>
      <c r="H24" s="206">
        <f t="shared" si="9"/>
        <v>47.495177883198565</v>
      </c>
      <c r="I24" s="206">
        <f t="shared" si="9"/>
        <v>47.495177883198565</v>
      </c>
      <c r="J24" s="206">
        <f t="shared" si="9"/>
        <v>47.495177883198565</v>
      </c>
      <c r="K24" s="206">
        <f t="shared" si="9"/>
        <v>47.495177883198565</v>
      </c>
      <c r="N24" s="245" t="s">
        <v>602</v>
      </c>
      <c r="O24" s="246">
        <v>0.7</v>
      </c>
      <c r="P24" s="40"/>
      <c r="Q24" t="s">
        <v>599</v>
      </c>
      <c r="R24" s="243">
        <f>'Data Sheet'!B9/(('Data Sheet'!K57+'Data Sheet'!K58)*(1+R23))</f>
        <v>1.7226994737949184</v>
      </c>
    </row>
    <row r="25" spans="1:18" ht="13.5" customHeight="1">
      <c r="A25" s="198" t="s">
        <v>551</v>
      </c>
      <c r="B25" s="206">
        <f t="shared" ref="B25:K25" si="10">B24*(1-$B$6)</f>
        <v>37.996142306558852</v>
      </c>
      <c r="C25" s="206">
        <f t="shared" si="10"/>
        <v>37.996142306558852</v>
      </c>
      <c r="D25" s="206">
        <f t="shared" si="10"/>
        <v>37.996142306558852</v>
      </c>
      <c r="E25" s="206">
        <f t="shared" si="10"/>
        <v>37.996142306558852</v>
      </c>
      <c r="F25" s="206">
        <f t="shared" si="10"/>
        <v>37.996142306558852</v>
      </c>
      <c r="G25" s="206">
        <f t="shared" si="10"/>
        <v>37.996142306558852</v>
      </c>
      <c r="H25" s="206">
        <f t="shared" si="10"/>
        <v>37.996142306558852</v>
      </c>
      <c r="I25" s="206">
        <f t="shared" si="10"/>
        <v>37.996142306558852</v>
      </c>
      <c r="J25" s="206">
        <f t="shared" si="10"/>
        <v>37.996142306558852</v>
      </c>
      <c r="K25" s="206">
        <f t="shared" si="10"/>
        <v>37.996142306558852</v>
      </c>
      <c r="P25" s="40"/>
    </row>
    <row r="26" spans="1:18">
      <c r="A26" s="188" t="s">
        <v>552</v>
      </c>
      <c r="B26" s="189">
        <f>(B24-F7)/F7</f>
        <v>0.17562321493065799</v>
      </c>
      <c r="C26" s="189">
        <f>(C24-B24)/B24</f>
        <v>0</v>
      </c>
      <c r="D26" s="189">
        <f t="shared" ref="D26:K27" si="11">(D24-C24)/C24</f>
        <v>0</v>
      </c>
      <c r="E26" s="189">
        <f t="shared" si="11"/>
        <v>0</v>
      </c>
      <c r="F26" s="189">
        <f t="shared" si="11"/>
        <v>0</v>
      </c>
      <c r="G26" s="189">
        <f t="shared" si="11"/>
        <v>0</v>
      </c>
      <c r="H26" s="189">
        <f t="shared" si="11"/>
        <v>0</v>
      </c>
      <c r="I26" s="189">
        <f t="shared" si="11"/>
        <v>0</v>
      </c>
      <c r="J26" s="189">
        <f t="shared" si="11"/>
        <v>0</v>
      </c>
      <c r="K26" s="189">
        <f t="shared" si="11"/>
        <v>0</v>
      </c>
      <c r="P26" s="40"/>
      <c r="Q26" s="239" t="s">
        <v>596</v>
      </c>
      <c r="R26" s="244">
        <f>(R22-R21)/R22</f>
        <v>-0.67602384001793603</v>
      </c>
    </row>
    <row r="27" spans="1:18">
      <c r="A27" s="188" t="s">
        <v>553</v>
      </c>
      <c r="B27" s="189">
        <f>(B25-$F$7)/$F$7</f>
        <v>-5.95014280554736E-2</v>
      </c>
      <c r="C27" s="189">
        <f>(C25-B25)/B25</f>
        <v>0</v>
      </c>
      <c r="D27" s="189">
        <f t="shared" si="11"/>
        <v>0</v>
      </c>
      <c r="E27" s="189">
        <f t="shared" si="11"/>
        <v>0</v>
      </c>
      <c r="F27" s="189">
        <f t="shared" si="11"/>
        <v>0</v>
      </c>
      <c r="G27" s="189">
        <f t="shared" si="11"/>
        <v>0</v>
      </c>
      <c r="H27" s="189">
        <f t="shared" si="11"/>
        <v>0</v>
      </c>
      <c r="I27" s="189">
        <f t="shared" si="11"/>
        <v>0</v>
      </c>
      <c r="J27" s="189">
        <f t="shared" si="11"/>
        <v>0</v>
      </c>
      <c r="K27" s="189">
        <f t="shared" si="11"/>
        <v>0</v>
      </c>
      <c r="P27" s="40"/>
      <c r="Q27" s="239" t="s">
        <v>598</v>
      </c>
      <c r="R27" s="244">
        <f>(R22-R24)/R22</f>
        <v>-0.49911046103208712</v>
      </c>
    </row>
    <row r="28" spans="1:18">
      <c r="A28" s="188" t="s">
        <v>554</v>
      </c>
      <c r="B28" s="192">
        <v>0.1</v>
      </c>
      <c r="C28" s="211"/>
      <c r="D28" s="211"/>
    </row>
    <row r="29" spans="1:18">
      <c r="A29" s="188" t="s">
        <v>555</v>
      </c>
      <c r="B29" s="192">
        <v>0.1</v>
      </c>
      <c r="C29" s="211"/>
      <c r="D29" s="211"/>
    </row>
    <row r="30" spans="1:18">
      <c r="A30" s="188" t="s">
        <v>556</v>
      </c>
      <c r="B30" s="192">
        <v>0.02</v>
      </c>
      <c r="C30" s="211"/>
      <c r="D30" s="211"/>
      <c r="M30" s="36"/>
    </row>
    <row r="31" spans="1:18">
      <c r="A31" s="188" t="s">
        <v>557</v>
      </c>
      <c r="B31" s="192">
        <v>0</v>
      </c>
      <c r="C31" s="211"/>
      <c r="D31" s="211"/>
      <c r="M31" s="36"/>
    </row>
    <row r="32" spans="1:18">
      <c r="A32" s="188" t="s">
        <v>558</v>
      </c>
      <c r="B32" s="212">
        <f>'Data Sheet'!B6</f>
        <v>0.57249642913823207</v>
      </c>
      <c r="C32" s="183"/>
      <c r="D32" s="183"/>
      <c r="M32" s="38"/>
    </row>
    <row r="33" spans="1:13">
      <c r="A33" s="213" t="s">
        <v>559</v>
      </c>
      <c r="B33" s="212">
        <f>'Data Sheet'!K59-'Data Sheet'!K64</f>
        <v>7.38</v>
      </c>
      <c r="C33" s="183"/>
      <c r="D33" s="183"/>
      <c r="M33" s="38"/>
    </row>
    <row r="34" spans="1:13" ht="18" customHeight="1" thickBot="1">
      <c r="A34" s="460" t="s">
        <v>521</v>
      </c>
      <c r="B34" s="460"/>
      <c r="C34" s="460"/>
      <c r="D34" s="460"/>
      <c r="F34" s="460" t="s">
        <v>560</v>
      </c>
      <c r="G34" s="460"/>
      <c r="H34" s="460"/>
      <c r="I34" s="460"/>
    </row>
    <row r="35" spans="1:13">
      <c r="A35" s="214" t="s">
        <v>561</v>
      </c>
      <c r="B35" s="215" t="s">
        <v>302</v>
      </c>
      <c r="C35" s="215" t="s">
        <v>562</v>
      </c>
      <c r="D35" s="216" t="s">
        <v>563</v>
      </c>
      <c r="F35" s="214" t="s">
        <v>561</v>
      </c>
      <c r="G35" s="215" t="s">
        <v>302</v>
      </c>
      <c r="H35" s="215" t="s">
        <v>562</v>
      </c>
      <c r="I35" s="216" t="s">
        <v>563</v>
      </c>
    </row>
    <row r="36" spans="1:13">
      <c r="A36" s="217">
        <v>1</v>
      </c>
      <c r="B36" s="218">
        <f>B24+B23</f>
        <v>47.495177883198565</v>
      </c>
      <c r="C36" s="219">
        <f>B26</f>
        <v>0.17562321493065799</v>
      </c>
      <c r="D36" s="220">
        <f>B36/((1+$B$28)^A36)</f>
        <v>43.177434439271423</v>
      </c>
      <c r="F36" s="217">
        <v>1</v>
      </c>
      <c r="G36" s="218">
        <f>B25+B23</f>
        <v>37.996142306558852</v>
      </c>
      <c r="H36" s="219">
        <f>B27</f>
        <v>-5.95014280554736E-2</v>
      </c>
      <c r="I36" s="220">
        <f>G36/((1+$B$29)^F36)</f>
        <v>34.541947551417138</v>
      </c>
    </row>
    <row r="37" spans="1:13">
      <c r="A37" s="217">
        <v>2</v>
      </c>
      <c r="B37" s="218">
        <f>C24+C23</f>
        <v>47.495177883198565</v>
      </c>
      <c r="C37" s="219">
        <f>(B37-B36)/B36</f>
        <v>0</v>
      </c>
      <c r="D37" s="220">
        <f t="shared" ref="D37:D45" si="12">B37/((1+$B$28)^A37)</f>
        <v>39.252213126610378</v>
      </c>
      <c r="F37" s="217">
        <v>2</v>
      </c>
      <c r="G37" s="218">
        <f>C25+C23</f>
        <v>37.996142306558852</v>
      </c>
      <c r="H37" s="219">
        <f>(G37-G36)/G36</f>
        <v>0</v>
      </c>
      <c r="I37" s="220">
        <f>G37/((1+$B$29)^F37)</f>
        <v>31.401770501288304</v>
      </c>
    </row>
    <row r="38" spans="1:13">
      <c r="A38" s="217">
        <v>3</v>
      </c>
      <c r="B38" s="218">
        <f>D24+D23</f>
        <v>47.495177883198565</v>
      </c>
      <c r="C38" s="219">
        <f t="shared" ref="C38:C45" si="13">(B38-B37)/B37</f>
        <v>0</v>
      </c>
      <c r="D38" s="220">
        <f t="shared" si="12"/>
        <v>35.683830115100335</v>
      </c>
      <c r="F38" s="217">
        <v>3</v>
      </c>
      <c r="G38" s="218">
        <f>D25+D23</f>
        <v>37.996142306558852</v>
      </c>
      <c r="H38" s="219">
        <f t="shared" ref="H38:H45" si="14">(G38-G37)/G37</f>
        <v>0</v>
      </c>
      <c r="I38" s="220">
        <f>G38/((1+$B$29)^F38)</f>
        <v>28.547064092080269</v>
      </c>
    </row>
    <row r="39" spans="1:13">
      <c r="A39" s="217">
        <v>4</v>
      </c>
      <c r="B39" s="218">
        <f>E24+E23</f>
        <v>47.495177883198565</v>
      </c>
      <c r="C39" s="219">
        <f t="shared" si="13"/>
        <v>0</v>
      </c>
      <c r="D39" s="220">
        <f t="shared" si="12"/>
        <v>32.439845559182125</v>
      </c>
      <c r="F39" s="217">
        <v>4</v>
      </c>
      <c r="G39" s="218">
        <f>E25+E23</f>
        <v>37.996142306558852</v>
      </c>
      <c r="H39" s="219">
        <f t="shared" si="14"/>
        <v>0</v>
      </c>
      <c r="I39" s="220">
        <f>G39/((1+$B$29)^F39)</f>
        <v>25.9518764473457</v>
      </c>
    </row>
    <row r="40" spans="1:13">
      <c r="A40" s="217">
        <v>5</v>
      </c>
      <c r="B40" s="218">
        <f>F24+F23</f>
        <v>47.495177883198565</v>
      </c>
      <c r="C40" s="219">
        <f t="shared" si="13"/>
        <v>0</v>
      </c>
      <c r="D40" s="220">
        <f t="shared" si="12"/>
        <v>29.490768690165567</v>
      </c>
      <c r="F40" s="217">
        <v>5</v>
      </c>
      <c r="G40" s="218">
        <f>F25+F23</f>
        <v>37.996142306558852</v>
      </c>
      <c r="H40" s="219">
        <f t="shared" si="14"/>
        <v>0</v>
      </c>
      <c r="I40" s="220">
        <f>G40/((1+$B$29)^F40)</f>
        <v>23.592614952132454</v>
      </c>
    </row>
    <row r="41" spans="1:13">
      <c r="A41" s="217">
        <v>6</v>
      </c>
      <c r="B41" s="218">
        <f>G24+G23</f>
        <v>47.495177883198565</v>
      </c>
      <c r="C41" s="219">
        <f t="shared" si="13"/>
        <v>0</v>
      </c>
      <c r="D41" s="220">
        <f t="shared" si="12"/>
        <v>26.809789718332333</v>
      </c>
      <c r="F41" s="217">
        <v>6</v>
      </c>
      <c r="G41" s="218">
        <f>G25+G23</f>
        <v>37.996142306558852</v>
      </c>
      <c r="H41" s="219">
        <f t="shared" si="14"/>
        <v>0</v>
      </c>
      <c r="I41" s="220">
        <f t="shared" ref="I41:I45" si="15">G41/((1+$B$29)^F41)</f>
        <v>21.447831774665865</v>
      </c>
    </row>
    <row r="42" spans="1:13">
      <c r="A42" s="217">
        <v>7</v>
      </c>
      <c r="B42" s="218">
        <f>H24+H23</f>
        <v>47.495177883198565</v>
      </c>
      <c r="C42" s="219">
        <f t="shared" si="13"/>
        <v>0</v>
      </c>
      <c r="D42" s="220">
        <f t="shared" si="12"/>
        <v>24.372536107574842</v>
      </c>
      <c r="F42" s="217">
        <v>7</v>
      </c>
      <c r="G42" s="218">
        <f>H25+H23</f>
        <v>37.996142306558852</v>
      </c>
      <c r="H42" s="219">
        <f t="shared" si="14"/>
        <v>0</v>
      </c>
      <c r="I42" s="220">
        <f t="shared" si="15"/>
        <v>19.498028886059874</v>
      </c>
    </row>
    <row r="43" spans="1:13">
      <c r="A43" s="217">
        <v>8</v>
      </c>
      <c r="B43" s="218">
        <f>I24+I23</f>
        <v>47.495177883198565</v>
      </c>
      <c r="C43" s="219">
        <f t="shared" si="13"/>
        <v>0</v>
      </c>
      <c r="D43" s="220">
        <f t="shared" si="12"/>
        <v>22.156851006886221</v>
      </c>
      <c r="F43" s="217">
        <v>8</v>
      </c>
      <c r="G43" s="218">
        <f>I25+I23</f>
        <v>37.996142306558852</v>
      </c>
      <c r="H43" s="219">
        <f t="shared" si="14"/>
        <v>0</v>
      </c>
      <c r="I43" s="220">
        <f t="shared" si="15"/>
        <v>17.72548080550898</v>
      </c>
    </row>
    <row r="44" spans="1:13">
      <c r="A44" s="217">
        <v>9</v>
      </c>
      <c r="B44" s="218">
        <f>J24+J23</f>
        <v>47.495177883198565</v>
      </c>
      <c r="C44" s="219">
        <f t="shared" si="13"/>
        <v>0</v>
      </c>
      <c r="D44" s="220">
        <f t="shared" si="12"/>
        <v>20.142591824442018</v>
      </c>
      <c r="F44" s="217">
        <v>9</v>
      </c>
      <c r="G44" s="218">
        <f>J25+J23</f>
        <v>37.996142306558852</v>
      </c>
      <c r="H44" s="219">
        <f t="shared" si="14"/>
        <v>0</v>
      </c>
      <c r="I44" s="220">
        <f t="shared" si="15"/>
        <v>16.114073459553616</v>
      </c>
    </row>
    <row r="45" spans="1:13" ht="15.75" thickBot="1">
      <c r="A45" s="221">
        <v>10</v>
      </c>
      <c r="B45" s="218">
        <f>K24+K23</f>
        <v>47.495177883198565</v>
      </c>
      <c r="C45" s="219">
        <f t="shared" si="13"/>
        <v>0</v>
      </c>
      <c r="D45" s="222">
        <f t="shared" si="12"/>
        <v>18.311447113129105</v>
      </c>
      <c r="F45" s="221">
        <v>10</v>
      </c>
      <c r="G45" s="223">
        <f>K25+K23</f>
        <v>37.996142306558852</v>
      </c>
      <c r="H45" s="219">
        <f t="shared" si="14"/>
        <v>0</v>
      </c>
      <c r="I45" s="220">
        <f t="shared" si="15"/>
        <v>14.649157690503285</v>
      </c>
    </row>
    <row r="46" spans="1:13" ht="6.75" customHeight="1">
      <c r="A46" s="183"/>
      <c r="B46" s="224"/>
      <c r="C46" s="225"/>
      <c r="D46" s="187"/>
    </row>
    <row r="47" spans="1:13">
      <c r="D47" s="183"/>
    </row>
    <row r="48" spans="1:13">
      <c r="D48" s="183"/>
    </row>
    <row r="49" spans="1:14">
      <c r="D49" s="183"/>
    </row>
    <row r="50" spans="1:14">
      <c r="D50" s="183"/>
    </row>
    <row r="51" spans="1:14">
      <c r="D51" s="183"/>
    </row>
    <row r="52" spans="1:14">
      <c r="D52" s="183"/>
      <c r="F52" s="190"/>
      <c r="N52" s="190"/>
    </row>
    <row r="53" spans="1:14">
      <c r="D53" s="183"/>
      <c r="F53" s="190"/>
      <c r="N53" s="190"/>
    </row>
    <row r="54" spans="1:14">
      <c r="C54" s="36"/>
    </row>
    <row r="55" spans="1:14">
      <c r="C55" s="36"/>
    </row>
    <row r="56" spans="1:14">
      <c r="C56" s="36"/>
    </row>
    <row r="57" spans="1:14">
      <c r="C57" s="226"/>
    </row>
    <row r="58" spans="1:14">
      <c r="A58" s="36">
        <v>0</v>
      </c>
      <c r="B58" s="36">
        <v>0</v>
      </c>
      <c r="C58" s="36"/>
    </row>
    <row r="59" spans="1:14">
      <c r="A59" s="36">
        <v>0.01</v>
      </c>
      <c r="B59" s="36">
        <v>0.01</v>
      </c>
      <c r="C59" s="36"/>
    </row>
    <row r="60" spans="1:14">
      <c r="A60" s="36">
        <v>0.02</v>
      </c>
      <c r="B60" s="36">
        <v>0.02</v>
      </c>
      <c r="C60" s="36"/>
    </row>
    <row r="61" spans="1:14">
      <c r="A61" s="36">
        <v>0.03</v>
      </c>
      <c r="B61" s="36">
        <v>0.03</v>
      </c>
      <c r="C61" s="36"/>
    </row>
    <row r="62" spans="1:14">
      <c r="A62" s="36">
        <v>0.04</v>
      </c>
      <c r="B62" s="36">
        <v>0.04</v>
      </c>
    </row>
    <row r="63" spans="1:14">
      <c r="A63" s="36">
        <v>0.06</v>
      </c>
      <c r="B63" s="36">
        <v>0.05</v>
      </c>
    </row>
    <row r="64" spans="1:14">
      <c r="A64" s="36">
        <v>0.08</v>
      </c>
      <c r="B64" s="36">
        <v>0.06</v>
      </c>
    </row>
    <row r="65" spans="1:2">
      <c r="A65" s="36">
        <v>0.1</v>
      </c>
      <c r="B65" s="36">
        <v>7.0000000000000007E-2</v>
      </c>
    </row>
    <row r="66" spans="1:2">
      <c r="A66" s="36">
        <v>0.12</v>
      </c>
      <c r="B66" s="36">
        <v>0.08</v>
      </c>
    </row>
    <row r="67" spans="1:2">
      <c r="A67" s="36">
        <v>0.14000000000000001</v>
      </c>
      <c r="B67" s="36">
        <v>0.09</v>
      </c>
    </row>
    <row r="68" spans="1:2">
      <c r="A68" s="36">
        <v>0.16</v>
      </c>
      <c r="B68" s="36">
        <v>0.1</v>
      </c>
    </row>
    <row r="69" spans="1:2">
      <c r="A69" s="36">
        <v>0.18</v>
      </c>
      <c r="B69" s="36">
        <v>0.11</v>
      </c>
    </row>
    <row r="70" spans="1:2">
      <c r="A70" s="36">
        <v>0.2</v>
      </c>
      <c r="B70" s="36">
        <v>0.12</v>
      </c>
    </row>
    <row r="71" spans="1:2">
      <c r="A71" s="36">
        <v>0.22</v>
      </c>
      <c r="B71" s="36">
        <v>0.13</v>
      </c>
    </row>
    <row r="72" spans="1:2">
      <c r="A72" s="36">
        <v>0.24</v>
      </c>
      <c r="B72" s="36">
        <v>0.14000000000000001</v>
      </c>
    </row>
    <row r="73" spans="1:2">
      <c r="A73" s="36">
        <v>0.26</v>
      </c>
      <c r="B73" s="36">
        <v>0.15</v>
      </c>
    </row>
    <row r="74" spans="1:2">
      <c r="A74" s="36">
        <v>0.28000000000000003</v>
      </c>
      <c r="B74" s="36">
        <v>0.16</v>
      </c>
    </row>
    <row r="75" spans="1:2">
      <c r="A75" s="36">
        <v>0.3</v>
      </c>
      <c r="B75" s="36">
        <v>0.17</v>
      </c>
    </row>
    <row r="76" spans="1:2">
      <c r="A76" s="36">
        <v>0.32</v>
      </c>
      <c r="B76" s="36">
        <v>0.18</v>
      </c>
    </row>
    <row r="77" spans="1:2">
      <c r="A77" s="36">
        <v>0.34</v>
      </c>
      <c r="B77" s="36">
        <v>0.19</v>
      </c>
    </row>
    <row r="78" spans="1:2">
      <c r="A78" s="36">
        <v>0.36</v>
      </c>
      <c r="B78" s="36">
        <v>0.2</v>
      </c>
    </row>
    <row r="79" spans="1:2">
      <c r="A79" s="36">
        <v>0.38</v>
      </c>
      <c r="B79" s="36">
        <v>0.21</v>
      </c>
    </row>
    <row r="80" spans="1:2">
      <c r="A80" s="36">
        <v>0.4</v>
      </c>
      <c r="B80" s="36">
        <v>0.22</v>
      </c>
    </row>
    <row r="81" spans="1:2">
      <c r="A81" s="36">
        <v>0.42</v>
      </c>
      <c r="B81" s="36">
        <v>0.23</v>
      </c>
    </row>
    <row r="82" spans="1:2">
      <c r="A82" s="36">
        <v>0.44</v>
      </c>
      <c r="B82" s="36">
        <v>0.24</v>
      </c>
    </row>
    <row r="83" spans="1:2">
      <c r="A83" s="36">
        <v>0.46</v>
      </c>
      <c r="B83" s="36">
        <v>0.25</v>
      </c>
    </row>
    <row r="84" spans="1:2">
      <c r="A84" s="36">
        <v>0.48</v>
      </c>
      <c r="B84" s="36">
        <v>0.26</v>
      </c>
    </row>
    <row r="85" spans="1:2">
      <c r="A85" s="36">
        <v>0.5</v>
      </c>
      <c r="B85" s="36">
        <v>0.27</v>
      </c>
    </row>
    <row r="86" spans="1:2">
      <c r="A86" s="36">
        <v>0.52</v>
      </c>
      <c r="B86" s="36">
        <v>0.28000000000000003</v>
      </c>
    </row>
    <row r="87" spans="1:2">
      <c r="A87" s="36">
        <v>0.54</v>
      </c>
      <c r="B87" s="36">
        <v>0.28999999999999998</v>
      </c>
    </row>
    <row r="88" spans="1:2">
      <c r="A88" s="36">
        <v>0.56000000000000005</v>
      </c>
      <c r="B88" s="36">
        <v>0.3</v>
      </c>
    </row>
    <row r="89" spans="1:2">
      <c r="A89" s="36">
        <v>0.57999999999999996</v>
      </c>
      <c r="B89" s="36">
        <v>0.31</v>
      </c>
    </row>
    <row r="90" spans="1:2">
      <c r="A90" s="36">
        <v>0.6</v>
      </c>
      <c r="B90" s="36">
        <v>0.32</v>
      </c>
    </row>
    <row r="91" spans="1:2">
      <c r="A91" s="36">
        <v>0.62</v>
      </c>
      <c r="B91" s="36">
        <v>0.33</v>
      </c>
    </row>
    <row r="92" spans="1:2">
      <c r="A92" s="36">
        <v>0.64</v>
      </c>
      <c r="B92" s="36">
        <v>0.34</v>
      </c>
    </row>
    <row r="93" spans="1:2">
      <c r="A93" s="36">
        <v>0.66</v>
      </c>
      <c r="B93" s="36">
        <v>0.35</v>
      </c>
    </row>
    <row r="94" spans="1:2">
      <c r="A94" s="36">
        <v>0.68</v>
      </c>
      <c r="B94" s="36">
        <v>0.36</v>
      </c>
    </row>
    <row r="95" spans="1:2">
      <c r="A95" s="36">
        <v>0.7</v>
      </c>
      <c r="B95" s="36">
        <v>0.37</v>
      </c>
    </row>
    <row r="96" spans="1:2">
      <c r="A96" s="36">
        <v>0.72</v>
      </c>
      <c r="B96" s="36">
        <v>0.38</v>
      </c>
    </row>
    <row r="97" spans="1:2">
      <c r="A97" s="36">
        <v>0.74</v>
      </c>
      <c r="B97" s="36">
        <v>0.39</v>
      </c>
    </row>
    <row r="98" spans="1:2">
      <c r="A98" s="36">
        <v>0.76</v>
      </c>
      <c r="B98" s="36">
        <v>0.4</v>
      </c>
    </row>
    <row r="99" spans="1:2">
      <c r="A99" s="36">
        <v>0.78</v>
      </c>
      <c r="B99" s="36">
        <v>0.41</v>
      </c>
    </row>
    <row r="100" spans="1:2">
      <c r="A100" s="36">
        <v>0.8</v>
      </c>
      <c r="B100" s="36">
        <v>0.42</v>
      </c>
    </row>
    <row r="101" spans="1:2">
      <c r="A101" s="36">
        <v>0.82</v>
      </c>
      <c r="B101" s="36">
        <v>0.43</v>
      </c>
    </row>
    <row r="102" spans="1:2">
      <c r="A102" s="36">
        <v>0.84</v>
      </c>
      <c r="B102" s="36">
        <v>0.44</v>
      </c>
    </row>
    <row r="103" spans="1:2">
      <c r="A103" s="36">
        <v>0.86</v>
      </c>
      <c r="B103" s="36">
        <v>0.45</v>
      </c>
    </row>
    <row r="104" spans="1:2">
      <c r="A104" s="36">
        <v>0.88</v>
      </c>
      <c r="B104" s="36">
        <v>0.46</v>
      </c>
    </row>
    <row r="105" spans="1:2">
      <c r="A105" s="36">
        <v>0.9</v>
      </c>
      <c r="B105" s="36">
        <v>0.47</v>
      </c>
    </row>
    <row r="106" spans="1:2">
      <c r="A106" s="36">
        <v>0.92</v>
      </c>
      <c r="B106" s="36">
        <v>0.48</v>
      </c>
    </row>
    <row r="107" spans="1:2">
      <c r="A107" s="36">
        <v>0.94</v>
      </c>
      <c r="B107" s="36">
        <v>0.49</v>
      </c>
    </row>
    <row r="108" spans="1:2">
      <c r="A108" s="36">
        <v>0.96000000000000096</v>
      </c>
      <c r="B108" s="36">
        <v>0.5</v>
      </c>
    </row>
    <row r="109" spans="1:2">
      <c r="A109" s="36">
        <v>0.98000000000000098</v>
      </c>
    </row>
    <row r="110" spans="1:2">
      <c r="A110" s="36">
        <v>1</v>
      </c>
    </row>
  </sheetData>
  <mergeCells count="17">
    <mergeCell ref="A1:C2"/>
    <mergeCell ref="A3:C3"/>
    <mergeCell ref="D3:E3"/>
    <mergeCell ref="N3:O3"/>
    <mergeCell ref="Q3:R3"/>
    <mergeCell ref="D4:E4"/>
    <mergeCell ref="G4:H4"/>
    <mergeCell ref="D8:E8"/>
    <mergeCell ref="G8:H8"/>
    <mergeCell ref="A34:D34"/>
    <mergeCell ref="F34:I34"/>
    <mergeCell ref="D5:E5"/>
    <mergeCell ref="G5:H5"/>
    <mergeCell ref="D6:E6"/>
    <mergeCell ref="G6:H6"/>
    <mergeCell ref="D7:E7"/>
    <mergeCell ref="G7:H7"/>
  </mergeCells>
  <dataValidations count="4">
    <dataValidation type="list" allowBlank="1" showInputMessage="1" showErrorMessage="1" sqref="B22:D22 F22:H22 J22:K22">
      <formula1>$B$58:$B$108</formula1>
    </dataValidation>
    <dataValidation type="list" allowBlank="1" showInputMessage="1" showErrorMessage="1" sqref="I22 E22">
      <formula1>$B$59:$B$108</formula1>
    </dataValidation>
    <dataValidation type="list" allowBlank="1" showInputMessage="1" showErrorMessage="1" sqref="B28:B29">
      <formula1>$A$59:$A$80</formula1>
    </dataValidation>
    <dataValidation type="list" allowBlank="1" showInputMessage="1" showErrorMessage="1" sqref="B11:K11">
      <formula1>$A$58:$A$80</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dimension ref="A1:H15"/>
  <sheetViews>
    <sheetView workbookViewId="0">
      <selection activeCell="E1" sqref="E1:E3"/>
    </sheetView>
  </sheetViews>
  <sheetFormatPr defaultRowHeight="15"/>
  <cols>
    <col min="1" max="1" width="30.42578125" customWidth="1"/>
    <col min="2" max="2" width="14.85546875" style="37" customWidth="1"/>
    <col min="3" max="3" width="4.7109375" customWidth="1"/>
    <col min="4" max="4" width="33.140625" bestFit="1" customWidth="1"/>
    <col min="6" max="6" width="4.28515625" customWidth="1"/>
    <col min="7" max="7" width="40.7109375" customWidth="1"/>
    <col min="8" max="8" width="13.140625" style="37" customWidth="1"/>
  </cols>
  <sheetData>
    <row r="1" spans="1:8">
      <c r="A1" t="s">
        <v>209</v>
      </c>
      <c r="B1" s="37">
        <f>'Data Sheet'!B8</f>
        <v>1260.2</v>
      </c>
      <c r="D1" t="s">
        <v>574</v>
      </c>
      <c r="E1" s="37">
        <f>Valuation!O22</f>
        <v>1.2</v>
      </c>
      <c r="G1" t="s">
        <v>576</v>
      </c>
      <c r="H1" s="42">
        <f>$B$4*(1+$B$5)*E1</f>
        <v>42.406868402533419</v>
      </c>
    </row>
    <row r="2" spans="1:8">
      <c r="A2" t="s">
        <v>568</v>
      </c>
      <c r="B2" s="234">
        <f>'Data Sheet'!K93</f>
        <v>0.57250000000000001</v>
      </c>
      <c r="D2" t="s">
        <v>575</v>
      </c>
      <c r="E2" s="37">
        <f>Valuation!O23</f>
        <v>1</v>
      </c>
      <c r="G2" t="s">
        <v>577</v>
      </c>
      <c r="H2" s="42">
        <f t="shared" ref="H2:H3" si="0">$B$4*(1+$B$5)*E2</f>
        <v>35.339057002111183</v>
      </c>
    </row>
    <row r="3" spans="1:8">
      <c r="A3" t="s">
        <v>569</v>
      </c>
      <c r="B3" s="37">
        <f>('Data Sheet'!K49+'Data Sheet'!J49)</f>
        <v>32.799999999999997</v>
      </c>
      <c r="D3" t="s">
        <v>573</v>
      </c>
      <c r="E3" s="37">
        <f>Valuation!O24</f>
        <v>0.7</v>
      </c>
      <c r="G3" t="s">
        <v>578</v>
      </c>
      <c r="H3" s="42">
        <f t="shared" si="0"/>
        <v>24.737339901477828</v>
      </c>
    </row>
    <row r="4" spans="1:8">
      <c r="A4" t="s">
        <v>571</v>
      </c>
      <c r="B4" s="37">
        <f>'Data Sheet'!I49+'Data Sheet'!H49</f>
        <v>30.619999999999997</v>
      </c>
    </row>
    <row r="5" spans="1:8">
      <c r="A5" t="s">
        <v>570</v>
      </c>
      <c r="B5" s="39">
        <f>(('Data Sheet'!J49+'Data Sheet'!K49)-('Data Sheet'!F49+'Data Sheet'!G49))/('Data Sheet'!F49+'Data Sheet'!G49)</f>
        <v>0.15411681914144951</v>
      </c>
    </row>
    <row r="6" spans="1:8">
      <c r="B6" s="42"/>
      <c r="G6" t="s">
        <v>579</v>
      </c>
      <c r="H6" s="42">
        <f>$B$3+H1</f>
        <v>75.206868402533416</v>
      </c>
    </row>
    <row r="7" spans="1:8">
      <c r="G7" t="s">
        <v>572</v>
      </c>
      <c r="H7" s="42">
        <f t="shared" ref="H7:H8" si="1">$B$3+H2</f>
        <v>68.139057002111173</v>
      </c>
    </row>
    <row r="8" spans="1:8">
      <c r="G8" t="s">
        <v>580</v>
      </c>
      <c r="H8" s="42">
        <f t="shared" si="1"/>
        <v>57.537339901477822</v>
      </c>
    </row>
    <row r="9" spans="1:8">
      <c r="A9" t="s">
        <v>572</v>
      </c>
      <c r="B9" s="42">
        <f>B3+B6</f>
        <v>32.799999999999997</v>
      </c>
    </row>
    <row r="13" spans="1:8">
      <c r="A13" t="s">
        <v>581</v>
      </c>
      <c r="B13" s="235">
        <f>H6/$B$2</f>
        <v>131.36570900005836</v>
      </c>
      <c r="D13" t="s">
        <v>584</v>
      </c>
      <c r="E13" s="234">
        <f>$B$1/B13</f>
        <v>9.593066635064103</v>
      </c>
    </row>
    <row r="14" spans="1:8">
      <c r="A14" t="s">
        <v>582</v>
      </c>
      <c r="B14" s="235">
        <f t="shared" ref="B14:B15" si="2">H7/$B$2</f>
        <v>119.02018690325096</v>
      </c>
      <c r="D14" t="s">
        <v>585</v>
      </c>
      <c r="E14" s="234">
        <f t="shared" ref="E14:E15" si="3">$B$1/B14</f>
        <v>10.588119820584641</v>
      </c>
    </row>
    <row r="15" spans="1:8">
      <c r="A15" t="s">
        <v>583</v>
      </c>
      <c r="B15" s="235">
        <f t="shared" si="2"/>
        <v>100.50190375803986</v>
      </c>
      <c r="D15" t="s">
        <v>586</v>
      </c>
      <c r="E15" s="234">
        <f t="shared" si="3"/>
        <v>12.539065956740025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11" sqref="L11"/>
    </sheetView>
  </sheetViews>
  <sheetFormatPr defaultColWidth="9.140625" defaultRowHeight="15"/>
  <cols>
    <col min="1" max="1" width="15.7109375" style="6" bestFit="1"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c r="A1" s="8" t="str">
        <f>'Data Sheet'!B1</f>
        <v>AMBIKA COTTON MILLS LTD</v>
      </c>
      <c r="H1" t="str">
        <f>UPDATE</f>
        <v/>
      </c>
      <c r="J1" s="3"/>
      <c r="K1" s="3"/>
      <c r="M1" s="8" t="s">
        <v>1</v>
      </c>
    </row>
    <row r="3" spans="1:14" s="2" customFormat="1">
      <c r="A3" s="15" t="s">
        <v>2</v>
      </c>
      <c r="B3" s="16">
        <f>'Data Sheet'!B16</f>
        <v>39538</v>
      </c>
      <c r="C3" s="16">
        <f>'Data Sheet'!C16</f>
        <v>39903</v>
      </c>
      <c r="D3" s="16">
        <f>'Data Sheet'!D16</f>
        <v>40268</v>
      </c>
      <c r="E3" s="16">
        <f>'Data Sheet'!E16</f>
        <v>40633</v>
      </c>
      <c r="F3" s="16">
        <f>'Data Sheet'!F16</f>
        <v>40999</v>
      </c>
      <c r="G3" s="16">
        <f>'Data Sheet'!G16</f>
        <v>41364</v>
      </c>
      <c r="H3" s="16">
        <f>'Data Sheet'!H16</f>
        <v>41729</v>
      </c>
      <c r="I3" s="16">
        <f>'Data Sheet'!I16</f>
        <v>42094</v>
      </c>
      <c r="J3" s="16">
        <f>'Data Sheet'!J16</f>
        <v>42460</v>
      </c>
      <c r="K3" s="16">
        <f>'Data Sheet'!K16</f>
        <v>42825</v>
      </c>
      <c r="L3" s="17" t="s">
        <v>3</v>
      </c>
      <c r="M3" s="17" t="s">
        <v>4</v>
      </c>
      <c r="N3" s="17" t="s">
        <v>5</v>
      </c>
    </row>
    <row r="4" spans="1:14" s="8" customFormat="1">
      <c r="A4" s="8" t="s">
        <v>6</v>
      </c>
      <c r="B4" s="1">
        <f>'Data Sheet'!B17</f>
        <v>155.74</v>
      </c>
      <c r="C4" s="1">
        <f>'Data Sheet'!C17</f>
        <v>177.75</v>
      </c>
      <c r="D4" s="1">
        <f>'Data Sheet'!D17</f>
        <v>208.07</v>
      </c>
      <c r="E4" s="1">
        <f>'Data Sheet'!E17</f>
        <v>326.77999999999997</v>
      </c>
      <c r="F4" s="1">
        <f>'Data Sheet'!F17</f>
        <v>389.44</v>
      </c>
      <c r="G4" s="1">
        <f>'Data Sheet'!G17</f>
        <v>397.79</v>
      </c>
      <c r="H4" s="1">
        <f>'Data Sheet'!H17</f>
        <v>476.78</v>
      </c>
      <c r="I4" s="1">
        <f>'Data Sheet'!I17</f>
        <v>494.97</v>
      </c>
      <c r="J4" s="1">
        <f>'Data Sheet'!J17</f>
        <v>492.14</v>
      </c>
      <c r="K4" s="1">
        <f>'Data Sheet'!K17</f>
        <v>528.26</v>
      </c>
      <c r="L4" s="1">
        <f>SUM(Quarters!H4:K4)</f>
        <v>609.83000000000004</v>
      </c>
      <c r="M4" s="1">
        <f>$K4+M23*K4</f>
        <v>609.83000000000004</v>
      </c>
      <c r="N4" s="1">
        <f>$K4+N23*L4</f>
        <v>549.46292222523289</v>
      </c>
    </row>
    <row r="5" spans="1:14">
      <c r="A5" s="6" t="s">
        <v>7</v>
      </c>
      <c r="B5" s="9">
        <f>SUM('Data Sheet'!B18,'Data Sheet'!B20:B24, -1*'Data Sheet'!B19)</f>
        <v>116.85</v>
      </c>
      <c r="C5" s="9">
        <f>SUM('Data Sheet'!C18,'Data Sheet'!C20:C24, -1*'Data Sheet'!C19)</f>
        <v>136.70000000000002</v>
      </c>
      <c r="D5" s="9">
        <f>SUM('Data Sheet'!D18,'Data Sheet'!D20:D24, -1*'Data Sheet'!D19)</f>
        <v>161.76</v>
      </c>
      <c r="E5" s="9">
        <f>SUM('Data Sheet'!E18,'Data Sheet'!E20:E24, -1*'Data Sheet'!E19)</f>
        <v>227.72000000000003</v>
      </c>
      <c r="F5" s="9">
        <f>SUM('Data Sheet'!F18,'Data Sheet'!F20:F24, -1*'Data Sheet'!F19)</f>
        <v>311.10000000000002</v>
      </c>
      <c r="G5" s="9">
        <f>SUM('Data Sheet'!G18,'Data Sheet'!G20:G24, -1*'Data Sheet'!G19)</f>
        <v>310.61</v>
      </c>
      <c r="H5" s="9">
        <f>SUM('Data Sheet'!H18,'Data Sheet'!H20:H24, -1*'Data Sheet'!H19)</f>
        <v>372.84999999999997</v>
      </c>
      <c r="I5" s="9">
        <f>SUM('Data Sheet'!I18,'Data Sheet'!I20:I24, -1*'Data Sheet'!I19)</f>
        <v>395.26000000000005</v>
      </c>
      <c r="J5" s="9">
        <f>SUM('Data Sheet'!J18,'Data Sheet'!J20:J24, -1*'Data Sheet'!J19)</f>
        <v>399.18</v>
      </c>
      <c r="K5" s="9">
        <f>SUM('Data Sheet'!K18,'Data Sheet'!K20:K24, -1*'Data Sheet'!K19)</f>
        <v>423.33</v>
      </c>
      <c r="L5" s="9">
        <f>SUM(Quarters!H5:K5)</f>
        <v>492.53</v>
      </c>
      <c r="M5" s="9">
        <f t="shared" ref="M5:N5" si="0">M4-M6</f>
        <v>490.06690055893944</v>
      </c>
      <c r="N5" s="9">
        <f t="shared" si="0"/>
        <v>443.77445039370639</v>
      </c>
    </row>
    <row r="6" spans="1:14" s="8" customFormat="1">
      <c r="A6" s="8" t="s">
        <v>8</v>
      </c>
      <c r="B6" s="1">
        <f>B4-B5</f>
        <v>38.890000000000015</v>
      </c>
      <c r="C6" s="1">
        <f t="shared" ref="C6:K6" si="1">C4-C5</f>
        <v>41.049999999999983</v>
      </c>
      <c r="D6" s="1">
        <f t="shared" si="1"/>
        <v>46.31</v>
      </c>
      <c r="E6" s="1">
        <f t="shared" si="1"/>
        <v>99.059999999999945</v>
      </c>
      <c r="F6" s="1">
        <f t="shared" si="1"/>
        <v>78.339999999999975</v>
      </c>
      <c r="G6" s="1">
        <f t="shared" si="1"/>
        <v>87.18</v>
      </c>
      <c r="H6" s="1">
        <f t="shared" si="1"/>
        <v>103.93</v>
      </c>
      <c r="I6" s="1">
        <f t="shared" si="1"/>
        <v>99.70999999999998</v>
      </c>
      <c r="J6" s="1">
        <f t="shared" si="1"/>
        <v>92.95999999999998</v>
      </c>
      <c r="K6" s="1">
        <f t="shared" si="1"/>
        <v>104.93</v>
      </c>
      <c r="L6" s="1">
        <f>SUM(Quarters!H6:K6)</f>
        <v>117.29999999999998</v>
      </c>
      <c r="M6" s="1">
        <f>M4*M24</f>
        <v>119.7630994410606</v>
      </c>
      <c r="N6" s="1">
        <f>N4*N24</f>
        <v>105.6884718315265</v>
      </c>
    </row>
    <row r="7" spans="1:14">
      <c r="A7" s="6" t="s">
        <v>9</v>
      </c>
      <c r="B7" s="9">
        <f>'Data Sheet'!B25</f>
        <v>7.01</v>
      </c>
      <c r="C7" s="9">
        <f>'Data Sheet'!C25</f>
        <v>7.51</v>
      </c>
      <c r="D7" s="9">
        <f>'Data Sheet'!D25</f>
        <v>15.07</v>
      </c>
      <c r="E7" s="9">
        <f>'Data Sheet'!E25</f>
        <v>0.46</v>
      </c>
      <c r="F7" s="9">
        <f>'Data Sheet'!F25</f>
        <v>0.69</v>
      </c>
      <c r="G7" s="9">
        <f>'Data Sheet'!G25</f>
        <v>0.27</v>
      </c>
      <c r="H7" s="9">
        <f>'Data Sheet'!H25</f>
        <v>0.22</v>
      </c>
      <c r="I7" s="9">
        <f>'Data Sheet'!I25</f>
        <v>0.55000000000000004</v>
      </c>
      <c r="J7" s="9">
        <f>'Data Sheet'!J25</f>
        <v>1.77</v>
      </c>
      <c r="K7" s="9">
        <f>'Data Sheet'!K25</f>
        <v>0.78</v>
      </c>
      <c r="L7" s="9">
        <f>SUM(Quarters!H7:K7)</f>
        <v>1.03</v>
      </c>
      <c r="M7" s="9">
        <v>0</v>
      </c>
      <c r="N7" s="9">
        <v>0</v>
      </c>
    </row>
    <row r="8" spans="1:14">
      <c r="A8" s="6" t="s">
        <v>10</v>
      </c>
      <c r="B8" s="9">
        <f>'Data Sheet'!B26</f>
        <v>13.85</v>
      </c>
      <c r="C8" s="9">
        <f>'Data Sheet'!C26</f>
        <v>18.059999999999999</v>
      </c>
      <c r="D8" s="9">
        <f>'Data Sheet'!D26</f>
        <v>20.95</v>
      </c>
      <c r="E8" s="9">
        <f>'Data Sheet'!E26</f>
        <v>24.22</v>
      </c>
      <c r="F8" s="9">
        <f>'Data Sheet'!F26</f>
        <v>26.8</v>
      </c>
      <c r="G8" s="9">
        <f>'Data Sheet'!G26</f>
        <v>27.43</v>
      </c>
      <c r="H8" s="9">
        <f>'Data Sheet'!H26</f>
        <v>31.62</v>
      </c>
      <c r="I8" s="9">
        <f>'Data Sheet'!I26</f>
        <v>29.33</v>
      </c>
      <c r="J8" s="9">
        <f>'Data Sheet'!J26</f>
        <v>29.92</v>
      </c>
      <c r="K8" s="9">
        <f>'Data Sheet'!K26</f>
        <v>29.35</v>
      </c>
      <c r="L8" s="9">
        <f>SUM(Quarters!H8:K8)</f>
        <v>28.87</v>
      </c>
      <c r="M8" s="9">
        <f>+$L8</f>
        <v>28.87</v>
      </c>
      <c r="N8" s="9">
        <f>+$L8</f>
        <v>28.87</v>
      </c>
    </row>
    <row r="9" spans="1:14">
      <c r="A9" s="6" t="s">
        <v>11</v>
      </c>
      <c r="B9" s="9">
        <f>'Data Sheet'!B27</f>
        <v>13.01</v>
      </c>
      <c r="C9" s="9">
        <f>'Data Sheet'!C27</f>
        <v>17.34</v>
      </c>
      <c r="D9" s="9">
        <f>'Data Sheet'!D27</f>
        <v>16.739999999999998</v>
      </c>
      <c r="E9" s="9">
        <f>'Data Sheet'!E27</f>
        <v>15.49</v>
      </c>
      <c r="F9" s="9">
        <f>'Data Sheet'!F27</f>
        <v>20.079999999999998</v>
      </c>
      <c r="G9" s="9">
        <f>'Data Sheet'!G27</f>
        <v>19.37</v>
      </c>
      <c r="H9" s="9">
        <f>'Data Sheet'!H27</f>
        <v>12.87</v>
      </c>
      <c r="I9" s="9">
        <f>'Data Sheet'!I27</f>
        <v>7.17</v>
      </c>
      <c r="J9" s="9">
        <f>'Data Sheet'!J27</f>
        <v>5.87</v>
      </c>
      <c r="K9" s="9">
        <f>'Data Sheet'!K27</f>
        <v>4.43</v>
      </c>
      <c r="L9" s="9">
        <f>SUM(Quarters!H9:K9)</f>
        <v>6.1300000000000008</v>
      </c>
      <c r="M9" s="9">
        <f>+$L9</f>
        <v>6.1300000000000008</v>
      </c>
      <c r="N9" s="9">
        <f>+$L9</f>
        <v>6.1300000000000008</v>
      </c>
    </row>
    <row r="10" spans="1:14">
      <c r="A10" s="6" t="s">
        <v>12</v>
      </c>
      <c r="B10" s="9">
        <f>'Data Sheet'!B28</f>
        <v>19.04</v>
      </c>
      <c r="C10" s="9">
        <f>'Data Sheet'!C28</f>
        <v>13.16</v>
      </c>
      <c r="D10" s="9">
        <f>'Data Sheet'!D28</f>
        <v>23.69</v>
      </c>
      <c r="E10" s="9">
        <f>'Data Sheet'!E28</f>
        <v>59.81</v>
      </c>
      <c r="F10" s="9">
        <f>'Data Sheet'!F28</f>
        <v>32.15</v>
      </c>
      <c r="G10" s="9">
        <f>'Data Sheet'!G28</f>
        <v>40.659999999999997</v>
      </c>
      <c r="H10" s="9">
        <f>'Data Sheet'!H28</f>
        <v>59.66</v>
      </c>
      <c r="I10" s="9">
        <f>'Data Sheet'!I28</f>
        <v>63.77</v>
      </c>
      <c r="J10" s="9">
        <f>'Data Sheet'!J28</f>
        <v>58.96</v>
      </c>
      <c r="K10" s="9">
        <f>'Data Sheet'!K28</f>
        <v>71.94</v>
      </c>
      <c r="L10" s="9">
        <f>SUM(Quarters!H10:K10)</f>
        <v>83.33</v>
      </c>
      <c r="M10" s="9">
        <f>M6+M7-SUM(M8:M9)</f>
        <v>84.763099441060604</v>
      </c>
      <c r="N10" s="9">
        <f>N6+N7-SUM(N8:N9)</f>
        <v>70.688471831526499</v>
      </c>
    </row>
    <row r="11" spans="1:14">
      <c r="A11" s="6" t="s">
        <v>13</v>
      </c>
      <c r="B11" s="9">
        <f>'Data Sheet'!B29</f>
        <v>5.8</v>
      </c>
      <c r="C11" s="9">
        <f>'Data Sheet'!C29</f>
        <v>3.74</v>
      </c>
      <c r="D11" s="9">
        <f>'Data Sheet'!D29</f>
        <v>5.16</v>
      </c>
      <c r="E11" s="9">
        <f>'Data Sheet'!E29</f>
        <v>17.37</v>
      </c>
      <c r="F11" s="9">
        <f>'Data Sheet'!F29</f>
        <v>8.27</v>
      </c>
      <c r="G11" s="9">
        <f>'Data Sheet'!G29</f>
        <v>9.68</v>
      </c>
      <c r="H11" s="9">
        <f>'Data Sheet'!H29</f>
        <v>11.52</v>
      </c>
      <c r="I11" s="9">
        <f>'Data Sheet'!I29</f>
        <v>12.59</v>
      </c>
      <c r="J11" s="9">
        <f>'Data Sheet'!J29</f>
        <v>14.5</v>
      </c>
      <c r="K11" s="9">
        <f>'Data Sheet'!K29</f>
        <v>16.29</v>
      </c>
      <c r="L11" s="9">
        <f>SUM(Quarters!H11:K11)</f>
        <v>19.91</v>
      </c>
      <c r="M11" s="10">
        <f>IF($L10&gt;0,$L11/$L10,0)</f>
        <v>0.23892955718228731</v>
      </c>
      <c r="N11" s="10">
        <f>IF($L10&gt;0,$L11/$L10,0)</f>
        <v>0.23892955718228731</v>
      </c>
    </row>
    <row r="12" spans="1:14" s="8" customFormat="1">
      <c r="A12" s="8" t="s">
        <v>14</v>
      </c>
      <c r="B12" s="1">
        <f>'Data Sheet'!B30</f>
        <v>13.24</v>
      </c>
      <c r="C12" s="1">
        <f>'Data Sheet'!C30</f>
        <v>9.42</v>
      </c>
      <c r="D12" s="1">
        <f>'Data Sheet'!D30</f>
        <v>18.53</v>
      </c>
      <c r="E12" s="1">
        <f>'Data Sheet'!E30</f>
        <v>42.44</v>
      </c>
      <c r="F12" s="1">
        <f>'Data Sheet'!F30</f>
        <v>23.88</v>
      </c>
      <c r="G12" s="1">
        <f>'Data Sheet'!G30</f>
        <v>30.98</v>
      </c>
      <c r="H12" s="1">
        <f>'Data Sheet'!H30</f>
        <v>48.14</v>
      </c>
      <c r="I12" s="1">
        <f>'Data Sheet'!I30</f>
        <v>51.18</v>
      </c>
      <c r="J12" s="1">
        <f>'Data Sheet'!J30</f>
        <v>44.46</v>
      </c>
      <c r="K12" s="1">
        <f>'Data Sheet'!K30</f>
        <v>55.65</v>
      </c>
      <c r="L12" s="1">
        <f>SUM(Quarters!H12:K12)</f>
        <v>63.42</v>
      </c>
      <c r="M12" s="1">
        <f>M10-M11*M10</f>
        <v>64.51068962620981</v>
      </c>
      <c r="N12" s="1">
        <f>N10-N11*N10</f>
        <v>53.798906558927285</v>
      </c>
    </row>
    <row r="13" spans="1:14">
      <c r="A13" s="11" t="s">
        <v>58</v>
      </c>
      <c r="B13" s="9">
        <f>IF('Data Sheet'!B93&gt;0,B12/'Data Sheet'!B93,0)</f>
        <v>22.536170212765956</v>
      </c>
      <c r="C13" s="9">
        <f>IF('Data Sheet'!C93&gt;0,C12/'Data Sheet'!C93,0)</f>
        <v>16.03404255319149</v>
      </c>
      <c r="D13" s="9">
        <f>IF('Data Sheet'!D93&gt;0,D12/'Data Sheet'!D93,0)</f>
        <v>31.540425531914895</v>
      </c>
      <c r="E13" s="9">
        <f>IF('Data Sheet'!E93&gt;0,E12/'Data Sheet'!E93,0)</f>
        <v>72.238297872340425</v>
      </c>
      <c r="F13" s="9">
        <f>IF('Data Sheet'!F93&gt;0,F12/'Data Sheet'!F93,0)</f>
        <v>40.646808510638294</v>
      </c>
      <c r="G13" s="9">
        <f>IF('Data Sheet'!G93&gt;0,G12/'Data Sheet'!G93,0)</f>
        <v>52.731914893617017</v>
      </c>
      <c r="H13" s="9">
        <f>IF('Data Sheet'!H93&gt;0,H12/'Data Sheet'!H93,0)</f>
        <v>81.940425531914897</v>
      </c>
      <c r="I13" s="9">
        <f>IF('Data Sheet'!I93&gt;0,I12/'Data Sheet'!I93,0)</f>
        <v>87.114893617021266</v>
      </c>
      <c r="J13" s="9">
        <f>IF('Data Sheet'!J93&gt;0,J12/'Data Sheet'!J93,0)</f>
        <v>75.676595744680853</v>
      </c>
      <c r="K13" s="9">
        <f>IF('Data Sheet'!K93&gt;0,K12/'Data Sheet'!K93,0)</f>
        <v>97.205240174672483</v>
      </c>
      <c r="L13" s="9">
        <f>IF('Data Sheet'!$B6&gt;0,'Profit &amp; Loss'!L12/'Data Sheet'!$B6,0)</f>
        <v>110.77798353339062</v>
      </c>
      <c r="M13" s="9">
        <f>IF('Data Sheet'!$B6&gt;0,'Profit &amp; Loss'!M12/'Data Sheet'!$B6,0)</f>
        <v>112.68313013465695</v>
      </c>
      <c r="N13" s="9">
        <f>IF('Data Sheet'!$B6&gt;0,'Profit &amp; Loss'!N12/'Data Sheet'!$B6,0)</f>
        <v>93.972475321653533</v>
      </c>
    </row>
    <row r="14" spans="1:14">
      <c r="A14" s="6" t="s">
        <v>16</v>
      </c>
      <c r="B14" s="9">
        <f>IF(B15&gt;0,B15/B13,"")</f>
        <v>4.8554749527945624</v>
      </c>
      <c r="C14" s="9">
        <f t="shared" ref="C14:K14" si="2">IF(C15&gt;0,C15/C13,"")</f>
        <v>3.1958046032377916</v>
      </c>
      <c r="D14" s="9">
        <f t="shared" si="2"/>
        <v>5.336462116837561</v>
      </c>
      <c r="E14" s="9">
        <f t="shared" si="2"/>
        <v>3.0205584354382657</v>
      </c>
      <c r="F14" s="9">
        <f t="shared" si="2"/>
        <v>3.6099811123324956</v>
      </c>
      <c r="G14" s="9">
        <f t="shared" si="2"/>
        <v>3.7661674604583601</v>
      </c>
      <c r="H14" s="9">
        <f t="shared" si="2"/>
        <v>3.5943957343165764</v>
      </c>
      <c r="I14" s="9">
        <f t="shared" si="2"/>
        <v>9.9787758890191487</v>
      </c>
      <c r="J14" s="9">
        <f t="shared" si="2"/>
        <v>11.156025078722447</v>
      </c>
      <c r="K14" s="9">
        <f t="shared" si="2"/>
        <v>14.026615474123991</v>
      </c>
      <c r="L14" s="9">
        <f t="shared" ref="L14" si="3">IF(L13&gt;0,L15/L13,0)</f>
        <v>11.375906654052351</v>
      </c>
      <c r="M14" s="9">
        <f>M25</f>
        <v>11.634330773979485</v>
      </c>
      <c r="N14" s="9">
        <f>N25</f>
        <v>6.7196515919394137</v>
      </c>
    </row>
    <row r="15" spans="1:14" s="8" customFormat="1">
      <c r="A15" s="8" t="s">
        <v>59</v>
      </c>
      <c r="B15" s="1">
        <f>'Data Sheet'!B90</f>
        <v>109.42381</v>
      </c>
      <c r="C15" s="1">
        <f>'Data Sheet'!C90</f>
        <v>51.241667</v>
      </c>
      <c r="D15" s="1">
        <f>'Data Sheet'!D90</f>
        <v>168.31428600000001</v>
      </c>
      <c r="E15" s="1">
        <f>'Data Sheet'!E90</f>
        <v>218.2</v>
      </c>
      <c r="F15" s="1">
        <f>'Data Sheet'!F90</f>
        <v>146.73421099999999</v>
      </c>
      <c r="G15" s="1">
        <f>'Data Sheet'!G90</f>
        <v>198.59722199999999</v>
      </c>
      <c r="H15" s="1">
        <f>'Data Sheet'!H90</f>
        <v>294.52631600000001</v>
      </c>
      <c r="I15" s="1">
        <f>'Data Sheet'!I90</f>
        <v>869.3</v>
      </c>
      <c r="J15" s="1">
        <f>'Data Sheet'!J90</f>
        <v>844.25</v>
      </c>
      <c r="K15" s="1">
        <f>'Data Sheet'!K90</f>
        <v>1363.4605260000001</v>
      </c>
      <c r="L15" s="1">
        <f>'Data Sheet'!B8</f>
        <v>1260.2</v>
      </c>
      <c r="M15" s="12">
        <f>M13*M14</f>
        <v>1310.9928086339744</v>
      </c>
      <c r="N15" s="13">
        <f>N13*N14</f>
        <v>631.4622933936364</v>
      </c>
    </row>
    <row r="17" spans="1:14" s="8" customFormat="1">
      <c r="A17" s="8" t="s">
        <v>15</v>
      </c>
    </row>
    <row r="18" spans="1:14">
      <c r="A18" s="6" t="s">
        <v>17</v>
      </c>
      <c r="B18" s="7">
        <f>IF('Data Sheet'!B30&gt;0, 'Data Sheet'!B31/'Data Sheet'!B30, 0)</f>
        <v>8.8746223564954679E-2</v>
      </c>
      <c r="C18" s="7">
        <f>IF('Data Sheet'!C30&gt;0, 'Data Sheet'!C31/'Data Sheet'!C30, 0)</f>
        <v>0.12473460721868365</v>
      </c>
      <c r="D18" s="7">
        <f>IF('Data Sheet'!D30&gt;0, 'Data Sheet'!D31/'Data Sheet'!D30, 0)</f>
        <v>9.5116028062601179E-2</v>
      </c>
      <c r="E18" s="7">
        <f>IF('Data Sheet'!E30&gt;0, 'Data Sheet'!E31/'Data Sheet'!E30, 0)</f>
        <v>6.9215362865221494E-2</v>
      </c>
      <c r="F18" s="7">
        <f>IF('Data Sheet'!F30&gt;0, 'Data Sheet'!F31/'Data Sheet'!F30, 0)</f>
        <v>0.12301088777219431</v>
      </c>
      <c r="G18" s="7">
        <f>IF('Data Sheet'!G30&gt;0, 'Data Sheet'!G31/'Data Sheet'!G30, 0)</f>
        <v>0.18015655261459004</v>
      </c>
      <c r="H18" s="7">
        <f>IF('Data Sheet'!H30&gt;0, 'Data Sheet'!H31/'Data Sheet'!H30, 0)</f>
        <v>0.15254985459077691</v>
      </c>
      <c r="I18" s="7">
        <f>IF('Data Sheet'!I30&gt;0, 'Data Sheet'!I31/'Data Sheet'!I30, 0)</f>
        <v>0.1607073075420086</v>
      </c>
      <c r="J18" s="7">
        <f>IF('Data Sheet'!J30&gt;0, 'Data Sheet'!J31/'Data Sheet'!J30, 0)</f>
        <v>0.19821187584345479</v>
      </c>
      <c r="K18" s="7">
        <f>IF('Data Sheet'!K30&gt;0, 'Data Sheet'!K31/'Data Sheet'!K30, 0)</f>
        <v>0</v>
      </c>
    </row>
    <row r="19" spans="1:14">
      <c r="A19" s="6" t="s">
        <v>18</v>
      </c>
      <c r="B19" s="7">
        <f t="shared" ref="B19:L19" si="4">IF(B6&gt;0,B6/B4,0)</f>
        <v>0.24971105688968803</v>
      </c>
      <c r="C19" s="7">
        <f t="shared" ref="C19:K19" si="5">IF(C6&gt;0,C6/C4,0)</f>
        <v>0.230942334739803</v>
      </c>
      <c r="D19" s="7">
        <f t="shared" si="5"/>
        <v>0.22256932763012449</v>
      </c>
      <c r="E19" s="7">
        <f t="shared" si="5"/>
        <v>0.30313972703347802</v>
      </c>
      <c r="F19" s="7">
        <f t="shared" si="5"/>
        <v>0.20116064092029576</v>
      </c>
      <c r="G19" s="7">
        <f t="shared" si="5"/>
        <v>0.2191608637723422</v>
      </c>
      <c r="H19" s="7">
        <f t="shared" si="5"/>
        <v>0.21798313687654686</v>
      </c>
      <c r="I19" s="7">
        <f t="shared" si="5"/>
        <v>0.20144655231630196</v>
      </c>
      <c r="J19" s="7">
        <f t="shared" si="5"/>
        <v>0.18888934043158448</v>
      </c>
      <c r="K19" s="7">
        <f t="shared" si="5"/>
        <v>0.19863324877901034</v>
      </c>
      <c r="L19" s="7">
        <f t="shared" si="4"/>
        <v>0.19234868733909447</v>
      </c>
    </row>
    <row r="20" spans="1:14">
      <c r="B20" s="7"/>
      <c r="C20" s="7"/>
      <c r="D20" s="7"/>
      <c r="E20" s="7"/>
      <c r="F20" s="7"/>
      <c r="G20" s="7"/>
      <c r="H20" s="7"/>
      <c r="I20" s="7"/>
      <c r="J20" s="7"/>
      <c r="K20" s="7"/>
      <c r="L20" s="7"/>
    </row>
    <row r="21" spans="1:14">
      <c r="B21" s="7"/>
      <c r="C21" s="7"/>
      <c r="D21" s="7"/>
      <c r="E21" s="7"/>
      <c r="F21" s="7"/>
      <c r="G21" s="7"/>
      <c r="H21" s="7"/>
      <c r="I21" s="7"/>
      <c r="J21" s="7"/>
      <c r="K21" s="7"/>
      <c r="L21" s="7"/>
    </row>
    <row r="22" spans="1:14" s="2" customFormat="1">
      <c r="A22" s="15"/>
      <c r="B22" s="16"/>
      <c r="C22" s="16"/>
      <c r="D22" s="16"/>
      <c r="E22" s="16"/>
      <c r="F22" s="16"/>
      <c r="G22" s="16" t="s">
        <v>19</v>
      </c>
      <c r="H22" s="16" t="s">
        <v>66</v>
      </c>
      <c r="I22" s="16" t="s">
        <v>67</v>
      </c>
      <c r="J22" s="16" t="s">
        <v>68</v>
      </c>
      <c r="K22" s="16" t="s">
        <v>69</v>
      </c>
      <c r="L22" s="17" t="s">
        <v>70</v>
      </c>
      <c r="M22" s="17" t="s">
        <v>20</v>
      </c>
      <c r="N22" s="17" t="s">
        <v>21</v>
      </c>
    </row>
    <row r="23" spans="1:14" s="8" customFormat="1">
      <c r="A23" s="6"/>
      <c r="B23" s="6"/>
      <c r="C23" s="6"/>
      <c r="D23" s="6"/>
      <c r="E23" s="6"/>
      <c r="F23" s="6"/>
      <c r="G23" s="6" t="s">
        <v>22</v>
      </c>
      <c r="H23" s="7">
        <f>IF(B4=0,"",POWER($K4/B4,1/9)-1)</f>
        <v>0.14535104764280815</v>
      </c>
      <c r="I23" s="7">
        <f>IF(D4=0,"",POWER($K4/D4,1/7)-1)</f>
        <v>0.14236651788561994</v>
      </c>
      <c r="J23" s="7">
        <f>IF(F4=0,"",POWER($K4/F4,1/5)-1)</f>
        <v>6.2873144929614933E-2</v>
      </c>
      <c r="K23" s="7">
        <f>IF(H4=0,"",POWER($K4/H4, 1/3)-1)</f>
        <v>3.4768578497668123E-2</v>
      </c>
      <c r="L23" s="7">
        <f>IF(ISERROR(MAX(IF(J4=0,"",(K4-J4)/J4),IF(K4=0,"",(L4-K4)/K4))),"",MAX(IF(J4=0,"",(K4-J4)/J4),IF(K4=0,"",(L4-K4)/K4)))</f>
        <v>0.15441259985613154</v>
      </c>
      <c r="M23" s="22">
        <f>MAX(K23:L23)</f>
        <v>0.15441259985613154</v>
      </c>
      <c r="N23" s="22">
        <f>MIN(H23:L23)</f>
        <v>3.4768578497668123E-2</v>
      </c>
    </row>
    <row r="24" spans="1:14">
      <c r="G24" s="6" t="s">
        <v>18</v>
      </c>
      <c r="H24" s="7">
        <f>IF(SUM(B4:$K$4)=0,"",SUMPRODUCT(B19:$K$19,B4:$K$4)/SUM(B4:$K$4))</f>
        <v>0.21722062000372835</v>
      </c>
      <c r="I24" s="7">
        <f>IF(SUM(E4:$K$4)=0,"",SUMPRODUCT(E19:$K$19,E4:$K$4)/SUM(E4:$K$4))</f>
        <v>0.21444806449120454</v>
      </c>
      <c r="J24" s="7">
        <f>IF(SUM(G4:$K$4)=0,"",SUMPRODUCT(G19:$K$19,G4:$K$4)/SUM(G4:$K$4))</f>
        <v>0.20448630509552543</v>
      </c>
      <c r="K24" s="7">
        <f>IF(SUM(I4:$K$4)=0, "", SUMPRODUCT(I19:$K$19,I4:$K$4)/SUM(I4:$K$4))</f>
        <v>0.19638768089641473</v>
      </c>
      <c r="L24" s="7">
        <f>L19</f>
        <v>0.19234868733909447</v>
      </c>
      <c r="M24" s="22">
        <f>MAX(K24:L24)</f>
        <v>0.19638768089641473</v>
      </c>
      <c r="N24" s="22">
        <f>MIN(H24:L24)</f>
        <v>0.19234868733909447</v>
      </c>
    </row>
    <row r="25" spans="1:14">
      <c r="G25" s="6" t="s">
        <v>23</v>
      </c>
      <c r="H25" s="9">
        <f>IF(ISERROR(AVERAGEIF(B14:$L14,"&gt;0")),"",AVERAGEIF(B14:$L14,"&gt;0"))</f>
        <v>6.7196515919394137</v>
      </c>
      <c r="I25" s="9">
        <f>IF(ISERROR(AVERAGEIF(E14:$L14,"&gt;0")),"",AVERAGEIF(E14:$L14,"&gt;0"))</f>
        <v>7.5660532298079541</v>
      </c>
      <c r="J25" s="9">
        <f>IF(ISERROR(AVERAGEIF(G14:$L14,"&gt;0")),"",AVERAGEIF(G14:$L14,"&gt;0"))</f>
        <v>8.9829810484488117</v>
      </c>
      <c r="K25" s="9">
        <f>IF(ISERROR(AVERAGEIF(I14:$L14,"&gt;0")),"",AVERAGEIF(I14:$L14,"&gt;0"))</f>
        <v>11.634330773979485</v>
      </c>
      <c r="L25" s="9">
        <f>L14</f>
        <v>11.375906654052351</v>
      </c>
      <c r="M25" s="1">
        <f>MAX(K25:L25)</f>
        <v>11.634330773979485</v>
      </c>
      <c r="N25" s="1">
        <f>MIN(H25:L25)</f>
        <v>6.7196515919394137</v>
      </c>
    </row>
  </sheetData>
  <hyperlinks>
    <hyperlink ref="M1" r:id="rId1"/>
  </hyperlinks>
  <printOptions headings="1"/>
  <pageMargins left="0.7" right="0.7" top="0.75" bottom="0.75" header="0.3" footer="0.3"/>
  <pageSetup paperSize="9"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ColWidth="9.140625" defaultRowHeight="15"/>
  <cols>
    <col min="1" max="1" width="20.7109375" style="6" customWidth="1"/>
    <col min="2" max="11" width="13.5703125" style="6" bestFit="1" customWidth="1"/>
    <col min="12" max="16384" width="9.140625" style="6"/>
  </cols>
  <sheetData>
    <row r="1" spans="1:11" s="8" customFormat="1">
      <c r="A1" s="8" t="str">
        <f>'Profit &amp; Loss'!A1</f>
        <v>AMBIKA COTTON MILLS LTD</v>
      </c>
      <c r="E1" t="str">
        <f>UPDATE</f>
        <v/>
      </c>
      <c r="J1" s="4" t="s">
        <v>1</v>
      </c>
      <c r="K1" s="4"/>
    </row>
    <row r="3" spans="1:11" s="2" customFormat="1">
      <c r="A3" s="15" t="s">
        <v>2</v>
      </c>
      <c r="B3" s="16">
        <f>'Data Sheet'!B41</f>
        <v>42460</v>
      </c>
      <c r="C3" s="16">
        <f>'Data Sheet'!C41</f>
        <v>42551</v>
      </c>
      <c r="D3" s="16">
        <f>'Data Sheet'!D41</f>
        <v>42643</v>
      </c>
      <c r="E3" s="16">
        <f>'Data Sheet'!E41</f>
        <v>42735</v>
      </c>
      <c r="F3" s="16">
        <f>'Data Sheet'!F41</f>
        <v>42825</v>
      </c>
      <c r="G3" s="16">
        <f>'Data Sheet'!G41</f>
        <v>42916</v>
      </c>
      <c r="H3" s="16">
        <f>'Data Sheet'!H41</f>
        <v>43008</v>
      </c>
      <c r="I3" s="16">
        <f>'Data Sheet'!I41</f>
        <v>43100</v>
      </c>
      <c r="J3" s="16">
        <f>'Data Sheet'!J41</f>
        <v>43190</v>
      </c>
      <c r="K3" s="16">
        <f>'Data Sheet'!K41</f>
        <v>43281</v>
      </c>
    </row>
    <row r="4" spans="1:11" s="8" customFormat="1">
      <c r="A4" s="8" t="s">
        <v>6</v>
      </c>
      <c r="B4" s="1">
        <f>'Data Sheet'!B42</f>
        <v>120.38</v>
      </c>
      <c r="C4" s="1">
        <f>'Data Sheet'!C42</f>
        <v>125.57</v>
      </c>
      <c r="D4" s="1">
        <f>'Data Sheet'!D42</f>
        <v>132.93</v>
      </c>
      <c r="E4" s="1">
        <f>'Data Sheet'!E42</f>
        <v>127.36</v>
      </c>
      <c r="F4" s="1">
        <f>'Data Sheet'!F42</f>
        <v>142.75</v>
      </c>
      <c r="G4" s="1">
        <f>'Data Sheet'!G42</f>
        <v>137.72999999999999</v>
      </c>
      <c r="H4" s="1">
        <f>'Data Sheet'!H42</f>
        <v>139.61000000000001</v>
      </c>
      <c r="I4" s="1">
        <f>'Data Sheet'!I42</f>
        <v>148.01</v>
      </c>
      <c r="J4" s="1">
        <f>'Data Sheet'!J42</f>
        <v>159.12</v>
      </c>
      <c r="K4" s="1">
        <f>'Data Sheet'!K42</f>
        <v>163.09</v>
      </c>
    </row>
    <row r="5" spans="1:11">
      <c r="A5" s="6" t="s">
        <v>7</v>
      </c>
      <c r="B5" s="9">
        <f>'Data Sheet'!B43</f>
        <v>98.56</v>
      </c>
      <c r="C5" s="9">
        <f>'Data Sheet'!C43</f>
        <v>100.23</v>
      </c>
      <c r="D5" s="9">
        <f>'Data Sheet'!D43</f>
        <v>106.23</v>
      </c>
      <c r="E5" s="9">
        <f>'Data Sheet'!E43</f>
        <v>101.63</v>
      </c>
      <c r="F5" s="9">
        <f>'Data Sheet'!F43</f>
        <v>116.1</v>
      </c>
      <c r="G5" s="9">
        <f>'Data Sheet'!G43</f>
        <v>110.61</v>
      </c>
      <c r="H5" s="9">
        <f>'Data Sheet'!H43</f>
        <v>112.19</v>
      </c>
      <c r="I5" s="9">
        <f>'Data Sheet'!I43</f>
        <v>119.6</v>
      </c>
      <c r="J5" s="9">
        <f>'Data Sheet'!J43</f>
        <v>129.88</v>
      </c>
      <c r="K5" s="9">
        <f>'Data Sheet'!K43</f>
        <v>130.86000000000001</v>
      </c>
    </row>
    <row r="6" spans="1:11" s="8" customFormat="1">
      <c r="A6" s="8" t="s">
        <v>8</v>
      </c>
      <c r="B6" s="1">
        <f>'Data Sheet'!B50</f>
        <v>21.82</v>
      </c>
      <c r="C6" s="1">
        <f>'Data Sheet'!C50</f>
        <v>25.34</v>
      </c>
      <c r="D6" s="1">
        <f>'Data Sheet'!D50</f>
        <v>26.7</v>
      </c>
      <c r="E6" s="1">
        <f>'Data Sheet'!E50</f>
        <v>25.73</v>
      </c>
      <c r="F6" s="1">
        <f>'Data Sheet'!F50</f>
        <v>26.65</v>
      </c>
      <c r="G6" s="1">
        <f>'Data Sheet'!G50</f>
        <v>27.12</v>
      </c>
      <c r="H6" s="1">
        <f>'Data Sheet'!H50</f>
        <v>27.42</v>
      </c>
      <c r="I6" s="1">
        <f>'Data Sheet'!I50</f>
        <v>28.41</v>
      </c>
      <c r="J6" s="1">
        <f>'Data Sheet'!J50</f>
        <v>29.24</v>
      </c>
      <c r="K6" s="1">
        <f>'Data Sheet'!K50</f>
        <v>32.229999999999997</v>
      </c>
    </row>
    <row r="7" spans="1:11">
      <c r="A7" s="6" t="s">
        <v>9</v>
      </c>
      <c r="B7" s="9">
        <f>'Data Sheet'!B44</f>
        <v>1.54</v>
      </c>
      <c r="C7" s="9">
        <f>'Data Sheet'!C44</f>
        <v>0.1</v>
      </c>
      <c r="D7" s="9">
        <f>'Data Sheet'!D44</f>
        <v>0.24</v>
      </c>
      <c r="E7" s="9">
        <f>'Data Sheet'!E44</f>
        <v>0.38</v>
      </c>
      <c r="F7" s="9">
        <f>'Data Sheet'!F44</f>
        <v>0.11</v>
      </c>
      <c r="G7" s="9">
        <f>'Data Sheet'!G44</f>
        <v>0.33</v>
      </c>
      <c r="H7" s="9">
        <f>'Data Sheet'!H44</f>
        <v>0.06</v>
      </c>
      <c r="I7" s="9">
        <f>'Data Sheet'!I44</f>
        <v>0.34</v>
      </c>
      <c r="J7" s="9">
        <f>'Data Sheet'!J44</f>
        <v>0.5</v>
      </c>
      <c r="K7" s="9">
        <f>'Data Sheet'!K44</f>
        <v>0.13</v>
      </c>
    </row>
    <row r="8" spans="1:11">
      <c r="A8" s="6" t="s">
        <v>10</v>
      </c>
      <c r="B8" s="9">
        <f>'Data Sheet'!B45</f>
        <v>7.61</v>
      </c>
      <c r="C8" s="9">
        <f>'Data Sheet'!C45</f>
        <v>7.22</v>
      </c>
      <c r="D8" s="9">
        <f>'Data Sheet'!D45</f>
        <v>7.24</v>
      </c>
      <c r="E8" s="9">
        <f>'Data Sheet'!E45</f>
        <v>7.41</v>
      </c>
      <c r="F8" s="9">
        <f>'Data Sheet'!F45</f>
        <v>7.48</v>
      </c>
      <c r="G8" s="9">
        <f>'Data Sheet'!G45</f>
        <v>7.06</v>
      </c>
      <c r="H8" s="9">
        <f>'Data Sheet'!H45</f>
        <v>7.11</v>
      </c>
      <c r="I8" s="9">
        <f>'Data Sheet'!I45</f>
        <v>7.24</v>
      </c>
      <c r="J8" s="9">
        <f>'Data Sheet'!J45</f>
        <v>7.46</v>
      </c>
      <c r="K8" s="9">
        <f>'Data Sheet'!K45</f>
        <v>7.06</v>
      </c>
    </row>
    <row r="9" spans="1:11">
      <c r="A9" s="6" t="s">
        <v>11</v>
      </c>
      <c r="B9" s="9">
        <f>'Data Sheet'!B46</f>
        <v>1.48</v>
      </c>
      <c r="C9" s="9">
        <f>'Data Sheet'!C46</f>
        <v>1.44</v>
      </c>
      <c r="D9" s="9">
        <f>'Data Sheet'!D46</f>
        <v>1.05</v>
      </c>
      <c r="E9" s="9">
        <f>'Data Sheet'!E46</f>
        <v>0.37</v>
      </c>
      <c r="F9" s="9">
        <f>'Data Sheet'!F46</f>
        <v>0.98</v>
      </c>
      <c r="G9" s="9">
        <f>'Data Sheet'!G46</f>
        <v>0.86</v>
      </c>
      <c r="H9" s="9">
        <f>'Data Sheet'!H46</f>
        <v>0.92</v>
      </c>
      <c r="I9" s="9">
        <f>'Data Sheet'!I46</f>
        <v>0.94</v>
      </c>
      <c r="J9" s="9">
        <f>'Data Sheet'!J46</f>
        <v>2.21</v>
      </c>
      <c r="K9" s="9">
        <f>'Data Sheet'!K46</f>
        <v>2.06</v>
      </c>
    </row>
    <row r="10" spans="1:11">
      <c r="A10" s="6" t="s">
        <v>12</v>
      </c>
      <c r="B10" s="9">
        <f>'Data Sheet'!B47</f>
        <v>14.27</v>
      </c>
      <c r="C10" s="9">
        <f>'Data Sheet'!C47</f>
        <v>16.78</v>
      </c>
      <c r="D10" s="9">
        <f>'Data Sheet'!D47</f>
        <v>18.649999999999999</v>
      </c>
      <c r="E10" s="9">
        <f>'Data Sheet'!E47</f>
        <v>18.329999999999998</v>
      </c>
      <c r="F10" s="9">
        <f>'Data Sheet'!F47</f>
        <v>18.3</v>
      </c>
      <c r="G10" s="9">
        <f>'Data Sheet'!G47</f>
        <v>19.53</v>
      </c>
      <c r="H10" s="9">
        <f>'Data Sheet'!H47</f>
        <v>19.45</v>
      </c>
      <c r="I10" s="9">
        <f>'Data Sheet'!I47</f>
        <v>20.57</v>
      </c>
      <c r="J10" s="9">
        <f>'Data Sheet'!J47</f>
        <v>20.07</v>
      </c>
      <c r="K10" s="9">
        <f>'Data Sheet'!K47</f>
        <v>23.24</v>
      </c>
    </row>
    <row r="11" spans="1:11">
      <c r="A11" s="6" t="s">
        <v>13</v>
      </c>
      <c r="B11" s="9">
        <f>'Data Sheet'!B48</f>
        <v>3.74</v>
      </c>
      <c r="C11" s="9">
        <f>'Data Sheet'!C48</f>
        <v>4.24</v>
      </c>
      <c r="D11" s="9">
        <f>'Data Sheet'!D48</f>
        <v>3.85</v>
      </c>
      <c r="E11" s="9">
        <f>'Data Sheet'!E48</f>
        <v>3.93</v>
      </c>
      <c r="F11" s="9">
        <f>'Data Sheet'!F48</f>
        <v>4.3099999999999996</v>
      </c>
      <c r="G11" s="9">
        <f>'Data Sheet'!G48</f>
        <v>5.0999999999999996</v>
      </c>
      <c r="H11" s="9">
        <f>'Data Sheet'!H48</f>
        <v>4.68</v>
      </c>
      <c r="I11" s="9">
        <f>'Data Sheet'!I48</f>
        <v>4.72</v>
      </c>
      <c r="J11" s="9">
        <f>'Data Sheet'!J48</f>
        <v>4.05</v>
      </c>
      <c r="K11" s="9">
        <f>'Data Sheet'!K48</f>
        <v>6.46</v>
      </c>
    </row>
    <row r="12" spans="1:11" s="8" customFormat="1">
      <c r="A12" s="8" t="s">
        <v>14</v>
      </c>
      <c r="B12" s="1">
        <f>'Data Sheet'!B49</f>
        <v>10.53</v>
      </c>
      <c r="C12" s="1">
        <f>'Data Sheet'!C49</f>
        <v>12.54</v>
      </c>
      <c r="D12" s="1">
        <f>'Data Sheet'!D49</f>
        <v>14.8</v>
      </c>
      <c r="E12" s="1">
        <f>'Data Sheet'!E49</f>
        <v>14.4</v>
      </c>
      <c r="F12" s="1">
        <f>'Data Sheet'!F49</f>
        <v>13.99</v>
      </c>
      <c r="G12" s="1">
        <f>'Data Sheet'!G49</f>
        <v>14.43</v>
      </c>
      <c r="H12" s="1">
        <f>'Data Sheet'!H49</f>
        <v>14.77</v>
      </c>
      <c r="I12" s="1">
        <f>'Data Sheet'!I49</f>
        <v>15.85</v>
      </c>
      <c r="J12" s="1">
        <f>'Data Sheet'!J49</f>
        <v>16.02</v>
      </c>
      <c r="K12" s="1">
        <f>'Data Sheet'!K49</f>
        <v>16.78</v>
      </c>
    </row>
    <row r="14" spans="1:11" s="8" customFormat="1">
      <c r="A14" s="2" t="s">
        <v>18</v>
      </c>
      <c r="B14" s="14">
        <f>IF(B4&gt;0,B6/B4,"")</f>
        <v>0.18125934540621366</v>
      </c>
      <c r="C14" s="14">
        <f t="shared" ref="C14:K14" si="0">IF(C4&gt;0,C6/C4,"")</f>
        <v>0.20179979294417458</v>
      </c>
      <c r="D14" s="14">
        <f t="shared" si="0"/>
        <v>0.20085759422252311</v>
      </c>
      <c r="E14" s="14">
        <f t="shared" si="0"/>
        <v>0.20202575376884421</v>
      </c>
      <c r="F14" s="14">
        <f t="shared" si="0"/>
        <v>0.18669001751313485</v>
      </c>
      <c r="G14" s="14">
        <f t="shared" si="0"/>
        <v>0.19690699194075367</v>
      </c>
      <c r="H14" s="14">
        <f t="shared" si="0"/>
        <v>0.19640426903516939</v>
      </c>
      <c r="I14" s="14">
        <f t="shared" si="0"/>
        <v>0.19194649010202014</v>
      </c>
      <c r="J14" s="14">
        <f t="shared" si="0"/>
        <v>0.18376068376068375</v>
      </c>
      <c r="K14" s="14">
        <f t="shared" si="0"/>
        <v>0.19762094549022011</v>
      </c>
    </row>
    <row r="22" s="30" customFormat="1"/>
  </sheetData>
  <hyperlinks>
    <hyperlink ref="J1" r:id="rId1"/>
  </hyperlinks>
  <printOptions headings="1"/>
  <pageMargins left="0.7" right="0.7" top="0.75" bottom="0.75" header="0.3" footer="0.3"/>
  <pageSetup paperSize="9" scale="83" orientation="landscape"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ColWidth="9.140625" defaultRowHeight="15"/>
  <cols>
    <col min="1" max="1" width="22.85546875" style="11" bestFit="1" customWidth="1"/>
    <col min="2" max="2" width="13.5703125" style="11" customWidth="1"/>
    <col min="3" max="11" width="15.5703125" style="11" customWidth="1"/>
    <col min="12" max="16384" width="9.140625" style="11"/>
  </cols>
  <sheetData>
    <row r="1" spans="1:11" s="8" customFormat="1">
      <c r="A1" s="8" t="str">
        <f>'Profit &amp; Loss'!A1</f>
        <v>AMBIKA COTTON MILLS LTD</v>
      </c>
      <c r="E1" t="str">
        <f>UPDATE</f>
        <v/>
      </c>
      <c r="G1"/>
      <c r="J1" s="4" t="s">
        <v>1</v>
      </c>
      <c r="K1" s="4"/>
    </row>
    <row r="2" spans="1:11">
      <c r="G2" s="8"/>
      <c r="H2" s="8"/>
    </row>
    <row r="3" spans="1:11" s="18" customFormat="1">
      <c r="A3" s="15" t="s">
        <v>2</v>
      </c>
      <c r="B3" s="16">
        <f>'Data Sheet'!B56</f>
        <v>39538</v>
      </c>
      <c r="C3" s="16">
        <f>'Data Sheet'!C56</f>
        <v>39903</v>
      </c>
      <c r="D3" s="16">
        <f>'Data Sheet'!D56</f>
        <v>40268</v>
      </c>
      <c r="E3" s="16">
        <f>'Data Sheet'!E56</f>
        <v>40633</v>
      </c>
      <c r="F3" s="16">
        <f>'Data Sheet'!F56</f>
        <v>40999</v>
      </c>
      <c r="G3" s="16">
        <f>'Data Sheet'!G56</f>
        <v>41364</v>
      </c>
      <c r="H3" s="16">
        <f>'Data Sheet'!H56</f>
        <v>41729</v>
      </c>
      <c r="I3" s="16">
        <f>'Data Sheet'!I56</f>
        <v>42094</v>
      </c>
      <c r="J3" s="16">
        <f>'Data Sheet'!J56</f>
        <v>42460</v>
      </c>
      <c r="K3" s="16">
        <f>'Data Sheet'!K56</f>
        <v>42825</v>
      </c>
    </row>
    <row r="4" spans="1:11">
      <c r="A4" s="6" t="s">
        <v>24</v>
      </c>
      <c r="B4" s="19">
        <f>'Data Sheet'!B57</f>
        <v>5.88</v>
      </c>
      <c r="C4" s="19">
        <f>'Data Sheet'!C57</f>
        <v>5.88</v>
      </c>
      <c r="D4" s="19">
        <f>'Data Sheet'!D57</f>
        <v>5.88</v>
      </c>
      <c r="E4" s="19">
        <f>'Data Sheet'!E57</f>
        <v>5.88</v>
      </c>
      <c r="F4" s="19">
        <f>'Data Sheet'!F57</f>
        <v>5.88</v>
      </c>
      <c r="G4" s="19">
        <f>'Data Sheet'!G57</f>
        <v>5.88</v>
      </c>
      <c r="H4" s="19">
        <f>'Data Sheet'!H57</f>
        <v>5.88</v>
      </c>
      <c r="I4" s="19">
        <f>'Data Sheet'!I57</f>
        <v>5.88</v>
      </c>
      <c r="J4" s="19">
        <f>'Data Sheet'!J57</f>
        <v>5.88</v>
      </c>
      <c r="K4" s="19">
        <f>'Data Sheet'!K57</f>
        <v>5.73</v>
      </c>
    </row>
    <row r="5" spans="1:11" s="6" customFormat="1">
      <c r="A5" s="6" t="s">
        <v>25</v>
      </c>
      <c r="B5" s="19">
        <f>'Data Sheet'!B58</f>
        <v>105.34</v>
      </c>
      <c r="C5" s="19">
        <f>'Data Sheet'!C58</f>
        <v>115.13</v>
      </c>
      <c r="D5" s="19">
        <f>'Data Sheet'!D58</f>
        <v>130.44</v>
      </c>
      <c r="E5" s="19">
        <f>'Data Sheet'!E58</f>
        <v>169.55</v>
      </c>
      <c r="F5" s="19">
        <f>'Data Sheet'!F58</f>
        <v>190.01</v>
      </c>
      <c r="G5" s="19">
        <f>'Data Sheet'!G58</f>
        <v>214.51</v>
      </c>
      <c r="H5" s="19">
        <f>'Data Sheet'!H58</f>
        <v>254.06</v>
      </c>
      <c r="I5" s="19">
        <f>'Data Sheet'!I58</f>
        <v>295.33</v>
      </c>
      <c r="J5" s="19">
        <f>'Data Sheet'!J58</f>
        <v>329.17</v>
      </c>
      <c r="K5" s="19">
        <f>'Data Sheet'!K58</f>
        <v>368.86</v>
      </c>
    </row>
    <row r="6" spans="1:11">
      <c r="A6" s="11" t="s">
        <v>72</v>
      </c>
      <c r="B6" s="19">
        <f>'Data Sheet'!B59</f>
        <v>279.2</v>
      </c>
      <c r="C6" s="19">
        <f>'Data Sheet'!C59</f>
        <v>251.55</v>
      </c>
      <c r="D6" s="19">
        <f>'Data Sheet'!D59</f>
        <v>233.96</v>
      </c>
      <c r="E6" s="19">
        <f>'Data Sheet'!E59</f>
        <v>260.10000000000002</v>
      </c>
      <c r="F6" s="19">
        <f>'Data Sheet'!F59</f>
        <v>152.19999999999999</v>
      </c>
      <c r="G6" s="19">
        <f>'Data Sheet'!G59</f>
        <v>93.75</v>
      </c>
      <c r="H6" s="19">
        <f>'Data Sheet'!H59</f>
        <v>100.25</v>
      </c>
      <c r="I6" s="19">
        <f>'Data Sheet'!I59</f>
        <v>62.63</v>
      </c>
      <c r="J6" s="19">
        <f>'Data Sheet'!J59</f>
        <v>19.71</v>
      </c>
      <c r="K6" s="19">
        <f>'Data Sheet'!K59</f>
        <v>7.49</v>
      </c>
    </row>
    <row r="7" spans="1:11" s="6" customFormat="1">
      <c r="A7" s="11" t="s">
        <v>73</v>
      </c>
      <c r="B7" s="19">
        <f>'Data Sheet'!B60</f>
        <v>66.959999999999994</v>
      </c>
      <c r="C7" s="19">
        <f>'Data Sheet'!C60</f>
        <v>65.319999999999993</v>
      </c>
      <c r="D7" s="19">
        <f>'Data Sheet'!D60</f>
        <v>94.58</v>
      </c>
      <c r="E7" s="19">
        <f>'Data Sheet'!E60</f>
        <v>105.14</v>
      </c>
      <c r="F7" s="19">
        <f>'Data Sheet'!F60</f>
        <v>89.97</v>
      </c>
      <c r="G7" s="19">
        <f>'Data Sheet'!G60</f>
        <v>108.38</v>
      </c>
      <c r="H7" s="19">
        <f>'Data Sheet'!H60</f>
        <v>94.58</v>
      </c>
      <c r="I7" s="19">
        <f>'Data Sheet'!I60</f>
        <v>86.02</v>
      </c>
      <c r="J7" s="19">
        <f>'Data Sheet'!J60</f>
        <v>69.3</v>
      </c>
      <c r="K7" s="19">
        <f>'Data Sheet'!K60</f>
        <v>93.93</v>
      </c>
    </row>
    <row r="8" spans="1:11" s="8" customFormat="1">
      <c r="A8" s="8" t="s">
        <v>26</v>
      </c>
      <c r="B8" s="20">
        <f>'Data Sheet'!B61</f>
        <v>457.38</v>
      </c>
      <c r="C8" s="20">
        <f>'Data Sheet'!C61</f>
        <v>437.88</v>
      </c>
      <c r="D8" s="20">
        <f>'Data Sheet'!D61</f>
        <v>464.86</v>
      </c>
      <c r="E8" s="20">
        <f>'Data Sheet'!E61</f>
        <v>540.66999999999996</v>
      </c>
      <c r="F8" s="20">
        <f>'Data Sheet'!F61</f>
        <v>438.06</v>
      </c>
      <c r="G8" s="20">
        <f>'Data Sheet'!G61</f>
        <v>422.52</v>
      </c>
      <c r="H8" s="20">
        <f>'Data Sheet'!H61</f>
        <v>454.77</v>
      </c>
      <c r="I8" s="20">
        <f>'Data Sheet'!I61</f>
        <v>449.86</v>
      </c>
      <c r="J8" s="20">
        <f>'Data Sheet'!J61</f>
        <v>424.06</v>
      </c>
      <c r="K8" s="20">
        <f>'Data Sheet'!K61</f>
        <v>476.01</v>
      </c>
    </row>
    <row r="9" spans="1:11" s="8" customFormat="1">
      <c r="B9" s="20"/>
      <c r="C9" s="20"/>
      <c r="D9" s="20"/>
      <c r="E9" s="20"/>
      <c r="F9" s="20"/>
      <c r="G9" s="20"/>
      <c r="H9" s="20"/>
      <c r="I9" s="20"/>
      <c r="J9" s="20"/>
      <c r="K9" s="20"/>
    </row>
    <row r="10" spans="1:11">
      <c r="A10" s="6" t="s">
        <v>27</v>
      </c>
      <c r="B10" s="19">
        <f>'Data Sheet'!B62</f>
        <v>272.57</v>
      </c>
      <c r="C10" s="19">
        <f>'Data Sheet'!C62</f>
        <v>290.8</v>
      </c>
      <c r="D10" s="19">
        <f>'Data Sheet'!D62</f>
        <v>271.52999999999997</v>
      </c>
      <c r="E10" s="19">
        <f>'Data Sheet'!E62</f>
        <v>331.37</v>
      </c>
      <c r="F10" s="19">
        <f>'Data Sheet'!F62</f>
        <v>310.12</v>
      </c>
      <c r="G10" s="19">
        <f>'Data Sheet'!G62</f>
        <v>291.31</v>
      </c>
      <c r="H10" s="19">
        <f>'Data Sheet'!H62</f>
        <v>288.86</v>
      </c>
      <c r="I10" s="19">
        <f>'Data Sheet'!I62</f>
        <v>269.97000000000003</v>
      </c>
      <c r="J10" s="19">
        <f>'Data Sheet'!J62</f>
        <v>255.14</v>
      </c>
      <c r="K10" s="19">
        <f>'Data Sheet'!K62</f>
        <v>253.93</v>
      </c>
    </row>
    <row r="11" spans="1:11">
      <c r="A11" s="6" t="s">
        <v>28</v>
      </c>
      <c r="B11" s="19">
        <f>'Data Sheet'!B63</f>
        <v>20.93</v>
      </c>
      <c r="C11" s="19">
        <f>'Data Sheet'!C63</f>
        <v>0.38</v>
      </c>
      <c r="D11" s="19">
        <f>'Data Sheet'!D63</f>
        <v>0.66</v>
      </c>
      <c r="E11" s="19">
        <f>'Data Sheet'!E63</f>
        <v>0.57999999999999996</v>
      </c>
      <c r="F11" s="19">
        <f>'Data Sheet'!F63</f>
        <v>0</v>
      </c>
      <c r="G11" s="19">
        <f>'Data Sheet'!G63</f>
        <v>0.36</v>
      </c>
      <c r="H11" s="19">
        <f>'Data Sheet'!H63</f>
        <v>1</v>
      </c>
      <c r="I11" s="19">
        <f>'Data Sheet'!I63</f>
        <v>0.01</v>
      </c>
      <c r="J11" s="19">
        <f>'Data Sheet'!J63</f>
        <v>0</v>
      </c>
      <c r="K11" s="19">
        <f>'Data Sheet'!K63</f>
        <v>0</v>
      </c>
    </row>
    <row r="12" spans="1:11">
      <c r="A12" s="6" t="s">
        <v>29</v>
      </c>
      <c r="B12" s="19">
        <f>'Data Sheet'!B64</f>
        <v>0.21</v>
      </c>
      <c r="C12" s="19">
        <f>'Data Sheet'!C64</f>
        <v>0.11</v>
      </c>
      <c r="D12" s="19">
        <f>'Data Sheet'!D64</f>
        <v>0.05</v>
      </c>
      <c r="E12" s="19">
        <f>'Data Sheet'!E64</f>
        <v>0.06</v>
      </c>
      <c r="F12" s="19">
        <f>'Data Sheet'!F64</f>
        <v>0.05</v>
      </c>
      <c r="G12" s="19">
        <f>'Data Sheet'!G64</f>
        <v>0.06</v>
      </c>
      <c r="H12" s="19">
        <f>'Data Sheet'!H64</f>
        <v>7.0000000000000007E-2</v>
      </c>
      <c r="I12" s="19">
        <f>'Data Sheet'!I64</f>
        <v>0.08</v>
      </c>
      <c r="J12" s="19">
        <f>'Data Sheet'!J64</f>
        <v>0.11</v>
      </c>
      <c r="K12" s="19">
        <f>'Data Sheet'!K64</f>
        <v>0.11</v>
      </c>
    </row>
    <row r="13" spans="1:11">
      <c r="A13" s="11" t="s">
        <v>74</v>
      </c>
      <c r="B13" s="19">
        <f>'Data Sheet'!B65</f>
        <v>163.66999999999999</v>
      </c>
      <c r="C13" s="19">
        <f>'Data Sheet'!C65</f>
        <v>146.59</v>
      </c>
      <c r="D13" s="19">
        <f>'Data Sheet'!D65</f>
        <v>192.62</v>
      </c>
      <c r="E13" s="19">
        <f>'Data Sheet'!E65</f>
        <v>208.66</v>
      </c>
      <c r="F13" s="19">
        <f>'Data Sheet'!F65</f>
        <v>127.89</v>
      </c>
      <c r="G13" s="19">
        <f>'Data Sheet'!G65</f>
        <v>130.79</v>
      </c>
      <c r="H13" s="19">
        <f>'Data Sheet'!H65</f>
        <v>164.84</v>
      </c>
      <c r="I13" s="19">
        <f>'Data Sheet'!I65</f>
        <v>179.8</v>
      </c>
      <c r="J13" s="19">
        <f>'Data Sheet'!J65</f>
        <v>168.81</v>
      </c>
      <c r="K13" s="19">
        <f>'Data Sheet'!K65</f>
        <v>221.97</v>
      </c>
    </row>
    <row r="14" spans="1:11" s="8" customFormat="1">
      <c r="A14" s="8" t="s">
        <v>26</v>
      </c>
      <c r="B14" s="19">
        <f>'Data Sheet'!B66</f>
        <v>457.38</v>
      </c>
      <c r="C14" s="19">
        <f>'Data Sheet'!C66</f>
        <v>437.88</v>
      </c>
      <c r="D14" s="19">
        <f>'Data Sheet'!D66</f>
        <v>464.86</v>
      </c>
      <c r="E14" s="19">
        <f>'Data Sheet'!E66</f>
        <v>540.66999999999996</v>
      </c>
      <c r="F14" s="19">
        <f>'Data Sheet'!F66</f>
        <v>438.06</v>
      </c>
      <c r="G14" s="19">
        <f>'Data Sheet'!G66</f>
        <v>422.52</v>
      </c>
      <c r="H14" s="19">
        <f>'Data Sheet'!H66</f>
        <v>454.77</v>
      </c>
      <c r="I14" s="19">
        <f>'Data Sheet'!I66</f>
        <v>449.86</v>
      </c>
      <c r="J14" s="19">
        <f>'Data Sheet'!J66</f>
        <v>424.06</v>
      </c>
      <c r="K14" s="19">
        <f>'Data Sheet'!K66</f>
        <v>476.01</v>
      </c>
    </row>
    <row r="15" spans="1:11">
      <c r="A15" s="6"/>
      <c r="B15" s="21"/>
      <c r="C15" s="21"/>
      <c r="D15" s="21"/>
      <c r="E15" s="21"/>
      <c r="F15" s="21"/>
      <c r="G15" s="21"/>
      <c r="H15" s="21"/>
      <c r="I15" s="21"/>
      <c r="J15" s="21"/>
      <c r="K15" s="21"/>
    </row>
    <row r="16" spans="1:11">
      <c r="A16" s="29" t="s">
        <v>30</v>
      </c>
      <c r="B16" s="21">
        <f>B13-B7</f>
        <v>96.71</v>
      </c>
      <c r="C16" s="21">
        <f t="shared" ref="C16:K16" si="0">C13-C7</f>
        <v>81.27000000000001</v>
      </c>
      <c r="D16" s="21">
        <f t="shared" si="0"/>
        <v>98.04</v>
      </c>
      <c r="E16" s="21">
        <f t="shared" si="0"/>
        <v>103.52</v>
      </c>
      <c r="F16" s="21">
        <f t="shared" si="0"/>
        <v>37.92</v>
      </c>
      <c r="G16" s="21">
        <f t="shared" si="0"/>
        <v>22.409999999999997</v>
      </c>
      <c r="H16" s="21">
        <f t="shared" si="0"/>
        <v>70.260000000000005</v>
      </c>
      <c r="I16" s="21">
        <f t="shared" si="0"/>
        <v>93.780000000000015</v>
      </c>
      <c r="J16" s="21">
        <f t="shared" si="0"/>
        <v>99.51</v>
      </c>
      <c r="K16" s="21">
        <f t="shared" si="0"/>
        <v>128.04</v>
      </c>
    </row>
    <row r="17" spans="1:11">
      <c r="A17" s="11" t="s">
        <v>44</v>
      </c>
      <c r="B17" s="21">
        <f>'Data Sheet'!B67</f>
        <v>4.26</v>
      </c>
      <c r="C17" s="21">
        <f>'Data Sheet'!C67</f>
        <v>7.22</v>
      </c>
      <c r="D17" s="21">
        <f>'Data Sheet'!D67</f>
        <v>23.66</v>
      </c>
      <c r="E17" s="21">
        <f>'Data Sheet'!E67</f>
        <v>21.17</v>
      </c>
      <c r="F17" s="21">
        <f>'Data Sheet'!F67</f>
        <v>10.53</v>
      </c>
      <c r="G17" s="21">
        <f>'Data Sheet'!G67</f>
        <v>6.53</v>
      </c>
      <c r="H17" s="21">
        <f>'Data Sheet'!H67</f>
        <v>5.7</v>
      </c>
      <c r="I17" s="21">
        <f>'Data Sheet'!I67</f>
        <v>6.04</v>
      </c>
      <c r="J17" s="21">
        <f>'Data Sheet'!J67</f>
        <v>18.5</v>
      </c>
      <c r="K17" s="21">
        <f>'Data Sheet'!K67</f>
        <v>41.04</v>
      </c>
    </row>
    <row r="18" spans="1:11">
      <c r="A18" s="11" t="s">
        <v>45</v>
      </c>
      <c r="B18" s="21">
        <f>'Data Sheet'!B68</f>
        <v>108.11</v>
      </c>
      <c r="C18" s="21">
        <f>'Data Sheet'!C68</f>
        <v>108.92</v>
      </c>
      <c r="D18" s="21">
        <f>'Data Sheet'!D68</f>
        <v>136.62</v>
      </c>
      <c r="E18" s="21">
        <f>'Data Sheet'!E68</f>
        <v>150.43</v>
      </c>
      <c r="F18" s="21">
        <f>'Data Sheet'!F68</f>
        <v>82.72</v>
      </c>
      <c r="G18" s="21">
        <f>'Data Sheet'!G68</f>
        <v>92.18</v>
      </c>
      <c r="H18" s="21">
        <f>'Data Sheet'!H68</f>
        <v>132.9</v>
      </c>
      <c r="I18" s="21">
        <f>'Data Sheet'!I68</f>
        <v>144.53</v>
      </c>
      <c r="J18" s="21">
        <f>'Data Sheet'!J68</f>
        <v>124.17</v>
      </c>
      <c r="K18" s="21">
        <f>'Data Sheet'!K68</f>
        <v>151.5</v>
      </c>
    </row>
    <row r="20" spans="1:11">
      <c r="A20" s="11" t="s">
        <v>46</v>
      </c>
      <c r="B20" s="5">
        <f>IF('Profit &amp; Loss'!B4&gt;0,'Balance Sheet'!B17/('Profit &amp; Loss'!B4/365),0)</f>
        <v>9.9839476049826619</v>
      </c>
      <c r="C20" s="5">
        <f>IF('Profit &amp; Loss'!C4&gt;0,'Balance Sheet'!C17/('Profit &amp; Loss'!C4/365),0)</f>
        <v>14.825879043600562</v>
      </c>
      <c r="D20" s="5">
        <f>IF('Profit &amp; Loss'!D4&gt;0,'Balance Sheet'!D17/('Profit &amp; Loss'!D4/365),0)</f>
        <v>41.504782044504253</v>
      </c>
      <c r="E20" s="5">
        <f>IF('Profit &amp; Loss'!E4&gt;0,'Balance Sheet'!E17/('Profit &amp; Loss'!E4/365),0)</f>
        <v>23.646030968847544</v>
      </c>
      <c r="F20" s="5">
        <f>IF('Profit &amp; Loss'!F4&gt;0,'Balance Sheet'!F17/('Profit &amp; Loss'!F4/365),0)</f>
        <v>9.869171117502054</v>
      </c>
      <c r="G20" s="5">
        <f>IF('Profit &amp; Loss'!G4&gt;0,'Balance Sheet'!G17/('Profit &amp; Loss'!G4/365),0)</f>
        <v>5.9917293044068476</v>
      </c>
      <c r="H20" s="5">
        <f>IF('Profit &amp; Loss'!H4&gt;0,'Balance Sheet'!H17/('Profit &amp; Loss'!H4/365),0)</f>
        <v>4.3636478040186253</v>
      </c>
      <c r="I20" s="5">
        <f>IF('Profit &amp; Loss'!I4&gt;0,'Balance Sheet'!I17/('Profit &amp; Loss'!I4/365),0)</f>
        <v>4.4540073135745599</v>
      </c>
      <c r="J20" s="5">
        <f>IF('Profit &amp; Loss'!J4&gt;0,'Balance Sheet'!J17/('Profit &amp; Loss'!J4/365),0)</f>
        <v>13.720689234770596</v>
      </c>
      <c r="K20" s="5">
        <f>IF('Profit &amp; Loss'!K4&gt;0,'Balance Sheet'!K17/('Profit &amp; Loss'!K4/365),0)</f>
        <v>28.356491121796086</v>
      </c>
    </row>
    <row r="21" spans="1:11">
      <c r="A21" s="11" t="s">
        <v>47</v>
      </c>
      <c r="B21" s="5">
        <f>IF('Balance Sheet'!B18&gt;0,'Profit &amp; Loss'!B4/'Balance Sheet'!B18,0)</f>
        <v>1.4405697900286747</v>
      </c>
      <c r="C21" s="5">
        <f>IF('Balance Sheet'!C18&gt;0,'Profit &amp; Loss'!C4/'Balance Sheet'!C18,0)</f>
        <v>1.6319316929856775</v>
      </c>
      <c r="D21" s="5">
        <f>IF('Balance Sheet'!D18&gt;0,'Profit &amp; Loss'!D4/'Balance Sheet'!D18,0)</f>
        <v>1.5229834577660664</v>
      </c>
      <c r="E21" s="5">
        <f>IF('Balance Sheet'!E18&gt;0,'Profit &amp; Loss'!E4/'Balance Sheet'!E18,0)</f>
        <v>2.1723060559728773</v>
      </c>
      <c r="F21" s="5">
        <f>IF('Balance Sheet'!F18&gt;0,'Profit &amp; Loss'!F4/'Balance Sheet'!F18,0)</f>
        <v>4.7079303675048356</v>
      </c>
      <c r="G21" s="5">
        <f>IF('Balance Sheet'!G18&gt;0,'Profit &amp; Loss'!G4/'Balance Sheet'!G18,0)</f>
        <v>4.3153612497287916</v>
      </c>
      <c r="H21" s="5">
        <f>IF('Balance Sheet'!H18&gt;0,'Profit &amp; Loss'!H4/'Balance Sheet'!H18,0)</f>
        <v>3.5875094055680958</v>
      </c>
      <c r="I21" s="5">
        <f>IF('Balance Sheet'!I18&gt;0,'Profit &amp; Loss'!I4/'Balance Sheet'!I18,0)</f>
        <v>3.4246869162111673</v>
      </c>
      <c r="J21" s="5">
        <f>IF('Balance Sheet'!J18&gt;0,'Profit &amp; Loss'!J4/'Balance Sheet'!J18,0)</f>
        <v>3.9634372231617943</v>
      </c>
      <c r="K21" s="5">
        <f>IF('Balance Sheet'!K18&gt;0,'Profit &amp; Loss'!K4/'Balance Sheet'!K18,0)</f>
        <v>3.486864686468647</v>
      </c>
    </row>
    <row r="23" spans="1:11" s="8" customFormat="1">
      <c r="A23" s="8" t="s">
        <v>60</v>
      </c>
      <c r="B23" s="14">
        <f>IF(SUM('Balance Sheet'!B4:B5)&gt;0,'Profit &amp; Loss'!B12/SUM('Balance Sheet'!B4:B5),"")</f>
        <v>0.11904333752922136</v>
      </c>
      <c r="C23" s="14">
        <f>IF(SUM('Balance Sheet'!C4:C5)&gt;0,'Profit &amp; Loss'!C12/SUM('Balance Sheet'!C4:C5),"")</f>
        <v>7.7844806214362461E-2</v>
      </c>
      <c r="D23" s="14">
        <f>IF(SUM('Balance Sheet'!D4:D5)&gt;0,'Profit &amp; Loss'!D12/SUM('Balance Sheet'!D4:D5),"")</f>
        <v>0.13593016431924884</v>
      </c>
      <c r="E23" s="14">
        <f>IF(SUM('Balance Sheet'!E4:E5)&gt;0,'Profit &amp; Loss'!E12/SUM('Balance Sheet'!E4:E5),"")</f>
        <v>0.24191985407284955</v>
      </c>
      <c r="F23" s="14">
        <f>IF(SUM('Balance Sheet'!F4:F5)&gt;0,'Profit &amp; Loss'!F12/SUM('Balance Sheet'!F4:F5),"")</f>
        <v>0.12190515084996682</v>
      </c>
      <c r="G23" s="14">
        <f>IF(SUM('Balance Sheet'!G4:G5)&gt;0,'Profit &amp; Loss'!G12/SUM('Balance Sheet'!G4:G5),"")</f>
        <v>0.14056899133354508</v>
      </c>
      <c r="H23" s="14">
        <f>IF(SUM('Balance Sheet'!H4:H5)&gt;0,'Profit &amp; Loss'!H12/SUM('Balance Sheet'!H4:H5),"")</f>
        <v>0.18519658382703702</v>
      </c>
      <c r="I23" s="14">
        <f>IF(SUM('Balance Sheet'!I4:I5)&gt;0,'Profit &amp; Loss'!I12/SUM('Balance Sheet'!I4:I5),"")</f>
        <v>0.16991467746754757</v>
      </c>
      <c r="J23" s="14">
        <f>IF(SUM('Balance Sheet'!J4:J5)&gt;0,'Profit &amp; Loss'!J12/SUM('Balance Sheet'!J4:J5),"")</f>
        <v>0.13269661244590358</v>
      </c>
      <c r="K23" s="14">
        <f>IF(SUM('Balance Sheet'!K4:K5)&gt;0,'Profit &amp; Loss'!K12/SUM('Balance Sheet'!K4:K5),"")</f>
        <v>0.14856242825489199</v>
      </c>
    </row>
    <row r="24" spans="1:11" s="8" customFormat="1">
      <c r="A24" s="8" t="s">
        <v>61</v>
      </c>
      <c r="B24" s="14">
        <f>IF(('Balance Sheet'!B10+'Balance Sheet'!B16)&gt;0,('Profit &amp; Loss'!B6-'Profit &amp; Loss'!B8-'Profit &amp; Loss'!B11)/('Balance Sheet'!B10+'Balance Sheet'!B16),"")</f>
        <v>5.2101386481802466E-2</v>
      </c>
      <c r="C24" s="14">
        <f>IF(('Balance Sheet'!C10+'Balance Sheet'!C16)&gt;0,('Profit &amp; Loss'!C6-'Profit &amp; Loss'!C8-'Profit &amp; Loss'!C11)/('Balance Sheet'!C10+'Balance Sheet'!C16),"")</f>
        <v>5.1737576262531199E-2</v>
      </c>
      <c r="D24" s="14">
        <f>IF(('Balance Sheet'!D10+'Balance Sheet'!D16)&gt;0,('Profit &amp; Loss'!D6-'Profit &amp; Loss'!D8-'Profit &amp; Loss'!D11)/('Balance Sheet'!D10+'Balance Sheet'!D16),"")</f>
        <v>5.4658116189084623E-2</v>
      </c>
      <c r="E24" s="14">
        <f>IF(('Balance Sheet'!E10+'Balance Sheet'!E16)&gt;0,('Profit &amp; Loss'!E6-'Profit &amp; Loss'!E8-'Profit &amp; Loss'!E11)/('Balance Sheet'!E10+'Balance Sheet'!E16),"")</f>
        <v>0.13214835935523914</v>
      </c>
      <c r="F24" s="14">
        <f>IF(('Balance Sheet'!F10+'Balance Sheet'!F16)&gt;0,('Profit &amp; Loss'!F6-'Profit &amp; Loss'!F8-'Profit &amp; Loss'!F11)/('Balance Sheet'!F10+'Balance Sheet'!F16),"")</f>
        <v>0.12432479025399373</v>
      </c>
      <c r="G24" s="14">
        <f>IF(('Balance Sheet'!G10+'Balance Sheet'!G16)&gt;0,('Profit &amp; Loss'!G6-'Profit &amp; Loss'!G8-'Profit &amp; Loss'!G11)/('Balance Sheet'!G10+'Balance Sheet'!G16),"")</f>
        <v>0.1596009180160653</v>
      </c>
      <c r="H24" s="14">
        <f>IF(('Balance Sheet'!H10+'Balance Sheet'!H16)&gt;0,('Profit &amp; Loss'!H6-'Profit &amp; Loss'!H8-'Profit &amp; Loss'!H11)/('Balance Sheet'!H10+'Balance Sheet'!H16),"")</f>
        <v>0.16927489418578751</v>
      </c>
      <c r="I24" s="14">
        <f>IF(('Balance Sheet'!I10+'Balance Sheet'!I16)&gt;0,('Profit &amp; Loss'!I6-'Profit &amp; Loss'!I8-'Profit &amp; Loss'!I11)/('Balance Sheet'!I10+'Balance Sheet'!I16),"")</f>
        <v>0.15887285223367689</v>
      </c>
      <c r="J24" s="14">
        <f>IF(('Balance Sheet'!J10+'Balance Sheet'!J16)&gt;0,('Profit &amp; Loss'!J6-'Profit &amp; Loss'!J8-'Profit &amp; Loss'!J11)/('Balance Sheet'!J10+'Balance Sheet'!J16),"")</f>
        <v>0.13686733399125894</v>
      </c>
      <c r="K24" s="14">
        <f>IF(('Balance Sheet'!K10+'Balance Sheet'!K16)&gt;0,('Profit &amp; Loss'!K6-'Profit &amp; Loss'!K8-'Profit &amp; Loss'!K11)/('Balance Sheet'!K10+'Balance Sheet'!K16),"")</f>
        <v>0.15522161426290026</v>
      </c>
    </row>
    <row r="25" spans="1:11" s="18" customFormat="1"/>
  </sheetData>
  <hyperlinks>
    <hyperlink ref="J1" r:id="rId1"/>
  </hyperlinks>
  <printOptions heading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ColWidth="9.140625" defaultRowHeight="15"/>
  <cols>
    <col min="1" max="1" width="26.85546875" style="6" bestFit="1" customWidth="1"/>
    <col min="2" max="6" width="13.5703125" style="6" customWidth="1"/>
    <col min="7" max="11" width="13.5703125" style="6" bestFit="1" customWidth="1"/>
    <col min="12" max="16384" width="9.140625" style="6"/>
  </cols>
  <sheetData>
    <row r="1" spans="1:11" s="8" customFormat="1">
      <c r="A1" s="8" t="str">
        <f>'Balance Sheet'!A1</f>
        <v>AMBIKA COTTON MILLS LTD</v>
      </c>
      <c r="E1" t="str">
        <f>UPDATE</f>
        <v/>
      </c>
      <c r="F1"/>
      <c r="J1" s="4" t="s">
        <v>1</v>
      </c>
      <c r="K1" s="4"/>
    </row>
    <row r="3" spans="1:11" s="2" customFormat="1">
      <c r="A3" s="15" t="s">
        <v>2</v>
      </c>
      <c r="B3" s="16">
        <f>'Data Sheet'!B81</f>
        <v>39538</v>
      </c>
      <c r="C3" s="16">
        <f>'Data Sheet'!C81</f>
        <v>39903</v>
      </c>
      <c r="D3" s="16">
        <f>'Data Sheet'!D81</f>
        <v>40268</v>
      </c>
      <c r="E3" s="16">
        <f>'Data Sheet'!E81</f>
        <v>40633</v>
      </c>
      <c r="F3" s="16">
        <f>'Data Sheet'!F81</f>
        <v>40999</v>
      </c>
      <c r="G3" s="16">
        <f>'Data Sheet'!G81</f>
        <v>41364</v>
      </c>
      <c r="H3" s="16">
        <f>'Data Sheet'!H81</f>
        <v>41729</v>
      </c>
      <c r="I3" s="16">
        <f>'Data Sheet'!I81</f>
        <v>42094</v>
      </c>
      <c r="J3" s="16">
        <f>'Data Sheet'!J81</f>
        <v>42460</v>
      </c>
      <c r="K3" s="16">
        <f>'Data Sheet'!K81</f>
        <v>42825</v>
      </c>
    </row>
    <row r="4" spans="1:11" s="8" customFormat="1">
      <c r="A4" s="8" t="s">
        <v>32</v>
      </c>
      <c r="B4" s="1">
        <f>'Data Sheet'!B82</f>
        <v>40.479999999999997</v>
      </c>
      <c r="C4" s="1">
        <f>'Data Sheet'!C82</f>
        <v>50.79</v>
      </c>
      <c r="D4" s="1">
        <f>'Data Sheet'!D82</f>
        <v>38.630000000000003</v>
      </c>
      <c r="E4" s="1">
        <f>'Data Sheet'!E82</f>
        <v>72.69</v>
      </c>
      <c r="F4" s="1">
        <f>'Data Sheet'!F82</f>
        <v>135.4</v>
      </c>
      <c r="G4" s="1">
        <f>'Data Sheet'!G82</f>
        <v>87.41</v>
      </c>
      <c r="H4" s="1">
        <f>'Data Sheet'!H82</f>
        <v>37.82</v>
      </c>
      <c r="I4" s="1">
        <f>'Data Sheet'!I82</f>
        <v>42.95</v>
      </c>
      <c r="J4" s="1">
        <f>'Data Sheet'!J82</f>
        <v>66.98</v>
      </c>
      <c r="K4" s="1">
        <f>'Data Sheet'!K82</f>
        <v>68.540000000000006</v>
      </c>
    </row>
    <row r="5" spans="1:11">
      <c r="A5" s="6" t="s">
        <v>33</v>
      </c>
      <c r="B5" s="9">
        <f>'Data Sheet'!B83</f>
        <v>-92.95</v>
      </c>
      <c r="C5" s="9">
        <f>'Data Sheet'!C83</f>
        <v>-14.98</v>
      </c>
      <c r="D5" s="9">
        <f>'Data Sheet'!D83</f>
        <v>-1.57</v>
      </c>
      <c r="E5" s="9">
        <f>'Data Sheet'!E83</f>
        <v>-82.51</v>
      </c>
      <c r="F5" s="9">
        <f>'Data Sheet'!F83</f>
        <v>-4.3099999999999996</v>
      </c>
      <c r="G5" s="9">
        <f>'Data Sheet'!G83</f>
        <v>-8.73</v>
      </c>
      <c r="H5" s="9">
        <f>'Data Sheet'!H83</f>
        <v>-28.48</v>
      </c>
      <c r="I5" s="9">
        <f>'Data Sheet'!I83</f>
        <v>-9.2799999999999994</v>
      </c>
      <c r="J5" s="9">
        <f>'Data Sheet'!J83</f>
        <v>-12.91</v>
      </c>
      <c r="K5" s="9">
        <f>'Data Sheet'!K83</f>
        <v>-27.67</v>
      </c>
    </row>
    <row r="6" spans="1:11">
      <c r="A6" s="6" t="s">
        <v>34</v>
      </c>
      <c r="B6" s="9">
        <f>'Data Sheet'!B84</f>
        <v>59.98</v>
      </c>
      <c r="C6" s="9">
        <f>'Data Sheet'!C84</f>
        <v>-46.6</v>
      </c>
      <c r="D6" s="9">
        <f>'Data Sheet'!D84</f>
        <v>-33.700000000000003</v>
      </c>
      <c r="E6" s="9">
        <f>'Data Sheet'!E84</f>
        <v>6.87</v>
      </c>
      <c r="F6" s="9">
        <f>'Data Sheet'!F84</f>
        <v>-131.69</v>
      </c>
      <c r="G6" s="9">
        <f>'Data Sheet'!G84</f>
        <v>-79.19</v>
      </c>
      <c r="H6" s="9">
        <f>'Data Sheet'!H84</f>
        <v>-8.1199999999999992</v>
      </c>
      <c r="I6" s="9">
        <f>'Data Sheet'!I84</f>
        <v>-33.56</v>
      </c>
      <c r="J6" s="9">
        <f>'Data Sheet'!J84</f>
        <v>-52.14</v>
      </c>
      <c r="K6" s="9">
        <f>'Data Sheet'!K84</f>
        <v>-32.18</v>
      </c>
    </row>
    <row r="7" spans="1:11" s="8" customFormat="1">
      <c r="A7" s="8" t="s">
        <v>35</v>
      </c>
      <c r="B7" s="1">
        <f>'Data Sheet'!B85</f>
        <v>7.51</v>
      </c>
      <c r="C7" s="1">
        <f>'Data Sheet'!C85</f>
        <v>-10.79</v>
      </c>
      <c r="D7" s="1">
        <f>'Data Sheet'!D85</f>
        <v>3.36</v>
      </c>
      <c r="E7" s="1">
        <f>'Data Sheet'!E85</f>
        <v>-2.95</v>
      </c>
      <c r="F7" s="1">
        <f>'Data Sheet'!F85</f>
        <v>-0.6</v>
      </c>
      <c r="G7" s="1">
        <f>'Data Sheet'!G85</f>
        <v>-0.51</v>
      </c>
      <c r="H7" s="1">
        <f>'Data Sheet'!H85</f>
        <v>1.22</v>
      </c>
      <c r="I7" s="1">
        <f>'Data Sheet'!I85</f>
        <v>0.1</v>
      </c>
      <c r="J7" s="1">
        <f>'Data Sheet'!J85</f>
        <v>1.94</v>
      </c>
      <c r="K7" s="1">
        <f>'Data Sheet'!K85</f>
        <v>8.69</v>
      </c>
    </row>
    <row r="8" spans="1:11">
      <c r="A8" s="29"/>
      <c r="B8" s="9"/>
      <c r="C8" s="9"/>
      <c r="D8" s="9"/>
      <c r="E8" s="9"/>
      <c r="F8" s="9"/>
      <c r="G8" s="9"/>
      <c r="H8" s="9"/>
      <c r="I8" s="9"/>
      <c r="J8" s="9"/>
      <c r="K8" s="9"/>
    </row>
    <row r="24" s="29" customFormat="1"/>
  </sheetData>
  <hyperlinks>
    <hyperlink ref="J1" r:id="rId1"/>
  </hyperlinks>
  <printOptions headings="1"/>
  <pageMargins left="0.7" right="0.7" top="0.75" bottom="0.75" header="0.3" footer="0.3"/>
  <pageSetup paperSize="9" orientation="landscape" horizontalDpi="0" verticalDpi="0" r:id="rId2"/>
</worksheet>
</file>

<file path=xl/worksheets/sheet6.xml><?xml version="1.0" encoding="utf-8"?>
<worksheet xmlns="http://schemas.openxmlformats.org/spreadsheetml/2006/main" xmlns:r="http://schemas.openxmlformats.org/officeDocument/2006/relationships">
  <sheetPr codeName="Sheet5"/>
  <dimension ref="A1:G16"/>
  <sheetViews>
    <sheetView workbookViewId="0">
      <selection activeCell="B8" sqref="B8"/>
    </sheetView>
  </sheetViews>
  <sheetFormatPr defaultColWidth="9.140625" defaultRowHeight="1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c r="A1" s="25" t="s">
        <v>57</v>
      </c>
    </row>
    <row r="3" spans="1:7">
      <c r="A3" s="8" t="s">
        <v>48</v>
      </c>
    </row>
    <row r="4" spans="1:7">
      <c r="B4" s="11" t="s">
        <v>91</v>
      </c>
    </row>
    <row r="5" spans="1:7">
      <c r="B5" s="11" t="s">
        <v>49</v>
      </c>
    </row>
    <row r="7" spans="1:7">
      <c r="A7" s="8" t="s">
        <v>50</v>
      </c>
    </row>
    <row r="8" spans="1:7">
      <c r="B8" s="11" t="s">
        <v>51</v>
      </c>
      <c r="C8" s="27" t="s">
        <v>92</v>
      </c>
    </row>
    <row r="10" spans="1:7">
      <c r="A10" s="8" t="s">
        <v>52</v>
      </c>
    </row>
    <row r="11" spans="1:7">
      <c r="B11" s="11" t="s">
        <v>53</v>
      </c>
    </row>
    <row r="14" spans="1:7">
      <c r="A14" s="8" t="s">
        <v>54</v>
      </c>
    </row>
    <row r="15" spans="1:7">
      <c r="B15" s="11" t="s">
        <v>55</v>
      </c>
    </row>
    <row r="16" spans="1:7">
      <c r="B16" s="11" t="s">
        <v>56</v>
      </c>
      <c r="G16" s="28" t="s">
        <v>93</v>
      </c>
    </row>
  </sheetData>
  <hyperlinks>
    <hyperlink ref="C8" r:id="rId1" display=" http://www.screener.in/excel"/>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49"/>
  <sheetViews>
    <sheetView topLeftCell="A28" workbookViewId="0">
      <selection activeCell="M48" sqref="M48"/>
    </sheetView>
  </sheetViews>
  <sheetFormatPr defaultColWidth="9.140625" defaultRowHeight="12"/>
  <cols>
    <col min="1" max="1" width="34.7109375" style="247" customWidth="1"/>
    <col min="2" max="2" width="7.7109375" style="247" bestFit="1" customWidth="1"/>
    <col min="3" max="4" width="6.7109375" style="247" customWidth="1"/>
    <col min="5" max="9" width="6.28515625" style="247" customWidth="1"/>
    <col min="10" max="10" width="6.42578125" style="247" customWidth="1"/>
    <col min="11" max="12" width="6.28515625" style="247" customWidth="1"/>
    <col min="13" max="14" width="16.42578125" style="247" customWidth="1"/>
    <col min="15" max="15" width="17.42578125" style="247" customWidth="1"/>
    <col min="16" max="17" width="10.28515625" style="247" customWidth="1"/>
    <col min="18" max="18" width="11" style="247" customWidth="1"/>
    <col min="19" max="16384" width="9.140625" style="247"/>
  </cols>
  <sheetData>
    <row r="1" spans="1:15">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row>
    <row r="2" spans="1:15" ht="1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248"/>
    </row>
    <row r="3" spans="1:15" ht="15">
      <c r="A3" s="5" t="s">
        <v>90</v>
      </c>
      <c r="B3" s="5">
        <f>'Data Sheet'!B93</f>
        <v>0.58750000000000002</v>
      </c>
      <c r="C3" s="5">
        <f>'Data Sheet'!C93</f>
        <v>0.58750000000000002</v>
      </c>
      <c r="D3" s="5">
        <f>'Data Sheet'!D93</f>
        <v>0.58750000000000002</v>
      </c>
      <c r="E3" s="5">
        <f>'Data Sheet'!E93</f>
        <v>0.58750000000000002</v>
      </c>
      <c r="F3" s="5">
        <f>'Data Sheet'!F93</f>
        <v>0.58750000000000002</v>
      </c>
      <c r="G3" s="5">
        <f>'Data Sheet'!G93</f>
        <v>0.58750000000000002</v>
      </c>
      <c r="H3" s="5">
        <f>'Data Sheet'!H93</f>
        <v>0.58750000000000002</v>
      </c>
      <c r="I3" s="5">
        <f>'Data Sheet'!I93</f>
        <v>0.58750000000000002</v>
      </c>
      <c r="J3" s="5">
        <f>'Data Sheet'!J93</f>
        <v>0.58750000000000002</v>
      </c>
      <c r="K3" s="5">
        <f>'Data Sheet'!K93</f>
        <v>0.57250000000000001</v>
      </c>
      <c r="L3" s="5"/>
      <c r="M3" s="5"/>
    </row>
    <row r="4" spans="1:15" ht="15">
      <c r="A4" s="5" t="s">
        <v>480</v>
      </c>
      <c r="B4" s="327">
        <f>Other_input_data!C41/Other_input_data!C32</f>
        <v>8.5013484011814591E-2</v>
      </c>
      <c r="C4" s="327">
        <f>Other_input_data!D41/Other_input_data!D32</f>
        <v>5.2995780590717322E-2</v>
      </c>
      <c r="D4" s="327">
        <f>Other_input_data!E41/Other_input_data!E32</f>
        <v>8.905656750132164E-2</v>
      </c>
      <c r="E4" s="327">
        <f>Other_input_data!F41/Other_input_data!F32</f>
        <v>0.1298733092600525</v>
      </c>
      <c r="F4" s="327">
        <f>Other_input_data!G41/Other_input_data!G32</f>
        <v>6.1318816762530794E-2</v>
      </c>
      <c r="G4" s="327">
        <f>Other_input_data!H41/Other_input_data!H32</f>
        <v>7.7855149702104179E-2</v>
      </c>
      <c r="H4" s="327">
        <f>Other_input_data!I41/Other_input_data!I32</f>
        <v>0.10096900037753251</v>
      </c>
      <c r="I4" s="327">
        <f>Other_input_data!J41/Other_input_data!J32</f>
        <v>0.10338000282845428</v>
      </c>
      <c r="J4" s="327">
        <f>Other_input_data!K41/Other_input_data!K32</f>
        <v>9.0299508270004422E-2</v>
      </c>
      <c r="K4" s="327">
        <f>Other_input_data!L41/Other_input_data!L32</f>
        <v>0.10532692234884328</v>
      </c>
      <c r="L4" s="5"/>
      <c r="M4" s="332">
        <f>SUM(Other_input_data!J41:L41)/SUM(Other_input_data!J32:L32)</f>
        <v>9.9810607310425806E-2</v>
      </c>
      <c r="N4" s="251">
        <f>SUM(Other_input_data!H41:L41)/SUM(Other_input_data!H32:L32)</f>
        <v>9.6387357004778337E-2</v>
      </c>
      <c r="O4" s="251">
        <f>SUM(Other_input_data!D41:L41)/SUM(Other_input_data!D32:L32)</f>
        <v>9.2964449968212848E-2</v>
      </c>
    </row>
    <row r="5" spans="1:15" ht="15">
      <c r="A5" s="5" t="s">
        <v>867</v>
      </c>
      <c r="B5" s="328">
        <f>Other_input_data!C32/Other_input_data!C55</f>
        <v>0.34050461323188597</v>
      </c>
      <c r="C5" s="328">
        <f>Other_input_data!D32/Other_input_data!D55</f>
        <v>0.40593313236503153</v>
      </c>
      <c r="D5" s="328">
        <f>Other_input_data!E32/Other_input_data!E55</f>
        <v>0.44759712601643503</v>
      </c>
      <c r="E5" s="328">
        <f>Other_input_data!F32/Other_input_data!F55</f>
        <v>0.60439824661993458</v>
      </c>
      <c r="F5" s="328">
        <f>Other_input_data!G32/Other_input_data!G55</f>
        <v>0.88901063781217182</v>
      </c>
      <c r="G5" s="328">
        <f>Other_input_data!H32/Other_input_data!H55</f>
        <v>0.9414702262614788</v>
      </c>
      <c r="H5" s="328">
        <f>Other_input_data!I32/Other_input_data!I55</f>
        <v>1.0483980913428765</v>
      </c>
      <c r="I5" s="328">
        <f>Other_input_data!J32/Other_input_data!J55</f>
        <v>1.10027564131063</v>
      </c>
      <c r="J5" s="328">
        <f>Other_input_data!K32/Other_input_data!K55</f>
        <v>1.1605433193416026</v>
      </c>
      <c r="K5" s="328">
        <f>Other_input_data!L32/Other_input_data!L55</f>
        <v>1.1097666015419845</v>
      </c>
      <c r="L5" s="5"/>
      <c r="M5" s="333">
        <f>AVERAGE(I5:K5)</f>
        <v>1.1235285207314059</v>
      </c>
      <c r="N5" s="334">
        <f>AVERAGE(G5:K5)</f>
        <v>1.0720907759597145</v>
      </c>
      <c r="O5" s="334">
        <f>AVERAGE(C5:K5)</f>
        <v>0.85637700251246063</v>
      </c>
    </row>
    <row r="6" spans="1:15" ht="15">
      <c r="A6" s="5" t="s">
        <v>243</v>
      </c>
      <c r="B6" s="327">
        <f>B4*B5</f>
        <v>2.8947483492938048E-2</v>
      </c>
      <c r="C6" s="327">
        <f t="shared" ref="C6:K6" si="0">C4*C5</f>
        <v>2.1512743217319823E-2</v>
      </c>
      <c r="D6" s="327">
        <f t="shared" si="0"/>
        <v>3.9861463666480218E-2</v>
      </c>
      <c r="E6" s="327">
        <f t="shared" si="0"/>
        <v>7.849520039950425E-2</v>
      </c>
      <c r="F6" s="327">
        <f t="shared" si="0"/>
        <v>5.4513080399945193E-2</v>
      </c>
      <c r="G6" s="327">
        <f t="shared" si="0"/>
        <v>7.3298305405661332E-2</v>
      </c>
      <c r="H6" s="327">
        <f t="shared" si="0"/>
        <v>0.10585570728060326</v>
      </c>
      <c r="I6" s="327">
        <f t="shared" si="0"/>
        <v>0.11374649891077228</v>
      </c>
      <c r="J6" s="327">
        <f t="shared" si="0"/>
        <v>0.10479649106258543</v>
      </c>
      <c r="K6" s="327">
        <f t="shared" si="0"/>
        <v>0.11688830066595229</v>
      </c>
      <c r="L6" s="5"/>
      <c r="M6" s="332">
        <f t="shared" ref="M6" si="1">M4*M5</f>
        <v>0.11214006398478595</v>
      </c>
      <c r="N6" s="332">
        <f t="shared" ref="N6" si="2">N4*N5</f>
        <v>0.10333599636395882</v>
      </c>
      <c r="O6" s="332">
        <f t="shared" ref="O6" si="3">O4*O5</f>
        <v>7.9612617003997729E-2</v>
      </c>
    </row>
    <row r="7" spans="1:15" ht="15">
      <c r="A7" s="5" t="s">
        <v>868</v>
      </c>
      <c r="B7" s="328">
        <f>'Data Sheet'!B61/('Data Sheet'!B57+'Data Sheet'!B58)</f>
        <v>4.1123898579392195</v>
      </c>
      <c r="C7" s="328">
        <f>'Data Sheet'!C61/('Data Sheet'!C57+'Data Sheet'!C58)</f>
        <v>3.6185439219899185</v>
      </c>
      <c r="D7" s="328">
        <f>'Data Sheet'!D61/('Data Sheet'!D57+'Data Sheet'!D58)</f>
        <v>3.4100645539906105</v>
      </c>
      <c r="E7" s="328">
        <f>'Data Sheet'!E61/('Data Sheet'!E57+'Data Sheet'!E58)</f>
        <v>3.0819700165308097</v>
      </c>
      <c r="F7" s="328">
        <f>'Data Sheet'!F61/('Data Sheet'!F57+'Data Sheet'!F58)</f>
        <v>2.2362550410944921</v>
      </c>
      <c r="G7" s="328">
        <f>'Data Sheet'!G61/('Data Sheet'!G57+'Data Sheet'!G58)</f>
        <v>1.9171468759925587</v>
      </c>
      <c r="H7" s="328">
        <f>'Data Sheet'!H61/('Data Sheet'!H57+'Data Sheet'!H58)</f>
        <v>1.7495191197968762</v>
      </c>
      <c r="I7" s="328">
        <f>'Data Sheet'!I61/('Data Sheet'!I57+'Data Sheet'!I58)</f>
        <v>1.4935095116364001</v>
      </c>
      <c r="J7" s="328">
        <f>'Data Sheet'!J61/('Data Sheet'!J57+'Data Sheet'!J58)</f>
        <v>1.2656618415161915</v>
      </c>
      <c r="K7" s="328">
        <f>'Data Sheet'!K61/('Data Sheet'!K57+'Data Sheet'!K58)</f>
        <v>1.2707493526255371</v>
      </c>
      <c r="L7" s="5"/>
      <c r="M7" s="333">
        <f>AVERAGE(I7:K7)</f>
        <v>1.3433069019260431</v>
      </c>
      <c r="N7" s="334">
        <f>AVERAGE(G7:K7)</f>
        <v>1.5393173403135127</v>
      </c>
      <c r="O7" s="334">
        <f>AVERAGE(C7:K7)</f>
        <v>2.2270466927970443</v>
      </c>
    </row>
    <row r="8" spans="1:15" ht="15">
      <c r="A8" s="5" t="s">
        <v>60</v>
      </c>
      <c r="B8" s="327">
        <f>B6*B7</f>
        <v>0.1190433375292214</v>
      </c>
      <c r="C8" s="327">
        <f t="shared" ref="C8:K8" si="4">C6*C7</f>
        <v>7.7844806214362489E-2</v>
      </c>
      <c r="D8" s="327">
        <f t="shared" si="4"/>
        <v>0.13593016431924879</v>
      </c>
      <c r="E8" s="327">
        <f t="shared" si="4"/>
        <v>0.24191985407284933</v>
      </c>
      <c r="F8" s="327">
        <f t="shared" si="4"/>
        <v>0.1219051508499668</v>
      </c>
      <c r="G8" s="327">
        <f t="shared" si="4"/>
        <v>0.1405236172240121</v>
      </c>
      <c r="H8" s="327">
        <f t="shared" si="4"/>
        <v>0.1851965838270368</v>
      </c>
      <c r="I8" s="327">
        <f t="shared" si="4"/>
        <v>0.16988147803857781</v>
      </c>
      <c r="J8" s="327">
        <f t="shared" si="4"/>
        <v>0.13263691986270698</v>
      </c>
      <c r="K8" s="327">
        <f t="shared" si="4"/>
        <v>0.14853573240075801</v>
      </c>
      <c r="L8" s="5"/>
      <c r="M8" s="332">
        <f>AVERAGE(I8:K8)</f>
        <v>0.15035137676734758</v>
      </c>
      <c r="N8" s="326">
        <f>AVERAGE(G8:K8)</f>
        <v>0.15535486627061834</v>
      </c>
      <c r="O8" s="326">
        <f>AVERAGE(C8:K8)</f>
        <v>0.15048603408994657</v>
      </c>
    </row>
    <row r="9" spans="1:15" ht="15">
      <c r="A9" s="5" t="s">
        <v>411</v>
      </c>
      <c r="B9" s="327">
        <f>Other_input_data!C80/Other_input_data!C63</f>
        <v>5.7084344418572734E-2</v>
      </c>
      <c r="C9" s="327">
        <f>Other_input_data!D80/Other_input_data!D63</f>
        <v>5.8600136539888652E-2</v>
      </c>
      <c r="D9" s="327">
        <f>Other_input_data!E80/Other_input_data!E63</f>
        <v>8.5405107736114524E-2</v>
      </c>
      <c r="E9" s="327">
        <f>Other_input_data!F80/Other_input_data!F63</f>
        <v>0.12268132948713782</v>
      </c>
      <c r="F9" s="327">
        <f>Other_input_data!G80/Other_input_data!G63</f>
        <v>0.11145044941318735</v>
      </c>
      <c r="G9" s="327">
        <f>Other_input_data!H80/Other_input_data!H63</f>
        <v>0.14556380758306858</v>
      </c>
      <c r="H9" s="327">
        <f>Other_input_data!I80/Other_input_data!I63</f>
        <v>0.16248334945434273</v>
      </c>
      <c r="I9" s="327">
        <f>Other_input_data!J80/Other_input_data!J63</f>
        <v>0.15645398355778989</v>
      </c>
      <c r="J9" s="327">
        <f>Other_input_data!K80/Other_input_data!K63</f>
        <v>0.13774355707934161</v>
      </c>
      <c r="K9" s="327">
        <f>Other_input_data!L80/Other_input_data!L63</f>
        <v>0.15459259083312188</v>
      </c>
      <c r="L9" s="5"/>
      <c r="M9" s="332">
        <f>AVERAGE(I9:K9)</f>
        <v>0.14959671049008447</v>
      </c>
      <c r="N9" s="326">
        <f>AVERAGE(G9:K9)</f>
        <v>0.15136745770153293</v>
      </c>
      <c r="O9" s="326">
        <f>AVERAGE(C9:K9)</f>
        <v>0.126108256853777</v>
      </c>
    </row>
    <row r="10" spans="1:15" ht="15">
      <c r="A10" s="5" t="s">
        <v>870</v>
      </c>
      <c r="B10" s="327"/>
      <c r="C10" s="327">
        <f>Other_input_data!D80/Other_input_data!D64</f>
        <v>5.7228411935570829E-2</v>
      </c>
      <c r="D10" s="327">
        <f>Other_input_data!E80/Other_input_data!E64</f>
        <v>8.5142973702354435E-2</v>
      </c>
      <c r="E10" s="327">
        <f>Other_input_data!F80/Other_input_data!F64</f>
        <v>0.13261537938604173</v>
      </c>
      <c r="F10" s="327">
        <f>Other_input_data!G80/Other_input_data!G64</f>
        <v>9.901428482232813E-2</v>
      </c>
      <c r="G10" s="327">
        <f>Other_input_data!H80/Other_input_data!H64</f>
        <v>0.13810130774548166</v>
      </c>
      <c r="H10" s="327">
        <f>Other_input_data!I80/Other_input_data!I64</f>
        <v>0.17357933842468737</v>
      </c>
      <c r="I10" s="327">
        <f>Other_input_data!J80/Other_input_data!J64</f>
        <v>0.15724270369367643</v>
      </c>
      <c r="J10" s="327">
        <f>Other_input_data!K80/Other_input_data!K64</f>
        <v>0.13600307350255283</v>
      </c>
      <c r="K10" s="327">
        <f>Other_input_data!L80/Other_input_data!L64</f>
        <v>0.16032445878486296</v>
      </c>
      <c r="L10" s="5"/>
      <c r="M10" s="332">
        <f t="shared" ref="M10:M24" si="5">AVERAGE(I10:K10)</f>
        <v>0.15119007866036407</v>
      </c>
      <c r="N10" s="326">
        <f t="shared" ref="N10:N24" si="6">AVERAGE(G10:K10)</f>
        <v>0.15305017643025223</v>
      </c>
      <c r="O10" s="326">
        <f t="shared" ref="O10:O24" si="7">AVERAGE(C10:K10)</f>
        <v>0.12658354799972849</v>
      </c>
    </row>
    <row r="11" spans="1:15" ht="15">
      <c r="A11" s="5" t="s">
        <v>871</v>
      </c>
      <c r="B11" s="327">
        <f>Other_input_data!C37/Other_input_data!C65</f>
        <v>8.209108139951847E-2</v>
      </c>
      <c r="C11" s="327">
        <f>Other_input_data!D37/Other_input_data!D65</f>
        <v>8.1866008159759515E-2</v>
      </c>
      <c r="D11" s="327">
        <f>Other_input_data!E37/Other_input_data!E65</f>
        <v>0.10918764178459542</v>
      </c>
      <c r="E11" s="327">
        <f>Other_input_data!F37/Other_input_data!F65</f>
        <v>0.17289279728147305</v>
      </c>
      <c r="F11" s="327">
        <f>Other_input_data!G37/Other_input_data!G65</f>
        <v>0.15004740153408597</v>
      </c>
      <c r="G11" s="327">
        <f>Other_input_data!H37/Other_input_data!H65</f>
        <v>0.19106131024384038</v>
      </c>
      <c r="H11" s="327">
        <f>Other_input_data!I37/Other_input_data!I65</f>
        <v>0.20136594575085356</v>
      </c>
      <c r="I11" s="327">
        <f>Other_input_data!J37/Other_input_data!J65</f>
        <v>0.194948328935796</v>
      </c>
      <c r="J11" s="327">
        <f>Other_input_data!K37/Other_input_data!K65</f>
        <v>0.18268688690945986</v>
      </c>
      <c r="K11" s="327">
        <f>Other_input_data!L37/Other_input_data!L65</f>
        <v>0.19985343383584578</v>
      </c>
      <c r="L11" s="5"/>
      <c r="M11" s="332">
        <f t="shared" si="5"/>
        <v>0.19249621656036719</v>
      </c>
      <c r="N11" s="326">
        <f t="shared" si="6"/>
        <v>0.19398318113515914</v>
      </c>
      <c r="O11" s="326">
        <f t="shared" si="7"/>
        <v>0.1648788616039677</v>
      </c>
    </row>
    <row r="12" spans="1:15" ht="15">
      <c r="A12" s="5" t="s">
        <v>879</v>
      </c>
      <c r="B12" s="327">
        <f>Other_input_data!C37/Other_input_data!C66</f>
        <v>8.674118379387806E-2</v>
      </c>
      <c r="C12" s="327">
        <f>Other_input_data!D37/Other_input_data!D66</f>
        <v>8.1949594282336516E-2</v>
      </c>
      <c r="D12" s="327">
        <f>Other_input_data!E37/Other_input_data!E66</f>
        <v>0.10938260916617064</v>
      </c>
      <c r="E12" s="327">
        <f>Other_input_data!F37/Other_input_data!F66</f>
        <v>0.17312334751120809</v>
      </c>
      <c r="F12" s="327">
        <f>Other_input_data!G37/Other_input_data!G66</f>
        <v>0.15004740153408597</v>
      </c>
      <c r="G12" s="327">
        <f>Other_input_data!H37/Other_input_data!H66</f>
        <v>0.19128051501051699</v>
      </c>
      <c r="H12" s="327">
        <f>Other_input_data!I37/Other_input_data!I66</f>
        <v>0.20192655697541675</v>
      </c>
      <c r="I12" s="327">
        <f>Other_input_data!J37/Other_input_data!J66</f>
        <v>0.19495368716158648</v>
      </c>
      <c r="J12" s="327">
        <f>Other_input_data!K37/Other_input_data!K66</f>
        <v>0.18268688690945986</v>
      </c>
      <c r="K12" s="327">
        <f>Other_input_data!L37/Other_input_data!L66</f>
        <v>0.19985343383584578</v>
      </c>
      <c r="L12" s="5"/>
      <c r="M12" s="332">
        <f t="shared" si="5"/>
        <v>0.19249800263563069</v>
      </c>
      <c r="N12" s="326">
        <f t="shared" si="6"/>
        <v>0.19414021597856518</v>
      </c>
      <c r="O12" s="326">
        <f t="shared" si="7"/>
        <v>0.16502267026518078</v>
      </c>
    </row>
    <row r="13" spans="1:15" ht="15">
      <c r="A13" s="5" t="s">
        <v>880</v>
      </c>
      <c r="B13" s="327">
        <f>Other_input_data!C37/Other_input_data!C67</f>
        <v>7.343338297628596E-2</v>
      </c>
      <c r="C13" s="327">
        <f>Other_input_data!D37/Other_input_data!D67</f>
        <v>6.9714285714285729E-2</v>
      </c>
      <c r="D13" s="327">
        <f>Other_input_data!E37/Other_input_data!E67</f>
        <v>8.7096079276174049E-2</v>
      </c>
      <c r="E13" s="327">
        <f>Other_input_data!F37/Other_input_data!F67</f>
        <v>0.13942120757651494</v>
      </c>
      <c r="F13" s="327">
        <f>Other_input_data!G37/Other_input_data!G67</f>
        <v>0.11923024243254346</v>
      </c>
      <c r="G13" s="327">
        <f>Other_input_data!H37/Other_input_data!H67</f>
        <v>0.14217358347545958</v>
      </c>
      <c r="H13" s="327">
        <f>Other_input_data!I37/Other_input_data!I67</f>
        <v>0.15983868479626231</v>
      </c>
      <c r="I13" s="327">
        <f>Other_input_data!J37/Other_input_data!J67</f>
        <v>0.15767478048238306</v>
      </c>
      <c r="J13" s="327">
        <f>Other_input_data!K37/Other_input_data!K67</f>
        <v>0.15283214639437809</v>
      </c>
      <c r="K13" s="327">
        <f>Other_input_data!L37/Other_input_data!L67</f>
        <v>0.16041679796642919</v>
      </c>
      <c r="L13" s="5"/>
      <c r="M13" s="332">
        <f t="shared" si="5"/>
        <v>0.15697457494773012</v>
      </c>
      <c r="N13" s="326">
        <f t="shared" si="6"/>
        <v>0.15458719862298242</v>
      </c>
      <c r="O13" s="326">
        <f t="shared" si="7"/>
        <v>0.13204420090160338</v>
      </c>
    </row>
    <row r="14" spans="1:15" ht="15">
      <c r="A14" s="5" t="s">
        <v>881</v>
      </c>
      <c r="B14" s="327"/>
      <c r="C14" s="327">
        <f>Other_input_data!D37/Other_input_data!D68</f>
        <v>7.9949671026763494E-2</v>
      </c>
      <c r="D14" s="327">
        <f>Other_input_data!E37/Other_input_data!E68</f>
        <v>0.10885251198104569</v>
      </c>
      <c r="E14" s="327">
        <f>Other_input_data!F37/Other_input_data!F68</f>
        <v>0.18689269182561635</v>
      </c>
      <c r="F14" s="327">
        <f>Other_input_data!G37/Other_input_data!G68</f>
        <v>0.13330440774865365</v>
      </c>
      <c r="G14" s="327">
        <f>Other_input_data!H37/Other_input_data!H68</f>
        <v>0.18126632740890636</v>
      </c>
      <c r="H14" s="327">
        <f>Other_input_data!I37/Other_input_data!I68</f>
        <v>0.21511722747022957</v>
      </c>
      <c r="I14" s="327">
        <f>Other_input_data!J37/Other_input_data!J68</f>
        <v>0.1959311078270238</v>
      </c>
      <c r="J14" s="327">
        <f>Other_input_data!K37/Other_input_data!K68</f>
        <v>0.1803785137767881</v>
      </c>
      <c r="K14" s="327">
        <f>Other_input_data!L37/Other_input_data!L68</f>
        <v>0.20726344932414084</v>
      </c>
      <c r="L14" s="5"/>
      <c r="M14" s="332">
        <f t="shared" si="5"/>
        <v>0.19452435697598425</v>
      </c>
      <c r="N14" s="326">
        <f t="shared" si="6"/>
        <v>0.19599132516141776</v>
      </c>
      <c r="O14" s="326">
        <f t="shared" si="7"/>
        <v>0.16543954537657421</v>
      </c>
    </row>
    <row r="15" spans="1:15" ht="15">
      <c r="A15" s="5" t="s">
        <v>882</v>
      </c>
      <c r="B15" s="327"/>
      <c r="C15" s="327">
        <f>Other_input_data!D37/Other_input_data!D69</f>
        <v>8.2246821362600614E-2</v>
      </c>
      <c r="D15" s="327">
        <f>Other_input_data!E37/Other_input_data!E69</f>
        <v>0.10900512267457535</v>
      </c>
      <c r="E15" s="327">
        <f>Other_input_data!F37/Other_input_data!F69</f>
        <v>0.18718073007942121</v>
      </c>
      <c r="F15" s="327">
        <f>Other_input_data!G37/Other_input_data!G69</f>
        <v>0.13340314671025744</v>
      </c>
      <c r="G15" s="327">
        <f>Other_input_data!H37/Other_input_data!H69</f>
        <v>0.18136492060374398</v>
      </c>
      <c r="H15" s="327">
        <f>Other_input_data!I37/Other_input_data!I69</f>
        <v>0.21555195625362183</v>
      </c>
      <c r="I15" s="327">
        <f>Other_input_data!J37/Other_input_data!J69</f>
        <v>0.19620480761251424</v>
      </c>
      <c r="J15" s="327">
        <f>Other_input_data!K37/Other_input_data!K69</f>
        <v>0.18038102394967914</v>
      </c>
      <c r="K15" s="327">
        <f>Other_input_data!L37/Other_input_data!L69</f>
        <v>0.20726344932414084</v>
      </c>
      <c r="L15" s="5"/>
      <c r="M15" s="332">
        <f t="shared" si="5"/>
        <v>0.19461642696211143</v>
      </c>
      <c r="N15" s="326">
        <f t="shared" si="6"/>
        <v>0.19615323154874004</v>
      </c>
      <c r="O15" s="326">
        <f t="shared" si="7"/>
        <v>0.16584466428561717</v>
      </c>
    </row>
    <row r="16" spans="1:15" ht="15">
      <c r="A16" s="5" t="s">
        <v>883</v>
      </c>
      <c r="B16" s="327"/>
      <c r="C16" s="327">
        <f>Other_input_data!D37/Other_input_data!D70</f>
        <v>6.9798043366325321E-2</v>
      </c>
      <c r="D16" s="327">
        <f>Other_input_data!E37/Other_input_data!E70</f>
        <v>8.9675058223355864E-2</v>
      </c>
      <c r="E16" s="327">
        <f>Other_input_data!F37/Other_input_data!F70</f>
        <v>0.14995668581784138</v>
      </c>
      <c r="F16" s="327">
        <f>Other_input_data!G37/Other_input_data!G70</f>
        <v>0.10679343658948011</v>
      </c>
      <c r="G16" s="327">
        <f>Other_input_data!H37/Other_input_data!H70</f>
        <v>0.13954569761223876</v>
      </c>
      <c r="H16" s="327">
        <f>Other_input_data!I37/Other_input_data!I70</f>
        <v>0.16560684072928189</v>
      </c>
      <c r="I16" s="327">
        <f>Other_input_data!J37/Other_input_data!J70</f>
        <v>0.15699077045660792</v>
      </c>
      <c r="J16" s="327">
        <f>Other_input_data!K37/Other_input_data!K70</f>
        <v>0.14832190957878949</v>
      </c>
      <c r="K16" s="327">
        <f>Other_input_data!L37/Other_input_data!L70</f>
        <v>0.16967569189063064</v>
      </c>
      <c r="L16" s="5"/>
      <c r="M16" s="332">
        <f t="shared" si="5"/>
        <v>0.15832945730867601</v>
      </c>
      <c r="N16" s="326">
        <f t="shared" si="6"/>
        <v>0.15602818205350974</v>
      </c>
      <c r="O16" s="326">
        <f t="shared" si="7"/>
        <v>0.13292934825161681</v>
      </c>
    </row>
    <row r="17" spans="1:15" ht="15">
      <c r="A17" s="5" t="s">
        <v>884</v>
      </c>
      <c r="B17" s="327"/>
      <c r="C17" s="327">
        <f>Other_input_data!D77/Other_input_data!D64</f>
        <v>0.13313586201473171</v>
      </c>
      <c r="D17" s="327">
        <f>Other_input_data!E77/Other_input_data!E64</f>
        <v>0.10400624629799152</v>
      </c>
      <c r="E17" s="327">
        <f>Other_input_data!F77/Other_input_data!F64</f>
        <v>0.18041473796552537</v>
      </c>
      <c r="F17" s="327">
        <f>Other_input_data!G77/Other_input_data!G64</f>
        <v>0.34557566167274956</v>
      </c>
      <c r="G17" s="327">
        <f>Other_input_data!H77/Other_input_data!H64</f>
        <v>0.26398683236941844</v>
      </c>
      <c r="H17" s="327">
        <f>Other_input_data!I77/Other_input_data!I64</f>
        <v>0.1121705989648985</v>
      </c>
      <c r="I17" s="327">
        <f>Other_input_data!J77/Other_input_data!J64</f>
        <v>0.11864149275582504</v>
      </c>
      <c r="J17" s="327">
        <f>Other_input_data!K77/Other_input_data!K64</f>
        <v>0.18641803506818819</v>
      </c>
      <c r="K17" s="327">
        <f>Other_input_data!L77/Other_input_data!L64</f>
        <v>0.18603767439335542</v>
      </c>
      <c r="L17" s="5"/>
      <c r="M17" s="332">
        <f t="shared" si="5"/>
        <v>0.16369906740578954</v>
      </c>
      <c r="N17" s="326">
        <f t="shared" si="6"/>
        <v>0.1734509267103371</v>
      </c>
      <c r="O17" s="326">
        <f t="shared" si="7"/>
        <v>0.18115412683363152</v>
      </c>
    </row>
    <row r="18" spans="1:15" ht="15">
      <c r="A18" s="5" t="s">
        <v>885</v>
      </c>
      <c r="B18" s="327"/>
      <c r="C18" s="327">
        <f>Other_input_data!D78/Other_input_data!D64</f>
        <v>9.187658916354291E-2</v>
      </c>
      <c r="D18" s="327">
        <f>Other_input_data!E78/Other_input_data!E64</f>
        <v>9.8729201443110357E-2</v>
      </c>
      <c r="E18" s="327">
        <f>Other_input_data!F78/Other_input_data!F64</f>
        <v>-2.8021493900547364E-2</v>
      </c>
      <c r="F18" s="327">
        <f>Other_input_data!G78/Other_input_data!G64</f>
        <v>0.33289094203823283</v>
      </c>
      <c r="G18" s="327">
        <f>Other_input_data!H78/Other_input_data!H64</f>
        <v>0.23686634552949884</v>
      </c>
      <c r="H18" s="327">
        <f>Other_input_data!I78/Other_input_data!I64</f>
        <v>2.3756914270461015E-2</v>
      </c>
      <c r="I18" s="327">
        <f>Other_input_data!J78/Other_input_data!J64</f>
        <v>9.2537602033064895E-2</v>
      </c>
      <c r="J18" s="327">
        <f>Other_input_data!K78/Other_input_data!K64</f>
        <v>0.14444753687726147</v>
      </c>
      <c r="K18" s="327">
        <f>Other_input_data!L78/Other_input_data!L64</f>
        <v>0.10965745616416042</v>
      </c>
      <c r="L18" s="5"/>
      <c r="M18" s="332">
        <f t="shared" si="5"/>
        <v>0.11554753169149561</v>
      </c>
      <c r="N18" s="326">
        <f t="shared" si="6"/>
        <v>0.12145317097488932</v>
      </c>
      <c r="O18" s="326">
        <f t="shared" si="7"/>
        <v>0.12252678817986504</v>
      </c>
    </row>
    <row r="19" spans="1:15" ht="15">
      <c r="A19" s="5" t="s">
        <v>886</v>
      </c>
      <c r="B19" s="327"/>
      <c r="C19" s="327">
        <f>Other_input_data!D77/Other_input_data!D68</f>
        <v>0.13313586201473171</v>
      </c>
      <c r="D19" s="327">
        <f>Other_input_data!E77/Other_input_data!E68</f>
        <v>0.10400624629799149</v>
      </c>
      <c r="E19" s="327">
        <f>Other_input_data!F77/Other_input_data!F68</f>
        <v>0.18041473796552537</v>
      </c>
      <c r="F19" s="327">
        <f>Other_input_data!G77/Other_input_data!G68</f>
        <v>0.34557566167274956</v>
      </c>
      <c r="G19" s="327">
        <f>Other_input_data!H77/Other_input_data!H68</f>
        <v>0.2639868323694185</v>
      </c>
      <c r="H19" s="327">
        <f>Other_input_data!I77/Other_input_data!I68</f>
        <v>0.1121705989648985</v>
      </c>
      <c r="I19" s="327">
        <f>Other_input_data!J77/Other_input_data!J68</f>
        <v>0.11864149275582504</v>
      </c>
      <c r="J19" s="327">
        <f>Other_input_data!K77/Other_input_data!K68</f>
        <v>0.18641803506818813</v>
      </c>
      <c r="K19" s="327">
        <f>Other_input_data!L77/Other_input_data!L68</f>
        <v>0.18603767439335545</v>
      </c>
      <c r="L19" s="5"/>
      <c r="M19" s="332">
        <f t="shared" si="5"/>
        <v>0.16369906740578954</v>
      </c>
      <c r="N19" s="326">
        <f t="shared" si="6"/>
        <v>0.1734509267103371</v>
      </c>
      <c r="O19" s="326">
        <f t="shared" si="7"/>
        <v>0.18115412683363152</v>
      </c>
    </row>
    <row r="20" spans="1:15" ht="15">
      <c r="A20" s="5" t="s">
        <v>888</v>
      </c>
      <c r="B20" s="327"/>
      <c r="C20" s="327">
        <f>Other_input_data!D77/Other_input_data!D69</f>
        <v>0.13696118219693393</v>
      </c>
      <c r="D20" s="327">
        <f>Other_input_data!E77/Other_input_data!E69</f>
        <v>0.10415206255055272</v>
      </c>
      <c r="E20" s="327">
        <f>Other_input_data!F77/Other_input_data!F69</f>
        <v>0.18069279242328201</v>
      </c>
      <c r="F20" s="327">
        <f>Other_input_data!G77/Other_input_data!G69</f>
        <v>0.34583163056804256</v>
      </c>
      <c r="G20" s="327">
        <f>Other_input_data!H77/Other_input_data!H69</f>
        <v>0.26413041836010093</v>
      </c>
      <c r="H20" s="327">
        <f>Other_input_data!I77/Other_input_data!I69</f>
        <v>0.11239728368277932</v>
      </c>
      <c r="I20" s="327">
        <f>Other_input_data!J77/Other_input_data!J69</f>
        <v>0.11880722524964732</v>
      </c>
      <c r="J20" s="327">
        <f>Other_input_data!K77/Other_input_data!K69</f>
        <v>0.18642062928791106</v>
      </c>
      <c r="K20" s="327">
        <f>Other_input_data!L77/Other_input_data!L69</f>
        <v>0.18603767439335545</v>
      </c>
      <c r="L20" s="5"/>
      <c r="M20" s="332">
        <f t="shared" si="5"/>
        <v>0.16375517631030462</v>
      </c>
      <c r="N20" s="326">
        <f t="shared" si="6"/>
        <v>0.17355864619475883</v>
      </c>
      <c r="O20" s="326">
        <f t="shared" si="7"/>
        <v>0.1817145443014006</v>
      </c>
    </row>
    <row r="21" spans="1:15" ht="15">
      <c r="A21" s="5" t="s">
        <v>887</v>
      </c>
      <c r="B21" s="327"/>
      <c r="C21" s="327">
        <f>Other_input_data!D77/Other_input_data!D70</f>
        <v>0.11623090565821845</v>
      </c>
      <c r="D21" s="327">
        <f>Other_input_data!E77/Other_input_data!E70</f>
        <v>8.5682599534213158E-2</v>
      </c>
      <c r="E21" s="327">
        <f>Other_input_data!F77/Other_input_data!F70</f>
        <v>0.14475898395881667</v>
      </c>
      <c r="F21" s="327">
        <f>Other_input_data!G77/Other_input_data!G70</f>
        <v>0.2768491540152328</v>
      </c>
      <c r="G21" s="327">
        <f>Other_input_data!H77/Other_input_data!H70</f>
        <v>0.20322708144428167</v>
      </c>
      <c r="H21" s="327">
        <f>Other_input_data!I77/Other_input_data!I70</f>
        <v>8.6353932391857804E-2</v>
      </c>
      <c r="I21" s="327">
        <f>Other_input_data!J77/Other_input_data!J70</f>
        <v>9.5062083619220472E-2</v>
      </c>
      <c r="J21" s="327">
        <f>Other_input_data!K77/Other_input_data!K70</f>
        <v>0.15328809602819513</v>
      </c>
      <c r="K21" s="327">
        <f>Other_input_data!L77/Other_input_data!L70</f>
        <v>0.15229926561267459</v>
      </c>
      <c r="L21" s="5"/>
      <c r="M21" s="332">
        <f t="shared" si="5"/>
        <v>0.13354981508669672</v>
      </c>
      <c r="N21" s="326">
        <f t="shared" si="6"/>
        <v>0.13804609181924593</v>
      </c>
      <c r="O21" s="326">
        <f t="shared" si="7"/>
        <v>0.14597245580696785</v>
      </c>
    </row>
    <row r="22" spans="1:15" ht="15">
      <c r="A22" s="5" t="s">
        <v>889</v>
      </c>
      <c r="B22" s="327"/>
      <c r="C22" s="327">
        <f>Other_input_data!D78/Other_input_data!D68</f>
        <v>9.187658916354291E-2</v>
      </c>
      <c r="D22" s="327">
        <f>Other_input_data!E78/Other_input_data!E68</f>
        <v>9.8729201443110343E-2</v>
      </c>
      <c r="E22" s="327">
        <f>Other_input_data!F78/Other_input_data!F68</f>
        <v>-2.8021493900547364E-2</v>
      </c>
      <c r="F22" s="327">
        <f>Other_input_data!G78/Other_input_data!G68</f>
        <v>0.33289094203823283</v>
      </c>
      <c r="G22" s="327">
        <f>Other_input_data!H78/Other_input_data!H68</f>
        <v>0.23686634552949887</v>
      </c>
      <c r="H22" s="327">
        <f>Other_input_data!I78/Other_input_data!I68</f>
        <v>2.3756914270461015E-2</v>
      </c>
      <c r="I22" s="327">
        <f>Other_input_data!J78/Other_input_data!J68</f>
        <v>9.2537602033064895E-2</v>
      </c>
      <c r="J22" s="327">
        <f>Other_input_data!K78/Other_input_data!K68</f>
        <v>0.14444753687726142</v>
      </c>
      <c r="K22" s="327">
        <f>Other_input_data!L78/Other_input_data!L68</f>
        <v>0.10965745616416044</v>
      </c>
      <c r="L22" s="5"/>
      <c r="M22" s="332">
        <f t="shared" si="5"/>
        <v>0.11554753169149558</v>
      </c>
      <c r="N22" s="326">
        <f t="shared" si="6"/>
        <v>0.12145317097488932</v>
      </c>
      <c r="O22" s="326">
        <f t="shared" si="7"/>
        <v>0.12252678817986504</v>
      </c>
    </row>
    <row r="23" spans="1:15" ht="15">
      <c r="A23" s="5" t="s">
        <v>890</v>
      </c>
      <c r="B23" s="327"/>
      <c r="C23" s="327">
        <f>Other_input_data!D78/Other_input_data!D69</f>
        <v>9.4516429139644267E-2</v>
      </c>
      <c r="D23" s="327">
        <f>Other_input_data!E78/Other_input_data!E69</f>
        <v>9.8867619304394846E-2</v>
      </c>
      <c r="E23" s="327">
        <f>Other_input_data!F78/Other_input_data!F69</f>
        <v>-2.8064680512572021E-2</v>
      </c>
      <c r="F23" s="327">
        <f>Other_input_data!G78/Other_input_data!G69</f>
        <v>0.33313751532488767</v>
      </c>
      <c r="G23" s="327">
        <f>Other_input_data!H78/Other_input_data!H69</f>
        <v>0.23699518032241984</v>
      </c>
      <c r="H23" s="327">
        <f>Other_input_data!I78/Other_input_data!I69</f>
        <v>2.3804924439425196E-2</v>
      </c>
      <c r="I23" s="327">
        <f>Other_input_data!J78/Other_input_data!J69</f>
        <v>9.2666869519515332E-2</v>
      </c>
      <c r="J23" s="327">
        <f>Other_input_data!K78/Other_input_data!K69</f>
        <v>0.14444954702959975</v>
      </c>
      <c r="K23" s="327">
        <f>Other_input_data!L78/Other_input_data!L69</f>
        <v>0.10965745616416044</v>
      </c>
      <c r="L23" s="5"/>
      <c r="M23" s="332">
        <f t="shared" si="5"/>
        <v>0.11559129090442517</v>
      </c>
      <c r="N23" s="326">
        <f t="shared" si="6"/>
        <v>0.12151479549502411</v>
      </c>
      <c r="O23" s="326">
        <f t="shared" si="7"/>
        <v>0.1228923178590528</v>
      </c>
    </row>
    <row r="24" spans="1:15" ht="15">
      <c r="A24" s="5" t="s">
        <v>891</v>
      </c>
      <c r="B24" s="327"/>
      <c r="C24" s="327">
        <f>Other_input_data!D78/Other_input_data!D70</f>
        <v>8.0210538360318065E-2</v>
      </c>
      <c r="D24" s="327">
        <f>Other_input_data!E78/Other_input_data!E70</f>
        <v>8.133525562825783E-2</v>
      </c>
      <c r="E24" s="327">
        <f>Other_input_data!F78/Other_input_data!F70</f>
        <v>-2.2483545589421453E-2</v>
      </c>
      <c r="F24" s="327">
        <f>Other_input_data!G78/Other_input_data!G70</f>
        <v>0.26668711342841078</v>
      </c>
      <c r="G24" s="327">
        <f>Other_input_data!H78/Other_input_data!H70</f>
        <v>0.1823487014949664</v>
      </c>
      <c r="H24" s="327">
        <f>Other_input_data!I78/Other_input_data!I70</f>
        <v>1.8289132693251716E-2</v>
      </c>
      <c r="I24" s="327">
        <f>Other_input_data!J78/Other_input_data!J70</f>
        <v>7.414621190323363E-2</v>
      </c>
      <c r="J24" s="327">
        <f>Other_input_data!K78/Other_input_data!K70</f>
        <v>0.11877653305260276</v>
      </c>
      <c r="K24" s="327">
        <f>Other_input_data!L78/Other_input_data!L70</f>
        <v>8.9770795604786263E-2</v>
      </c>
      <c r="L24" s="5"/>
      <c r="M24" s="332">
        <f t="shared" si="5"/>
        <v>9.4231180186874222E-2</v>
      </c>
      <c r="N24" s="326">
        <f t="shared" si="6"/>
        <v>9.6666274949768163E-2</v>
      </c>
      <c r="O24" s="326">
        <f t="shared" si="7"/>
        <v>9.8786748508489564E-2</v>
      </c>
    </row>
    <row r="25" spans="1:15" ht="15">
      <c r="A25" s="5" t="s">
        <v>143</v>
      </c>
      <c r="B25" s="330">
        <f>Other_input_data!C91</f>
        <v>7.199705629084967</v>
      </c>
      <c r="C25" s="330">
        <f>Other_input_data!D91</f>
        <v>5.7542108600185333</v>
      </c>
      <c r="D25" s="330">
        <f>Other_input_data!E91</f>
        <v>5.3314539430596284</v>
      </c>
      <c r="E25" s="330">
        <f>Other_input_data!F91</f>
        <v>3.8750251205787802</v>
      </c>
      <c r="F25" s="330">
        <f>Other_input_data!G91</f>
        <v>2.9908433374984185</v>
      </c>
      <c r="G25" s="330">
        <f>Other_input_data!H91</f>
        <v>2.3887463456260711</v>
      </c>
      <c r="H25" s="330">
        <f>Other_input_data!I91</f>
        <v>2.5976400446471444</v>
      </c>
      <c r="I25" s="330">
        <f>Other_input_data!J91</f>
        <v>5.6902428685417901</v>
      </c>
      <c r="J25" s="330">
        <f>Other_input_data!K91</f>
        <v>5.3935065449171358</v>
      </c>
      <c r="K25" s="330">
        <f>Other_input_data!L91</f>
        <v>7.3276052514899277</v>
      </c>
      <c r="L25" s="5"/>
      <c r="M25" s="331">
        <f>AVERAGE(I25:K25)</f>
        <v>6.1371182216496178</v>
      </c>
      <c r="N25" s="335">
        <f>AVERAGE(G25:K25)</f>
        <v>4.6795482110444144</v>
      </c>
      <c r="O25" s="335">
        <f>AVERAGE(C25:K25)</f>
        <v>4.5943638129308262</v>
      </c>
    </row>
    <row r="26" spans="1:15" ht="15">
      <c r="A26" s="5" t="s">
        <v>865</v>
      </c>
      <c r="B26" s="330">
        <f>Other_input_data!C93/Other_input_data!C77</f>
        <v>8.1636978353507903</v>
      </c>
      <c r="C26" s="330">
        <f>Other_input_data!D93/Other_input_data!D77</f>
        <v>5.501564862423705</v>
      </c>
      <c r="D26" s="330">
        <f>Other_input_data!E93/Other_input_data!E77</f>
        <v>8.4712566146777117</v>
      </c>
      <c r="E26" s="330">
        <f>Other_input_data!F93/Other_input_data!F77</f>
        <v>5.3053033429632697</v>
      </c>
      <c r="F26" s="330">
        <f>Other_input_data!G93/Other_input_data!G77</f>
        <v>1.7456894310376661</v>
      </c>
      <c r="G26" s="330">
        <f>Other_input_data!H93/Other_input_data!H77</f>
        <v>2.3898394683102619</v>
      </c>
      <c r="H26" s="330">
        <f>Other_input_data!I93/Other_input_data!I77</f>
        <v>7.1534693455843463</v>
      </c>
      <c r="I26" s="330">
        <f>Other_input_data!J93/Other_input_data!J77</f>
        <v>13.282974388824215</v>
      </c>
      <c r="J26" s="330">
        <f>Other_input_data!K93/Other_input_data!K77</f>
        <v>7.6280512839653634</v>
      </c>
      <c r="K26" s="330">
        <f>Other_input_data!L93/Other_input_data!L77</f>
        <v>11.301446617084913</v>
      </c>
      <c r="L26" s="5"/>
      <c r="M26" s="331">
        <f t="shared" ref="M26:M32" si="8">AVERAGE(I26:K26)</f>
        <v>10.737490763291497</v>
      </c>
      <c r="N26" s="335">
        <f t="shared" ref="N26:N32" si="9">AVERAGE(G26:K26)</f>
        <v>8.3511562207538184</v>
      </c>
      <c r="O26" s="335">
        <f t="shared" ref="O26:O32" si="10">AVERAGE(C26:K26)</f>
        <v>6.9755105949857175</v>
      </c>
    </row>
    <row r="27" spans="1:15" ht="15">
      <c r="A27" s="5" t="s">
        <v>866</v>
      </c>
      <c r="B27" s="330">
        <f>Other_input_data!C93/Other_input_data!C78</f>
        <v>8.1636978353507903</v>
      </c>
      <c r="C27" s="330">
        <f>Other_input_data!D93/Other_input_data!D78</f>
        <v>7.9721677421540695</v>
      </c>
      <c r="D27" s="330">
        <f>Other_input_data!E93/Other_input_data!E78</f>
        <v>8.9240426240796182</v>
      </c>
      <c r="E27" s="330">
        <f>Other_input_data!F93/Other_input_data!F78</f>
        <v>-34.157883082373679</v>
      </c>
      <c r="F27" s="330">
        <f>Other_input_data!G93/Other_input_data!G78</f>
        <v>1.8122084563558996</v>
      </c>
      <c r="G27" s="330">
        <f>Other_input_data!H93/Other_input_data!H78</f>
        <v>2.6634689267499678</v>
      </c>
      <c r="H27" s="330">
        <f>Other_input_data!I93/Other_input_data!I78</f>
        <v>33.775806573033755</v>
      </c>
      <c r="I27" s="330">
        <f>Other_input_data!J93/Other_input_data!J78</f>
        <v>17.029962686567174</v>
      </c>
      <c r="J27" s="330">
        <f>Other_input_data!K93/Other_input_data!K78</f>
        <v>9.8444484585741741</v>
      </c>
      <c r="K27" s="330">
        <f>Other_input_data!L93/Other_input_data!L78</f>
        <v>19.173295820173276</v>
      </c>
      <c r="L27" s="5"/>
      <c r="M27" s="331">
        <f t="shared" si="8"/>
        <v>15.349235655104875</v>
      </c>
      <c r="N27" s="335">
        <f t="shared" si="9"/>
        <v>16.497396493019671</v>
      </c>
      <c r="O27" s="335">
        <f t="shared" si="10"/>
        <v>7.4486131339238062</v>
      </c>
    </row>
    <row r="28" spans="1:15" ht="15">
      <c r="A28" s="5" t="s">
        <v>625</v>
      </c>
      <c r="B28" s="327">
        <f>Other_input_data!C77/Other_input_data!C32</f>
        <v>0.259920380120714</v>
      </c>
      <c r="C28" s="327">
        <f>Other_input_data!D77/Other_input_data!D32</f>
        <v>0.28573839662447259</v>
      </c>
      <c r="D28" s="327">
        <f>Other_input_data!E77/Other_input_data!E32</f>
        <v>0.18565867256211854</v>
      </c>
      <c r="E28" s="327">
        <f>Other_input_data!F77/Other_input_data!F32</f>
        <v>0.22244323398004776</v>
      </c>
      <c r="F28" s="327">
        <f>Other_input_data!G77/Other_input_data!G32</f>
        <v>0.34767871815940837</v>
      </c>
      <c r="G28" s="327">
        <f>Other_input_data!H77/Other_input_data!H32</f>
        <v>0.21973905829709142</v>
      </c>
      <c r="H28" s="327">
        <f>Other_input_data!I77/Other_input_data!I32</f>
        <v>7.9323797139141741E-2</v>
      </c>
      <c r="I28" s="327">
        <f>Other_input_data!J77/Other_input_data!J32</f>
        <v>8.6772935733478801E-2</v>
      </c>
      <c r="J28" s="327">
        <f>Other_input_data!K77/Other_input_data!K32</f>
        <v>0.13609948388669893</v>
      </c>
      <c r="K28" s="327">
        <f>Other_input_data!L77/Other_input_data!L32</f>
        <v>0.12974671563245374</v>
      </c>
      <c r="L28" s="5"/>
      <c r="M28" s="331">
        <f t="shared" si="8"/>
        <v>0.11753971175087714</v>
      </c>
      <c r="N28" s="335">
        <f t="shared" si="9"/>
        <v>0.13033639813777292</v>
      </c>
      <c r="O28" s="335">
        <f t="shared" si="10"/>
        <v>0.18813344577943467</v>
      </c>
    </row>
    <row r="29" spans="1:15" ht="15">
      <c r="A29" s="5" t="s">
        <v>628</v>
      </c>
      <c r="B29" s="327">
        <f>Other_input_data!C78/Other_input_data!C32</f>
        <v>0.259920380120714</v>
      </c>
      <c r="C29" s="327">
        <f>Other_input_data!D78/Other_input_data!D32</f>
        <v>0.19718706047819962</v>
      </c>
      <c r="D29" s="327">
        <f>Other_input_data!E78/Other_input_data!E32</f>
        <v>0.17623876579997139</v>
      </c>
      <c r="E29" s="327">
        <f>Other_input_data!F78/Other_input_data!F32</f>
        <v>-3.4549238019462747E-2</v>
      </c>
      <c r="F29" s="327">
        <f>Other_input_data!G78/Other_input_data!G32</f>
        <v>0.33491680361544784</v>
      </c>
      <c r="G29" s="327">
        <f>Other_input_data!H78/Other_input_data!H32</f>
        <v>0.19716433293949071</v>
      </c>
      <c r="H29" s="327">
        <f>Other_input_data!I78/Other_input_data!I32</f>
        <v>1.6800201350727774E-2</v>
      </c>
      <c r="I29" s="327">
        <f>Other_input_data!J78/Other_input_data!J32</f>
        <v>6.7680869547649319E-2</v>
      </c>
      <c r="J29" s="327">
        <f>Other_input_data!K78/Other_input_data!K32</f>
        <v>0.105457796561954</v>
      </c>
      <c r="K29" s="327">
        <f>Other_input_data!L78/Other_input_data!L32</f>
        <v>7.6477492144019957E-2</v>
      </c>
      <c r="L29" s="5"/>
      <c r="M29" s="331">
        <f t="shared" si="8"/>
        <v>8.3205386084541089E-2</v>
      </c>
      <c r="N29" s="335">
        <f t="shared" si="9"/>
        <v>9.271613850876835E-2</v>
      </c>
      <c r="O29" s="335">
        <f t="shared" si="10"/>
        <v>0.12637489826866644</v>
      </c>
    </row>
    <row r="30" spans="1:15" ht="15">
      <c r="A30" s="5" t="s">
        <v>395</v>
      </c>
      <c r="B30" s="331">
        <f>Other_input_data!C77/Other_input_data!C41</f>
        <v>3.0574018126888203</v>
      </c>
      <c r="C30" s="331">
        <f>Other_input_data!D77/Other_input_data!D41</f>
        <v>5.391719745222928</v>
      </c>
      <c r="D30" s="331">
        <f>Other_input_data!E77/Other_input_data!E41</f>
        <v>2.0847274689692399</v>
      </c>
      <c r="E30" s="331">
        <f>Other_input_data!F77/Other_input_data!F41</f>
        <v>1.7127709707822827</v>
      </c>
      <c r="F30" s="331">
        <f>Other_input_data!G77/Other_input_data!G41</f>
        <v>5.6700167504187631</v>
      </c>
      <c r="G30" s="331">
        <f>Other_input_data!H77/Other_input_data!H41</f>
        <v>2.8224087826929267</v>
      </c>
      <c r="H30" s="331">
        <f>Other_input_data!I77/Other_input_data!I41</f>
        <v>0.78562525965932783</v>
      </c>
      <c r="I30" s="331">
        <f>Other_input_data!J77/Other_input_data!J41</f>
        <v>0.83935899941371872</v>
      </c>
      <c r="J30" s="331">
        <f>Other_input_data!K77/Other_input_data!K41</f>
        <v>1.5072007200720081</v>
      </c>
      <c r="K30" s="331">
        <f>Other_input_data!L77/Other_input_data!L41</f>
        <v>1.231847591660677</v>
      </c>
      <c r="L30" s="5"/>
      <c r="M30" s="331">
        <f t="shared" si="8"/>
        <v>1.1928024370488013</v>
      </c>
      <c r="N30" s="335">
        <f t="shared" si="9"/>
        <v>1.4372882706997319</v>
      </c>
      <c r="O30" s="335">
        <f t="shared" si="10"/>
        <v>2.4495195876546525</v>
      </c>
    </row>
    <row r="31" spans="1:15" ht="15">
      <c r="A31" s="5" t="s">
        <v>477</v>
      </c>
      <c r="B31" s="331">
        <f>Other_input_data!C78/Other_input_data!C41</f>
        <v>3.0574018126888203</v>
      </c>
      <c r="C31" s="331">
        <f>Other_input_data!D78/Other_input_data!D41</f>
        <v>3.7208067940551985</v>
      </c>
      <c r="D31" s="331">
        <f>Other_input_data!E78/Other_input_data!E41</f>
        <v>1.9789530491095551</v>
      </c>
      <c r="E31" s="331">
        <f>Other_input_data!F78/Other_input_data!F41</f>
        <v>-0.26602262016965239</v>
      </c>
      <c r="F31" s="331">
        <f>Other_input_data!G78/Other_input_data!G41</f>
        <v>5.4618927973199352</v>
      </c>
      <c r="G31" s="331">
        <f>Other_input_data!H78/Other_input_data!H41</f>
        <v>2.5324507587988361</v>
      </c>
      <c r="H31" s="331">
        <f>Other_input_data!I78/Other_input_data!I41</f>
        <v>0.16638969671790604</v>
      </c>
      <c r="I31" s="331">
        <f>Other_input_data!J78/Other_input_data!J41</f>
        <v>0.65468047684189912</v>
      </c>
      <c r="J31" s="331">
        <f>Other_input_data!K78/Other_input_data!K41</f>
        <v>1.1678667866786694</v>
      </c>
      <c r="K31" s="331">
        <f>Other_input_data!L78/Other_input_data!L41</f>
        <v>0.72609633357296943</v>
      </c>
      <c r="L31" s="5"/>
      <c r="M31" s="331">
        <f t="shared" si="8"/>
        <v>0.84954786569784602</v>
      </c>
      <c r="N31" s="335">
        <f t="shared" si="9"/>
        <v>1.0494968105220559</v>
      </c>
      <c r="O31" s="335">
        <f t="shared" si="10"/>
        <v>1.793679341436146</v>
      </c>
    </row>
    <row r="32" spans="1:15" ht="15">
      <c r="A32" s="247" t="s">
        <v>398</v>
      </c>
      <c r="B32" s="331">
        <f>Other_input_data!C78/Other_input_data!C77</f>
        <v>1</v>
      </c>
      <c r="C32" s="331">
        <f>Other_input_data!D78/Other_input_data!D77</f>
        <v>0.69009647568418953</v>
      </c>
      <c r="D32" s="331">
        <f>Other_input_data!E78/Other_input_data!E77</f>
        <v>0.94926223142635369</v>
      </c>
      <c r="E32" s="331">
        <f>Other_input_data!F78/Other_input_data!F77</f>
        <v>-0.15531710001375754</v>
      </c>
      <c r="F32" s="331">
        <f>Other_input_data!G78/Other_input_data!G77</f>
        <v>0.96329394387001477</v>
      </c>
      <c r="G32" s="331">
        <f>Other_input_data!H78/Other_input_data!H77</f>
        <v>0.89726575906646844</v>
      </c>
      <c r="H32" s="331">
        <f>Other_input_data!I78/Other_input_data!I77</f>
        <v>0.2117927022739288</v>
      </c>
      <c r="I32" s="331">
        <f>Other_input_data!J78/Other_input_data!J77</f>
        <v>0.7799767171129216</v>
      </c>
      <c r="J32" s="331">
        <f>Other_input_data!K78/Other_input_data!K77</f>
        <v>0.7748581666169011</v>
      </c>
      <c r="K32" s="331">
        <f>Other_input_data!L78/Other_input_data!L77</f>
        <v>0.58943682521155505</v>
      </c>
      <c r="L32" s="5"/>
      <c r="M32" s="331">
        <f t="shared" si="8"/>
        <v>0.71475723631379262</v>
      </c>
      <c r="N32" s="335">
        <f t="shared" si="9"/>
        <v>0.65066603405635504</v>
      </c>
      <c r="O32" s="335">
        <f t="shared" si="10"/>
        <v>0.63340730236095277</v>
      </c>
    </row>
    <row r="33" spans="1:15">
      <c r="A33" s="336" t="s">
        <v>659</v>
      </c>
      <c r="B33" s="263">
        <f>Other_input_data!C$32/Other_input_data!C63</f>
        <v>0.39890374468521084</v>
      </c>
      <c r="C33" s="263">
        <f>Other_input_data!D$32/Other_input_data!D63</f>
        <v>0.47710435902941806</v>
      </c>
      <c r="D33" s="263">
        <f>Other_input_data!E$32/Other_input_data!E63</f>
        <v>0.56192610997083292</v>
      </c>
      <c r="E33" s="263">
        <f>Other_input_data!F$32/Other_input_data!F63</f>
        <v>0.7503042270337289</v>
      </c>
      <c r="F33" s="263">
        <f>Other_input_data!G$32/Other_input_data!G63</f>
        <v>1.1187911172397944</v>
      </c>
      <c r="G33" s="263">
        <f>Other_input_data!H$32/Other_input_data!H63</f>
        <v>1.2662825491818936</v>
      </c>
      <c r="H33" s="263">
        <f>Other_input_data!I$32/Other_input_data!I63</f>
        <v>1.3236902745773063</v>
      </c>
      <c r="I33" s="263">
        <f>Other_input_data!J$32/Other_input_data!J63</f>
        <v>1.3604056728232192</v>
      </c>
      <c r="J33" s="263">
        <f>Other_input_data!K$32/Other_input_data!K63</f>
        <v>1.3872477167662645</v>
      </c>
      <c r="K33" s="263">
        <f>Other_input_data!L$32/Other_input_data!L63</f>
        <v>1.3825900335008374</v>
      </c>
      <c r="L33" s="268"/>
      <c r="M33" s="250">
        <f t="shared" ref="M33:M49" si="11">AVERAGE(I33:K33)</f>
        <v>1.3767478076967736</v>
      </c>
      <c r="N33" s="250">
        <f t="shared" ref="N33:N49" si="12">AVERAGE(G33:K33)</f>
        <v>1.3440432493699042</v>
      </c>
      <c r="O33" s="250">
        <f>AVERAGE(C33:K33)</f>
        <v>1.069815784458144</v>
      </c>
    </row>
    <row r="34" spans="1:15">
      <c r="A34" s="336" t="s">
        <v>892</v>
      </c>
      <c r="B34" s="263"/>
      <c r="C34" s="263">
        <f>Other_input_data!D$32/Other_input_data!D64</f>
        <v>0.46593619754121995</v>
      </c>
      <c r="D34" s="263">
        <f>Other_input_data!E$32/Other_input_data!E64</f>
        <v>0.56020138926282914</v>
      </c>
      <c r="E34" s="263">
        <f>Other_input_data!F$32/Other_input_data!F64</f>
        <v>0.81105967908067655</v>
      </c>
      <c r="F34" s="263">
        <f>Other_input_data!G$32/Other_input_data!G64</f>
        <v>0.99395114979199095</v>
      </c>
      <c r="G34" s="263">
        <f>Other_input_data!H$32/Other_input_data!H64</f>
        <v>1.2013650846382677</v>
      </c>
      <c r="H34" s="263">
        <f>Other_input_data!I$32/Other_input_data!I64</f>
        <v>1.4140850918689662</v>
      </c>
      <c r="I34" s="263">
        <f>Other_input_data!J$32/Other_input_data!J64</f>
        <v>1.3672637874121238</v>
      </c>
      <c r="J34" s="263">
        <f>Other_input_data!K$32/Other_input_data!K64</f>
        <v>1.3697188978569441</v>
      </c>
      <c r="K34" s="263">
        <f>Other_input_data!L$32/Other_input_data!L64</f>
        <v>1.4338526681504804</v>
      </c>
      <c r="L34" s="254"/>
      <c r="M34" s="250">
        <f t="shared" ref="M34:M35" si="13">AVERAGE(I34:K34)</f>
        <v>1.3902784511398494</v>
      </c>
      <c r="N34" s="250">
        <f t="shared" ref="N34:N35" si="14">AVERAGE(G34:K34)</f>
        <v>1.3572571059853566</v>
      </c>
      <c r="O34" s="250">
        <f>AVERAGE(C34:K34)</f>
        <v>1.0686037717337222</v>
      </c>
    </row>
    <row r="35" spans="1:15">
      <c r="A35" s="336" t="s">
        <v>660</v>
      </c>
      <c r="B35" s="251">
        <f>Other_input_data!C$41/Other_input_data!C63</f>
        <v>3.3912197121049141E-2</v>
      </c>
      <c r="C35" s="251">
        <f>Other_input_data!D$41/Other_input_data!D63</f>
        <v>2.5284517929997863E-2</v>
      </c>
      <c r="D35" s="251">
        <f>Other_input_data!E$41/Other_input_data!E63</f>
        <v>5.0043210543372574E-2</v>
      </c>
      <c r="E35" s="251">
        <f>Other_input_data!F$41/Other_input_data!F63</f>
        <v>9.7444492916676118E-2</v>
      </c>
      <c r="F35" s="251">
        <f>Other_input_data!G$41/Other_input_data!G63</f>
        <v>6.8602947513574056E-2</v>
      </c>
      <c r="G35" s="251">
        <f>Other_input_data!H$41/Other_input_data!H63</f>
        <v>9.8586617431718412E-2</v>
      </c>
      <c r="H35" s="251">
        <f>Other_input_data!I$41/Other_input_data!I63</f>
        <v>0.13365168383353215</v>
      </c>
      <c r="I35" s="251">
        <f>Other_input_data!J$41/Other_input_data!J63</f>
        <v>0.14063874230430964</v>
      </c>
      <c r="J35" s="251">
        <f>Other_input_data!K$41/Other_input_data!K63</f>
        <v>0.12526778667268007</v>
      </c>
      <c r="K35" s="251">
        <f>Other_input_data!L$41/Other_input_data!L63</f>
        <v>0.14562395309882734</v>
      </c>
      <c r="L35" s="255"/>
      <c r="M35" s="251">
        <f t="shared" si="13"/>
        <v>0.1371768273586057</v>
      </c>
      <c r="N35" s="251">
        <f t="shared" si="14"/>
        <v>0.12875375666821351</v>
      </c>
      <c r="O35" s="251">
        <f>AVERAGE(C35:K35)</f>
        <v>9.8349328027187599E-2</v>
      </c>
    </row>
    <row r="36" spans="1:15">
      <c r="A36" s="336" t="s">
        <v>893</v>
      </c>
      <c r="B36" s="251"/>
      <c r="C36" s="251">
        <f>Other_input_data!D$41/Other_input_data!D64</f>
        <v>2.4692652494167616E-2</v>
      </c>
      <c r="D36" s="251">
        <f>Other_input_data!E$41/Other_input_data!E64</f>
        <v>4.9889612837219308E-2</v>
      </c>
      <c r="E36" s="251">
        <f>Other_input_data!F$41/Other_input_data!F64</f>
        <v>0.10533500452960365</v>
      </c>
      <c r="F36" s="251">
        <f>Other_input_data!G$41/Other_input_data!G64</f>
        <v>6.094790842500189E-2</v>
      </c>
      <c r="G36" s="251">
        <f>Other_input_data!H$41/Other_input_data!H64</f>
        <v>9.3532458511393385E-2</v>
      </c>
      <c r="H36" s="251">
        <f>Other_input_data!I$41/Other_input_data!I64</f>
        <v>0.14277875817478075</v>
      </c>
      <c r="I36" s="251">
        <f>Other_input_data!J$41/Other_input_data!J64</f>
        <v>0.14134773420990848</v>
      </c>
      <c r="J36" s="251">
        <f>Other_input_data!K$41/Other_input_data!K64</f>
        <v>0.12368494294461448</v>
      </c>
      <c r="K36" s="251">
        <f>Other_input_data!L$41/Other_input_data!L64</f>
        <v>0.15102328863796741</v>
      </c>
      <c r="L36" s="255"/>
      <c r="M36" s="251">
        <f t="shared" ref="M36:M40" si="15">AVERAGE(I36:K36)</f>
        <v>0.13868532193083014</v>
      </c>
      <c r="N36" s="251">
        <f t="shared" ref="N36:N40" si="16">AVERAGE(G36:K36)</f>
        <v>0.1304734364957329</v>
      </c>
      <c r="O36" s="251">
        <f t="shared" ref="O36:O40" si="17">AVERAGE(C36:K36)</f>
        <v>9.9248040084961894E-2</v>
      </c>
    </row>
    <row r="37" spans="1:15">
      <c r="A37" s="336" t="s">
        <v>661</v>
      </c>
      <c r="B37" s="251">
        <f>Other_input_data!C$77/Other_input_data!C63</f>
        <v>0.10368321295015624</v>
      </c>
      <c r="C37" s="251">
        <f>Other_input_data!D$77/Other_input_data!D63</f>
        <v>0.13632703457161263</v>
      </c>
      <c r="D37" s="251">
        <f>Other_input_data!E$77/Other_input_data!E63</f>
        <v>0.10432645565517988</v>
      </c>
      <c r="E37" s="251">
        <f>Other_input_data!F$77/Other_input_data!F63</f>
        <v>0.16690009873028264</v>
      </c>
      <c r="F37" s="251">
        <f>Other_input_data!G$77/Other_input_data!G63</f>
        <v>0.38897986153006409</v>
      </c>
      <c r="G37" s="251">
        <f>Other_input_data!H$77/Other_input_data!H63</f>
        <v>0.27825173489526961</v>
      </c>
      <c r="H37" s="251">
        <f>Other_input_data!I$77/Other_input_data!I63</f>
        <v>0.10500013881562509</v>
      </c>
      <c r="I37" s="251">
        <f>Other_input_data!J$77/Other_input_data!J63</f>
        <v>0.11804639401934917</v>
      </c>
      <c r="J37" s="251">
        <f>Other_input_data!K$77/Other_input_data!K63</f>
        <v>0.18880369827489007</v>
      </c>
      <c r="K37" s="251">
        <f>Other_input_data!L$77/Other_input_data!L63</f>
        <v>0.17938651591289781</v>
      </c>
      <c r="L37" s="255"/>
      <c r="M37" s="251">
        <f t="shared" si="15"/>
        <v>0.16207886940237903</v>
      </c>
      <c r="N37" s="251">
        <f t="shared" si="16"/>
        <v>0.17389769638360636</v>
      </c>
      <c r="O37" s="251">
        <f t="shared" si="17"/>
        <v>0.18511354804501901</v>
      </c>
    </row>
    <row r="38" spans="1:15">
      <c r="A38" s="336" t="s">
        <v>894</v>
      </c>
      <c r="B38" s="251"/>
      <c r="C38" s="251">
        <f>Other_input_data!D$77/Other_input_data!D64</f>
        <v>0.13313586201473171</v>
      </c>
      <c r="D38" s="251">
        <f>Other_input_data!E$77/Other_input_data!E64</f>
        <v>0.10400624629799152</v>
      </c>
      <c r="E38" s="251">
        <f>Other_input_data!F$77/Other_input_data!F64</f>
        <v>0.18041473796552537</v>
      </c>
      <c r="F38" s="251">
        <f>Other_input_data!G$77/Other_input_data!G64</f>
        <v>0.34557566167274956</v>
      </c>
      <c r="G38" s="251">
        <f>Other_input_data!H$77/Other_input_data!H64</f>
        <v>0.26398683236941844</v>
      </c>
      <c r="H38" s="251">
        <f>Other_input_data!I$77/Other_input_data!I64</f>
        <v>0.1121705989648985</v>
      </c>
      <c r="I38" s="251">
        <f>Other_input_data!J$77/Other_input_data!J64</f>
        <v>0.11864149275582504</v>
      </c>
      <c r="J38" s="251">
        <f>Other_input_data!K$77/Other_input_data!K64</f>
        <v>0.18641803506818819</v>
      </c>
      <c r="K38" s="251">
        <f>Other_input_data!L$77/Other_input_data!L64</f>
        <v>0.18603767439335542</v>
      </c>
      <c r="L38" s="255"/>
      <c r="M38" s="251">
        <f t="shared" si="15"/>
        <v>0.16369906740578954</v>
      </c>
      <c r="N38" s="251">
        <f t="shared" si="16"/>
        <v>0.1734509267103371</v>
      </c>
      <c r="O38" s="251">
        <f t="shared" si="17"/>
        <v>0.18115412683363152</v>
      </c>
    </row>
    <row r="39" spans="1:15">
      <c r="A39" s="336" t="s">
        <v>662</v>
      </c>
      <c r="B39" s="251">
        <f>Other_input_data!C$78/Other_input_data!C63</f>
        <v>0.10368321295015624</v>
      </c>
      <c r="C39" s="251">
        <f>Other_input_data!D$78/Other_input_data!D63</f>
        <v>9.4078806098346526E-2</v>
      </c>
      <c r="D39" s="251">
        <f>Other_input_data!E$78/Other_input_data!E63</f>
        <v>9.9033164092038578E-2</v>
      </c>
      <c r="E39" s="251">
        <f>Other_input_data!F$78/Other_input_data!F63</f>
        <v>-2.5922439326797313E-2</v>
      </c>
      <c r="F39" s="251">
        <f>Other_input_data!G$78/Other_input_data!G63</f>
        <v>0.37470194489930769</v>
      </c>
      <c r="G39" s="251">
        <f>Other_input_data!H$78/Other_input_data!H63</f>
        <v>0.24966575412236586</v>
      </c>
      <c r="H39" s="251">
        <f>Other_input_data!I$78/Other_input_data!I63</f>
        <v>2.223826313889888E-2</v>
      </c>
      <c r="I39" s="251">
        <f>Other_input_data!J$78/Other_input_data!J63</f>
        <v>9.2073438874230404E-2</v>
      </c>
      <c r="J39" s="251">
        <f>Other_input_data!K$78/Other_input_data!K63</f>
        <v>0.14629608749577191</v>
      </c>
      <c r="K39" s="251">
        <f>Other_input_data!L$78/Other_input_data!L63</f>
        <v>0.10573701842546059</v>
      </c>
      <c r="L39" s="255"/>
      <c r="M39" s="251">
        <f t="shared" si="15"/>
        <v>0.11470218159848762</v>
      </c>
      <c r="N39" s="251">
        <f t="shared" si="16"/>
        <v>0.12320211241134553</v>
      </c>
      <c r="O39" s="251">
        <f t="shared" si="17"/>
        <v>0.12865578197995814</v>
      </c>
    </row>
    <row r="40" spans="1:15">
      <c r="A40" s="336" t="s">
        <v>895</v>
      </c>
      <c r="B40" s="251"/>
      <c r="C40" s="251">
        <f>Other_input_data!D$78/Other_input_data!D64</f>
        <v>9.187658916354291E-2</v>
      </c>
      <c r="D40" s="251">
        <f>Other_input_data!E$78/Other_input_data!E64</f>
        <v>9.8729201443110357E-2</v>
      </c>
      <c r="E40" s="251">
        <f>Other_input_data!F$78/Other_input_data!F64</f>
        <v>-2.8021493900547364E-2</v>
      </c>
      <c r="F40" s="251">
        <f>Other_input_data!G$78/Other_input_data!G64</f>
        <v>0.33289094203823283</v>
      </c>
      <c r="G40" s="251">
        <f>Other_input_data!H$78/Other_input_data!H64</f>
        <v>0.23686634552949884</v>
      </c>
      <c r="H40" s="251">
        <f>Other_input_data!I$78/Other_input_data!I64</f>
        <v>2.3756914270461015E-2</v>
      </c>
      <c r="I40" s="251">
        <f>Other_input_data!J$78/Other_input_data!J64</f>
        <v>9.2537602033064895E-2</v>
      </c>
      <c r="J40" s="251">
        <f>Other_input_data!K$78/Other_input_data!K64</f>
        <v>0.14444753687726147</v>
      </c>
      <c r="K40" s="251">
        <f>Other_input_data!L$78/Other_input_data!L64</f>
        <v>0.10965745616416042</v>
      </c>
      <c r="L40" s="255"/>
      <c r="M40" s="251">
        <f t="shared" si="15"/>
        <v>0.11554753169149561</v>
      </c>
      <c r="N40" s="251">
        <f t="shared" si="16"/>
        <v>0.12145317097488932</v>
      </c>
      <c r="O40" s="251">
        <f t="shared" si="17"/>
        <v>0.12252678817986504</v>
      </c>
    </row>
    <row r="41" spans="1:15">
      <c r="A41" s="336" t="s">
        <v>896</v>
      </c>
      <c r="C41" s="250"/>
      <c r="D41" s="250">
        <f>((Other_input_data!E32-Other_input_data!D32)/Other_input_data!D32)/((Other_input_data!E64-Other_input_data!D64)/Other_input_data!D64)</f>
        <v>-6.4620940616807188</v>
      </c>
      <c r="E41" s="250">
        <f>((Other_input_data!F32-Other_input_data!E32)/Other_input_data!E32)/((Other_input_data!F64-Other_input_data!E64)/Other_input_data!E64)</f>
        <v>6.7303775278288072</v>
      </c>
      <c r="F41" s="250">
        <f>((Other_input_data!G32-Other_input_data!F32)/Other_input_data!F32)/((Other_input_data!G64-Other_input_data!F64)/Other_input_data!F64)</f>
        <v>-6.9632224973350318</v>
      </c>
      <c r="G41" s="250">
        <f>((Other_input_data!H32-Other_input_data!G32)/Other_input_data!G32)/((Other_input_data!H64-Other_input_data!G64)/Other_input_data!G64)</f>
        <v>-0.13841033484163182</v>
      </c>
      <c r="H41" s="250">
        <f>((Other_input_data!I32-Other_input_data!H32)/Other_input_data!H32)/((Other_input_data!I64-Other_input_data!H64)/Other_input_data!H64)</f>
        <v>10.867802397502475</v>
      </c>
      <c r="I41" s="250">
        <f>((Other_input_data!J32-Other_input_data!I32)/Other_input_data!I32)/((Other_input_data!J64-Other_input_data!I64)/Other_input_data!I64)</f>
        <v>0.51764349678759769</v>
      </c>
      <c r="J41" s="250">
        <f>((Other_input_data!K32-Other_input_data!J32)/Other_input_data!J32)/((Other_input_data!K64-Other_input_data!J64)/Other_input_data!J64)</f>
        <v>0.76236735295563429</v>
      </c>
      <c r="K41" s="250">
        <f>((Other_input_data!L32-Other_input_data!K32)/Other_input_data!K32)/((Other_input_data!L64-Other_input_data!K64)/Other_input_data!K64)</f>
        <v>2.8914884083048493</v>
      </c>
      <c r="L41" s="267"/>
      <c r="M41" s="250">
        <f t="shared" si="11"/>
        <v>1.3904997526826939</v>
      </c>
      <c r="N41" s="250">
        <f t="shared" si="12"/>
        <v>2.9801782641417844</v>
      </c>
      <c r="O41" s="250">
        <f t="shared" ref="O41:O49" si="18">AVERAGE(B41:K41)</f>
        <v>1.0257440361902477</v>
      </c>
    </row>
    <row r="42" spans="1:15">
      <c r="A42" s="336" t="s">
        <v>897</v>
      </c>
      <c r="C42" s="251"/>
      <c r="D42" s="263">
        <f>((Other_input_data!E41-Other_input_data!D41)/Other_input_data!D41)/((Other_input_data!E64-Other_input_data!D64)/Other_input_data!D64)</f>
        <v>-36.637106074885338</v>
      </c>
      <c r="E42" s="263">
        <f>((Other_input_data!F41-Other_input_data!E41)/Other_input_data!E41)/((Other_input_data!F64-Other_input_data!E64)/Other_input_data!E64)</f>
        <v>15.221790655586744</v>
      </c>
      <c r="F42" s="263">
        <f>((Other_input_data!G41-Other_input_data!F41)/Other_input_data!F41)/((Other_input_data!G64-Other_input_data!F64)/Other_input_data!F64)</f>
        <v>15.881003704192972</v>
      </c>
      <c r="G42" s="263">
        <f>((Other_input_data!H41-Other_input_data!G41)/Other_input_data!G41)/((Other_input_data!H64-Other_input_data!G64)/Other_input_data!G64)</f>
        <v>-1.9166133686252698</v>
      </c>
      <c r="H42" s="263">
        <f>((Other_input_data!I41-Other_input_data!H41)/Other_input_data!H41)/((Other_input_data!I64-Other_input_data!H64)/Other_input_data!H64)</f>
        <v>30.34258453261895</v>
      </c>
      <c r="I42" s="263">
        <f>((Other_input_data!J41-Other_input_data!I41)/Other_input_data!I41)/((Other_input_data!J64-Other_input_data!I64)/Other_input_data!I64)</f>
        <v>0.85398970474281044</v>
      </c>
      <c r="J42" s="263">
        <f>((Other_input_data!K41-Other_input_data!J41)/Other_input_data!J41)/((Other_input_data!K64-Other_input_data!J64)/Other_input_data!J64)</f>
        <v>17.537043495285708</v>
      </c>
      <c r="K42" s="263">
        <f>((Other_input_data!L41-Other_input_data!K41)/Other_input_data!K41)/((Other_input_data!L64-Other_input_data!K64)/Other_input_data!K64)</f>
        <v>9.9290192177111578</v>
      </c>
      <c r="L42" s="254"/>
      <c r="M42" s="251">
        <f t="shared" si="11"/>
        <v>9.4400174725798927</v>
      </c>
      <c r="N42" s="251">
        <f t="shared" si="12"/>
        <v>11.349204716346671</v>
      </c>
      <c r="O42" s="251">
        <f t="shared" si="18"/>
        <v>6.4014639833284672</v>
      </c>
    </row>
    <row r="43" spans="1:15">
      <c r="A43" s="336" t="s">
        <v>898</v>
      </c>
      <c r="C43" s="251"/>
      <c r="D43" s="263">
        <f>((Other_input_data!E77-Other_input_data!D77)/Other_input_data!D77)/((Other_input_data!E64-Other_input_data!D64)/Other_input_data!D64)</f>
        <v>9.0700368145563761</v>
      </c>
      <c r="E43" s="263">
        <f>((Other_input_data!F77-Other_input_data!E77)/Other_input_data!E77)/((Other_input_data!F64-Other_input_data!E64)/Other_input_data!E64)</f>
        <v>10.401153925637367</v>
      </c>
      <c r="F43" s="263">
        <f>((Other_input_data!G77-Other_input_data!F77)/Other_input_data!F77)/((Other_input_data!G64-Other_input_data!F64)/Other_input_data!F64)</f>
        <v>-31.328347130991691</v>
      </c>
      <c r="G43" s="263">
        <f>((Other_input_data!H77-Other_input_data!G77)/Other_input_data!G77)/((Other_input_data!H64-Other_input_data!G64)/Other_input_data!G64)</f>
        <v>2.2879929711272791</v>
      </c>
      <c r="H43" s="263">
        <f>((Other_input_data!I77-Other_input_data!H77)/Other_input_data!H77)/((Other_input_data!I64-Other_input_data!H64)/Other_input_data!H64)</f>
        <v>-31.049632821859031</v>
      </c>
      <c r="I43" s="263">
        <f>((Other_input_data!J77-Other_input_data!I77)/Other_input_data!I77)/((Other_input_data!J64-Other_input_data!I64)/Other_input_data!I64)</f>
        <v>1.8403987648790672</v>
      </c>
      <c r="J43" s="263">
        <f>((Other_input_data!K77-Other_input_data!J77)/Other_input_data!J77)/((Other_input_data!K64-Other_input_data!J64)/Other_input_data!J64)</f>
        <v>-74.601461290591416</v>
      </c>
      <c r="K43" s="263">
        <f>((Other_input_data!L77-Other_input_data!K77)/Other_input_data!K77)/((Other_input_data!L64-Other_input_data!K64)/Other_input_data!K64)</f>
        <v>0.91757555279658776</v>
      </c>
      <c r="L43" s="255"/>
      <c r="M43" s="251">
        <f t="shared" si="11"/>
        <v>-23.947828990971917</v>
      </c>
      <c r="N43" s="251">
        <f t="shared" si="12"/>
        <v>-20.121025364729501</v>
      </c>
      <c r="O43" s="251">
        <f t="shared" si="18"/>
        <v>-14.057785401805681</v>
      </c>
    </row>
    <row r="44" spans="1:15">
      <c r="A44" s="336" t="s">
        <v>899</v>
      </c>
      <c r="C44" s="251"/>
      <c r="D44" s="263">
        <f>((Other_input_data!E78-Other_input_data!D78)/Other_input_data!D78)/((Other_input_data!E64-Other_input_data!D64)/Other_input_data!D64)</f>
        <v>-1.7509779616862298</v>
      </c>
      <c r="E44" s="263">
        <f>((Other_input_data!F78-Other_input_data!E78)/Other_input_data!E78)/((Other_input_data!F64-Other_input_data!E64)/Other_input_data!E64)</f>
        <v>-15.428718399241196</v>
      </c>
      <c r="F44" s="263">
        <f>((Other_input_data!G78-Other_input_data!F78)/Other_input_data!F78)/((Other_input_data!G64-Other_input_data!F64)/Other_input_data!F64)</f>
        <v>455.84012619893161</v>
      </c>
      <c r="G44" s="263">
        <f>((Other_input_data!H78-Other_input_data!G78)/Other_input_data!G78)/((Other_input_data!H64-Other_input_data!G64)/Other_input_data!G64)</f>
        <v>2.5736438630560978</v>
      </c>
      <c r="H44" s="263">
        <f>((Other_input_data!I78-Other_input_data!H78)/Other_input_data!H78)/((Other_input_data!I64-Other_input_data!H64)/Other_input_data!H64)</f>
        <v>-49.140241495548864</v>
      </c>
      <c r="I44" s="263">
        <f>((Other_input_data!J78-Other_input_data!I78)/Other_input_data!I78)/((Other_input_data!J64-Other_input_data!I64)/Other_input_data!I64)</f>
        <v>43.177094276018181</v>
      </c>
      <c r="J44" s="263">
        <f>((Other_input_data!K78-Other_input_data!J78)/Other_input_data!J78)/((Other_input_data!K64-Other_input_data!J64)/Other_input_data!J64)</f>
        <v>-73.23686539677243</v>
      </c>
      <c r="K44" s="263">
        <f>((Other_input_data!L78-Other_input_data!K78)/Other_input_data!K78)/((Other_input_data!L64-Other_input_data!K64)/Other_input_data!K64)</f>
        <v>-8.7295701923401712</v>
      </c>
      <c r="L44" s="251"/>
      <c r="M44" s="251">
        <f t="shared" si="11"/>
        <v>-12.92978043769814</v>
      </c>
      <c r="N44" s="251">
        <f t="shared" si="12"/>
        <v>-17.071187789117438</v>
      </c>
      <c r="O44" s="251">
        <f t="shared" si="18"/>
        <v>44.163061361552117</v>
      </c>
    </row>
    <row r="45" spans="1:15">
      <c r="A45" s="247" t="s">
        <v>414</v>
      </c>
      <c r="M45" s="250"/>
      <c r="N45" s="250"/>
      <c r="O45" s="250"/>
    </row>
    <row r="46" spans="1:15">
      <c r="A46" s="247" t="s">
        <v>237</v>
      </c>
      <c r="B46" s="251"/>
      <c r="C46" s="251"/>
      <c r="D46" s="251">
        <f>'Financial Analysis'!D61</f>
        <v>-1.9495475065615997E-2</v>
      </c>
      <c r="E46" s="251">
        <f>'Financial Analysis'!E61</f>
        <v>7.2390659239466748E-2</v>
      </c>
      <c r="F46" s="251">
        <f>'Financial Analysis'!F61</f>
        <v>-2.3218414205056659E-2</v>
      </c>
      <c r="G46" s="251">
        <f>'Financial Analysis'!G61</f>
        <v>-1.2261111080953846E-2</v>
      </c>
      <c r="H46" s="251">
        <f>'Financial Analysis'!H61</f>
        <v>3.0579318451302351E-2</v>
      </c>
      <c r="I46" s="251">
        <f>'Financial Analysis'!I61</f>
        <v>4.0063554211165808E-2</v>
      </c>
      <c r="J46" s="251">
        <f>'Financial Analysis'!J61</f>
        <v>1.4773498780834338E-2</v>
      </c>
      <c r="K46" s="251">
        <f>'Financial Analysis'!K61</f>
        <v>0.10253250971239147</v>
      </c>
      <c r="L46" s="251"/>
      <c r="M46" s="251">
        <f t="shared" si="11"/>
        <v>5.2456520901463875E-2</v>
      </c>
      <c r="N46" s="251">
        <f t="shared" si="12"/>
        <v>3.5137554014948023E-2</v>
      </c>
      <c r="O46" s="251">
        <f>AVERAGE(D46:K46)</f>
        <v>2.5670567505441777E-2</v>
      </c>
    </row>
    <row r="47" spans="1:15">
      <c r="A47" s="247" t="s">
        <v>900</v>
      </c>
      <c r="B47" s="251"/>
      <c r="C47" s="251"/>
      <c r="D47" s="251"/>
      <c r="E47" s="251"/>
      <c r="F47" s="251"/>
      <c r="G47" s="251"/>
      <c r="H47" s="251"/>
      <c r="I47" s="251"/>
      <c r="J47" s="251"/>
      <c r="K47" s="251"/>
      <c r="L47" s="251"/>
      <c r="M47" s="251"/>
      <c r="N47" s="251"/>
      <c r="O47" s="251"/>
    </row>
    <row r="48" spans="1:15">
      <c r="A48" s="247" t="s">
        <v>144</v>
      </c>
      <c r="B48" s="256">
        <f>IFERROR(('Data Sheet'!B31*10000000/'Data Sheet'!B70)/'Data Sheet'!B90,0)</f>
        <v>1.8277557690597687E-2</v>
      </c>
      <c r="C48" s="256">
        <f>IFERROR(('Data Sheet'!C31*10000000/'Data Sheet'!C70)/'Data Sheet'!C90,0)</f>
        <v>3.9030736451255578E-2</v>
      </c>
      <c r="D48" s="256">
        <f>IFERROR(('Data Sheet'!D31*10000000/'Data Sheet'!D70)/'Data Sheet'!D90,0)</f>
        <v>1.7823798985191309E-2</v>
      </c>
      <c r="E48" s="256">
        <f>IFERROR(('Data Sheet'!E31*10000000/'Data Sheet'!E70)/'Data Sheet'!E90,0)</f>
        <v>2.2914757103574702E-2</v>
      </c>
      <c r="F48" s="256">
        <f>IFERROR(('Data Sheet'!F31*10000000/'Data Sheet'!F70)/'Data Sheet'!F90,0)</f>
        <v>3.4075216446967503E-2</v>
      </c>
      <c r="G48" s="256">
        <f>IFERROR(('Data Sheet'!G31*10000000/'Data Sheet'!G70)/'Data Sheet'!G90,0)</f>
        <v>4.783551302646117E-2</v>
      </c>
      <c r="H48" s="256">
        <f>IFERROR(('Data Sheet'!H31*10000000/'Data Sheet'!H70)/'Data Sheet'!H90,0)</f>
        <v>4.2441029276310917E-2</v>
      </c>
      <c r="I48" s="256">
        <f>IFERROR(('Data Sheet'!I31*10000000/'Data Sheet'!I70)/'Data Sheet'!I90,0)</f>
        <v>1.610491199815944E-2</v>
      </c>
      <c r="J48" s="256">
        <f>IFERROR(('Data Sheet'!J31*10000000/'Data Sheet'!J70)/'Data Sheet'!J90,0)</f>
        <v>1.7767249037607343E-2</v>
      </c>
      <c r="K48" s="256">
        <f>IFERROR(('Data Sheet'!K31*10000000/'Data Sheet'!K70)/'Data Sheet'!K90,0)</f>
        <v>0</v>
      </c>
      <c r="L48" s="256"/>
      <c r="M48" s="251">
        <f t="shared" si="11"/>
        <v>1.1290720345255594E-2</v>
      </c>
      <c r="N48" s="251">
        <f t="shared" si="12"/>
        <v>2.4829740667707774E-2</v>
      </c>
      <c r="O48" s="251">
        <f t="shared" si="18"/>
        <v>2.5627077001612562E-2</v>
      </c>
    </row>
    <row r="49" spans="1:15">
      <c r="A49" s="247" t="s">
        <v>17</v>
      </c>
      <c r="B49" s="251">
        <f>'Data Sheet'!B31/'Data Sheet'!B30</f>
        <v>8.8746223564954679E-2</v>
      </c>
      <c r="C49" s="251">
        <f>'Data Sheet'!C31/'Data Sheet'!C30</f>
        <v>0.12473460721868365</v>
      </c>
      <c r="D49" s="251">
        <f>'Data Sheet'!D31/'Data Sheet'!D30</f>
        <v>9.5116028062601179E-2</v>
      </c>
      <c r="E49" s="251">
        <f>'Data Sheet'!E31/'Data Sheet'!E30</f>
        <v>6.9215362865221494E-2</v>
      </c>
      <c r="F49" s="251">
        <f>'Data Sheet'!F31/'Data Sheet'!F30</f>
        <v>0.12301088777219431</v>
      </c>
      <c r="G49" s="251">
        <f>'Data Sheet'!G31/'Data Sheet'!G30</f>
        <v>0.18015655261459004</v>
      </c>
      <c r="H49" s="251">
        <f>'Data Sheet'!H31/'Data Sheet'!H30</f>
        <v>0.15254985459077691</v>
      </c>
      <c r="I49" s="251">
        <f>'Data Sheet'!I31/'Data Sheet'!I30</f>
        <v>0.1607073075420086</v>
      </c>
      <c r="J49" s="251">
        <f>'Data Sheet'!J31/'Data Sheet'!J30</f>
        <v>0.19821187584345479</v>
      </c>
      <c r="K49" s="251">
        <f>'Data Sheet'!K31/'Data Sheet'!K30</f>
        <v>0</v>
      </c>
      <c r="L49" s="251"/>
      <c r="M49" s="251">
        <f t="shared" si="11"/>
        <v>0.11963972779515446</v>
      </c>
      <c r="N49" s="251">
        <f t="shared" si="12"/>
        <v>0.13832511811816606</v>
      </c>
      <c r="O49" s="251">
        <f t="shared" si="18"/>
        <v>0.11924487000744857</v>
      </c>
    </row>
  </sheetData>
  <pageMargins left="0.7" right="0.7" top="0.75" bottom="0.75" header="0.3" footer="0.3"/>
  <pageSetup orientation="portrait" r:id="rId1"/>
  <ignoredErrors>
    <ignoredError sqref="B7:K7" formula="1"/>
  </ignoredErrors>
</worksheet>
</file>

<file path=xl/worksheets/sheet8.xml><?xml version="1.0" encoding="utf-8"?>
<worksheet xmlns="http://schemas.openxmlformats.org/spreadsheetml/2006/main" xmlns:r="http://schemas.openxmlformats.org/officeDocument/2006/relationships">
  <dimension ref="A1:R54"/>
  <sheetViews>
    <sheetView workbookViewId="0">
      <selection activeCell="B19" sqref="B19"/>
    </sheetView>
  </sheetViews>
  <sheetFormatPr defaultColWidth="9.140625" defaultRowHeight="12"/>
  <cols>
    <col min="1" max="1" width="53.42578125" style="247" bestFit="1" customWidth="1"/>
    <col min="2" max="2" width="6.85546875" style="247" customWidth="1"/>
    <col min="3" max="4" width="6.7109375" style="247" customWidth="1"/>
    <col min="5" max="9" width="6.28515625" style="247" customWidth="1"/>
    <col min="10" max="10" width="6.42578125" style="247" customWidth="1"/>
    <col min="11" max="12" width="6.28515625" style="247" customWidth="1"/>
    <col min="13" max="14" width="16.42578125" style="247" customWidth="1"/>
    <col min="15" max="15" width="17.42578125" style="247" customWidth="1"/>
    <col min="16" max="17" width="10.28515625" style="247" customWidth="1"/>
    <col min="18" max="18" width="11" style="247" customWidth="1"/>
    <col min="19" max="16384" width="9.140625" style="247"/>
  </cols>
  <sheetData>
    <row r="1" spans="1:18">
      <c r="B1" s="248">
        <f>'Data Sheet'!B16</f>
        <v>39538</v>
      </c>
      <c r="C1" s="248">
        <f>'Data Sheet'!C16</f>
        <v>39903</v>
      </c>
      <c r="D1" s="248">
        <f>'Data Sheet'!D16</f>
        <v>40268</v>
      </c>
      <c r="E1" s="248">
        <f>'Data Sheet'!E16</f>
        <v>40633</v>
      </c>
      <c r="F1" s="248">
        <f>'Data Sheet'!F16</f>
        <v>40999</v>
      </c>
      <c r="G1" s="248">
        <f>'Data Sheet'!G16</f>
        <v>41364</v>
      </c>
      <c r="H1" s="248">
        <f>'Data Sheet'!H16</f>
        <v>41729</v>
      </c>
      <c r="I1" s="248">
        <f>'Data Sheet'!I16</f>
        <v>42094</v>
      </c>
      <c r="J1" s="248">
        <f>'Data Sheet'!J16</f>
        <v>42460</v>
      </c>
      <c r="K1" s="248">
        <f>'Data Sheet'!K16</f>
        <v>42825</v>
      </c>
      <c r="L1" s="248"/>
      <c r="M1" s="247" t="s">
        <v>669</v>
      </c>
      <c r="N1" s="247" t="s">
        <v>670</v>
      </c>
      <c r="O1" s="247" t="s">
        <v>671</v>
      </c>
      <c r="P1" s="247" t="s">
        <v>633</v>
      </c>
      <c r="Q1" s="247" t="s">
        <v>634</v>
      </c>
      <c r="R1" s="247" t="s">
        <v>635</v>
      </c>
    </row>
    <row r="2" spans="1:18" ht="15">
      <c r="A2" s="1" t="s">
        <v>78</v>
      </c>
      <c r="B2" s="280">
        <f>'Data Sheet'!B90</f>
        <v>109.42381</v>
      </c>
      <c r="C2" s="280">
        <f>'Data Sheet'!C90</f>
        <v>51.241667</v>
      </c>
      <c r="D2" s="280">
        <f>'Data Sheet'!D90</f>
        <v>168.31428600000001</v>
      </c>
      <c r="E2" s="280">
        <f>'Data Sheet'!E90</f>
        <v>218.2</v>
      </c>
      <c r="F2" s="280">
        <f>'Data Sheet'!F90</f>
        <v>146.73421099999999</v>
      </c>
      <c r="G2" s="280">
        <f>'Data Sheet'!G90</f>
        <v>198.59722199999999</v>
      </c>
      <c r="H2" s="280">
        <f>'Data Sheet'!H90</f>
        <v>294.52631600000001</v>
      </c>
      <c r="I2" s="280">
        <f>'Data Sheet'!I90</f>
        <v>869.3</v>
      </c>
      <c r="J2" s="280">
        <f>'Data Sheet'!J90</f>
        <v>844.25</v>
      </c>
      <c r="K2" s="280">
        <f>'Data Sheet'!K90</f>
        <v>1363.4605260000001</v>
      </c>
      <c r="L2" s="248"/>
    </row>
    <row r="3" spans="1:18">
      <c r="A3" s="276" t="s">
        <v>658</v>
      </c>
      <c r="B3" s="256">
        <f>'Data Sheet'!B26/'Data Sheet'!B$17</f>
        <v>8.8930268396044676E-2</v>
      </c>
      <c r="C3" s="256">
        <f>'Data Sheet'!C26/'Data Sheet'!C$17</f>
        <v>0.10160337552742615</v>
      </c>
      <c r="D3" s="256">
        <f>'Data Sheet'!D26/'Data Sheet'!D$17</f>
        <v>0.10068726870764647</v>
      </c>
      <c r="E3" s="256">
        <f>'Data Sheet'!E26/'Data Sheet'!E$17</f>
        <v>7.4117143032009308E-2</v>
      </c>
      <c r="F3" s="256">
        <f>'Data Sheet'!F26/'Data Sheet'!F$17</f>
        <v>6.881676253081348E-2</v>
      </c>
      <c r="G3" s="256">
        <f>'Data Sheet'!G26/'Data Sheet'!G$17</f>
        <v>6.8955981799441915E-2</v>
      </c>
      <c r="H3" s="256">
        <f>'Data Sheet'!H26/'Data Sheet'!H$17</f>
        <v>6.6319895968790649E-2</v>
      </c>
      <c r="I3" s="256">
        <f>'Data Sheet'!I26/'Data Sheet'!I$17</f>
        <v>5.9256116532315085E-2</v>
      </c>
      <c r="J3" s="256">
        <f>'Data Sheet'!J26/'Data Sheet'!J$17</f>
        <v>6.079570853822084E-2</v>
      </c>
      <c r="K3" s="260">
        <f>'Data Sheet'!K26/'Data Sheet'!K$17</f>
        <v>5.5559762238291753E-2</v>
      </c>
      <c r="L3" s="260"/>
      <c r="M3" s="251">
        <f>SUM('Data Sheet'!I26:K26)/SUM('Data Sheet'!$I$17:$K$17)</f>
        <v>5.8467568976553579E-2</v>
      </c>
      <c r="N3" s="251">
        <f>SUM('Data Sheet'!F26:I26)/SUM('Data Sheet'!$F$17:$I$17)</f>
        <v>6.5481131110075155E-2</v>
      </c>
      <c r="O3" s="251">
        <f>SUM('Data Sheet'!B26:I26)/SUM('Data Sheet'!$B$17:$I$17)</f>
        <v>7.3177230029079068E-2</v>
      </c>
    </row>
    <row r="4" spans="1:18">
      <c r="A4" s="247" t="s">
        <v>606</v>
      </c>
      <c r="B4" s="251">
        <f>('Data Sheet'!B62+'Data Sheet'!B45)/'Data Sheet'!B17</f>
        <v>1.7990240143829459</v>
      </c>
      <c r="C4" s="251">
        <f>('Data Sheet'!C62+'Data Sheet'!C45)/'Data Sheet'!C17</f>
        <v>1.67662447257384</v>
      </c>
      <c r="D4" s="251">
        <f>('Data Sheet'!D62+'Data Sheet'!D45)/'Data Sheet'!D17</f>
        <v>1.3397894939203152</v>
      </c>
      <c r="E4" s="251">
        <f>('Data Sheet'!E62+'Data Sheet'!E45)/'Data Sheet'!E17</f>
        <v>1.0367219536079322</v>
      </c>
      <c r="F4" s="251">
        <f>('Data Sheet'!F62+'Data Sheet'!F45)/'Data Sheet'!F17</f>
        <v>0.81552999178307317</v>
      </c>
      <c r="G4" s="251">
        <f>('Data Sheet'!G62+'Data Sheet'!G45)/'Data Sheet'!G17</f>
        <v>0.75006913195404612</v>
      </c>
      <c r="H4" s="251">
        <f>('Data Sheet'!H62+'Data Sheet'!H45)/'Data Sheet'!H17</f>
        <v>0.62076848861109957</v>
      </c>
      <c r="I4" s="251">
        <f>('Data Sheet'!I62+'Data Sheet'!I45)/'Data Sheet'!I17</f>
        <v>0.56005414469563819</v>
      </c>
      <c r="J4" s="251">
        <f>('Data Sheet'!J62+'Data Sheet'!J45)/'Data Sheet'!J17</f>
        <v>0.53358800341366275</v>
      </c>
      <c r="K4" s="251">
        <f>('Data Sheet'!K62+'Data Sheet'!K45)/'Data Sheet'!K17</f>
        <v>0.4940559572937569</v>
      </c>
      <c r="L4" s="251"/>
      <c r="M4" s="274">
        <f t="shared" ref="M4:M14" si="0">AVERAGE(I4:K4)</f>
        <v>0.52923270180101922</v>
      </c>
      <c r="N4" s="274">
        <f t="shared" ref="N4:N14" si="1">AVERAGE(G4:K4)</f>
        <v>0.59170714519364076</v>
      </c>
      <c r="O4" s="274">
        <f t="shared" ref="O4:O14" si="2">AVERAGE(B4:K4)</f>
        <v>0.96262256522363077</v>
      </c>
    </row>
    <row r="5" spans="1:18">
      <c r="A5" s="247" t="s">
        <v>607</v>
      </c>
      <c r="B5" s="251">
        <f>('Data Sheet'!B62)/'Data Sheet'!B17</f>
        <v>1.7501605239501732</v>
      </c>
      <c r="C5" s="251">
        <f>('Data Sheet'!C62)/'Data Sheet'!C17</f>
        <v>1.6360056258790436</v>
      </c>
      <c r="D5" s="251">
        <f>('Data Sheet'!D62)/'Data Sheet'!D17</f>
        <v>1.3049935117989138</v>
      </c>
      <c r="E5" s="251">
        <f>('Data Sheet'!E62)/'Data Sheet'!E17</f>
        <v>1.0140461472550342</v>
      </c>
      <c r="F5" s="251">
        <f>('Data Sheet'!F62)/'Data Sheet'!F17</f>
        <v>0.79632292522596548</v>
      </c>
      <c r="G5" s="251">
        <f>('Data Sheet'!G62)/'Data Sheet'!G17</f>
        <v>0.73232107393348245</v>
      </c>
      <c r="H5" s="251">
        <f>('Data Sheet'!H62)/'Data Sheet'!H17</f>
        <v>0.60585595033348716</v>
      </c>
      <c r="I5" s="251">
        <f>('Data Sheet'!I62)/'Data Sheet'!I17</f>
        <v>0.54542699557548946</v>
      </c>
      <c r="J5" s="251">
        <f>('Data Sheet'!J62)/'Data Sheet'!J17</f>
        <v>0.51842971512171332</v>
      </c>
      <c r="K5" s="251">
        <f>('Data Sheet'!K62)/'Data Sheet'!K17</f>
        <v>0.48069132624086625</v>
      </c>
      <c r="L5" s="251"/>
      <c r="M5" s="274">
        <f t="shared" si="0"/>
        <v>0.51484934564602303</v>
      </c>
      <c r="N5" s="274">
        <f t="shared" si="1"/>
        <v>0.57654501224100774</v>
      </c>
      <c r="O5" s="274">
        <f t="shared" si="2"/>
        <v>0.93842537953141691</v>
      </c>
    </row>
    <row r="6" spans="1:18">
      <c r="A6" s="273" t="s">
        <v>617</v>
      </c>
      <c r="C6" s="251">
        <f>Other_input_data!D30/('Data Sheet'!C62+'Data Sheet'!C45)</f>
        <v>5.2815247298839053E-2</v>
      </c>
      <c r="D6" s="251">
        <f>Other_input_data!E30/('Data Sheet'!D62+'Data Sheet'!D45)</f>
        <v>7.0308856763638908E-3</v>
      </c>
      <c r="E6" s="251">
        <f>Other_input_data!F30/('Data Sheet'!E62+'Data Sheet'!E45)</f>
        <v>0.24788948580199546</v>
      </c>
      <c r="F6" s="251">
        <f>Other_input_data!G30/('Data Sheet'!F62+'Data Sheet'!F45)</f>
        <v>1.5648614609571794E-2</v>
      </c>
      <c r="G6" s="251">
        <f>Other_input_data!H30/('Data Sheet'!G62+'Data Sheet'!G45)</f>
        <v>3.0096859603847562E-2</v>
      </c>
      <c r="H6" s="251">
        <f>Other_input_data!I30/('Data Sheet'!H62+'Data Sheet'!H45)</f>
        <v>0.10071966753387171</v>
      </c>
      <c r="I6" s="251">
        <f>Other_input_data!J30/('Data Sheet'!I62+'Data Sheet'!I45)</f>
        <v>3.4089679304498438E-2</v>
      </c>
      <c r="J6" s="251">
        <f>Other_input_data!K30/('Data Sheet'!J62+'Data Sheet'!J45)</f>
        <v>5.7425742574257282E-2</v>
      </c>
      <c r="K6" s="251">
        <f>Other_input_data!L30/('Data Sheet'!K62+'Data Sheet'!K45)</f>
        <v>0.10782022299704977</v>
      </c>
      <c r="L6" s="251"/>
      <c r="M6" s="274">
        <f t="shared" si="0"/>
        <v>6.6445214958601825E-2</v>
      </c>
      <c r="N6" s="274">
        <f t="shared" si="1"/>
        <v>6.6030434402704952E-2</v>
      </c>
      <c r="O6" s="274">
        <f t="shared" si="2"/>
        <v>7.261515615558832E-2</v>
      </c>
    </row>
    <row r="7" spans="1:18">
      <c r="A7" s="273" t="s">
        <v>618</v>
      </c>
      <c r="C7" s="255">
        <f>Other_input_data!D30/'Data Sheet'!C62</f>
        <v>5.4126547455295791E-2</v>
      </c>
      <c r="D7" s="255">
        <f>Other_input_data!E30/'Data Sheet'!D62</f>
        <v>7.2183552461973334E-3</v>
      </c>
      <c r="E7" s="255">
        <f>Other_input_data!F30/'Data Sheet'!E62</f>
        <v>0.25343271871322098</v>
      </c>
      <c r="F7" s="255">
        <f>Other_input_data!G30/'Data Sheet'!F62</f>
        <v>1.6026054430543023E-2</v>
      </c>
      <c r="G7" s="255">
        <f>Other_input_data!H30/'Data Sheet'!G62</f>
        <v>3.08262675500326E-2</v>
      </c>
      <c r="H7" s="255">
        <f>Other_input_data!I30/'Data Sheet'!H62</f>
        <v>0.10319878141660324</v>
      </c>
      <c r="I7" s="255">
        <f>Other_input_data!J30/'Data Sheet'!I62</f>
        <v>3.5003889321035715E-2</v>
      </c>
      <c r="J7" s="255">
        <f>Other_input_data!K30/'Data Sheet'!J62</f>
        <v>5.9104805204985351E-2</v>
      </c>
      <c r="K7" s="255">
        <f>Other_input_data!L30/'Data Sheet'!K62</f>
        <v>0.11081794195250667</v>
      </c>
      <c r="L7" s="255"/>
      <c r="M7" s="274">
        <f t="shared" si="0"/>
        <v>6.8308878826175909E-2</v>
      </c>
      <c r="N7" s="274">
        <f t="shared" si="1"/>
        <v>6.7790337089032718E-2</v>
      </c>
      <c r="O7" s="274">
        <f t="shared" si="2"/>
        <v>7.441726236560231E-2</v>
      </c>
    </row>
    <row r="8" spans="1:18">
      <c r="A8" s="273" t="s">
        <v>608</v>
      </c>
      <c r="B8" s="251">
        <f>('Data Sheet'!B62+'Data Sheet'!B45)/'Data Sheet'!B66</f>
        <v>0.61257597621233983</v>
      </c>
      <c r="C8" s="251">
        <f>('Data Sheet'!C62+'Data Sheet'!C45)/'Data Sheet'!C66</f>
        <v>0.6805974239517677</v>
      </c>
      <c r="D8" s="251">
        <f>('Data Sheet'!D62+'Data Sheet'!D45)/'Data Sheet'!D66</f>
        <v>0.59968592694574707</v>
      </c>
      <c r="E8" s="251">
        <f>('Data Sheet'!E62+'Data Sheet'!E45)/'Data Sheet'!E66</f>
        <v>0.62659293099302726</v>
      </c>
      <c r="F8" s="251">
        <f>('Data Sheet'!F62+'Data Sheet'!F45)/'Data Sheet'!F66</f>
        <v>0.72501483815002521</v>
      </c>
      <c r="G8" s="251">
        <f>('Data Sheet'!G62+'Data Sheet'!G45)/'Data Sheet'!G66</f>
        <v>0.70616775537252674</v>
      </c>
      <c r="H8" s="251">
        <f>('Data Sheet'!H62+'Data Sheet'!H45)/'Data Sheet'!H66</f>
        <v>0.65081249862567903</v>
      </c>
      <c r="I8" s="251">
        <f>('Data Sheet'!I62+'Data Sheet'!I45)/'Data Sheet'!I66</f>
        <v>0.61621393322366969</v>
      </c>
      <c r="J8" s="251">
        <f>('Data Sheet'!J62+'Data Sheet'!J45)/'Data Sheet'!J66</f>
        <v>0.61925199264255049</v>
      </c>
      <c r="K8" s="251">
        <f>('Data Sheet'!K62+'Data Sheet'!K45)/'Data Sheet'!K66</f>
        <v>0.54828680069746438</v>
      </c>
      <c r="L8" s="251"/>
      <c r="M8" s="274">
        <f t="shared" si="0"/>
        <v>0.59458424218789485</v>
      </c>
      <c r="N8" s="274">
        <f t="shared" si="1"/>
        <v>0.628146596112378</v>
      </c>
      <c r="O8" s="274">
        <f t="shared" si="2"/>
        <v>0.63852000768147976</v>
      </c>
    </row>
    <row r="9" spans="1:18">
      <c r="A9" s="273" t="s">
        <v>609</v>
      </c>
      <c r="B9" s="251">
        <f>'Data Sheet'!B62/'Data Sheet'!B66</f>
        <v>0.59593773230136871</v>
      </c>
      <c r="C9" s="251">
        <f>'Data Sheet'!C62/'Data Sheet'!C66</f>
        <v>0.66410888827989412</v>
      </c>
      <c r="D9" s="251">
        <f>'Data Sheet'!D62/'Data Sheet'!D66</f>
        <v>0.5841113453512885</v>
      </c>
      <c r="E9" s="251">
        <f>'Data Sheet'!E62/'Data Sheet'!E66</f>
        <v>0.61288771339264247</v>
      </c>
      <c r="F9" s="251">
        <f>'Data Sheet'!F62/'Data Sheet'!F66</f>
        <v>0.70793955165958999</v>
      </c>
      <c r="G9" s="251">
        <f>'Data Sheet'!G62/'Data Sheet'!G66</f>
        <v>0.68945848717220493</v>
      </c>
      <c r="H9" s="251">
        <f>'Data Sheet'!H62/'Data Sheet'!H66</f>
        <v>0.63517822195835261</v>
      </c>
      <c r="I9" s="251">
        <f>'Data Sheet'!I62/'Data Sheet'!I66</f>
        <v>0.60012003734495178</v>
      </c>
      <c r="J9" s="251">
        <f>'Data Sheet'!J62/'Data Sheet'!J66</f>
        <v>0.60166014243267463</v>
      </c>
      <c r="K9" s="251">
        <f>'Data Sheet'!K62/'Data Sheet'!K66</f>
        <v>0.53345517951303545</v>
      </c>
      <c r="L9" s="251"/>
      <c r="M9" s="274">
        <f t="shared" si="0"/>
        <v>0.57841178643022062</v>
      </c>
      <c r="N9" s="274">
        <f t="shared" si="1"/>
        <v>0.61197441368424388</v>
      </c>
      <c r="O9" s="274">
        <f t="shared" si="2"/>
        <v>0.62248572994060036</v>
      </c>
    </row>
    <row r="10" spans="1:18">
      <c r="A10" s="247" t="s">
        <v>612</v>
      </c>
      <c r="B10" s="251">
        <f>'Data Sheet'!B64/'Data Sheet'!B66</f>
        <v>4.591368227731864E-4</v>
      </c>
      <c r="C10" s="251">
        <f>'Data Sheet'!C64/'Data Sheet'!C66</f>
        <v>2.5121037727231205E-4</v>
      </c>
      <c r="D10" s="251">
        <f>'Data Sheet'!D64/'Data Sheet'!D66</f>
        <v>1.0755926515510046E-4</v>
      </c>
      <c r="E10" s="251">
        <f>'Data Sheet'!E64/'Data Sheet'!E66</f>
        <v>1.1097342186546323E-4</v>
      </c>
      <c r="F10" s="251">
        <f>'Data Sheet'!F64/'Data Sheet'!F66</f>
        <v>1.1413961557777473E-4</v>
      </c>
      <c r="G10" s="251">
        <f>'Data Sheet'!G64/'Data Sheet'!G66</f>
        <v>1.4200511218403862E-4</v>
      </c>
      <c r="H10" s="251">
        <f>'Data Sheet'!H64/'Data Sheet'!H66</f>
        <v>1.5392396156298791E-4</v>
      </c>
      <c r="I10" s="251">
        <f>'Data Sheet'!I64/'Data Sheet'!I66</f>
        <v>1.7783310363224115E-4</v>
      </c>
      <c r="J10" s="251">
        <f>'Data Sheet'!J64/'Data Sheet'!J66</f>
        <v>2.5939725510540959E-4</v>
      </c>
      <c r="K10" s="251">
        <f>'Data Sheet'!K64/'Data Sheet'!K66</f>
        <v>2.3108758219365141E-4</v>
      </c>
      <c r="L10" s="251"/>
      <c r="M10" s="274">
        <f t="shared" si="0"/>
        <v>2.2277264697710071E-4</v>
      </c>
      <c r="N10" s="274">
        <f t="shared" si="1"/>
        <v>1.9284940293566572E-4</v>
      </c>
      <c r="O10" s="274">
        <f t="shared" si="2"/>
        <v>2.0072665173221656E-4</v>
      </c>
    </row>
    <row r="11" spans="1:18">
      <c r="A11" s="247" t="s">
        <v>613</v>
      </c>
      <c r="B11" s="251">
        <f>'Data Sheet'!B65/'Data Sheet'!B66</f>
        <v>0.35784249420613057</v>
      </c>
      <c r="C11" s="251">
        <f>'Data Sheet'!C65/'Data Sheet'!C66</f>
        <v>0.33477208367589295</v>
      </c>
      <c r="D11" s="251">
        <f>'Data Sheet'!D65/'Data Sheet'!D66</f>
        <v>0.41436131308350899</v>
      </c>
      <c r="E11" s="251">
        <f>'Data Sheet'!E65/'Data Sheet'!E66</f>
        <v>0.38592857010745929</v>
      </c>
      <c r="F11" s="251">
        <f>'Data Sheet'!F65/'Data Sheet'!F66</f>
        <v>0.29194630872483224</v>
      </c>
      <c r="G11" s="251">
        <f>'Data Sheet'!G65/'Data Sheet'!G66</f>
        <v>0.30954747704250685</v>
      </c>
      <c r="H11" s="251">
        <f>'Data Sheet'!H65/'Data Sheet'!H66</f>
        <v>0.36246894034347032</v>
      </c>
      <c r="I11" s="251">
        <f>'Data Sheet'!I65/'Data Sheet'!I66</f>
        <v>0.39967990041346196</v>
      </c>
      <c r="J11" s="251">
        <f>'Data Sheet'!J65/'Data Sheet'!J66</f>
        <v>0.39808046031222</v>
      </c>
      <c r="K11" s="251">
        <f>'Data Sheet'!K65/'Data Sheet'!K66</f>
        <v>0.46631373290477091</v>
      </c>
      <c r="L11" s="251"/>
      <c r="M11" s="274">
        <f t="shared" si="0"/>
        <v>0.42135803121015097</v>
      </c>
      <c r="N11" s="274">
        <f t="shared" si="1"/>
        <v>0.38721810220328601</v>
      </c>
      <c r="O11" s="274">
        <f t="shared" si="2"/>
        <v>0.37209412808142545</v>
      </c>
    </row>
    <row r="12" spans="1:18">
      <c r="A12" s="247" t="s">
        <v>614</v>
      </c>
      <c r="B12" s="251">
        <f>'Data Sheet'!B63/'Data Sheet'!B66</f>
        <v>4.5760636669727579E-2</v>
      </c>
      <c r="C12" s="251">
        <f>'Data Sheet'!C63/'Data Sheet'!C66</f>
        <v>8.6781766694071436E-4</v>
      </c>
      <c r="D12" s="251">
        <f>'Data Sheet'!D63/'Data Sheet'!D66</f>
        <v>1.419782300047326E-3</v>
      </c>
      <c r="E12" s="251">
        <f>'Data Sheet'!E63/'Data Sheet'!E66</f>
        <v>1.0727430780328112E-3</v>
      </c>
      <c r="F12" s="251">
        <f>'Data Sheet'!F63/'Data Sheet'!F66</f>
        <v>0</v>
      </c>
      <c r="G12" s="251">
        <f>'Data Sheet'!G63/'Data Sheet'!G66</f>
        <v>8.5203067310423179E-4</v>
      </c>
      <c r="H12" s="251">
        <f>'Data Sheet'!H63/'Data Sheet'!H66</f>
        <v>2.1989137366141128E-3</v>
      </c>
      <c r="I12" s="251">
        <f>'Data Sheet'!I63/'Data Sheet'!I66</f>
        <v>2.2229137954030144E-5</v>
      </c>
      <c r="J12" s="251">
        <f>'Data Sheet'!J63/'Data Sheet'!J66</f>
        <v>0</v>
      </c>
      <c r="K12" s="251">
        <f>'Data Sheet'!K63/'Data Sheet'!K66</f>
        <v>0</v>
      </c>
      <c r="L12" s="251"/>
      <c r="M12" s="274">
        <f t="shared" si="0"/>
        <v>7.409712651343381E-6</v>
      </c>
      <c r="N12" s="274">
        <f t="shared" si="1"/>
        <v>6.1463470953447498E-4</v>
      </c>
      <c r="O12" s="274">
        <f t="shared" si="2"/>
        <v>5.21941532624208E-3</v>
      </c>
    </row>
    <row r="13" spans="1:18">
      <c r="A13" s="273" t="s">
        <v>615</v>
      </c>
      <c r="B13" s="251">
        <f>'Data Sheet'!B63/('Data Sheet'!B62+'Data Sheet'!B45)</f>
        <v>7.4701977300306949E-2</v>
      </c>
      <c r="C13" s="251">
        <f>'Data Sheet'!C63/('Data Sheet'!C62+'Data Sheet'!C45)</f>
        <v>1.2750822092477013E-3</v>
      </c>
      <c r="D13" s="251">
        <f>'Data Sheet'!D63/('Data Sheet'!D62+'Data Sheet'!D45)</f>
        <v>2.3675431359184993E-3</v>
      </c>
      <c r="E13" s="251">
        <f>'Data Sheet'!E63/('Data Sheet'!E62+'Data Sheet'!E45)</f>
        <v>1.7120255032764624E-3</v>
      </c>
      <c r="F13" s="251">
        <f>'Data Sheet'!F63/('Data Sheet'!F62+'Data Sheet'!F45)</f>
        <v>0</v>
      </c>
      <c r="G13" s="251">
        <f>'Data Sheet'!G63/('Data Sheet'!G62+'Data Sheet'!G45)</f>
        <v>1.2065556188624862E-3</v>
      </c>
      <c r="H13" s="251">
        <f>'Data Sheet'!H63/('Data Sheet'!H62+'Data Sheet'!H45)</f>
        <v>3.378720816298949E-3</v>
      </c>
      <c r="I13" s="251">
        <f>'Data Sheet'!I63/('Data Sheet'!I62+'Data Sheet'!I45)</f>
        <v>3.6073734713754908E-5</v>
      </c>
      <c r="J13" s="251">
        <f>'Data Sheet'!J63/('Data Sheet'!J62+'Data Sheet'!J45)</f>
        <v>0</v>
      </c>
      <c r="K13" s="251">
        <f>'Data Sheet'!K63/('Data Sheet'!K62+'Data Sheet'!K45)</f>
        <v>0</v>
      </c>
      <c r="L13" s="251"/>
      <c r="M13" s="274">
        <f t="shared" si="0"/>
        <v>1.2024578237918302E-5</v>
      </c>
      <c r="N13" s="274">
        <f t="shared" si="1"/>
        <v>9.2427003397503821E-4</v>
      </c>
      <c r="O13" s="274">
        <f t="shared" si="2"/>
        <v>8.4677978318624808E-3</v>
      </c>
    </row>
    <row r="14" spans="1:18">
      <c r="A14" s="273" t="s">
        <v>616</v>
      </c>
      <c r="B14" s="255">
        <f>'Data Sheet'!B63/'Data Sheet'!B62</f>
        <v>7.6787614190850062E-2</v>
      </c>
      <c r="C14" s="255">
        <f>'Data Sheet'!C63/'Data Sheet'!C62</f>
        <v>1.3067400275103163E-3</v>
      </c>
      <c r="D14" s="251">
        <f>'Data Sheet'!D63/'Data Sheet'!D62</f>
        <v>2.430670644127721E-3</v>
      </c>
      <c r="E14" s="251">
        <f>'Data Sheet'!E63/'Data Sheet'!E62</f>
        <v>1.7503093219060264E-3</v>
      </c>
      <c r="F14" s="251">
        <f>'Data Sheet'!F63/'Data Sheet'!F62</f>
        <v>0</v>
      </c>
      <c r="G14" s="251">
        <f>'Data Sheet'!G63/'Data Sheet'!G62</f>
        <v>1.235796917373245E-3</v>
      </c>
      <c r="H14" s="255">
        <f>'Data Sheet'!H63/'Data Sheet'!H62</f>
        <v>3.4618846500034618E-3</v>
      </c>
      <c r="I14" s="255">
        <f>'Data Sheet'!I63/'Data Sheet'!I62</f>
        <v>3.7041152720672663E-5</v>
      </c>
      <c r="J14" s="251">
        <f>'Data Sheet'!J63/'Data Sheet'!J62</f>
        <v>0</v>
      </c>
      <c r="K14" s="251">
        <f>'Data Sheet'!K63/'Data Sheet'!K62</f>
        <v>0</v>
      </c>
      <c r="L14" s="251"/>
      <c r="M14" s="274">
        <f t="shared" si="0"/>
        <v>1.2347050906890888E-5</v>
      </c>
      <c r="N14" s="274">
        <f t="shared" si="1"/>
        <v>9.4694454401947586E-4</v>
      </c>
      <c r="O14" s="274">
        <f t="shared" si="2"/>
        <v>8.7010056904491505E-3</v>
      </c>
    </row>
    <row r="15" spans="1:18">
      <c r="A15" s="273" t="s">
        <v>641</v>
      </c>
      <c r="B15" s="251">
        <f>'Data Sheet'!B26/('Data Sheet'!B62+'Data Sheet'!B26)</f>
        <v>4.835556176244675E-2</v>
      </c>
      <c r="C15" s="251">
        <f>'Data Sheet'!C26/('Data Sheet'!C62+'Data Sheet'!C26)</f>
        <v>5.8473094605970333E-2</v>
      </c>
      <c r="D15" s="251">
        <f>'Data Sheet'!D26/('Data Sheet'!D62+'Data Sheet'!D26)</f>
        <v>7.1628829321663021E-2</v>
      </c>
      <c r="E15" s="251">
        <f>'Data Sheet'!E26/('Data Sheet'!E62+'Data Sheet'!E26)</f>
        <v>6.8112151635310314E-2</v>
      </c>
      <c r="F15" s="251">
        <f>'Data Sheet'!F26/('Data Sheet'!F62+'Data Sheet'!F26)</f>
        <v>7.9544105425620321E-2</v>
      </c>
      <c r="G15" s="251">
        <f>'Data Sheet'!G26/('Data Sheet'!G62+'Data Sheet'!G26)</f>
        <v>8.6057601807115511E-2</v>
      </c>
      <c r="H15" s="251">
        <f>'Data Sheet'!H26/('Data Sheet'!H62+'Data Sheet'!H26)</f>
        <v>9.8664503245132304E-2</v>
      </c>
      <c r="I15" s="251">
        <f>'Data Sheet'!I26/('Data Sheet'!I62+'Data Sheet'!I26)</f>
        <v>9.7995322418977598E-2</v>
      </c>
      <c r="J15" s="251">
        <f>'Data Sheet'!J26/('Data Sheet'!J62+'Data Sheet'!J26)</f>
        <v>0.1049603592226198</v>
      </c>
      <c r="K15" s="251">
        <f>'Data Sheet'!K26/('Data Sheet'!K62+'Data Sheet'!K26)</f>
        <v>0.10360773792713922</v>
      </c>
      <c r="L15" s="251"/>
      <c r="M15" s="251">
        <f t="shared" ref="M15:M16" si="3">AVERAGE(I15:K15)</f>
        <v>0.10218780652291221</v>
      </c>
      <c r="N15" s="251">
        <f t="shared" ref="N15:N16" si="4">AVERAGE(G15:K15)</f>
        <v>9.8257104924196897E-2</v>
      </c>
      <c r="O15" s="251">
        <f t="shared" ref="O15:O16" si="5">AVERAGE(B15:K15)</f>
        <v>8.1739926737199514E-2</v>
      </c>
    </row>
    <row r="16" spans="1:18">
      <c r="A16" s="273" t="s">
        <v>642</v>
      </c>
      <c r="B16" s="251">
        <f>'Data Sheet'!B26/'Data Sheet'!B62</f>
        <v>5.0812635286348461E-2</v>
      </c>
      <c r="C16" s="251">
        <f>'Data Sheet'!C26/'Data Sheet'!C62</f>
        <v>6.2104539202200819E-2</v>
      </c>
      <c r="D16" s="251">
        <f>'Data Sheet'!D26/'Data Sheet'!D62</f>
        <v>7.7155378779508718E-2</v>
      </c>
      <c r="E16" s="251">
        <f>'Data Sheet'!E26/'Data Sheet'!E62</f>
        <v>7.3090503063041309E-2</v>
      </c>
      <c r="F16" s="251">
        <f>'Data Sheet'!F26/'Data Sheet'!F62</f>
        <v>8.6418160711982453E-2</v>
      </c>
      <c r="G16" s="251">
        <f>'Data Sheet'!G26/'Data Sheet'!G62</f>
        <v>9.4160859565411412E-2</v>
      </c>
      <c r="H16" s="251">
        <f>'Data Sheet'!H26/'Data Sheet'!H62</f>
        <v>0.10946479263310946</v>
      </c>
      <c r="I16" s="251">
        <f>'Data Sheet'!I26/'Data Sheet'!I62</f>
        <v>0.10864170092973291</v>
      </c>
      <c r="J16" s="255">
        <f>'Data Sheet'!J26/'Data Sheet'!J62</f>
        <v>0.11726895038018344</v>
      </c>
      <c r="K16" s="255">
        <f>'Data Sheet'!K26/'Data Sheet'!K62</f>
        <v>0.11558303469460088</v>
      </c>
      <c r="L16" s="255"/>
      <c r="M16" s="251">
        <f t="shared" si="3"/>
        <v>0.11383122866817241</v>
      </c>
      <c r="N16" s="251">
        <f t="shared" si="4"/>
        <v>0.10902386764060761</v>
      </c>
      <c r="O16" s="251">
        <f t="shared" si="5"/>
        <v>8.9470055524611986E-2</v>
      </c>
    </row>
    <row r="17" spans="1:15">
      <c r="A17" s="273" t="s">
        <v>798</v>
      </c>
      <c r="B17" s="326">
        <f>IFERROR('Data Sheet'!B69/('Data Sheet'!B90*'Data Sheet'!B93),0)</f>
        <v>0.20253089458006965</v>
      </c>
      <c r="C17" s="326">
        <f>IFERROR('Data Sheet'!C69/('Data Sheet'!C90*'Data Sheet'!C93),0)</f>
        <v>7.4075355137276533E-2</v>
      </c>
      <c r="D17" s="326">
        <f>IFERROR('Data Sheet'!D69/('Data Sheet'!D90*'Data Sheet'!D93),0)</f>
        <v>5.6631645002593663E-2</v>
      </c>
      <c r="E17" s="326">
        <f>IFERROR('Data Sheet'!E69/('Data Sheet'!E90*'Data Sheet'!E93),0)</f>
        <v>2.0672036195565263E-2</v>
      </c>
      <c r="F17" s="326">
        <f>IFERROR('Data Sheet'!F69/('Data Sheet'!F90*'Data Sheet'!F93),0)</f>
        <v>2.366415031551105E-2</v>
      </c>
      <c r="G17" s="326">
        <f>IFERROR('Data Sheet'!G69/('Data Sheet'!G90*'Data Sheet'!G93),0)</f>
        <v>1.3113251499303129E-2</v>
      </c>
      <c r="H17" s="326">
        <f>IFERROR('Data Sheet'!H69/('Data Sheet'!H90*'Data Sheet'!H93),0)</f>
        <v>1.5835018923178474E-2</v>
      </c>
      <c r="I17" s="326">
        <f>IFERROR('Data Sheet'!I69/('Data Sheet'!I90*'Data Sheet'!I93),0)</f>
        <v>5.5608449938933501E-3</v>
      </c>
      <c r="J17" s="326">
        <f>IFERROR('Data Sheet'!J69/('Data Sheet'!J90*'Data Sheet'!J93),0)</f>
        <v>9.6371574921716996E-3</v>
      </c>
      <c r="K17" s="326">
        <f>IFERROR('Data Sheet'!K69/('Data Sheet'!K90*'Data Sheet'!K93),0)</f>
        <v>1.7256373639581248E-2</v>
      </c>
      <c r="L17" s="253"/>
      <c r="M17" s="251">
        <f t="shared" ref="M17:M18" si="6">AVERAGE(I17:K17)</f>
        <v>1.0818125375215433E-2</v>
      </c>
      <c r="N17" s="251">
        <f t="shared" ref="N17:N18" si="7">AVERAGE(G17:K17)</f>
        <v>1.228052930962558E-2</v>
      </c>
      <c r="O17" s="251">
        <f t="shared" ref="O17:O18" si="8">AVERAGE(B17:K17)</f>
        <v>4.3897672777914405E-2</v>
      </c>
    </row>
    <row r="18" spans="1:15">
      <c r="A18" s="273" t="s">
        <v>799</v>
      </c>
      <c r="B18" s="251">
        <f>IFERROR('Data Sheet'!B64/('Data Sheet'!B90*'Data Sheet'!B93),0)</f>
        <v>3.2666273319366074E-3</v>
      </c>
      <c r="C18" s="251">
        <f>IFERROR('Data Sheet'!C64/('Data Sheet'!C90*'Data Sheet'!C93),0)</f>
        <v>3.6539412847983945E-3</v>
      </c>
      <c r="D18" s="251">
        <f>IFERROR('Data Sheet'!D64/('Data Sheet'!D90*'Data Sheet'!D93),0)</f>
        <v>5.0563968752315776E-4</v>
      </c>
      <c r="E18" s="251">
        <f>IFERROR('Data Sheet'!E64/('Data Sheet'!E90*'Data Sheet'!E93),0)</f>
        <v>4.680461025411003E-4</v>
      </c>
      <c r="F18" s="251">
        <f>IFERROR('Data Sheet'!F64/('Data Sheet'!F90*'Data Sheet'!F93),0)</f>
        <v>5.8000368420370221E-4</v>
      </c>
      <c r="G18" s="251">
        <f>IFERROR('Data Sheet'!G64/('Data Sheet'!G90*'Data Sheet'!G93),0)</f>
        <v>5.1424515683541681E-4</v>
      </c>
      <c r="H18" s="251">
        <f>IFERROR('Data Sheet'!H64/('Data Sheet'!H90*'Data Sheet'!H93),0)</f>
        <v>4.0454427905930405E-4</v>
      </c>
      <c r="I18" s="251">
        <f>IFERROR('Data Sheet'!I64/('Data Sheet'!I90*'Data Sheet'!I93),0)</f>
        <v>1.5664352095474227E-4</v>
      </c>
      <c r="J18" s="251">
        <f>IFERROR('Data Sheet'!J64/('Data Sheet'!J90*'Data Sheet'!J93),0)</f>
        <v>2.2177559082403492E-4</v>
      </c>
      <c r="K18" s="251">
        <f>IFERROR('Data Sheet'!K64/('Data Sheet'!K90*'Data Sheet'!K93),0)</f>
        <v>1.4092064590600869E-4</v>
      </c>
      <c r="L18" s="253"/>
      <c r="M18" s="251">
        <f t="shared" si="6"/>
        <v>1.7311325256159528E-4</v>
      </c>
      <c r="N18" s="251">
        <f t="shared" si="7"/>
        <v>2.8762583871590138E-4</v>
      </c>
      <c r="O18" s="251">
        <f t="shared" si="8"/>
        <v>9.912387284582466E-4</v>
      </c>
    </row>
    <row r="19" spans="1:15">
      <c r="A19" s="273" t="s">
        <v>647</v>
      </c>
      <c r="B19" s="251">
        <f>('Data Sheet'!B65-'Data Sheet'!B60)/'Data Sheet'!B17</f>
        <v>0.62097084885064846</v>
      </c>
      <c r="C19" s="251">
        <f>('Data Sheet'!C65-'Data Sheet'!C60)/'Data Sheet'!C17</f>
        <v>0.4572151898734178</v>
      </c>
      <c r="D19" s="251">
        <f>('Data Sheet'!D65-'Data Sheet'!D60)/'Data Sheet'!D17</f>
        <v>0.47118758110251363</v>
      </c>
      <c r="E19" s="251">
        <f>('Data Sheet'!E65-'Data Sheet'!E60)/'Data Sheet'!E17</f>
        <v>0.31678805312442626</v>
      </c>
      <c r="F19" s="251">
        <f>('Data Sheet'!F65-'Data Sheet'!F60)/'Data Sheet'!F17</f>
        <v>9.7370583401807723E-2</v>
      </c>
      <c r="G19" s="251">
        <f>('Data Sheet'!G65-'Data Sheet'!G60)/'Data Sheet'!G17</f>
        <v>5.6336257824480242E-2</v>
      </c>
      <c r="H19" s="251">
        <f>('Data Sheet'!H65-'Data Sheet'!H60)/'Data Sheet'!H17</f>
        <v>0.14736356390788205</v>
      </c>
      <c r="I19" s="251">
        <f>('Data Sheet'!I65-'Data Sheet'!I60)/'Data Sheet'!I17</f>
        <v>0.18946602824413603</v>
      </c>
      <c r="J19" s="251">
        <f>('Data Sheet'!J65-'Data Sheet'!J60)/'Data Sheet'!J17</f>
        <v>0.20219856138497178</v>
      </c>
      <c r="K19" s="251">
        <f>('Data Sheet'!K65-'Data Sheet'!K60)/'Data Sheet'!K17</f>
        <v>0.2423806458940673</v>
      </c>
      <c r="L19" s="251"/>
      <c r="M19" s="251">
        <f t="shared" ref="M19:M54" si="9">AVERAGE(I19:K19)</f>
        <v>0.21134841184105835</v>
      </c>
      <c r="N19" s="251">
        <f t="shared" ref="N19:N54" si="10">AVERAGE(G19:K19)</f>
        <v>0.16754901145110745</v>
      </c>
      <c r="O19" s="251">
        <f t="shared" ref="O19:O54" si="11">AVERAGE(B19:K19)</f>
        <v>0.28012773136083513</v>
      </c>
    </row>
    <row r="20" spans="1:15">
      <c r="A20" s="273" t="s">
        <v>46</v>
      </c>
      <c r="B20" s="249">
        <f>IFERROR(('Data Sheet'!B67/'Data Sheet'!B17)*365,"NA")</f>
        <v>9.9839476049826619</v>
      </c>
      <c r="C20" s="249">
        <f>IFERROR(('Data Sheet'!C67/'Data Sheet'!C17)*365,"NA")</f>
        <v>14.825879043600562</v>
      </c>
      <c r="D20" s="249">
        <f>IFERROR(('Data Sheet'!D67/'Data Sheet'!D17)*365,"NA")</f>
        <v>41.504782044504253</v>
      </c>
      <c r="E20" s="249">
        <f>IFERROR(('Data Sheet'!E67/'Data Sheet'!E17)*365,"NA")</f>
        <v>23.646030968847548</v>
      </c>
      <c r="F20" s="249">
        <f>IFERROR(('Data Sheet'!F67/'Data Sheet'!F17)*365,"NA")</f>
        <v>9.869171117502054</v>
      </c>
      <c r="G20" s="249">
        <f>IFERROR(('Data Sheet'!G67/'Data Sheet'!G17)*365,"NA")</f>
        <v>5.9917293044068476</v>
      </c>
      <c r="H20" s="249">
        <f>IFERROR(('Data Sheet'!H67/'Data Sheet'!H17)*365,"NA")</f>
        <v>4.3636478040186253</v>
      </c>
      <c r="I20" s="249">
        <f>IFERROR(('Data Sheet'!I67/'Data Sheet'!I17)*365,"NA")</f>
        <v>4.4540073135745599</v>
      </c>
      <c r="J20" s="264">
        <f>IFERROR(('Data Sheet'!J67/'Data Sheet'!J17)*365,"NA")</f>
        <v>13.720689234770594</v>
      </c>
      <c r="K20" s="264">
        <f>IFERROR(('Data Sheet'!K67/'Data Sheet'!K17)*365,"NA")</f>
        <v>28.356491121796086</v>
      </c>
      <c r="L20" s="264"/>
      <c r="M20" s="250">
        <f t="shared" si="9"/>
        <v>15.510395890047079</v>
      </c>
      <c r="N20" s="250">
        <f t="shared" si="10"/>
        <v>11.377312955713341</v>
      </c>
      <c r="O20" s="250">
        <f t="shared" si="11"/>
        <v>15.671637555800382</v>
      </c>
    </row>
    <row r="21" spans="1:15">
      <c r="A21" s="273" t="s">
        <v>624</v>
      </c>
      <c r="B21" s="250">
        <f>365/B20</f>
        <v>36.558685446009399</v>
      </c>
      <c r="C21" s="250">
        <f t="shared" ref="C21:K21" si="12">365/C20</f>
        <v>24.619113573407205</v>
      </c>
      <c r="D21" s="250">
        <f t="shared" si="12"/>
        <v>8.7941673710904489</v>
      </c>
      <c r="E21" s="250">
        <f t="shared" si="12"/>
        <v>15.43599433160132</v>
      </c>
      <c r="F21" s="250">
        <f t="shared" si="12"/>
        <v>36.983855650522315</v>
      </c>
      <c r="G21" s="250">
        <f t="shared" si="12"/>
        <v>60.917304747320067</v>
      </c>
      <c r="H21" s="250">
        <f t="shared" si="12"/>
        <v>83.645614035087718</v>
      </c>
      <c r="I21" s="250">
        <f t="shared" si="12"/>
        <v>81.94867549668875</v>
      </c>
      <c r="J21" s="250">
        <f t="shared" si="12"/>
        <v>26.602162162162163</v>
      </c>
      <c r="K21" s="250">
        <f t="shared" si="12"/>
        <v>12.871832358674464</v>
      </c>
      <c r="L21" s="250"/>
      <c r="M21" s="250">
        <f t="shared" si="9"/>
        <v>40.474223339175126</v>
      </c>
      <c r="N21" s="250">
        <f t="shared" si="10"/>
        <v>53.197117759986632</v>
      </c>
      <c r="O21" s="250">
        <f t="shared" si="11"/>
        <v>38.837740517256385</v>
      </c>
    </row>
    <row r="22" spans="1:15">
      <c r="A22" s="273" t="s">
        <v>473</v>
      </c>
      <c r="B22" s="249">
        <f>IFERROR(('Data Sheet'!B68/'Data Sheet'!B17)*365,"NA")</f>
        <v>253.3719660973417</v>
      </c>
      <c r="C22" s="249">
        <f>IFERROR(('Data Sheet'!C68/'Data Sheet'!C17)*365,"NA")</f>
        <v>223.66132208157524</v>
      </c>
      <c r="D22" s="249">
        <f>IFERROR(('Data Sheet'!D68/'Data Sheet'!D17)*365,"NA")</f>
        <v>239.66117172105541</v>
      </c>
      <c r="E22" s="249">
        <f>IFERROR(('Data Sheet'!E68/'Data Sheet'!E17)*365,"NA")</f>
        <v>168.02420588775325</v>
      </c>
      <c r="F22" s="249">
        <f>IFERROR(('Data Sheet'!F68/'Data Sheet'!F17)*365,"NA")</f>
        <v>77.528759244042732</v>
      </c>
      <c r="G22" s="249">
        <f>IFERROR(('Data Sheet'!G68/'Data Sheet'!G17)*365,"NA")</f>
        <v>84.581563136328214</v>
      </c>
      <c r="H22" s="249">
        <f>IFERROR(('Data Sheet'!H68/'Data Sheet'!H17)*365,"NA")</f>
        <v>101.74189353580267</v>
      </c>
      <c r="I22" s="265">
        <f>IFERROR(('Data Sheet'!I68/'Data Sheet'!I17)*365,"NA")</f>
        <v>106.57908560114755</v>
      </c>
      <c r="J22" s="265">
        <f>IFERROR(('Data Sheet'!J68/'Data Sheet'!J17)*365,"NA")</f>
        <v>92.09178282602511</v>
      </c>
      <c r="K22" s="265">
        <f>IFERROR(('Data Sheet'!K68/'Data Sheet'!K17)*365,"NA")</f>
        <v>104.67856737212736</v>
      </c>
      <c r="L22" s="265"/>
      <c r="M22" s="250">
        <f t="shared" si="9"/>
        <v>101.11647859976667</v>
      </c>
      <c r="N22" s="250">
        <f t="shared" si="10"/>
        <v>97.934578494286171</v>
      </c>
      <c r="O22" s="250">
        <f t="shared" si="11"/>
        <v>145.19203175031996</v>
      </c>
    </row>
    <row r="23" spans="1:15">
      <c r="A23" s="273" t="s">
        <v>47</v>
      </c>
      <c r="B23" s="250">
        <f>IFERROR(365/B22,0)</f>
        <v>1.4405697900286747</v>
      </c>
      <c r="C23" s="250">
        <f t="shared" ref="C23:K23" si="13">IFERROR(365/C22,0)</f>
        <v>1.6319316929856775</v>
      </c>
      <c r="D23" s="250">
        <f t="shared" si="13"/>
        <v>1.5229834577660666</v>
      </c>
      <c r="E23" s="250">
        <f t="shared" si="13"/>
        <v>2.1723060559728773</v>
      </c>
      <c r="F23" s="250">
        <f t="shared" si="13"/>
        <v>4.7079303675048356</v>
      </c>
      <c r="G23" s="250">
        <f t="shared" si="13"/>
        <v>4.3153612497287916</v>
      </c>
      <c r="H23" s="250">
        <f t="shared" si="13"/>
        <v>3.5875094055680963</v>
      </c>
      <c r="I23" s="250">
        <f t="shared" si="13"/>
        <v>3.4246869162111668</v>
      </c>
      <c r="J23" s="250">
        <f t="shared" si="13"/>
        <v>3.9634372231617947</v>
      </c>
      <c r="K23" s="250">
        <f t="shared" si="13"/>
        <v>3.486864686468647</v>
      </c>
      <c r="L23" s="250"/>
      <c r="M23" s="250">
        <f t="shared" si="9"/>
        <v>3.624996275280536</v>
      </c>
      <c r="N23" s="250">
        <f t="shared" si="10"/>
        <v>3.7555718962276989</v>
      </c>
      <c r="O23" s="250">
        <f t="shared" si="11"/>
        <v>3.0253580845396626</v>
      </c>
    </row>
    <row r="24" spans="1:15">
      <c r="A24" s="273"/>
      <c r="B24" s="250"/>
      <c r="C24" s="250"/>
      <c r="D24" s="250"/>
      <c r="E24" s="250"/>
      <c r="F24" s="250"/>
      <c r="G24" s="250"/>
      <c r="H24" s="250"/>
      <c r="I24" s="250"/>
      <c r="J24" s="250"/>
      <c r="K24" s="250"/>
      <c r="L24" s="250"/>
      <c r="M24" s="250"/>
      <c r="N24" s="250"/>
      <c r="O24" s="250"/>
    </row>
    <row r="25" spans="1:15">
      <c r="A25" s="273" t="s">
        <v>857</v>
      </c>
      <c r="B25" s="251">
        <f>Other_input_data!C77/Other_input_data!C72</f>
        <v>8.8504088504088502E-2</v>
      </c>
      <c r="C25" s="251">
        <f>Other_input_data!D77/Other_input_data!D72</f>
        <v>0.1159906823787339</v>
      </c>
      <c r="D25" s="251">
        <f>Other_input_data!E77/Other_input_data!E72</f>
        <v>8.3100288258830618E-2</v>
      </c>
      <c r="E25" s="251">
        <f>Other_input_data!F77/Other_input_data!F72</f>
        <v>0.1344443005900087</v>
      </c>
      <c r="F25" s="251">
        <f>Other_input_data!G77/Other_input_data!G72</f>
        <v>0.30909007898461399</v>
      </c>
      <c r="G25" s="251">
        <f>Other_input_data!H77/Other_input_data!H72</f>
        <v>0.20687778093344694</v>
      </c>
      <c r="H25" s="251">
        <f>Other_input_data!I77/Other_input_data!I72</f>
        <v>8.3162917518745744E-2</v>
      </c>
      <c r="I25" s="251">
        <f>Other_input_data!J77/Other_input_data!J72</f>
        <v>9.5474147512559462E-2</v>
      </c>
      <c r="J25" s="251">
        <f>Other_input_data!K77/Other_input_data!K72</f>
        <v>0.15794934679054851</v>
      </c>
      <c r="K25" s="251">
        <f>Other_input_data!L77/Other_input_data!L72</f>
        <v>0.14398857166866244</v>
      </c>
      <c r="L25" s="250"/>
      <c r="M25" s="251">
        <f>AVERAGE(I25:K25)</f>
        <v>0.13247068865725678</v>
      </c>
      <c r="N25" s="251">
        <f>AVERAGE(G25:K25)</f>
        <v>0.13749055288479262</v>
      </c>
      <c r="O25" s="251">
        <f>AVERAGE(C25:K25)</f>
        <v>0.14778645718179448</v>
      </c>
    </row>
    <row r="26" spans="1:15">
      <c r="A26" s="273" t="s">
        <v>858</v>
      </c>
      <c r="B26" s="251"/>
      <c r="C26" s="251">
        <f>Other_input_data!D77/Other_input_data!D73</f>
        <v>0.11346424502379197</v>
      </c>
      <c r="D26" s="251">
        <f>Other_input_data!E77/Other_input_data!E73</f>
        <v>8.5583889048895592E-2</v>
      </c>
      <c r="E26" s="251">
        <f>Other_input_data!F77/Other_input_data!F73</f>
        <v>0.14458047000089505</v>
      </c>
      <c r="F26" s="251">
        <f>Other_input_data!G77/Other_input_data!G73</f>
        <v>0.27668509190481544</v>
      </c>
      <c r="G26" s="251">
        <f>Other_input_data!H77/Other_input_data!H73</f>
        <v>0.20314206697808457</v>
      </c>
      <c r="H26" s="251">
        <f>Other_input_data!I77/Other_input_data!I73</f>
        <v>8.6220064060914869E-2</v>
      </c>
      <c r="I26" s="251">
        <f>Other_input_data!J77/Other_input_data!J73</f>
        <v>9.4955948840962603E-2</v>
      </c>
      <c r="J26" s="251">
        <f>Other_input_data!K77/Other_input_data!K73</f>
        <v>0.15328634199926766</v>
      </c>
      <c r="K26" s="251">
        <f>Other_input_data!L77/Other_input_data!L73</f>
        <v>0.15229926561267459</v>
      </c>
      <c r="L26" s="250"/>
      <c r="M26" s="251">
        <f>AVERAGE(I26:K26)</f>
        <v>0.13351385215096828</v>
      </c>
      <c r="N26" s="251">
        <f>AVERAGE(G26:K26)</f>
        <v>0.13798073749838086</v>
      </c>
      <c r="O26" s="251">
        <f>AVERAGE(C26:K26)</f>
        <v>0.14557970927447805</v>
      </c>
    </row>
    <row r="27" spans="1:15">
      <c r="A27" s="273" t="s">
        <v>859</v>
      </c>
      <c r="B27" s="251">
        <f>Other_input_data!C77/Other_input_data!C74</f>
        <v>0.13792163543441224</v>
      </c>
      <c r="C27" s="251">
        <f>Other_input_data!D77/Other_input_data!D74</f>
        <v>0.17442818874922728</v>
      </c>
      <c r="D27" s="251">
        <f>Other_input_data!E77/Other_input_data!E74</f>
        <v>0.141922921488666</v>
      </c>
      <c r="E27" s="251">
        <f>Other_input_data!F77/Other_input_data!F74</f>
        <v>0.21897876186172616</v>
      </c>
      <c r="F27" s="251">
        <f>Other_input_data!G77/Other_input_data!G74</f>
        <v>0.43660518508964274</v>
      </c>
      <c r="G27" s="251">
        <f>Other_input_data!H77/Other_input_data!H74</f>
        <v>0.29968800356567349</v>
      </c>
      <c r="H27" s="251">
        <f>Other_input_data!I77/Other_input_data!I74</f>
        <v>0.13047678189470779</v>
      </c>
      <c r="I27" s="251">
        <f>Other_input_data!J77/Other_input_data!J74</f>
        <v>0.15908585821171939</v>
      </c>
      <c r="J27" s="251">
        <f>Other_input_data!K77/Other_input_data!K74</f>
        <v>0.26252253664654701</v>
      </c>
      <c r="K27" s="251">
        <f>Other_input_data!L77/Other_input_data!L74</f>
        <v>0.2699169062340015</v>
      </c>
      <c r="L27" s="250"/>
      <c r="M27" s="251">
        <f>AVERAGE(I27:K27)</f>
        <v>0.23050843369742266</v>
      </c>
      <c r="N27" s="251">
        <f>AVERAGE(G27:K27)</f>
        <v>0.22433801731052982</v>
      </c>
      <c r="O27" s="251">
        <f>AVERAGE(C27:K27)</f>
        <v>0.23262501597132351</v>
      </c>
    </row>
    <row r="28" spans="1:15">
      <c r="A28" s="273" t="s">
        <v>860</v>
      </c>
      <c r="C28" s="251">
        <f>Other_input_data!D77/Other_input_data!D75</f>
        <v>0.17373606075118012</v>
      </c>
      <c r="D28" s="251">
        <f>Other_input_data!E77/Other_input_data!E75</f>
        <v>0.13713900278680086</v>
      </c>
      <c r="E28" s="251">
        <f>Other_input_data!F77/Other_input_data!F75</f>
        <v>0.24063958685072995</v>
      </c>
      <c r="F28" s="251">
        <f>Other_input_data!G77/Other_input_data!G75</f>
        <v>0.4217608671951657</v>
      </c>
      <c r="G28" s="251">
        <f>Other_input_data!H77/Other_input_data!H75</f>
        <v>0.29050000830854616</v>
      </c>
      <c r="H28" s="251">
        <f>Other_input_data!I77/Other_input_data!I75</f>
        <v>0.13007067563152375</v>
      </c>
      <c r="I28" s="251">
        <f>Other_input_data!J77/Other_input_data!J75</f>
        <v>0.15343669619891398</v>
      </c>
      <c r="J28" s="251">
        <f>Other_input_data!K77/Other_input_data!K75</f>
        <v>0.25510359536867766</v>
      </c>
      <c r="K28" s="251">
        <f>Other_input_data!L77/Other_input_data!L75</f>
        <v>0.26927534523739372</v>
      </c>
      <c r="M28" s="251">
        <f>AVERAGE(I28:K28)</f>
        <v>0.22593854560166179</v>
      </c>
      <c r="N28" s="251">
        <f>AVERAGE(G28:K28)</f>
        <v>0.21967726414901106</v>
      </c>
      <c r="O28" s="251">
        <f>AVERAGE(C28:K28)</f>
        <v>0.23018464870321464</v>
      </c>
    </row>
    <row r="29" spans="1:15">
      <c r="A29" s="273"/>
      <c r="C29" s="251"/>
      <c r="D29" s="251"/>
      <c r="E29" s="251"/>
      <c r="F29" s="251"/>
      <c r="G29" s="251"/>
      <c r="H29" s="251"/>
      <c r="I29" s="251"/>
      <c r="J29" s="251"/>
      <c r="K29" s="251"/>
      <c r="M29" s="251"/>
      <c r="N29" s="251"/>
      <c r="O29" s="251"/>
    </row>
    <row r="30" spans="1:15">
      <c r="A30" s="273" t="s">
        <v>861</v>
      </c>
      <c r="C30" s="251">
        <f>Other_input_data!D78/Other_input_data!D72</f>
        <v>8.0044761121768476E-2</v>
      </c>
      <c r="D30" s="251">
        <f>Other_input_data!E78/Other_input_data!E72</f>
        <v>7.8883965064750775E-2</v>
      </c>
      <c r="E30" s="251">
        <f>Other_input_data!F78/Other_input_data!F72</f>
        <v>-2.0881498881018062E-2</v>
      </c>
      <c r="F30" s="251">
        <f>Other_input_data!G78/Other_input_data!G72</f>
        <v>0.29774460119618318</v>
      </c>
      <c r="G30" s="251">
        <f>Other_input_data!H78/Other_input_data!H72</f>
        <v>0.18562434914323583</v>
      </c>
      <c r="H30" s="251">
        <f>Other_input_data!I78/Other_input_data!I72</f>
        <v>1.7613299030279014E-2</v>
      </c>
      <c r="I30" s="251">
        <f>Other_input_data!J78/Other_input_data!J72</f>
        <v>7.446761214600095E-2</v>
      </c>
      <c r="J30" s="251">
        <f>Other_input_data!K78/Other_input_data!K72</f>
        <v>0.12238834127246154</v>
      </c>
      <c r="K30" s="251">
        <f>Other_input_data!L78/Other_input_data!L72</f>
        <v>8.4872166551122841E-2</v>
      </c>
      <c r="M30" s="251">
        <f t="shared" ref="M30:M33" si="14">AVERAGE(I30:K30)</f>
        <v>9.3909373323195114E-2</v>
      </c>
      <c r="N30" s="251">
        <f t="shared" ref="N30:N33" si="15">AVERAGE(G30:K30)</f>
        <v>9.6993153628620044E-2</v>
      </c>
      <c r="O30" s="251">
        <f t="shared" ref="O30:O33" si="16">AVERAGE(C30:K30)</f>
        <v>0.10230639962719829</v>
      </c>
    </row>
    <row r="31" spans="1:15">
      <c r="A31" s="273" t="s">
        <v>862</v>
      </c>
      <c r="C31" s="251">
        <f>Other_input_data!D78/Other_input_data!D73</f>
        <v>7.8301275607086177E-2</v>
      </c>
      <c r="D31" s="251">
        <f>Other_input_data!E78/Other_input_data!E73</f>
        <v>8.1241553492700097E-2</v>
      </c>
      <c r="E31" s="251">
        <f>Other_input_data!F78/Other_input_data!F73</f>
        <v>-2.2455819319165089E-2</v>
      </c>
      <c r="F31" s="251">
        <f>Other_input_data!G78/Other_input_data!G73</f>
        <v>0.26652907339102716</v>
      </c>
      <c r="G31" s="251">
        <f>Other_input_data!H78/Other_input_data!H73</f>
        <v>0.18227242092542242</v>
      </c>
      <c r="H31" s="251">
        <f>Other_input_data!I78/Other_input_data!I73</f>
        <v>1.8260780357692411E-2</v>
      </c>
      <c r="I31" s="251">
        <f>Other_input_data!J78/Other_input_data!J73</f>
        <v>7.4063429247316556E-2</v>
      </c>
      <c r="J31" s="251">
        <f>Other_input_data!K78/Other_input_data!K73</f>
        <v>0.11877517392896383</v>
      </c>
      <c r="K31" s="251">
        <f>Other_input_data!L78/Other_input_data!L73</f>
        <v>8.9770795604786263E-2</v>
      </c>
      <c r="M31" s="251">
        <f t="shared" si="14"/>
        <v>9.4203132927022204E-2</v>
      </c>
      <c r="N31" s="251">
        <f t="shared" si="15"/>
        <v>9.6628520012836311E-2</v>
      </c>
      <c r="O31" s="251">
        <f t="shared" si="16"/>
        <v>9.8528742581758866E-2</v>
      </c>
    </row>
    <row r="32" spans="1:15">
      <c r="A32" s="273" t="s">
        <v>863</v>
      </c>
      <c r="C32" s="251">
        <f>Other_input_data!D78/Other_input_data!D74</f>
        <v>0.12037227831581833</v>
      </c>
      <c r="D32" s="251">
        <f>Other_input_data!E78/Other_input_data!E74</f>
        <v>0.13472206914287829</v>
      </c>
      <c r="E32" s="251">
        <f>Other_input_data!F78/Other_input_data!F74</f>
        <v>-3.4011146256966517E-2</v>
      </c>
      <c r="F32" s="251">
        <f>Other_input_data!G78/Other_input_data!G74</f>
        <v>0.42057913065909974</v>
      </c>
      <c r="G32" s="251">
        <f>Other_input_data!H78/Other_input_data!H74</f>
        <v>0.26889978400246856</v>
      </c>
      <c r="H32" s="251">
        <f>Other_input_data!I78/Other_input_data!I74</f>
        <v>2.7634030221486191E-2</v>
      </c>
      <c r="I32" s="251">
        <f>Other_input_data!J78/Other_input_data!J74</f>
        <v>0.12408326542706861</v>
      </c>
      <c r="J32" s="251">
        <f>Other_input_data!K78/Other_input_data!K74</f>
        <v>0.20341773144156167</v>
      </c>
      <c r="K32" s="251">
        <f>Other_input_data!L78/Other_input_data!L74</f>
        <v>0.15909896428149484</v>
      </c>
      <c r="M32" s="251">
        <f t="shared" si="14"/>
        <v>0.16219998705004171</v>
      </c>
      <c r="N32" s="251">
        <f t="shared" si="15"/>
        <v>0.15662675507481599</v>
      </c>
      <c r="O32" s="251">
        <f t="shared" si="16"/>
        <v>0.15831067858165665</v>
      </c>
    </row>
    <row r="33" spans="1:15">
      <c r="A33" s="273" t="s">
        <v>864</v>
      </c>
      <c r="B33" s="256"/>
      <c r="C33" s="325">
        <f>Other_input_data!D78/Other_input_data!D75</f>
        <v>0.11989464322364363</v>
      </c>
      <c r="D33" s="325">
        <f>Other_input_data!E78/Other_input_data!E75</f>
        <v>0.13018087580098353</v>
      </c>
      <c r="E33" s="325">
        <f>Other_input_data!F78/Other_input_data!F75</f>
        <v>-3.7375442778164118E-2</v>
      </c>
      <c r="F33" s="325">
        <f>Other_input_data!G78/Other_input_data!G75</f>
        <v>0.40627968913046869</v>
      </c>
      <c r="G33" s="325">
        <f>Other_input_data!H78/Other_input_data!H75</f>
        <v>0.26065571046378311</v>
      </c>
      <c r="H33" s="325">
        <f>Other_input_data!I78/Other_input_data!I75</f>
        <v>2.7548019878596074E-2</v>
      </c>
      <c r="I33" s="325">
        <f>Other_input_data!J78/Other_input_data!J75</f>
        <v>0.11967705058588163</v>
      </c>
      <c r="J33" s="325">
        <f>Other_input_data!K78/Other_input_data!K75</f>
        <v>0.19766910420475337</v>
      </c>
      <c r="K33" s="325">
        <f>Other_input_data!L78/Other_input_data!L75</f>
        <v>0.15872080460447477</v>
      </c>
      <c r="L33" s="260"/>
      <c r="M33" s="251">
        <f t="shared" si="14"/>
        <v>0.1586889864650366</v>
      </c>
      <c r="N33" s="251">
        <f t="shared" si="15"/>
        <v>0.15285413794749778</v>
      </c>
      <c r="O33" s="251">
        <f t="shared" si="16"/>
        <v>0.15369449501271343</v>
      </c>
    </row>
    <row r="34" spans="1:15">
      <c r="A34" s="273"/>
      <c r="B34" s="256"/>
      <c r="C34" s="256"/>
      <c r="D34" s="256"/>
      <c r="E34" s="256"/>
      <c r="F34" s="256"/>
      <c r="G34" s="256"/>
      <c r="H34" s="260"/>
      <c r="I34" s="260"/>
      <c r="J34" s="260"/>
      <c r="K34" s="260"/>
      <c r="L34" s="260"/>
      <c r="M34" s="251"/>
      <c r="N34" s="251"/>
      <c r="O34" s="251"/>
    </row>
    <row r="35" spans="1:15">
      <c r="A35" s="273" t="s">
        <v>840</v>
      </c>
      <c r="B35" s="325">
        <f>Other_input_data!C37/Other_input_data!C72</f>
        <v>7.0073024618479168E-2</v>
      </c>
      <c r="C35" s="325">
        <f>Other_input_data!D37/Other_input_data!D72</f>
        <v>6.965378642550471E-2</v>
      </c>
      <c r="D35" s="325">
        <f>Other_input_data!E37/Other_input_data!E72</f>
        <v>8.697242180441421E-2</v>
      </c>
      <c r="E35" s="325">
        <f>Other_input_data!F37/Other_input_data!F72</f>
        <v>0.13927164444115628</v>
      </c>
      <c r="F35" s="325">
        <f>Other_input_data!G37/Other_input_data!G72</f>
        <v>0.11923024243254346</v>
      </c>
      <c r="G35" s="325">
        <f>Other_input_data!H37/Other_input_data!H72</f>
        <v>0.14205244722143334</v>
      </c>
      <c r="H35" s="325">
        <f>Other_input_data!I37/Other_input_data!I72</f>
        <v>0.15948721331662147</v>
      </c>
      <c r="I35" s="325">
        <f>Other_input_data!J37/Other_input_data!J72</f>
        <v>0.15767127550793583</v>
      </c>
      <c r="J35" s="325">
        <f>Other_input_data!K37/Other_input_data!K72</f>
        <v>0.15283214639437809</v>
      </c>
      <c r="K35" s="325">
        <f>Other_input_data!L37/Other_input_data!L72</f>
        <v>0.16041679796642919</v>
      </c>
      <c r="L35" s="260"/>
      <c r="M35" s="251">
        <f>AVERAGE(I35:K35)</f>
        <v>0.15697340662291437</v>
      </c>
      <c r="N35" s="251">
        <f>AVERAGE(G35:K35)</f>
        <v>0.15449197608135956</v>
      </c>
      <c r="O35" s="251">
        <f>AVERAGE(C35:K35)</f>
        <v>0.1319542195011574</v>
      </c>
    </row>
    <row r="36" spans="1:15">
      <c r="A36" s="273" t="s">
        <v>841</v>
      </c>
      <c r="B36" s="325"/>
      <c r="C36" s="325">
        <f>Other_input_data!D37/Other_input_data!D73</f>
        <v>6.8136630699461617E-2</v>
      </c>
      <c r="D36" s="325">
        <f>Other_input_data!E37/Other_input_data!E73</f>
        <v>8.957174823315682E-2</v>
      </c>
      <c r="E36" s="325">
        <f>Other_input_data!F37/Other_input_data!F73</f>
        <v>0.14977176215528121</v>
      </c>
      <c r="F36" s="325">
        <f>Other_input_data!G37/Other_input_data!G73</f>
        <v>0.10673015029681319</v>
      </c>
      <c r="G36" s="325">
        <f>Other_input_data!H37/Other_input_data!H73</f>
        <v>0.13948732250342796</v>
      </c>
      <c r="H36" s="325">
        <f>Other_input_data!I37/Other_input_data!I73</f>
        <v>0.16535011227758198</v>
      </c>
      <c r="I36" s="325">
        <f>Other_input_data!J37/Other_input_data!J73</f>
        <v>0.15681549362722885</v>
      </c>
      <c r="J36" s="325">
        <f>Other_input_data!K37/Other_input_data!K73</f>
        <v>0.14832021237641882</v>
      </c>
      <c r="K36" s="325">
        <f>Other_input_data!L37/Other_input_data!L73</f>
        <v>0.16967569189063064</v>
      </c>
      <c r="L36" s="260"/>
      <c r="M36" s="251">
        <f t="shared" ref="M36:M38" si="17">AVERAGE(I36:K36)</f>
        <v>0.15827046596475944</v>
      </c>
      <c r="N36" s="251">
        <f t="shared" ref="N36:N38" si="18">AVERAGE(G36:K36)</f>
        <v>0.15592976653505763</v>
      </c>
      <c r="O36" s="251">
        <f t="shared" ref="O36:O38" si="19">AVERAGE(C36:K36)</f>
        <v>0.13265101378444458</v>
      </c>
    </row>
    <row r="37" spans="1:15">
      <c r="A37" s="273" t="s">
        <v>842</v>
      </c>
      <c r="B37" s="325">
        <f>Other_input_data!C37/Other_input_data!C74</f>
        <v>0.10919931856899491</v>
      </c>
      <c r="C37" s="325">
        <f>Other_input_data!D37/Other_input_data!D74</f>
        <v>0.1047462050965039</v>
      </c>
      <c r="D37" s="325">
        <f>Other_input_data!E37/Other_input_data!E74</f>
        <v>0.14853594915316504</v>
      </c>
      <c r="E37" s="325">
        <f>Other_input_data!F37/Other_input_data!F74</f>
        <v>0.22684139177586973</v>
      </c>
      <c r="F37" s="325">
        <f>Other_input_data!G37/Other_input_data!G74</f>
        <v>0.16841867664130011</v>
      </c>
      <c r="G37" s="325">
        <f>Other_input_data!H37/Other_input_data!H74</f>
        <v>0.20578050536565301</v>
      </c>
      <c r="H37" s="325">
        <f>Other_input_data!I37/Other_input_data!I74</f>
        <v>0.25022424618781458</v>
      </c>
      <c r="I37" s="325">
        <f>Other_input_data!J37/Other_input_data!J74</f>
        <v>0.26272316467886514</v>
      </c>
      <c r="J37" s="325">
        <f>Other_input_data!K37/Other_input_data!K74</f>
        <v>0.25401740221055097</v>
      </c>
      <c r="K37" s="325">
        <f>Other_input_data!L37/Other_input_data!L74</f>
        <v>0.3007127948647263</v>
      </c>
      <c r="L37" s="260"/>
      <c r="M37" s="251">
        <f t="shared" si="17"/>
        <v>0.27248445391804749</v>
      </c>
      <c r="N37" s="251">
        <f t="shared" si="18"/>
        <v>0.25469162266152201</v>
      </c>
      <c r="O37" s="251">
        <f t="shared" si="19"/>
        <v>0.21355559288604986</v>
      </c>
    </row>
    <row r="38" spans="1:15">
      <c r="A38" s="273" t="s">
        <v>843</v>
      </c>
      <c r="B38" s="325"/>
      <c r="C38" s="325">
        <f>Other_input_data!D37/Other_input_data!D75</f>
        <v>0.10433057398919067</v>
      </c>
      <c r="D38" s="325">
        <f>Other_input_data!E37/Other_input_data!E75</f>
        <v>0.14352911940642915</v>
      </c>
      <c r="E38" s="325">
        <f>Other_input_data!F37/Other_input_data!F75</f>
        <v>0.24927996821928677</v>
      </c>
      <c r="F38" s="325">
        <f>Other_input_data!G37/Other_input_data!G75</f>
        <v>0.16269254131169497</v>
      </c>
      <c r="G38" s="325">
        <f>Other_input_data!H37/Other_input_data!H75</f>
        <v>0.19947157646355049</v>
      </c>
      <c r="H38" s="325">
        <f>Other_input_data!I37/Other_input_data!I75</f>
        <v>0.2494454284387734</v>
      </c>
      <c r="I38" s="325">
        <f>Other_input_data!J37/Other_input_data!J75</f>
        <v>0.25339382680765937</v>
      </c>
      <c r="J38" s="325">
        <f>Other_input_data!K37/Other_input_data!K75</f>
        <v>0.24683881779402794</v>
      </c>
      <c r="K38" s="325">
        <f>Other_input_data!L37/Other_input_data!L75</f>
        <v>0.29999803563360622</v>
      </c>
      <c r="L38" s="260"/>
      <c r="M38" s="251">
        <f t="shared" si="17"/>
        <v>0.2667435600784312</v>
      </c>
      <c r="N38" s="251">
        <f t="shared" si="18"/>
        <v>0.2498295370275235</v>
      </c>
      <c r="O38" s="251">
        <f t="shared" si="19"/>
        <v>0.21210887645157989</v>
      </c>
    </row>
    <row r="39" spans="1:15">
      <c r="A39" s="273"/>
      <c r="B39" s="325"/>
      <c r="C39" s="325"/>
      <c r="D39" s="325"/>
      <c r="E39" s="325"/>
      <c r="F39" s="325"/>
      <c r="G39" s="325"/>
      <c r="H39" s="325"/>
      <c r="I39" s="325"/>
      <c r="J39" s="325"/>
      <c r="K39" s="325"/>
      <c r="L39" s="260"/>
      <c r="M39" s="251"/>
      <c r="N39" s="251"/>
      <c r="O39" s="251"/>
    </row>
    <row r="40" spans="1:15">
      <c r="A40" s="273" t="s">
        <v>845</v>
      </c>
      <c r="B40" s="256"/>
      <c r="C40" s="256"/>
      <c r="D40" s="263">
        <f>(Other_input_data!G32-Other_input_data!E32)/(Other_input_data!E72-Other_input_data!C72)</f>
        <v>24.247326203208498</v>
      </c>
      <c r="E40" s="263">
        <f>(Other_input_data!H32-Other_input_data!F32)/(Other_input_data!F72-Other_input_data!D72)</f>
        <v>0.69082595583228013</v>
      </c>
      <c r="F40" s="263">
        <f>(Other_input_data!I32-Other_input_data!G32)/(Other_input_data!G72-Other_input_data!E72)</f>
        <v>-3.2589552238805948</v>
      </c>
      <c r="G40" s="263">
        <f>(Other_input_data!J32-Other_input_data!H32)/(Other_input_data!H72-Other_input_data!F72)</f>
        <v>-0.82251375370292024</v>
      </c>
      <c r="H40" s="263">
        <f>(Other_input_data!K32-Other_input_data!I32)/(Other_input_data!I72-Other_input_data!G72)</f>
        <v>0.91921005385996601</v>
      </c>
      <c r="I40" s="263">
        <f>(Other_input_data!L32-Other_input_data!J32)/(Other_input_data!J72-Other_input_data!H72)</f>
        <v>1.2176298463789292</v>
      </c>
      <c r="J40" s="270"/>
      <c r="K40" s="270"/>
      <c r="L40" s="260"/>
      <c r="M40" s="251"/>
      <c r="N40" s="251"/>
      <c r="O40" s="251"/>
    </row>
    <row r="41" spans="1:15">
      <c r="A41" s="273" t="s">
        <v>849</v>
      </c>
      <c r="B41" s="256"/>
      <c r="C41" s="256"/>
      <c r="D41" s="263">
        <f>(Other_input_data!G32-Other_input_data!E32)/(Other_input_data!E74-Other_input_data!C74)</f>
        <v>-8.5110276865321435</v>
      </c>
      <c r="E41" s="263">
        <f>(Other_input_data!H32-Other_input_data!F32)/(Other_input_data!F74-Other_input_data!D74)</f>
        <v>1.7417218543046378</v>
      </c>
      <c r="F41" s="263">
        <f>(Other_input_data!I32-Other_input_data!G32)/(Other_input_data!G74-Other_input_data!E74)</f>
        <v>2.3026627998945415</v>
      </c>
      <c r="G41" s="263">
        <f>(Other_input_data!J32-Other_input_data!H32)/(Other_input_data!H74-Other_input_data!F74)</f>
        <v>-2.4126117179741824</v>
      </c>
      <c r="H41" s="263">
        <f>(Other_input_data!K32-Other_input_data!I32)/(Other_input_data!I74-Other_input_data!G74)</f>
        <v>-0.7581441263573554</v>
      </c>
      <c r="I41" s="263">
        <f>(Other_input_data!L32-Other_input_data!J32)/(Other_input_data!J74-Other_input_data!H74)</f>
        <v>-1.5348086675887491</v>
      </c>
      <c r="J41" s="260"/>
      <c r="K41" s="260"/>
      <c r="L41" s="260"/>
      <c r="M41" s="251"/>
      <c r="N41" s="251"/>
      <c r="O41" s="251"/>
    </row>
    <row r="42" spans="1:15">
      <c r="A42" s="273"/>
      <c r="B42" s="256"/>
      <c r="C42" s="256"/>
      <c r="D42" s="263"/>
      <c r="E42" s="263"/>
      <c r="F42" s="263"/>
      <c r="G42" s="263"/>
      <c r="H42" s="263"/>
      <c r="I42" s="263"/>
      <c r="J42" s="260"/>
      <c r="K42" s="260"/>
      <c r="L42" s="260"/>
      <c r="M42" s="251"/>
      <c r="N42" s="251"/>
      <c r="O42" s="251"/>
    </row>
    <row r="43" spans="1:15">
      <c r="A43" s="273" t="s">
        <v>847</v>
      </c>
      <c r="B43" s="256"/>
      <c r="C43" s="256"/>
      <c r="D43" s="263">
        <f>(Other_input_data!G37-Other_input_data!E37)/(Other_input_data!E72-Other_input_data!C72)</f>
        <v>1.5775401069518675</v>
      </c>
      <c r="E43" s="263">
        <f>(Other_input_data!H37-Other_input_data!F37)/(Other_input_data!F72-Other_input_data!D72)</f>
        <v>-0.14865259266465553</v>
      </c>
      <c r="F43" s="263">
        <f>(Other_input_data!I37-Other_input_data!G37)/(Other_input_data!G72-Other_input_data!E72)</f>
        <v>-0.7574626865671622</v>
      </c>
      <c r="G43" s="263">
        <f>(Other_input_data!J37-Other_input_data!H37)/(Other_input_data!H72-Other_input_data!F72)</f>
        <v>-9.2340245450698313E-2</v>
      </c>
      <c r="H43" s="263">
        <f>(Other_input_data!K37-Other_input_data!I37)/(Other_input_data!I72-Other_input_data!G72)</f>
        <v>-0.46199880311190783</v>
      </c>
      <c r="I43" s="263">
        <f>(Other_input_data!L37-Other_input_data!J37)/(Other_input_data!J72-Other_input_data!H72)</f>
        <v>0.19861009509875382</v>
      </c>
      <c r="J43" s="260"/>
      <c r="K43" s="260"/>
      <c r="L43" s="260"/>
      <c r="M43" s="251"/>
      <c r="N43" s="251"/>
      <c r="O43" s="251"/>
    </row>
    <row r="44" spans="1:15">
      <c r="A44" s="273" t="s">
        <v>851</v>
      </c>
      <c r="B44" s="256"/>
      <c r="C44" s="256"/>
      <c r="D44" s="263">
        <f>(Other_input_data!G37-Other_input_data!E37)/(Other_input_data!E74-Other_input_data!C74)</f>
        <v>-0.55373064289066143</v>
      </c>
      <c r="E44" s="263">
        <f>(Other_input_data!H37-Other_input_data!F37)/(Other_input_data!F74-Other_input_data!D74)</f>
        <v>-0.37478538140789658</v>
      </c>
      <c r="F44" s="263">
        <f>(Other_input_data!I37-Other_input_data!G37)/(Other_input_data!G74-Other_input_data!E74)</f>
        <v>0.53519641444766541</v>
      </c>
      <c r="G44" s="263">
        <f>(Other_input_data!J37-Other_input_data!H37)/(Other_input_data!H74-Other_input_data!F74)</f>
        <v>-0.2708540218470708</v>
      </c>
      <c r="H44" s="263">
        <f>(Other_input_data!K37-Other_input_data!I37)/(Other_input_data!I74-Other_input_data!G74)</f>
        <v>0.38104639684106484</v>
      </c>
      <c r="I44" s="263">
        <f>(Other_input_data!L37-Other_input_data!J37)/(Other_input_data!J74-Other_input_data!H74)</f>
        <v>-0.25034578146611047</v>
      </c>
      <c r="J44" s="260"/>
      <c r="K44" s="260"/>
      <c r="L44" s="260"/>
      <c r="M44" s="251"/>
      <c r="N44" s="251"/>
      <c r="O44" s="251"/>
    </row>
    <row r="45" spans="1:15">
      <c r="A45" s="273"/>
      <c r="B45" s="256"/>
      <c r="C45" s="256"/>
      <c r="D45" s="256"/>
      <c r="E45" s="256"/>
      <c r="F45" s="256"/>
      <c r="G45" s="256"/>
      <c r="H45" s="260"/>
      <c r="I45" s="260"/>
      <c r="J45" s="260"/>
      <c r="K45" s="260"/>
      <c r="L45" s="260"/>
      <c r="M45" s="251"/>
      <c r="N45" s="251"/>
      <c r="O45" s="251"/>
    </row>
    <row r="46" spans="1:15">
      <c r="A46" s="273" t="s">
        <v>852</v>
      </c>
      <c r="B46" s="263">
        <f>Other_input_data!C32/Other_input_data!C72</f>
        <v>0.34050461323188597</v>
      </c>
      <c r="C46" s="263">
        <f>Other_input_data!D32/Other_input_data!D72</f>
        <v>0.40593313236503153</v>
      </c>
      <c r="D46" s="263">
        <f>Other_input_data!E32/Other_input_data!E72</f>
        <v>0.44759712601643503</v>
      </c>
      <c r="E46" s="263">
        <f>Other_input_data!F32/Other_input_data!F72</f>
        <v>0.60439824661993458</v>
      </c>
      <c r="F46" s="263">
        <f>Other_input_data!G32/Other_input_data!G72</f>
        <v>0.88901063781217182</v>
      </c>
      <c r="G46" s="263">
        <f>Other_input_data!H32/Other_input_data!H72</f>
        <v>0.9414702262614788</v>
      </c>
      <c r="H46" s="263">
        <f>Other_input_data!I32/Other_input_data!I72</f>
        <v>1.0483980913428765</v>
      </c>
      <c r="I46" s="263">
        <f>Other_input_data!J32/Other_input_data!J72</f>
        <v>1.10027564131063</v>
      </c>
      <c r="J46" s="263">
        <f>Other_input_data!K32/Other_input_data!K72</f>
        <v>1.1605433193416026</v>
      </c>
      <c r="K46" s="263">
        <f>Other_input_data!L32/Other_input_data!L72</f>
        <v>1.1097666015419845</v>
      </c>
      <c r="L46" s="260"/>
      <c r="M46" s="251"/>
      <c r="N46" s="251"/>
      <c r="O46" s="251"/>
    </row>
    <row r="47" spans="1:15">
      <c r="A47" s="273" t="s">
        <v>853</v>
      </c>
      <c r="B47" s="256"/>
      <c r="C47" s="263">
        <f>Other_input_data!D32/Other_input_data!D73</f>
        <v>0.39709134776489513</v>
      </c>
      <c r="D47" s="263">
        <f>Other_input_data!E32/Other_input_data!E73</f>
        <v>0.4609743669273545</v>
      </c>
      <c r="E47" s="263">
        <f>Other_input_data!F32/Other_input_data!F73</f>
        <v>0.64996568973576119</v>
      </c>
      <c r="F47" s="263">
        <f>Other_input_data!G32/Other_input_data!G73</f>
        <v>0.79580681086714411</v>
      </c>
      <c r="G47" s="263">
        <f>Other_input_data!H32/Other_input_data!H73</f>
        <v>0.92446954379604462</v>
      </c>
      <c r="H47" s="263">
        <f>Other_input_data!I32/Other_input_data!I73</f>
        <v>1.0869381846367792</v>
      </c>
      <c r="I47" s="263">
        <f>Other_input_data!J32/Other_input_data!J73</f>
        <v>1.0943037484938594</v>
      </c>
      <c r="J47" s="263">
        <f>Other_input_data!K32/Other_input_data!K73</f>
        <v>1.1262815818381544</v>
      </c>
      <c r="K47" s="263">
        <f>Other_input_data!L32/Other_input_data!L73</f>
        <v>1.1738198140144656</v>
      </c>
      <c r="L47" s="260"/>
      <c r="M47" s="251"/>
      <c r="N47" s="251"/>
      <c r="O47" s="251"/>
    </row>
    <row r="48" spans="1:15">
      <c r="A48" s="273" t="s">
        <v>854</v>
      </c>
      <c r="B48" s="263">
        <f>Other_input_data!C32/Other_input_data!C74</f>
        <v>0.53063032367972751</v>
      </c>
      <c r="C48" s="263">
        <f>Other_input_data!D32/Other_input_data!D74</f>
        <v>0.61044714609519879</v>
      </c>
      <c r="D48" s="263">
        <f>Other_input_data!E32/Other_input_data!E74</f>
        <v>0.76442925897351111</v>
      </c>
      <c r="E48" s="263">
        <f>Other_input_data!F32/Other_input_data!F74</f>
        <v>0.98442536526585322</v>
      </c>
      <c r="F48" s="263">
        <f>Other_input_data!G32/Other_input_data!G74</f>
        <v>1.2557719592415839</v>
      </c>
      <c r="G48" s="263">
        <f>Other_input_data!H32/Other_input_data!H74</f>
        <v>1.3638358418760927</v>
      </c>
      <c r="H48" s="263">
        <f>Other_input_data!I32/Other_input_data!I74</f>
        <v>1.6448630373283653</v>
      </c>
      <c r="I48" s="263">
        <f>Other_input_data!J32/Other_input_data!J74</f>
        <v>1.833358026520483</v>
      </c>
      <c r="J48" s="263">
        <f>Other_input_data!K32/Other_input_data!K74</f>
        <v>1.928901779415223</v>
      </c>
      <c r="K48" s="263">
        <f>Other_input_data!L32/Other_input_data!L74</f>
        <v>2.0803371007758042</v>
      </c>
      <c r="L48" s="260"/>
      <c r="M48" s="251"/>
      <c r="N48" s="251"/>
      <c r="O48" s="251"/>
    </row>
    <row r="49" spans="1:15">
      <c r="A49" s="273" t="s">
        <v>855</v>
      </c>
      <c r="B49" s="256"/>
      <c r="C49" s="263">
        <f>Other_input_data!D32/Other_input_data!D75</f>
        <v>0.60802490251077501</v>
      </c>
      <c r="D49" s="263">
        <f>Other_input_data!E32/Other_input_data!E75</f>
        <v>0.73866198058114563</v>
      </c>
      <c r="E49" s="263">
        <f>Other_input_data!F32/Other_input_data!F75</f>
        <v>1.0818022312708975</v>
      </c>
      <c r="F49" s="263">
        <f>Other_input_data!G32/Other_input_data!G75</f>
        <v>1.2130764558381486</v>
      </c>
      <c r="G49" s="263">
        <f>Other_input_data!H32/Other_input_data!H75</f>
        <v>1.3220226324797688</v>
      </c>
      <c r="H49" s="263">
        <f>Other_input_data!I32/Other_input_data!I75</f>
        <v>1.6397434354203566</v>
      </c>
      <c r="I49" s="263">
        <f>Other_input_data!J32/Other_input_data!J75</f>
        <v>1.7682552157759359</v>
      </c>
      <c r="J49" s="263">
        <f>Other_input_data!K32/Other_input_data!K75</f>
        <v>1.8743906154783667</v>
      </c>
      <c r="K49" s="263">
        <f>Other_input_data!L32/Other_input_data!L75</f>
        <v>2.0753923821871254</v>
      </c>
      <c r="L49" s="260"/>
      <c r="M49" s="251"/>
      <c r="N49" s="251"/>
      <c r="O49" s="251"/>
    </row>
    <row r="50" spans="1:15">
      <c r="A50" s="273"/>
      <c r="B50" s="256"/>
      <c r="C50" s="263"/>
      <c r="D50" s="263"/>
      <c r="E50" s="263"/>
      <c r="F50" s="263"/>
      <c r="G50" s="263"/>
      <c r="H50" s="263"/>
      <c r="I50" s="263"/>
      <c r="J50" s="263"/>
      <c r="K50" s="263"/>
      <c r="L50" s="260"/>
      <c r="M50" s="251"/>
      <c r="N50" s="251"/>
      <c r="O50" s="251"/>
    </row>
    <row r="51" spans="1:15">
      <c r="A51" s="273" t="s">
        <v>856</v>
      </c>
      <c r="B51" s="256">
        <f>'Data Sheet'!B82/'Data Sheet'!B66</f>
        <v>8.8504088504088502E-2</v>
      </c>
      <c r="C51" s="256">
        <f>'Data Sheet'!C82/'Data Sheet'!C66</f>
        <v>0.1159906823787339</v>
      </c>
      <c r="D51" s="256">
        <f>'Data Sheet'!D82/'Data Sheet'!D66</f>
        <v>8.3100288258830618E-2</v>
      </c>
      <c r="E51" s="256">
        <f>'Data Sheet'!E82/'Data Sheet'!E66</f>
        <v>0.1344443005900087</v>
      </c>
      <c r="F51" s="256">
        <f>'Data Sheet'!F82/'Data Sheet'!F66</f>
        <v>0.30909007898461399</v>
      </c>
      <c r="G51" s="256">
        <f>'Data Sheet'!G82/'Data Sheet'!G66</f>
        <v>0.20687778093344694</v>
      </c>
      <c r="H51" s="260">
        <f>'Data Sheet'!H82/'Data Sheet'!H66</f>
        <v>8.3162917518745744E-2</v>
      </c>
      <c r="I51" s="260">
        <f>'Data Sheet'!I82/'Data Sheet'!I66</f>
        <v>9.5474147512559462E-2</v>
      </c>
      <c r="J51" s="260">
        <f>'Data Sheet'!J82/'Data Sheet'!J66</f>
        <v>0.15794934679054851</v>
      </c>
      <c r="K51" s="260">
        <f>'Data Sheet'!K82/'Data Sheet'!K66</f>
        <v>0.14398857166866244</v>
      </c>
      <c r="L51" s="260"/>
      <c r="M51" s="251">
        <f>AVERAGE(I51:K51)</f>
        <v>0.13247068865725678</v>
      </c>
      <c r="N51" s="251">
        <f>AVERAGE(G51:K51)</f>
        <v>0.13749055288479262</v>
      </c>
      <c r="O51" s="251">
        <f>AVERAGE(B51:K51)</f>
        <v>0.1418582203140239</v>
      </c>
    </row>
    <row r="52" spans="1:15">
      <c r="A52" s="273" t="s">
        <v>629</v>
      </c>
      <c r="B52" s="256">
        <f>'Data Sheet'!B30/'Data Sheet'!B66</f>
        <v>2.8947483492938041E-2</v>
      </c>
      <c r="C52" s="256">
        <f>'Data Sheet'!C30/'Data Sheet'!C66</f>
        <v>2.1512743217319812E-2</v>
      </c>
      <c r="D52" s="256">
        <f>'Data Sheet'!D30/'Data Sheet'!D66</f>
        <v>3.9861463666480232E-2</v>
      </c>
      <c r="E52" s="256">
        <f>'Data Sheet'!E30/'Data Sheet'!E66</f>
        <v>7.849520039950432E-2</v>
      </c>
      <c r="F52" s="256">
        <f>'Data Sheet'!F30/'Data Sheet'!F66</f>
        <v>5.4513080399945207E-2</v>
      </c>
      <c r="G52" s="256">
        <f>'Data Sheet'!G30/'Data Sheet'!G66</f>
        <v>7.3321972924358617E-2</v>
      </c>
      <c r="H52" s="256">
        <f>'Data Sheet'!H30/'Data Sheet'!H66</f>
        <v>0.10585570728060338</v>
      </c>
      <c r="I52" s="266">
        <f>'Data Sheet'!I30/'Data Sheet'!I66</f>
        <v>0.11376872804872627</v>
      </c>
      <c r="J52" s="266">
        <f>'Data Sheet'!J30/'Data Sheet'!J66</f>
        <v>0.10484365419987737</v>
      </c>
      <c r="K52" s="266">
        <f>'Data Sheet'!K30/'Data Sheet'!K66</f>
        <v>0.11690930862797</v>
      </c>
      <c r="L52" s="266"/>
      <c r="M52" s="251">
        <f t="shared" si="9"/>
        <v>0.11184056362552454</v>
      </c>
      <c r="N52" s="251">
        <f t="shared" si="10"/>
        <v>0.10293987421630713</v>
      </c>
      <c r="O52" s="251">
        <f t="shared" si="11"/>
        <v>7.3802934225772332E-2</v>
      </c>
    </row>
    <row r="53" spans="1:15">
      <c r="A53" s="273" t="s">
        <v>630</v>
      </c>
      <c r="B53" s="250">
        <f>'Data Sheet'!B17/'Data Sheet'!B66</f>
        <v>0.34050461323188597</v>
      </c>
      <c r="C53" s="250">
        <f>'Data Sheet'!C17/'Data Sheet'!C66</f>
        <v>0.40593313236503153</v>
      </c>
      <c r="D53" s="250">
        <f>'Data Sheet'!D17/'Data Sheet'!D66</f>
        <v>0.44759712601643503</v>
      </c>
      <c r="E53" s="250">
        <f>'Data Sheet'!E17/'Data Sheet'!E66</f>
        <v>0.60439824661993458</v>
      </c>
      <c r="F53" s="250">
        <f>'Data Sheet'!F17/'Data Sheet'!F66</f>
        <v>0.88901063781217182</v>
      </c>
      <c r="G53" s="250">
        <f>'Data Sheet'!G17/'Data Sheet'!G66</f>
        <v>0.9414702262614788</v>
      </c>
      <c r="H53" s="267">
        <f>'Data Sheet'!H17/'Data Sheet'!H66</f>
        <v>1.0483980913428765</v>
      </c>
      <c r="I53" s="267">
        <f>'Data Sheet'!I17/'Data Sheet'!I66</f>
        <v>1.10027564131063</v>
      </c>
      <c r="J53" s="267">
        <f>'Data Sheet'!J17/'Data Sheet'!J66</f>
        <v>1.1605433193416026</v>
      </c>
      <c r="K53" s="267">
        <f>'Data Sheet'!K17/'Data Sheet'!K66</f>
        <v>1.1097666015419845</v>
      </c>
      <c r="L53" s="267"/>
      <c r="M53" s="250">
        <f t="shared" si="9"/>
        <v>1.1235285207314059</v>
      </c>
      <c r="N53" s="250">
        <f t="shared" si="10"/>
        <v>1.0720907759597145</v>
      </c>
      <c r="O53" s="250">
        <f t="shared" si="11"/>
        <v>0.80478976358440302</v>
      </c>
    </row>
    <row r="54" spans="1:15">
      <c r="A54" s="273" t="s">
        <v>288</v>
      </c>
      <c r="B54" s="250">
        <f>'Data Sheet'!B17/'Data Sheet'!B62</f>
        <v>0.57137616025241222</v>
      </c>
      <c r="C54" s="250">
        <f>'Data Sheet'!C17/'Data Sheet'!C62</f>
        <v>0.61124484181568084</v>
      </c>
      <c r="D54" s="250">
        <f>'Data Sheet'!D17/'Data Sheet'!D62</f>
        <v>0.76628733473281041</v>
      </c>
      <c r="E54" s="250">
        <f>'Data Sheet'!E17/'Data Sheet'!E62</f>
        <v>0.9861484141593988</v>
      </c>
      <c r="F54" s="250">
        <f>'Data Sheet'!F17/'Data Sheet'!F62</f>
        <v>1.2557719592415839</v>
      </c>
      <c r="G54" s="250">
        <f>'Data Sheet'!G17/'Data Sheet'!G62</f>
        <v>1.3655212660052864</v>
      </c>
      <c r="H54" s="267">
        <f>'Data Sheet'!H17/'Data Sheet'!H62</f>
        <v>1.6505573634286503</v>
      </c>
      <c r="I54" s="267">
        <f>'Data Sheet'!I17/'Data Sheet'!I62</f>
        <v>1.8334259362151348</v>
      </c>
      <c r="J54" s="267">
        <f>'Data Sheet'!J17/'Data Sheet'!J62</f>
        <v>1.928901779415223</v>
      </c>
      <c r="K54" s="267">
        <f>'Data Sheet'!K17/'Data Sheet'!K62</f>
        <v>2.0803371007758042</v>
      </c>
      <c r="L54" s="267"/>
      <c r="M54" s="250">
        <f t="shared" si="9"/>
        <v>1.9475549388020539</v>
      </c>
      <c r="N54" s="250">
        <f t="shared" si="10"/>
        <v>1.7717486891680199</v>
      </c>
      <c r="O54" s="250">
        <f t="shared" si="11"/>
        <v>1.3049572156041986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R147"/>
  <sheetViews>
    <sheetView topLeftCell="A13" workbookViewId="0">
      <selection activeCell="L27" sqref="L27"/>
    </sheetView>
  </sheetViews>
  <sheetFormatPr defaultColWidth="9.140625" defaultRowHeight="12.75"/>
  <cols>
    <col min="1" max="1" width="26.5703125" style="372" customWidth="1"/>
    <col min="2" max="2" width="18.140625" style="356" bestFit="1" customWidth="1"/>
    <col min="3" max="11" width="9.28515625" style="183" bestFit="1" customWidth="1"/>
    <col min="12" max="12" width="7.28515625" style="183" bestFit="1" customWidth="1"/>
    <col min="13" max="13" width="4.28515625" style="183" bestFit="1" customWidth="1"/>
    <col min="14" max="14" width="11.28515625" style="183" bestFit="1" customWidth="1"/>
    <col min="15" max="16" width="11.42578125" style="183" bestFit="1" customWidth="1"/>
    <col min="17" max="17" width="10.42578125" style="183" bestFit="1" customWidth="1"/>
    <col min="18" max="18" width="9.28515625" style="183" bestFit="1" customWidth="1"/>
    <col min="19" max="16384" width="9.140625" style="183"/>
  </cols>
  <sheetData>
    <row r="1" spans="1:18">
      <c r="A1" s="337" t="s">
        <v>155</v>
      </c>
      <c r="B1" s="338" t="s">
        <v>156</v>
      </c>
      <c r="C1" s="339">
        <f>'Profit &amp; Loss'!C3</f>
        <v>39903</v>
      </c>
      <c r="D1" s="339">
        <f>'Profit &amp; Loss'!D3</f>
        <v>40268</v>
      </c>
      <c r="E1" s="339">
        <f>'Profit &amp; Loss'!E3</f>
        <v>40633</v>
      </c>
      <c r="F1" s="339">
        <f>'Profit &amp; Loss'!F3</f>
        <v>40999</v>
      </c>
      <c r="G1" s="339">
        <f>'Profit &amp; Loss'!G3</f>
        <v>41364</v>
      </c>
      <c r="H1" s="339">
        <f>'Profit &amp; Loss'!H3</f>
        <v>41729</v>
      </c>
      <c r="I1" s="339">
        <f>'Profit &amp; Loss'!I3</f>
        <v>42094</v>
      </c>
      <c r="J1" s="339">
        <f>'Profit &amp; Loss'!J3</f>
        <v>42460</v>
      </c>
      <c r="K1" s="339">
        <f>'Profit &amp; Loss'!K3</f>
        <v>42825</v>
      </c>
      <c r="L1" s="339" t="str">
        <f>'Profit &amp; Loss'!L3</f>
        <v>Trailing</v>
      </c>
      <c r="M1" s="339"/>
      <c r="N1" s="340" t="s">
        <v>157</v>
      </c>
      <c r="O1" s="340" t="s">
        <v>158</v>
      </c>
      <c r="P1" s="340" t="s">
        <v>159</v>
      </c>
      <c r="Q1" s="341" t="s">
        <v>160</v>
      </c>
      <c r="R1" s="341" t="s">
        <v>161</v>
      </c>
    </row>
    <row r="2" spans="1:18">
      <c r="A2" s="337" t="s">
        <v>162</v>
      </c>
      <c r="B2" s="338"/>
      <c r="C2" s="339"/>
      <c r="D2" s="339"/>
      <c r="E2" s="339"/>
      <c r="F2" s="339"/>
      <c r="G2" s="339"/>
      <c r="H2" s="339"/>
      <c r="I2" s="339"/>
      <c r="J2" s="339"/>
      <c r="K2" s="339"/>
      <c r="L2" s="339"/>
      <c r="M2" s="339"/>
      <c r="N2" s="340"/>
      <c r="O2" s="340"/>
      <c r="P2" s="340"/>
      <c r="Q2" s="341"/>
      <c r="R2" s="341"/>
    </row>
    <row r="3" spans="1:18">
      <c r="A3" s="342" t="s">
        <v>163</v>
      </c>
      <c r="B3" s="343" t="s">
        <v>164</v>
      </c>
      <c r="C3" s="344">
        <f>IFERROR(('Profit &amp; Loss'!C4-'Profit &amp; Loss'!B4)/'Profit &amp; Loss'!B4,"NA")</f>
        <v>0.14132528573263123</v>
      </c>
      <c r="D3" s="344">
        <f>IFERROR(('Profit &amp; Loss'!D4-'Profit &amp; Loss'!C4)/'Profit &amp; Loss'!C4,"NA")</f>
        <v>0.17057665260196903</v>
      </c>
      <c r="E3" s="344">
        <f>IFERROR(('Profit &amp; Loss'!E4-'Profit &amp; Loss'!D4)/'Profit &amp; Loss'!D4,"NA")</f>
        <v>0.57052914884413897</v>
      </c>
      <c r="F3" s="344">
        <f>IFERROR(('Profit &amp; Loss'!F4-'Profit &amp; Loss'!E4)/'Profit &amp; Loss'!E4,"NA")</f>
        <v>0.19174980108941805</v>
      </c>
      <c r="G3" s="344">
        <f>IFERROR(('Profit &amp; Loss'!G4-'Profit &amp; Loss'!F4)/'Profit &amp; Loss'!F4,"NA")</f>
        <v>2.1441043549712466E-2</v>
      </c>
      <c r="H3" s="344">
        <f>IFERROR(('Profit &amp; Loss'!H4-'Profit &amp; Loss'!G4)/'Profit &amp; Loss'!G4,"NA")</f>
        <v>0.19857211091279306</v>
      </c>
      <c r="I3" s="344">
        <f>IFERROR(('Profit &amp; Loss'!I4-'Profit &amp; Loss'!H4)/'Profit &amp; Loss'!H4,"NA")</f>
        <v>3.81517681110786E-2</v>
      </c>
      <c r="J3" s="344">
        <f>IFERROR(('Profit &amp; Loss'!J4-'Profit &amp; Loss'!I4)/'Profit &amp; Loss'!I4,"NA")</f>
        <v>-5.7175182334283708E-3</v>
      </c>
      <c r="K3" s="344">
        <f>IFERROR(('Profit &amp; Loss'!K4-'Profit &amp; Loss'!J4)/'Profit &amp; Loss'!J4,"NA")</f>
        <v>7.339374974600725E-2</v>
      </c>
      <c r="L3" s="344">
        <f>IFERROR(('Profit &amp; Loss'!L4-'Profit &amp; Loss'!K4)/'Profit &amp; Loss'!K4,"NA")</f>
        <v>0.15441259985613154</v>
      </c>
      <c r="N3" s="344">
        <f>('Profit &amp; Loss'!K4/'Profit &amp; Loss'!B4)^(1/(9-1))-1</f>
        <v>0.16494640256207393</v>
      </c>
      <c r="O3" s="344">
        <f>('Profit &amp; Loss'!K4/'Profit &amp; Loss'!F4)^(1/(5-1))-1</f>
        <v>7.9199642057169894E-2</v>
      </c>
      <c r="P3" s="344">
        <f>('Profit &amp; Loss'!K4/'Profit &amp; Loss'!H4)^(1/(3-1))-1</f>
        <v>5.2603594798253495E-2</v>
      </c>
      <c r="Q3" s="183" t="str">
        <f>IF(N3&gt;0.15,"Excellent",IF(N3&lt;0.1,"Bad","Good"))</f>
        <v>Excellent</v>
      </c>
    </row>
    <row r="4" spans="1:18">
      <c r="A4" s="342" t="s">
        <v>165</v>
      </c>
      <c r="B4" s="343" t="s">
        <v>164</v>
      </c>
      <c r="C4" s="344">
        <f>IFERROR(('Profit &amp; Loss'!C5-'Profit &amp; Loss'!B5)/'Profit &amp; Loss'!B5,"NA")</f>
        <v>0.16987590928540885</v>
      </c>
      <c r="D4" s="344">
        <f>IFERROR(('Profit &amp; Loss'!D5-'Profit &amp; Loss'!C5)/'Profit &amp; Loss'!C5,"NA")</f>
        <v>0.18332114118507659</v>
      </c>
      <c r="E4" s="344">
        <f>IFERROR(('Profit &amp; Loss'!E5-'Profit &amp; Loss'!D5)/'Profit &amp; Loss'!D5,"NA")</f>
        <v>0.40776458951533162</v>
      </c>
      <c r="F4" s="344">
        <f>IFERROR(('Profit &amp; Loss'!F5-'Profit &amp; Loss'!E5)/'Profit &amp; Loss'!E5,"NA")</f>
        <v>0.36615141401721407</v>
      </c>
      <c r="G4" s="344">
        <f>IFERROR(('Profit &amp; Loss'!G5-'Profit &amp; Loss'!F5)/'Profit &amp; Loss'!F5,"NA")</f>
        <v>-1.5750562520090293E-3</v>
      </c>
      <c r="H4" s="344">
        <f>IFERROR(('Profit &amp; Loss'!H5-'Profit &amp; Loss'!G5)/'Profit &amp; Loss'!G5,"NA")</f>
        <v>0.20037989762081049</v>
      </c>
      <c r="I4" s="344">
        <f>IFERROR(('Profit &amp; Loss'!I5-'Profit &amp; Loss'!H5)/'Profit &amp; Loss'!H5,"NA")</f>
        <v>6.0104599704975413E-2</v>
      </c>
      <c r="J4" s="344">
        <f>IFERROR(('Profit &amp; Loss'!J5-'Profit &amp; Loss'!I5)/'Profit &amp; Loss'!I5,"NA")</f>
        <v>9.9175226433232781E-3</v>
      </c>
      <c r="K4" s="344">
        <f>IFERROR(('Profit &amp; Loss'!K5-'Profit &amp; Loss'!J5)/'Profit &amp; Loss'!J5,"NA")</f>
        <v>6.0499022997144089E-2</v>
      </c>
      <c r="L4" s="344">
        <f>IFERROR(('Profit &amp; Loss'!L5-'Profit &amp; Loss'!K5)/'Profit &amp; Loss'!K5,"NA")</f>
        <v>0.163465854061843</v>
      </c>
      <c r="N4" s="344">
        <f>('Profit &amp; Loss'!K5/'Profit &amp; Loss'!B5)^(1/(9-1))-1</f>
        <v>0.17457645580515058</v>
      </c>
      <c r="O4" s="344">
        <f>('Profit &amp; Loss'!K5/'Profit &amp; Loss'!F5)^(1/(5-1))-1</f>
        <v>8.005223230123315E-2</v>
      </c>
      <c r="P4" s="344">
        <f>('Profit &amp; Loss'!K5/'Profit &amp; Loss'!H5)^(1/(3-1))-1</f>
        <v>6.554660472920637E-2</v>
      </c>
      <c r="Q4" s="183" t="str">
        <f>IF(N4&gt;N3+0.1,"Bad",IF(N4&lt;N3,"Excellent","Good"))</f>
        <v>Good</v>
      </c>
    </row>
    <row r="5" spans="1:18">
      <c r="A5" s="342" t="s">
        <v>166</v>
      </c>
      <c r="B5" s="343" t="s">
        <v>164</v>
      </c>
      <c r="C5" s="344">
        <f>IFERROR(('Profit &amp; Loss'!C6-'Profit &amp; Loss'!B6)/'Profit &amp; Loss'!B6,"NA")</f>
        <v>5.5541270249420606E-2</v>
      </c>
      <c r="D5" s="344">
        <f>IFERROR(('Profit &amp; Loss'!D6-'Profit &amp; Loss'!C6)/'Profit &amp; Loss'!C6,"NA")</f>
        <v>0.12813641900121855</v>
      </c>
      <c r="E5" s="344">
        <f>IFERROR(('Profit &amp; Loss'!E6-'Profit &amp; Loss'!D6)/'Profit &amp; Loss'!D6,"NA")</f>
        <v>1.1390628374001284</v>
      </c>
      <c r="F5" s="344">
        <f>IFERROR(('Profit &amp; Loss'!F6-'Profit &amp; Loss'!E6)/'Profit &amp; Loss'!E6,"NA")</f>
        <v>-0.20916616192206725</v>
      </c>
      <c r="G5" s="344">
        <f>IFERROR(('Profit &amp; Loss'!G6-'Profit &amp; Loss'!F6)/'Profit &amp; Loss'!F6,"NA")</f>
        <v>0.1128414603012514</v>
      </c>
      <c r="H5" s="344">
        <f>IFERROR(('Profit &amp; Loss'!H6-'Profit &amp; Loss'!G6)/'Profit &amp; Loss'!G6,"NA")</f>
        <v>0.19213122275751318</v>
      </c>
      <c r="I5" s="344">
        <f>IFERROR(('Profit &amp; Loss'!I6-'Profit &amp; Loss'!H6)/'Profit &amp; Loss'!H6,"NA")</f>
        <v>-4.0604252862503867E-2</v>
      </c>
      <c r="J5" s="344">
        <f>IFERROR(('Profit &amp; Loss'!J6-'Profit &amp; Loss'!I6)/'Profit &amp; Loss'!I6,"NA")</f>
        <v>-6.7696319326045543E-2</v>
      </c>
      <c r="K5" s="344">
        <f>IFERROR(('Profit &amp; Loss'!K6-'Profit &amp; Loss'!J6)/'Profit &amp; Loss'!J6,"NA")</f>
        <v>0.12876506024096418</v>
      </c>
      <c r="L5" s="344">
        <f>IFERROR(('Profit &amp; Loss'!L6-'Profit &amp; Loss'!K6)/'Profit &amp; Loss'!K6,"NA")</f>
        <v>0.11788811588678143</v>
      </c>
      <c r="N5" s="344">
        <f>('Profit &amp; Loss'!K6/'Profit &amp; Loss'!B6)^(1/(9-1))-1</f>
        <v>0.13209459312973904</v>
      </c>
      <c r="O5" s="344">
        <f>('Profit &amp; Loss'!K6/'Profit &amp; Loss'!F6)^(1/(5-1))-1</f>
        <v>7.5793773692149236E-2</v>
      </c>
      <c r="P5" s="344">
        <f>('Profit &amp; Loss'!K6/'Profit &amp; Loss'!H6)^(1/(3-1))-1</f>
        <v>4.799413250172968E-3</v>
      </c>
      <c r="Q5" s="183" t="str">
        <f>IF(N5&gt;0.15,"Excellent",IF(N5&lt;0.1,"Bad","Good"))</f>
        <v>Good</v>
      </c>
    </row>
    <row r="6" spans="1:18">
      <c r="A6" s="342" t="s">
        <v>167</v>
      </c>
      <c r="B6" s="343" t="s">
        <v>164</v>
      </c>
      <c r="C6" s="344">
        <f>IFERROR(('Profit &amp; Loss'!C10-'Profit &amp; Loss'!B10)/'Profit &amp; Loss'!B10,"NA")</f>
        <v>-0.30882352941176466</v>
      </c>
      <c r="D6" s="344">
        <f>IFERROR(('Profit &amp; Loss'!D10-'Profit &amp; Loss'!C10)/'Profit &amp; Loss'!C10,"NA")</f>
        <v>0.80015197568389063</v>
      </c>
      <c r="E6" s="344">
        <f>IFERROR(('Profit &amp; Loss'!E10-'Profit &amp; Loss'!D10)/'Profit &amp; Loss'!D10,"NA")</f>
        <v>1.5246939636977628</v>
      </c>
      <c r="F6" s="344">
        <f>IFERROR(('Profit &amp; Loss'!F10-'Profit &amp; Loss'!E10)/'Profit &amp; Loss'!E10,"NA")</f>
        <v>-0.46246447082427694</v>
      </c>
      <c r="G6" s="344">
        <f>IFERROR(('Profit &amp; Loss'!G10-'Profit &amp; Loss'!F10)/'Profit &amp; Loss'!F10,"NA")</f>
        <v>0.26469673405909794</v>
      </c>
      <c r="H6" s="344">
        <f>IFERROR(('Profit &amp; Loss'!H10-'Profit &amp; Loss'!G10)/'Profit &amp; Loss'!G10,"NA")</f>
        <v>0.46728971962616828</v>
      </c>
      <c r="I6" s="344">
        <f>IFERROR(('Profit &amp; Loss'!I10-'Profit &amp; Loss'!H10)/'Profit &amp; Loss'!H10,"NA")</f>
        <v>6.8890378813275338E-2</v>
      </c>
      <c r="J6" s="344">
        <f>IFERROR(('Profit &amp; Loss'!J10-'Profit &amp; Loss'!I10)/'Profit &amp; Loss'!I10,"NA")</f>
        <v>-7.5427316920181939E-2</v>
      </c>
      <c r="K6" s="344">
        <f>IFERROR(('Profit &amp; Loss'!K10-'Profit &amp; Loss'!J10)/'Profit &amp; Loss'!J10,"NA")</f>
        <v>0.22014925373134323</v>
      </c>
      <c r="L6" s="344">
        <f>IFERROR(('Profit &amp; Loss'!L10-'Profit &amp; Loss'!K10)/'Profit &amp; Loss'!K10,"NA")</f>
        <v>0.15832638309702532</v>
      </c>
      <c r="N6" s="344">
        <f>('Profit &amp; Loss'!K10/'Profit &amp; Loss'!B10)^(1/(9-1))-1</f>
        <v>0.18076354483753021</v>
      </c>
      <c r="O6" s="344">
        <f>('Profit &amp; Loss'!K10/'Profit &amp; Loss'!F10)^(1/(5-1))-1</f>
        <v>0.22305887687066428</v>
      </c>
      <c r="P6" s="344">
        <f>('Profit &amp; Loss'!K10/'Profit &amp; Loss'!H10)^(1/(3-1))-1</f>
        <v>9.810430013387661E-2</v>
      </c>
      <c r="Q6" s="183" t="str">
        <f>IF(N6&gt;0.15,"Excellent",IF(N6&lt;0.1,"Bad","Good"))</f>
        <v>Excellent</v>
      </c>
    </row>
    <row r="7" spans="1:18">
      <c r="A7" s="342" t="s">
        <v>168</v>
      </c>
      <c r="B7" s="343" t="s">
        <v>164</v>
      </c>
      <c r="C7" s="344">
        <f>IFERROR(('Profit &amp; Loss'!C12-'Profit &amp; Loss'!B12)/'Profit &amp; Loss'!B12,"NA")</f>
        <v>-0.28851963746223569</v>
      </c>
      <c r="D7" s="344">
        <f>IFERROR(('Profit &amp; Loss'!D12-'Profit &amp; Loss'!C12)/'Profit &amp; Loss'!C12,"NA")</f>
        <v>0.96709129511677294</v>
      </c>
      <c r="E7" s="344">
        <f>IFERROR(('Profit &amp; Loss'!E12-'Profit &amp; Loss'!D12)/'Profit &amp; Loss'!D12,"NA")</f>
        <v>1.2903399892066916</v>
      </c>
      <c r="F7" s="344">
        <f>IFERROR(('Profit &amp; Loss'!F12-'Profit &amp; Loss'!E12)/'Profit &amp; Loss'!E12,"NA")</f>
        <v>-0.43732327992459941</v>
      </c>
      <c r="G7" s="344">
        <f>IFERROR(('Profit &amp; Loss'!G12-'Profit &amp; Loss'!F12)/'Profit &amp; Loss'!F12,"NA")</f>
        <v>0.29731993299832504</v>
      </c>
      <c r="H7" s="344">
        <f>IFERROR(('Profit &amp; Loss'!H12-'Profit &amp; Loss'!G12)/'Profit &amp; Loss'!G12,"NA")</f>
        <v>0.55390574564234984</v>
      </c>
      <c r="I7" s="344">
        <f>IFERROR(('Profit &amp; Loss'!I12-'Profit &amp; Loss'!H12)/'Profit &amp; Loss'!H12,"NA")</f>
        <v>6.3149148317407547E-2</v>
      </c>
      <c r="J7" s="344">
        <f>IFERROR(('Profit &amp; Loss'!J12-'Profit &amp; Loss'!I12)/'Profit &amp; Loss'!I12,"NA")</f>
        <v>-0.1313012895662368</v>
      </c>
      <c r="K7" s="344">
        <f>IFERROR(('Profit &amp; Loss'!K12-'Profit &amp; Loss'!J12)/'Profit &amp; Loss'!J12,"NA")</f>
        <v>0.25168690958164636</v>
      </c>
      <c r="L7" s="344">
        <f>IFERROR(('Profit &amp; Loss'!L12-'Profit &amp; Loss'!K12)/'Profit &amp; Loss'!K12,"NA")</f>
        <v>0.13962264150943401</v>
      </c>
      <c r="N7" s="344">
        <f>('Profit &amp; Loss'!K12/'Profit &amp; Loss'!B12)^(1/(9-1))-1</f>
        <v>0.19659490121185907</v>
      </c>
      <c r="O7" s="344">
        <f>('Profit &amp; Loss'!K12/'Profit &amp; Loss'!F12)^(1/(5-1))-1</f>
        <v>0.23554256476177748</v>
      </c>
      <c r="P7" s="344">
        <f>('Profit &amp; Loss'!K12/'Profit &amp; Loss'!H12)^(1/(3-1))-1</f>
        <v>7.5175950084164223E-2</v>
      </c>
      <c r="Q7" s="183" t="str">
        <f>IF(N7&gt;0.15,"Excellent",IF(N7&lt;0.1,"Bad","Good"))</f>
        <v>Excellent</v>
      </c>
    </row>
    <row r="8" spans="1:18">
      <c r="A8" s="342" t="s">
        <v>169</v>
      </c>
      <c r="B8" s="343" t="s">
        <v>164</v>
      </c>
      <c r="C8" s="344">
        <f>IFERROR(('Profit &amp; Loss'!C13-'Profit &amp; Loss'!B13)/'Profit &amp; Loss'!B13,"NA")</f>
        <v>-0.28851963746223558</v>
      </c>
      <c r="D8" s="344">
        <f>IFERROR(('Profit &amp; Loss'!D13-'Profit &amp; Loss'!C13)/'Profit &amp; Loss'!C13,"NA")</f>
        <v>0.96709129511677283</v>
      </c>
      <c r="E8" s="344">
        <f>IFERROR(('Profit &amp; Loss'!E13-'Profit &amp; Loss'!D13)/'Profit &amp; Loss'!D13,"NA")</f>
        <v>1.2903399892066918</v>
      </c>
      <c r="F8" s="344">
        <f>IFERROR(('Profit &amp; Loss'!F13-'Profit &amp; Loss'!E13)/'Profit &amp; Loss'!E13,"NA")</f>
        <v>-0.43732327992459946</v>
      </c>
      <c r="G8" s="344">
        <f>IFERROR(('Profit &amp; Loss'!G13-'Profit &amp; Loss'!F13)/'Profit &amp; Loss'!F13,"NA")</f>
        <v>0.29731993299832493</v>
      </c>
      <c r="H8" s="344">
        <f>IFERROR(('Profit &amp; Loss'!H13-'Profit &amp; Loss'!G13)/'Profit &amp; Loss'!G13,"NA")</f>
        <v>0.55390574564235007</v>
      </c>
      <c r="I8" s="344">
        <f>IFERROR(('Profit &amp; Loss'!I13-'Profit &amp; Loss'!H13)/'Profit &amp; Loss'!H13,"NA")</f>
        <v>6.3149148317407394E-2</v>
      </c>
      <c r="J8" s="344">
        <f>IFERROR(('Profit &amp; Loss'!J13-'Profit &amp; Loss'!I13)/'Profit &amp; Loss'!I13,"NA")</f>
        <v>-0.13130128956623668</v>
      </c>
      <c r="K8" s="344">
        <f>IFERROR(('Profit &amp; Loss'!K13-'Profit &amp; Loss'!J13)/'Profit &amp; Loss'!J13,"NA")</f>
        <v>0.28448219978902567</v>
      </c>
      <c r="L8" s="344">
        <f>IFERROR(('Profit &amp; Loss'!L13-'Profit &amp; Loss'!K13)/'Profit &amp; Loss'!K13,"NA")</f>
        <v>0.13962974973703751</v>
      </c>
      <c r="N8" s="344">
        <f>('Profit &amp; Loss'!K13/'Profit &amp; Loss'!B13)^(1/(9-1))-1</f>
        <v>0.20046967940981419</v>
      </c>
      <c r="O8" s="344">
        <f>('Profit &amp; Loss'!K13/'Profit &amp; Loss'!F13)^(1/(5-1))-1</f>
        <v>0.24355731508818734</v>
      </c>
      <c r="P8" s="344">
        <f>('Profit &amp; Loss'!K13/'Profit &amp; Loss'!H13)^(1/(3-1))-1</f>
        <v>8.9170152147324711E-2</v>
      </c>
      <c r="Q8" s="183" t="str">
        <f>IF(N8&gt;0.15,"Excellent",IF(N8&lt;0.1,"Bad","Good"))</f>
        <v>Excellent</v>
      </c>
    </row>
    <row r="9" spans="1:18">
      <c r="A9" s="337" t="s">
        <v>170</v>
      </c>
      <c r="B9" s="343"/>
      <c r="C9" s="344"/>
      <c r="D9" s="344"/>
      <c r="E9" s="344"/>
      <c r="F9" s="344"/>
      <c r="G9" s="344"/>
      <c r="H9" s="344"/>
      <c r="I9" s="344"/>
      <c r="J9" s="344"/>
      <c r="K9" s="344"/>
      <c r="L9" s="344"/>
      <c r="N9" s="344"/>
      <c r="O9" s="344"/>
      <c r="P9" s="344"/>
    </row>
    <row r="10" spans="1:18">
      <c r="A10" s="345" t="s">
        <v>171</v>
      </c>
      <c r="B10" s="343" t="s">
        <v>164</v>
      </c>
      <c r="C10" s="344">
        <f>IFERROR(('Cash Flow'!C4-'Cash Flow'!B4)/'Cash Flow'!B4,"NA")</f>
        <v>0.25469367588932812</v>
      </c>
      <c r="D10" s="344">
        <f>IFERROR(('Cash Flow'!D4-'Cash Flow'!C4)/'Cash Flow'!C4,"NA")</f>
        <v>-0.23941720811183298</v>
      </c>
      <c r="E10" s="344">
        <f>IFERROR(('Cash Flow'!E4-'Cash Flow'!D4)/'Cash Flow'!D4,"NA")</f>
        <v>0.88169816205021989</v>
      </c>
      <c r="F10" s="344">
        <f>IFERROR(('Cash Flow'!F4-'Cash Flow'!E4)/'Cash Flow'!E4,"NA")</f>
        <v>0.86270463612601467</v>
      </c>
      <c r="G10" s="344">
        <f>IFERROR(('Cash Flow'!G4-'Cash Flow'!F4)/'Cash Flow'!F4,"NA")</f>
        <v>-0.35443131462333832</v>
      </c>
      <c r="H10" s="344">
        <f>IFERROR(('Cash Flow'!H4-'Cash Flow'!G4)/'Cash Flow'!G4,"NA")</f>
        <v>-0.56732639286122866</v>
      </c>
      <c r="I10" s="344">
        <f>IFERROR(('Cash Flow'!I4-'Cash Flow'!H4)/'Cash Flow'!H4,"NA")</f>
        <v>0.13564251718667378</v>
      </c>
      <c r="J10" s="344">
        <f>IFERROR(('Cash Flow'!J4-'Cash Flow'!I4)/'Cash Flow'!I4,"NA")</f>
        <v>0.55948777648428405</v>
      </c>
      <c r="K10" s="344">
        <f>IFERROR(('Cash Flow'!K4-'Cash Flow'!J4)/'Cash Flow'!J4,"NA")</f>
        <v>2.3290534487906869E-2</v>
      </c>
      <c r="L10" s="344">
        <f>IFERROR(('Cash Flow'!K4-'Cash Flow'!J4)/'Cash Flow'!J4,"NA")</f>
        <v>2.3290534487906869E-2</v>
      </c>
      <c r="N10" s="344"/>
      <c r="O10" s="344"/>
      <c r="P10" s="344"/>
    </row>
    <row r="11" spans="1:18">
      <c r="A11" s="345" t="s">
        <v>172</v>
      </c>
      <c r="B11" s="343" t="s">
        <v>164</v>
      </c>
      <c r="C11" s="344">
        <f>IFERROR(('Cash Flow'!C5-'Cash Flow'!B5)/'Cash Flow'!B5,"NA")</f>
        <v>-0.83883808499193113</v>
      </c>
      <c r="D11" s="344">
        <f>IFERROR(('Cash Flow'!D5-'Cash Flow'!C5)/'Cash Flow'!C5,"NA")</f>
        <v>-0.89519359145527366</v>
      </c>
      <c r="E11" s="344">
        <f>IFERROR(('Cash Flow'!E5-'Cash Flow'!D5)/'Cash Flow'!D5,"NA")</f>
        <v>51.554140127388543</v>
      </c>
      <c r="F11" s="344">
        <f>IFERROR(('Cash Flow'!F5-'Cash Flow'!E5)/'Cash Flow'!E5,"NA")</f>
        <v>-0.94776390740516303</v>
      </c>
      <c r="G11" s="344">
        <f>IFERROR(('Cash Flow'!G5-'Cash Flow'!F5)/'Cash Flow'!F5,"NA")</f>
        <v>1.0255220417633413</v>
      </c>
      <c r="H11" s="344">
        <f>IFERROR(('Cash Flow'!H5-'Cash Flow'!G5)/'Cash Flow'!G5,"NA")</f>
        <v>2.2623138602520045</v>
      </c>
      <c r="I11" s="344">
        <f>IFERROR(('Cash Flow'!I5-'Cash Flow'!H5)/'Cash Flow'!H5,"NA")</f>
        <v>-0.67415730337078661</v>
      </c>
      <c r="J11" s="344">
        <f>IFERROR(('Cash Flow'!J5-'Cash Flow'!I5)/'Cash Flow'!I5,"NA")</f>
        <v>0.3911637931034484</v>
      </c>
      <c r="K11" s="344">
        <f>IFERROR(('Cash Flow'!K5-'Cash Flow'!J5)/'Cash Flow'!J5,"NA")</f>
        <v>1.1432997676219985</v>
      </c>
      <c r="L11" s="344">
        <f>IFERROR(('Cash Flow'!K5-'Cash Flow'!J5)/'Cash Flow'!J5,"NA")</f>
        <v>1.1432997676219985</v>
      </c>
      <c r="N11" s="344"/>
      <c r="O11" s="344"/>
      <c r="P11" s="344"/>
    </row>
    <row r="12" spans="1:18">
      <c r="A12" s="337" t="s">
        <v>173</v>
      </c>
      <c r="B12" s="343"/>
      <c r="C12" s="344"/>
      <c r="D12" s="344"/>
      <c r="E12" s="344"/>
      <c r="F12" s="344"/>
      <c r="G12" s="344"/>
      <c r="H12" s="344"/>
      <c r="I12" s="344"/>
      <c r="J12" s="344"/>
      <c r="K12" s="344"/>
      <c r="N12" s="344"/>
      <c r="O12" s="344"/>
      <c r="P12" s="344"/>
    </row>
    <row r="13" spans="1:18">
      <c r="A13" s="342" t="s">
        <v>174</v>
      </c>
      <c r="B13" s="343" t="s">
        <v>164</v>
      </c>
      <c r="C13" s="344">
        <f>IFERROR(('Data Sheet'!C67-'Data Sheet'!B67)/'Data Sheet'!B67,"NA")</f>
        <v>0.69483568075117375</v>
      </c>
      <c r="D13" s="344">
        <f>IFERROR(('Data Sheet'!D67-'Data Sheet'!C67)/'Data Sheet'!C67,"NA")</f>
        <v>2.2770083102493079</v>
      </c>
      <c r="E13" s="344">
        <f>IFERROR(('Data Sheet'!E67-'Data Sheet'!D67)/'Data Sheet'!D67,"NA")</f>
        <v>-0.10524091293322056</v>
      </c>
      <c r="F13" s="344">
        <f>IFERROR(('Data Sheet'!F67-'Data Sheet'!E67)/'Data Sheet'!E67,"NA")</f>
        <v>-0.50259801606046295</v>
      </c>
      <c r="G13" s="344">
        <f>IFERROR(('Data Sheet'!G67-'Data Sheet'!F67)/'Data Sheet'!F67,"NA")</f>
        <v>-0.37986704653371312</v>
      </c>
      <c r="H13" s="344">
        <f>IFERROR(('Data Sheet'!H67-'Data Sheet'!G67)/'Data Sheet'!G67,"NA")</f>
        <v>-0.12710566615620214</v>
      </c>
      <c r="I13" s="344">
        <f>IFERROR(('Data Sheet'!I67-'Data Sheet'!H67)/'Data Sheet'!H67,"NA")</f>
        <v>5.9649122807017514E-2</v>
      </c>
      <c r="J13" s="344">
        <f>IFERROR(('Data Sheet'!J67-'Data Sheet'!I67)/'Data Sheet'!I67,"NA")</f>
        <v>2.0629139072847682</v>
      </c>
      <c r="K13" s="344">
        <f>IFERROR(('Data Sheet'!K67-'Data Sheet'!J67)/'Data Sheet'!J67,"NA")</f>
        <v>1.2183783783783784</v>
      </c>
      <c r="L13" s="344">
        <f>IFERROR(('Data Sheet'!K67-'Data Sheet'!J67)/'Data Sheet'!J67,"NA")</f>
        <v>1.2183783783783784</v>
      </c>
      <c r="N13" s="344">
        <f>IFERROR(('Data Sheet'!K67/'Data Sheet'!B67)^(1/(9-1))-1,"NA")</f>
        <v>0.32731719053458397</v>
      </c>
      <c r="O13" s="344">
        <f>IFERROR(('Data Sheet'!K57/'Data Sheet'!G67)^(1/(5-1))-1,"NA")</f>
        <v>-3.2144861428592186E-2</v>
      </c>
      <c r="P13" s="344">
        <f>IFERROR(('Data Sheet'!K67/'Data Sheet'!I67)^(1/(3-1))-1,"NA")</f>
        <v>1.6066649164698878</v>
      </c>
      <c r="Q13" s="183" t="str">
        <f>IF(N13&gt;$N$3+0.1,"Bad",IF(N13&lt;$N$3,"Excellent",IF(N13="NA","NA","Good")))</f>
        <v>Bad</v>
      </c>
    </row>
    <row r="14" spans="1:18">
      <c r="A14" s="342" t="s">
        <v>175</v>
      </c>
      <c r="B14" s="343" t="s">
        <v>164</v>
      </c>
      <c r="C14" s="344">
        <f>IFERROR(('Data Sheet'!C68-'Data Sheet'!B68)/'Data Sheet'!B68,"NA")</f>
        <v>7.4923688835445588E-3</v>
      </c>
      <c r="D14" s="344">
        <f>IFERROR(('Data Sheet'!D68-'Data Sheet'!C68)/'Data Sheet'!C68,"NA")</f>
        <v>0.25431509364671323</v>
      </c>
      <c r="E14" s="344">
        <f>IFERROR(('Data Sheet'!E68-'Data Sheet'!D68)/'Data Sheet'!D68,"NA")</f>
        <v>0.10108329673547066</v>
      </c>
      <c r="F14" s="344">
        <f>IFERROR(('Data Sheet'!F68-'Data Sheet'!E68)/'Data Sheet'!E68,"NA")</f>
        <v>-0.45010968556803832</v>
      </c>
      <c r="G14" s="344">
        <f>IFERROR(('Data Sheet'!G68-'Data Sheet'!F68)/'Data Sheet'!F68,"NA")</f>
        <v>0.11436170212765967</v>
      </c>
      <c r="H14" s="344">
        <f>IFERROR(('Data Sheet'!H68-'Data Sheet'!G68)/'Data Sheet'!G68,"NA")</f>
        <v>0.4417444131047949</v>
      </c>
      <c r="I14" s="344">
        <f>IFERROR(('Data Sheet'!I68-'Data Sheet'!H68)/'Data Sheet'!H68,"NA")</f>
        <v>8.7509405568096277E-2</v>
      </c>
      <c r="J14" s="344">
        <f>IFERROR(('Data Sheet'!J68-'Data Sheet'!I68)/'Data Sheet'!I68,"NA")</f>
        <v>-0.14087040752784888</v>
      </c>
      <c r="K14" s="344">
        <f>IFERROR(('Data Sheet'!K68-'Data Sheet'!J68)/'Data Sheet'!J68,"NA")</f>
        <v>0.22010147378593861</v>
      </c>
      <c r="L14" s="344">
        <f>IFERROR(('Data Sheet'!K68-'Data Sheet'!J68)/'Data Sheet'!J68,"NA")</f>
        <v>0.22010147378593861</v>
      </c>
      <c r="N14" s="344">
        <f>IFERROR(('Data Sheet'!K68/'Data Sheet'!B68)^(1/(9-1))-1,"NA")</f>
        <v>4.3081746958860245E-2</v>
      </c>
      <c r="O14" s="344">
        <f>IFERROR(('Data Sheet'!K68/'Data Sheet'!G68)^(1/(5-1))-1,"NA")</f>
        <v>0.13225430930650028</v>
      </c>
      <c r="P14" s="344">
        <f>IFERROR(('Data Sheet'!K68/'Data Sheet'!G68)^(1/(3-1))-1,"NA")</f>
        <v>0.2819998209431398</v>
      </c>
      <c r="Q14" s="183" t="str">
        <f>IF(N14&gt;$N$3+0.1,"Bad",IF(N14&lt;$N$3,"Excellent",IF(N14="NA","NA","Good")))</f>
        <v>Excellent</v>
      </c>
    </row>
    <row r="15" spans="1:18">
      <c r="A15" s="342" t="s">
        <v>176</v>
      </c>
      <c r="B15" s="343"/>
      <c r="C15" s="344">
        <f>IFERROR(('Data Sheet'!C57-'Data Sheet'!B57)/'Data Sheet'!B57,"NA")</f>
        <v>0</v>
      </c>
      <c r="D15" s="344">
        <f>IFERROR(('Data Sheet'!D57-'Data Sheet'!C57)/'Data Sheet'!C57,"NA")</f>
        <v>0</v>
      </c>
      <c r="E15" s="344">
        <f>IFERROR(('Data Sheet'!E57-'Data Sheet'!D57)/'Data Sheet'!D57,"NA")</f>
        <v>0</v>
      </c>
      <c r="F15" s="344">
        <f>IFERROR(('Data Sheet'!F57-'Data Sheet'!E57)/'Data Sheet'!E57,"NA")</f>
        <v>0</v>
      </c>
      <c r="G15" s="344">
        <f>IFERROR(('Data Sheet'!G57-'Data Sheet'!F57)/'Data Sheet'!F57,"NA")</f>
        <v>0</v>
      </c>
      <c r="H15" s="344">
        <f>IFERROR(('Data Sheet'!H57-'Data Sheet'!G57)/'Data Sheet'!G57,"NA")</f>
        <v>0</v>
      </c>
      <c r="I15" s="344">
        <f>IFERROR(('Data Sheet'!I57-'Data Sheet'!H57)/'Data Sheet'!H57,"NA")</f>
        <v>0</v>
      </c>
      <c r="J15" s="344">
        <f>IFERROR(('Data Sheet'!J57-'Data Sheet'!I57)/'Data Sheet'!I57,"NA")</f>
        <v>0</v>
      </c>
      <c r="K15" s="344">
        <f>IFERROR(('Data Sheet'!K57-'Data Sheet'!J57)/'Data Sheet'!J57,"NA")</f>
        <v>-2.5510204081632563E-2</v>
      </c>
      <c r="L15" s="344">
        <f>IFERROR(('Data Sheet'!K57-'Data Sheet'!J57)/'Data Sheet'!J57,"NA")</f>
        <v>-2.5510204081632563E-2</v>
      </c>
      <c r="N15" s="344">
        <f>IFERROR(('Data Sheet'!K57/'Data Sheet'!B57)^(1/(9-1))-1,"NA")</f>
        <v>-3.2249425635311191E-3</v>
      </c>
      <c r="O15" s="344">
        <f>IFERROR(('Data Sheet'!K57/'Data Sheet'!G57)^(1/(5-1))-1,"NA")</f>
        <v>-6.4394848725241038E-3</v>
      </c>
      <c r="P15" s="344">
        <f>IFERROR(('Data Sheet'!K57/'Data Sheet'!I57)^(1/(3-1))-1,"NA")</f>
        <v>-1.2837502779624699E-2</v>
      </c>
    </row>
    <row r="16" spans="1:18">
      <c r="A16" s="342" t="s">
        <v>177</v>
      </c>
      <c r="B16" s="343"/>
      <c r="C16" s="344">
        <f>IFERROR(('Data Sheet'!C58-'Data Sheet'!B58)/'Data Sheet'!B58,"NA")</f>
        <v>9.2937155876210292E-2</v>
      </c>
      <c r="D16" s="344">
        <f>IFERROR(('Data Sheet'!D58-'Data Sheet'!C58)/'Data Sheet'!C58,"NA")</f>
        <v>0.13298010944150093</v>
      </c>
      <c r="E16" s="344">
        <f>IFERROR(('Data Sheet'!E58-'Data Sheet'!D58)/'Data Sheet'!D58,"NA")</f>
        <v>0.29983134007973028</v>
      </c>
      <c r="F16" s="344">
        <f>IFERROR(('Data Sheet'!F58-'Data Sheet'!E58)/'Data Sheet'!E58,"NA")</f>
        <v>0.12067236803302847</v>
      </c>
      <c r="G16" s="344">
        <f>IFERROR(('Data Sheet'!G58-'Data Sheet'!F58)/'Data Sheet'!F58,"NA")</f>
        <v>0.12894058207462766</v>
      </c>
      <c r="H16" s="344">
        <f>IFERROR(('Data Sheet'!H58-'Data Sheet'!G58)/'Data Sheet'!G58,"NA")</f>
        <v>0.1843736888723137</v>
      </c>
      <c r="I16" s="344">
        <f>IFERROR(('Data Sheet'!I58-'Data Sheet'!H58)/'Data Sheet'!H58,"NA")</f>
        <v>0.16244194284814603</v>
      </c>
      <c r="J16" s="344">
        <f>IFERROR(('Data Sheet'!J58-'Data Sheet'!I58)/'Data Sheet'!I58,"NA")</f>
        <v>0.11458368604611802</v>
      </c>
      <c r="K16" s="344">
        <f>IFERROR(('Data Sheet'!K58-'Data Sheet'!J58)/'Data Sheet'!J58,"NA")</f>
        <v>0.12057599416714766</v>
      </c>
      <c r="L16" s="344">
        <f>IFERROR(('Data Sheet'!K58-'Data Sheet'!J58)/'Data Sheet'!J58,"NA")</f>
        <v>0.12057599416714766</v>
      </c>
      <c r="N16" s="344">
        <f>IFERROR(('Data Sheet'!K58/'Data Sheet'!B58)^(1/(9-1))-1,"NA")</f>
        <v>0.16958968915775796</v>
      </c>
      <c r="O16" s="344">
        <f>IFERROR(('Data Sheet'!K58/'Data Sheet'!G58)^(1/(5-1))-1,"NA")</f>
        <v>0.14512660475459516</v>
      </c>
      <c r="P16" s="344">
        <f>IFERROR(('Data Sheet'!K58/'Data Sheet'!I58)^(1/(3-1))-1,"NA")</f>
        <v>0.11757582385877186</v>
      </c>
    </row>
    <row r="17" spans="1:17">
      <c r="A17" s="342" t="s">
        <v>178</v>
      </c>
      <c r="B17" s="343"/>
      <c r="C17" s="344">
        <f>IFERROR(('Data Sheet'!C57+'Data Sheet'!C58-'Data Sheet'!B57-'Data Sheet'!B58)/('Data Sheet'!B57+'Data Sheet'!B58),"NA")</f>
        <v>8.8023736737996697E-2</v>
      </c>
      <c r="D17" s="344">
        <f>IFERROR(('Data Sheet'!D57+'Data Sheet'!D58-'Data Sheet'!C57-'Data Sheet'!C58)/('Data Sheet'!C57+'Data Sheet'!C58),"NA")</f>
        <v>0.12651846954797127</v>
      </c>
      <c r="E17" s="344">
        <f>IFERROR(('Data Sheet'!E57+'Data Sheet'!E58-'Data Sheet'!D57-'Data Sheet'!D58)/('Data Sheet'!D57+'Data Sheet'!D58),"NA")</f>
        <v>0.28689847417840386</v>
      </c>
      <c r="F17" s="344">
        <f>IFERROR(('Data Sheet'!F57+'Data Sheet'!F58-'Data Sheet'!E57-'Data Sheet'!E58)/('Data Sheet'!E57+'Data Sheet'!E58),"NA")</f>
        <v>0.11662771475802303</v>
      </c>
      <c r="G17" s="344">
        <f>IFERROR(('Data Sheet'!G57+'Data Sheet'!G58-'Data Sheet'!F57-'Data Sheet'!F58)/('Data Sheet'!F57+'Data Sheet'!F58),"NA")</f>
        <v>0.12507019245494921</v>
      </c>
      <c r="H17" s="344">
        <f>IFERROR(('Data Sheet'!H57+'Data Sheet'!H58-'Data Sheet'!G57-'Data Sheet'!G58)/('Data Sheet'!G57+'Data Sheet'!G58),"NA")</f>
        <v>0.17945460320341219</v>
      </c>
      <c r="I17" s="344">
        <f>IFERROR(('Data Sheet'!I57+'Data Sheet'!I58-'Data Sheet'!H57-'Data Sheet'!H58)/('Data Sheet'!H57+'Data Sheet'!H58),"NA")</f>
        <v>0.158767407863353</v>
      </c>
      <c r="J17" s="344">
        <f>IFERROR(('Data Sheet'!J57+'Data Sheet'!J58-'Data Sheet'!I57-'Data Sheet'!I58)/('Data Sheet'!I57+'Data Sheet'!I58),"NA")</f>
        <v>0.11234686763387682</v>
      </c>
      <c r="K17" s="344">
        <f>IFERROR(('Data Sheet'!K57+'Data Sheet'!K58-'Data Sheet'!J57-'Data Sheet'!J58)/('Data Sheet'!J57+'Data Sheet'!J58),"NA")</f>
        <v>0.11801223697955535</v>
      </c>
      <c r="L17" s="344">
        <f>IFERROR(('Data Sheet'!K57+'Data Sheet'!K58-'Data Sheet'!J57-'Data Sheet'!J58)/('Data Sheet'!J57+'Data Sheet'!J58),"NA")</f>
        <v>0.11801223697955535</v>
      </c>
      <c r="N17" s="344">
        <f>IFERROR((('Data Sheet'!K57+'Data Sheet'!K58)/('Data Sheet'!B57+'Data Sheet'!B58))^(1/(9-1))-1,"NA")</f>
        <v>0.16391606091624378</v>
      </c>
      <c r="O17" s="344">
        <f>IFERROR((('Data Sheet'!K57+'Data Sheet'!K58)/('Data Sheet'!G57+'Data Sheet'!G58))^(1/(5-1))-1,"NA")</f>
        <v>0.14180272094732294</v>
      </c>
      <c r="P17" s="344">
        <f>IFERROR((('Data Sheet'!K57+'Data Sheet'!K58)/('Data Sheet'!I57+'Data Sheet'!I58))^(1/(3-1))-1,"NA")</f>
        <v>0.1151759546280362</v>
      </c>
    </row>
    <row r="18" spans="1:17">
      <c r="A18" s="342" t="s">
        <v>179</v>
      </c>
      <c r="B18" s="343"/>
      <c r="C18" s="344">
        <f>IFERROR(('Data Sheet'!C66-'Data Sheet'!B66)/'Data Sheet'!B66,"NA")</f>
        <v>-4.2634133543224456E-2</v>
      </c>
      <c r="D18" s="344">
        <f>IFERROR(('Data Sheet'!D66-'Data Sheet'!C66)/'Data Sheet'!C66,"NA")</f>
        <v>6.1615054352790764E-2</v>
      </c>
      <c r="E18" s="344">
        <f>IFERROR(('Data Sheet'!E66-'Data Sheet'!D66)/'Data Sheet'!D66,"NA")</f>
        <v>0.16308135782816319</v>
      </c>
      <c r="F18" s="344">
        <f>IFERROR(('Data Sheet'!F66-'Data Sheet'!E66)/'Data Sheet'!E66,"NA")</f>
        <v>-0.18978304696025294</v>
      </c>
      <c r="G18" s="344">
        <f>IFERROR(('Data Sheet'!G66-'Data Sheet'!F66)/'Data Sheet'!F66,"NA")</f>
        <v>-3.5474592521572437E-2</v>
      </c>
      <c r="H18" s="344">
        <f>IFERROR(('Data Sheet'!H66-'Data Sheet'!G66)/'Data Sheet'!G66,"NA")</f>
        <v>7.6327747798920764E-2</v>
      </c>
      <c r="I18" s="344">
        <f>IFERROR(('Data Sheet'!I66-'Data Sheet'!H66)/'Data Sheet'!H66,"NA")</f>
        <v>-1.0796666446775223E-2</v>
      </c>
      <c r="J18" s="344">
        <f>IFERROR(('Data Sheet'!J66-'Data Sheet'!I66)/'Data Sheet'!I66,"NA")</f>
        <v>-5.7351175921397789E-2</v>
      </c>
      <c r="K18" s="344">
        <f>IFERROR(('Data Sheet'!K66-'Data Sheet'!J66)/'Data Sheet'!J66,"NA")</f>
        <v>0.12250624911569115</v>
      </c>
      <c r="L18" s="344">
        <f>IFERROR(('Data Sheet'!K66-'Data Sheet'!J66)/'Data Sheet'!J66,"NA")</f>
        <v>0.12250624911569115</v>
      </c>
      <c r="N18" s="344">
        <f>IFERROR(('Data Sheet'!K66/'Data Sheet'!B66)^(1/(9-1))-1,"NA")</f>
        <v>5.0030118761439368E-3</v>
      </c>
      <c r="O18" s="344">
        <f>IFERROR(('Data Sheet'!K66/'Data Sheet'!G66)^(1/(5-1))-1,"NA")</f>
        <v>3.0248999244479879E-2</v>
      </c>
      <c r="P18" s="344">
        <f>IFERROR(('Data Sheet'!K66/'Data Sheet'!I66)^(1/(3-1))-1,"NA")</f>
        <v>2.8654070010802446E-2</v>
      </c>
    </row>
    <row r="19" spans="1:17">
      <c r="A19" s="342" t="s">
        <v>180</v>
      </c>
      <c r="B19" s="343"/>
      <c r="C19" s="344">
        <f>IFERROR(('Data Sheet'!C62-'Data Sheet'!B62)/'Data Sheet'!B62,"NA")</f>
        <v>6.6881901896760534E-2</v>
      </c>
      <c r="D19" s="344">
        <f>IFERROR(('Data Sheet'!D62-'Data Sheet'!C62)/'Data Sheet'!C62,"NA")</f>
        <v>-6.626547455295749E-2</v>
      </c>
      <c r="E19" s="344">
        <f>IFERROR(('Data Sheet'!E62-'Data Sheet'!D62)/'Data Sheet'!D62,"NA")</f>
        <v>0.22038080506758015</v>
      </c>
      <c r="F19" s="344">
        <f>IFERROR(('Data Sheet'!F62-'Data Sheet'!E62)/'Data Sheet'!E62,"NA")</f>
        <v>-6.4127712225005282E-2</v>
      </c>
      <c r="G19" s="344">
        <f>IFERROR(('Data Sheet'!G62-'Data Sheet'!F62)/'Data Sheet'!F62,"NA")</f>
        <v>-6.0653940410163816E-2</v>
      </c>
      <c r="H19" s="344">
        <f>IFERROR(('Data Sheet'!H62-'Data Sheet'!G62)/'Data Sheet'!G62,"NA")</f>
        <v>-8.410284576567879E-3</v>
      </c>
      <c r="I19" s="344">
        <f>IFERROR(('Data Sheet'!I62-'Data Sheet'!H62)/'Data Sheet'!H62,"NA")</f>
        <v>-6.539500103856534E-2</v>
      </c>
      <c r="J19" s="344">
        <f>IFERROR(('Data Sheet'!J62-'Data Sheet'!I62)/'Data Sheet'!I62,"NA")</f>
        <v>-5.4932029484757713E-2</v>
      </c>
      <c r="K19" s="344">
        <f>IFERROR(('Data Sheet'!K62-'Data Sheet'!J62)/'Data Sheet'!J62,"NA")</f>
        <v>-4.7424943168455731E-3</v>
      </c>
      <c r="L19" s="344">
        <f>IFERROR(('Data Sheet'!K62-'Data Sheet'!J62)/'Data Sheet'!J62,"NA")</f>
        <v>-4.7424943168455731E-3</v>
      </c>
      <c r="N19" s="344">
        <f>IFERROR(('Data Sheet'!K62/'Data Sheet'!B62)^(1/(9-1))-1,"NA")</f>
        <v>-8.8155163743850462E-3</v>
      </c>
      <c r="O19" s="344">
        <f>IFERROR(('Data Sheet'!K62/'Data Sheet'!G62)^(1/(5-1))-1,"NA")</f>
        <v>-3.3749670856404901E-2</v>
      </c>
      <c r="P19" s="344">
        <f>IFERROR(('Data Sheet'!K62/'Data Sheet'!I62)^(1/(3-1))-1,"NA")</f>
        <v>-3.0161873797466598E-2</v>
      </c>
    </row>
    <row r="20" spans="1:17">
      <c r="A20" s="342" t="s">
        <v>181</v>
      </c>
      <c r="B20" s="343"/>
      <c r="C20" s="344">
        <f>IFERROR(('Data Sheet'!C65-'Data Sheet'!B65)/'Data Sheet'!B65,"NA")</f>
        <v>-0.10435632675505582</v>
      </c>
      <c r="D20" s="344">
        <f>IFERROR(('Data Sheet'!D65-'Data Sheet'!C65)/'Data Sheet'!C65,"NA")</f>
        <v>0.31400504809332153</v>
      </c>
      <c r="E20" s="344">
        <f>IFERROR(('Data Sheet'!E65-'Data Sheet'!D65)/'Data Sheet'!D65,"NA")</f>
        <v>8.3272765029591897E-2</v>
      </c>
      <c r="F20" s="344">
        <f>IFERROR(('Data Sheet'!F65-'Data Sheet'!E65)/'Data Sheet'!E65,"NA")</f>
        <v>-0.38708904437841463</v>
      </c>
      <c r="G20" s="344">
        <f>IFERROR(('Data Sheet'!G65-'Data Sheet'!F65)/'Data Sheet'!F65,"NA")</f>
        <v>2.2675736961451181E-2</v>
      </c>
      <c r="H20" s="344">
        <f>IFERROR(('Data Sheet'!H65-'Data Sheet'!G65)/'Data Sheet'!G65,"NA")</f>
        <v>0.26034100466396526</v>
      </c>
      <c r="I20" s="344">
        <f>IFERROR(('Data Sheet'!I65-'Data Sheet'!H65)/'Data Sheet'!H65,"NA")</f>
        <v>9.0754671196311615E-2</v>
      </c>
      <c r="J20" s="344">
        <f>IFERROR(('Data Sheet'!J65-'Data Sheet'!I65)/'Data Sheet'!I65,"NA")</f>
        <v>-6.1123470522803161E-2</v>
      </c>
      <c r="K20" s="344">
        <f>IFERROR(('Data Sheet'!K65-'Data Sheet'!J65)/'Data Sheet'!J65,"NA")</f>
        <v>0.31491025413186419</v>
      </c>
      <c r="L20" s="344">
        <f>IFERROR(('Data Sheet'!K65-'Data Sheet'!J65)/'Data Sheet'!J65,"NA")</f>
        <v>0.31491025413186419</v>
      </c>
      <c r="N20" s="344">
        <f>IFERROR(('Data Sheet'!K65/'Data Sheet'!B65)^(1/(9-1))-1,"NA")</f>
        <v>3.8820831477719198E-2</v>
      </c>
      <c r="O20" s="344">
        <f>IFERROR(('Data Sheet'!K65/'Data Sheet'!G65)^(1/(5-1))-1,"NA")</f>
        <v>0.14137915184101879</v>
      </c>
      <c r="P20" s="344">
        <f>IFERROR(('Data Sheet'!K65/'Data Sheet'!I65)^(1/(3-1))-1,"NA")</f>
        <v>0.11109782466410389</v>
      </c>
    </row>
    <row r="21" spans="1:17">
      <c r="A21" s="342" t="s">
        <v>182</v>
      </c>
      <c r="B21" s="343"/>
      <c r="C21" s="344">
        <f>IFERROR(('Data Sheet'!C59+'Data Sheet'!C60-'Data Sheet'!B59-'Data Sheet'!B60)/('Data Sheet'!B59+'Data Sheet'!B60),"NA")</f>
        <v>-8.4614051305754515E-2</v>
      </c>
      <c r="D21" s="344">
        <f>IFERROR(('Data Sheet'!D59+'Data Sheet'!D60-'Data Sheet'!C59-'Data Sheet'!C60)/('Data Sheet'!C59+'Data Sheet'!C60),"NA")</f>
        <v>3.6828983494808648E-2</v>
      </c>
      <c r="E21" s="344">
        <f>IFERROR(('Data Sheet'!E59+'Data Sheet'!E60-'Data Sheet'!D59-'Data Sheet'!D60)/('Data Sheet'!D59+'Data Sheet'!D60),"NA")</f>
        <v>0.11170633712789919</v>
      </c>
      <c r="F21" s="344">
        <f>IFERROR(('Data Sheet'!F59+'Data Sheet'!F60-'Data Sheet'!E59-'Data Sheet'!E60)/('Data Sheet'!E59+'Data Sheet'!E60),"NA")</f>
        <v>-0.33695652173913054</v>
      </c>
      <c r="G21" s="344">
        <f>IFERROR(('Data Sheet'!G59+'Data Sheet'!G60-'Data Sheet'!F59-'Data Sheet'!F60)/('Data Sheet'!F59+'Data Sheet'!F60),"NA")</f>
        <v>-0.16533839864557953</v>
      </c>
      <c r="H21" s="344">
        <f>IFERROR(('Data Sheet'!H59+'Data Sheet'!H60-'Data Sheet'!G59-'Data Sheet'!G60)/('Data Sheet'!G59+'Data Sheet'!G60),"NA")</f>
        <v>-3.6115371295700846E-2</v>
      </c>
      <c r="I21" s="344">
        <f>IFERROR(('Data Sheet'!I59+'Data Sheet'!I60-'Data Sheet'!H59-'Data Sheet'!H60)/('Data Sheet'!H59+'Data Sheet'!H60),"NA")</f>
        <v>-0.23702715187599444</v>
      </c>
      <c r="J21" s="344">
        <f>IFERROR(('Data Sheet'!J59+'Data Sheet'!J60-'Data Sheet'!I59-'Data Sheet'!I60)/('Data Sheet'!I59+'Data Sheet'!I60),"NA")</f>
        <v>-0.40121089808274474</v>
      </c>
      <c r="K21" s="344">
        <f>IFERROR(('Data Sheet'!K59+'Data Sheet'!K60-'Data Sheet'!J59-'Data Sheet'!J60)/('Data Sheet'!J59+'Data Sheet'!J60),"NA")</f>
        <v>0.13942253679361882</v>
      </c>
      <c r="L21" s="344">
        <f>IFERROR(('Data Sheet'!K59+'Data Sheet'!K60-'Data Sheet'!J59-'Data Sheet'!J60)/('Data Sheet'!J59+'Data Sheet'!J60),"NA")</f>
        <v>0.13942253679361882</v>
      </c>
      <c r="N21" s="344">
        <f>IFERROR((('Data Sheet'!K59+'Data Sheet'!K60)/('Data Sheet'!B59+'Data Sheet'!B60))^(1/(9-1))-1,"NA")</f>
        <v>-0.14225965044819544</v>
      </c>
      <c r="O21" s="344">
        <f>IFERROR((('Data Sheet'!K59+'Data Sheet'!K60)/('Data Sheet'!G59+'Data Sheet'!G60))^(1/(5-1))-1,"NA")</f>
        <v>-0.158366124160223</v>
      </c>
      <c r="P21" s="344">
        <f>IFERROR((('Data Sheet'!K59+'Data Sheet'!K60)/('Data Sheet'!I59+'Data Sheet'!I60))^(1/(3-1))-1,"NA")</f>
        <v>-0.17400133322690425</v>
      </c>
    </row>
    <row r="22" spans="1:17">
      <c r="A22" s="342" t="s">
        <v>183</v>
      </c>
      <c r="B22" s="343"/>
      <c r="C22" s="344">
        <f>IFERROR(('Data Sheet'!C59-'Data Sheet'!B59)/'Data Sheet'!B59,"NA")</f>
        <v>-9.9032951289398208E-2</v>
      </c>
      <c r="D22" s="344">
        <f>IFERROR(('Data Sheet'!D59-'Data Sheet'!C59)/'Data Sheet'!C59,"NA")</f>
        <v>-6.9926455972967608E-2</v>
      </c>
      <c r="E22" s="344">
        <f>IFERROR(('Data Sheet'!E59-'Data Sheet'!D59)/'Data Sheet'!D59,"NA")</f>
        <v>0.11172850059839294</v>
      </c>
      <c r="F22" s="344">
        <f>IFERROR(('Data Sheet'!F59-'Data Sheet'!E59)/'Data Sheet'!E59,"NA")</f>
        <v>-0.41484044598231457</v>
      </c>
      <c r="G22" s="344">
        <f>IFERROR(('Data Sheet'!G59-'Data Sheet'!F59)/'Data Sheet'!F59,"NA")</f>
        <v>-0.38403416557161624</v>
      </c>
      <c r="H22" s="344">
        <f>IFERROR(('Data Sheet'!H59-'Data Sheet'!G59)/'Data Sheet'!G59,"NA")</f>
        <v>6.933333333333333E-2</v>
      </c>
      <c r="I22" s="344">
        <f>IFERROR(('Data Sheet'!I59-'Data Sheet'!H59)/'Data Sheet'!H59,"NA")</f>
        <v>-0.37526184538653362</v>
      </c>
      <c r="J22" s="344">
        <f>IFERROR(('Data Sheet'!J59-'Data Sheet'!I59)/'Data Sheet'!I59,"NA")</f>
        <v>-0.68529458725850234</v>
      </c>
      <c r="K22" s="344">
        <f>IFERROR(('Data Sheet'!K59-'Data Sheet'!J59)/'Data Sheet'!J59,"NA")</f>
        <v>-0.61998985286656516</v>
      </c>
      <c r="L22" s="344">
        <f>IFERROR(('Data Sheet'!K59-'Data Sheet'!J59)/'Data Sheet'!J59,"NA")</f>
        <v>-0.61998985286656516</v>
      </c>
      <c r="N22" s="344">
        <f>IFERROR(('Data Sheet'!K59/'Data Sheet'!B59)^(1/(9-1))-1,"NA")</f>
        <v>-0.36383349314151225</v>
      </c>
      <c r="O22" s="344">
        <f>IFERROR(('Data Sheet'!K59/'Data Sheet'!G59)^(1/(5-1))-1,"NA")</f>
        <v>-0.46834777554266838</v>
      </c>
      <c r="P22" s="344">
        <f>IFERROR(('Data Sheet'!K59/'Data Sheet'!I59)^(1/(3-1))-1,"NA")</f>
        <v>-0.65418032126614767</v>
      </c>
    </row>
    <row r="23" spans="1:17">
      <c r="A23" s="342" t="s">
        <v>184</v>
      </c>
      <c r="B23" s="343"/>
      <c r="C23" s="344">
        <f>IFERROR(('Data Sheet'!C60-'Data Sheet'!B60)/'Data Sheet'!B60,"NA")</f>
        <v>-2.4492234169653536E-2</v>
      </c>
      <c r="D23" s="344">
        <f>IFERROR(('Data Sheet'!D60-'Data Sheet'!C60)/'Data Sheet'!C60,"NA")</f>
        <v>0.44794856093080232</v>
      </c>
      <c r="E23" s="344">
        <f>IFERROR(('Data Sheet'!E60-'Data Sheet'!D60)/'Data Sheet'!D60,"NA")</f>
        <v>0.11165151194755765</v>
      </c>
      <c r="F23" s="344">
        <f>IFERROR(('Data Sheet'!F60-'Data Sheet'!E60)/'Data Sheet'!E60,"NA")</f>
        <v>-0.14428381206011034</v>
      </c>
      <c r="G23" s="344">
        <f>IFERROR(('Data Sheet'!G60-'Data Sheet'!F60)/'Data Sheet'!F60,"NA")</f>
        <v>0.20462376347671443</v>
      </c>
      <c r="H23" s="344">
        <f>IFERROR(('Data Sheet'!H60-'Data Sheet'!G60)/'Data Sheet'!G60,"NA")</f>
        <v>-0.12732976563941684</v>
      </c>
      <c r="I23" s="344">
        <f>IFERROR(('Data Sheet'!I60-'Data Sheet'!H60)/'Data Sheet'!H60,"NA")</f>
        <v>-9.050539226052022E-2</v>
      </c>
      <c r="J23" s="344">
        <f>IFERROR(('Data Sheet'!J60-'Data Sheet'!I60)/'Data Sheet'!I60,"NA")</f>
        <v>-0.19437340153452684</v>
      </c>
      <c r="K23" s="344">
        <f>IFERROR(('Data Sheet'!K60-'Data Sheet'!J60)/'Data Sheet'!J60,"NA")</f>
        <v>0.35541125541125557</v>
      </c>
      <c r="L23" s="344">
        <f>IFERROR(('Data Sheet'!K60-'Data Sheet'!J60)/'Data Sheet'!J60,"NA")</f>
        <v>0.35541125541125557</v>
      </c>
      <c r="N23" s="344">
        <f>IFERROR(('Data Sheet'!K60/'Data Sheet'!B60)^(1/(9-1))-1,"NA")</f>
        <v>4.3214487580134575E-2</v>
      </c>
      <c r="O23" s="344">
        <f>IFERROR(('Data Sheet'!K60/'Data Sheet'!G60)^(1/(5-1))-1,"NA")</f>
        <v>-3.514112950762005E-2</v>
      </c>
      <c r="P23" s="344">
        <f>IFERROR(('Data Sheet'!K60/'Data Sheet'!I60)^(1/(3-1))-1,"NA")</f>
        <v>4.4966678520796943E-2</v>
      </c>
    </row>
    <row r="24" spans="1:17">
      <c r="A24" s="342" t="s">
        <v>185</v>
      </c>
      <c r="B24" s="343"/>
      <c r="C24" s="344">
        <f>'Data Sheet'!C26/Other_input_data!D56</f>
        <v>6.2104539202200819E-2</v>
      </c>
      <c r="D24" s="344">
        <f>'Data Sheet'!D26/Other_input_data!E56</f>
        <v>7.7155378779508718E-2</v>
      </c>
      <c r="E24" s="344">
        <f>'Data Sheet'!E26/Other_input_data!F56</f>
        <v>7.3090503063041309E-2</v>
      </c>
      <c r="F24" s="344">
        <f>'Data Sheet'!F26/Other_input_data!G56</f>
        <v>8.6418160711982453E-2</v>
      </c>
      <c r="G24" s="344">
        <f>'Data Sheet'!G26/Other_input_data!H56</f>
        <v>9.4160859565411412E-2</v>
      </c>
      <c r="H24" s="344">
        <f>'Data Sheet'!H26/Other_input_data!I56</f>
        <v>0.10946479263310946</v>
      </c>
      <c r="I24" s="344">
        <f>'Data Sheet'!I26/Other_input_data!J56</f>
        <v>0.10864170092973291</v>
      </c>
      <c r="J24" s="344">
        <f>'Data Sheet'!J26/Other_input_data!K56</f>
        <v>0.11726895038018344</v>
      </c>
      <c r="K24" s="344">
        <f>'Data Sheet'!K26/Other_input_data!L56</f>
        <v>0.11558303469460088</v>
      </c>
      <c r="L24" s="344">
        <f>'Data Sheet'!K26/Other_input_data!L56</f>
        <v>0.11558303469460088</v>
      </c>
      <c r="N24" s="344"/>
      <c r="O24" s="344"/>
      <c r="P24" s="344"/>
    </row>
    <row r="25" spans="1:17">
      <c r="A25" s="342"/>
      <c r="B25" s="343"/>
      <c r="C25" s="344"/>
      <c r="D25" s="344"/>
      <c r="E25" s="344"/>
      <c r="F25" s="344"/>
      <c r="G25" s="344"/>
      <c r="H25" s="344"/>
      <c r="I25" s="344"/>
      <c r="J25" s="344"/>
      <c r="K25" s="344"/>
      <c r="L25" s="344"/>
      <c r="N25" s="344"/>
      <c r="O25" s="344"/>
      <c r="P25" s="344"/>
    </row>
    <row r="26" spans="1:17">
      <c r="A26" s="337" t="s">
        <v>186</v>
      </c>
      <c r="B26" s="343"/>
      <c r="C26" s="346">
        <f>C1</f>
        <v>39903</v>
      </c>
      <c r="D26" s="346">
        <f t="shared" ref="D26:L26" si="0">D1</f>
        <v>40268</v>
      </c>
      <c r="E26" s="346">
        <f t="shared" si="0"/>
        <v>40633</v>
      </c>
      <c r="F26" s="346">
        <f t="shared" si="0"/>
        <v>40999</v>
      </c>
      <c r="G26" s="346">
        <f t="shared" si="0"/>
        <v>41364</v>
      </c>
      <c r="H26" s="346">
        <f t="shared" si="0"/>
        <v>41729</v>
      </c>
      <c r="I26" s="346">
        <f t="shared" si="0"/>
        <v>42094</v>
      </c>
      <c r="J26" s="346">
        <f t="shared" si="0"/>
        <v>42460</v>
      </c>
      <c r="K26" s="346">
        <f t="shared" si="0"/>
        <v>42825</v>
      </c>
      <c r="L26" s="346" t="str">
        <f t="shared" si="0"/>
        <v>Trailing</v>
      </c>
      <c r="N26" s="341" t="s">
        <v>187</v>
      </c>
      <c r="O26" s="341" t="s">
        <v>188</v>
      </c>
      <c r="P26" s="341" t="s">
        <v>189</v>
      </c>
      <c r="Q26" s="341" t="s">
        <v>190</v>
      </c>
    </row>
    <row r="27" spans="1:17" ht="25.5">
      <c r="A27" s="342" t="s">
        <v>191</v>
      </c>
      <c r="B27" s="343" t="s">
        <v>192</v>
      </c>
      <c r="C27" s="344">
        <f>IFERROR('Profit &amp; Loss'!C5/'Profit &amp; Loss'!C4,"NA")</f>
        <v>0.76905766526019703</v>
      </c>
      <c r="D27" s="344">
        <f>IFERROR('Profit &amp; Loss'!D5/'Profit &amp; Loss'!D4,"NA")</f>
        <v>0.77743067236987551</v>
      </c>
      <c r="E27" s="344">
        <f>IFERROR('Profit &amp; Loss'!E5/'Profit &amp; Loss'!E4,"NA")</f>
        <v>0.69686027296652198</v>
      </c>
      <c r="F27" s="344">
        <f>IFERROR('Profit &amp; Loss'!F5/'Profit &amp; Loss'!F4,"NA")</f>
        <v>0.79883935907970427</v>
      </c>
      <c r="G27" s="344">
        <f>IFERROR('Profit &amp; Loss'!G5/'Profit &amp; Loss'!G4,"NA")</f>
        <v>0.78083913622765777</v>
      </c>
      <c r="H27" s="344">
        <f>IFERROR('Profit &amp; Loss'!H5/'Profit &amp; Loss'!H4,"NA")</f>
        <v>0.78201686312345309</v>
      </c>
      <c r="I27" s="344">
        <f>IFERROR('Profit &amp; Loss'!I5/'Profit &amp; Loss'!I4,"NA")</f>
        <v>0.79855344768369807</v>
      </c>
      <c r="J27" s="344">
        <f>IFERROR('Profit &amp; Loss'!J5/'Profit &amp; Loss'!J4,"NA")</f>
        <v>0.81111065956841555</v>
      </c>
      <c r="K27" s="344">
        <f>IFERROR('Profit &amp; Loss'!K5/'Profit &amp; Loss'!K4,"NA")</f>
        <v>0.80136675122098966</v>
      </c>
      <c r="L27" s="344">
        <f>IFERROR('Profit &amp; Loss'!L5/'Profit &amp; Loss'!L4,"NA")</f>
        <v>0.8076513126609054</v>
      </c>
      <c r="N27" s="344">
        <f>(L27/C27)^(1/(9-1))-1</f>
        <v>6.1393273421355143E-3</v>
      </c>
      <c r="O27" s="344">
        <f>MIN(C27:L27)</f>
        <v>0.69686027296652198</v>
      </c>
      <c r="P27" s="344">
        <f>MAX(C27:L27)</f>
        <v>0.81111065956841555</v>
      </c>
      <c r="Q27" s="194">
        <f>AVERAGE(C27:L27)</f>
        <v>0.78237261401614178</v>
      </c>
    </row>
    <row r="28" spans="1:17" ht="38.25">
      <c r="A28" s="342" t="s">
        <v>193</v>
      </c>
      <c r="B28" s="343" t="s">
        <v>194</v>
      </c>
      <c r="C28" s="194">
        <f>IFERROR((1-C27),"NA")</f>
        <v>0.23094233473980297</v>
      </c>
      <c r="D28" s="194">
        <f t="shared" ref="D28:L28" si="1">IFERROR((1-D27),"NA")</f>
        <v>0.22256932763012449</v>
      </c>
      <c r="E28" s="194">
        <f t="shared" si="1"/>
        <v>0.30313972703347802</v>
      </c>
      <c r="F28" s="194">
        <f t="shared" si="1"/>
        <v>0.20116064092029573</v>
      </c>
      <c r="G28" s="194">
        <f t="shared" si="1"/>
        <v>0.21916086377234223</v>
      </c>
      <c r="H28" s="194">
        <f t="shared" si="1"/>
        <v>0.21798313687654691</v>
      </c>
      <c r="I28" s="194">
        <f t="shared" si="1"/>
        <v>0.20144655231630193</v>
      </c>
      <c r="J28" s="194">
        <f t="shared" si="1"/>
        <v>0.18888934043158445</v>
      </c>
      <c r="K28" s="194">
        <f t="shared" si="1"/>
        <v>0.19863324877901034</v>
      </c>
      <c r="L28" s="194">
        <f t="shared" si="1"/>
        <v>0.1923486873390946</v>
      </c>
      <c r="N28" s="344">
        <f>(L28/C28)^(1/(9-1))-1</f>
        <v>-2.259803153749651E-2</v>
      </c>
      <c r="O28" s="344">
        <f>MIN(C28:L28)</f>
        <v>0.18888934043158445</v>
      </c>
      <c r="P28" s="344">
        <f>MAX(C28:L28)</f>
        <v>0.30313972703347802</v>
      </c>
      <c r="Q28" s="194">
        <f>AVERAGE(C28:L28)</f>
        <v>0.21762738598385814</v>
      </c>
    </row>
    <row r="29" spans="1:17" ht="25.5">
      <c r="A29" s="342" t="s">
        <v>195</v>
      </c>
      <c r="B29" s="343" t="s">
        <v>196</v>
      </c>
      <c r="C29" s="344">
        <f>IFERROR('Profit &amp; Loss'!C9/'Profit &amp; Loss'!C4,"NA")</f>
        <v>9.755274261603375E-2</v>
      </c>
      <c r="D29" s="344">
        <f>IFERROR('Profit &amp; Loss'!D9/'Profit &amp; Loss'!D4,"NA")</f>
        <v>8.0453693468544238E-2</v>
      </c>
      <c r="E29" s="344">
        <f>IFERROR('Profit &amp; Loss'!E9/'Profit &amp; Loss'!E4,"NA")</f>
        <v>4.7401921782238822E-2</v>
      </c>
      <c r="F29" s="344">
        <f>IFERROR('Profit &amp; Loss'!F9/'Profit &amp; Loss'!F4,"NA")</f>
        <v>5.1561216105176659E-2</v>
      </c>
      <c r="G29" s="344">
        <f>IFERROR('Profit &amp; Loss'!G9/'Profit &amp; Loss'!G4,"NA")</f>
        <v>4.8694034540838128E-2</v>
      </c>
      <c r="H29" s="344">
        <f>IFERROR('Profit &amp; Loss'!H9/'Profit &amp; Loss'!H4,"NA")</f>
        <v>2.6993581945551407E-2</v>
      </c>
      <c r="I29" s="344">
        <f>IFERROR('Profit &amp; Loss'!I9/'Profit &amp; Loss'!I4,"NA")</f>
        <v>1.4485726407661069E-2</v>
      </c>
      <c r="J29" s="344">
        <f>IFERROR('Profit &amp; Loss'!J9/'Profit &amp; Loss'!J4,"NA")</f>
        <v>1.192750030479132E-2</v>
      </c>
      <c r="K29" s="344">
        <f>IFERROR('Profit &amp; Loss'!K9/'Profit &amp; Loss'!K4,"NA")</f>
        <v>8.3860220346041719E-3</v>
      </c>
      <c r="L29" s="344">
        <f>IFERROR('Profit &amp; Loss'!L9/'Profit &amp; Loss'!L4,"NA")</f>
        <v>1.0051981699817983E-2</v>
      </c>
      <c r="N29" s="344">
        <f>(L29/C29)^(1/(9-1))-1</f>
        <v>-0.2472920107047365</v>
      </c>
      <c r="O29" s="344">
        <f>MIN(C29:L29)</f>
        <v>8.3860220346041719E-3</v>
      </c>
      <c r="P29" s="344">
        <f>MAX(C29:L29)</f>
        <v>9.755274261603375E-2</v>
      </c>
      <c r="Q29" s="194">
        <f>AVERAGE(C29:L29)</f>
        <v>3.9750842090525748E-2</v>
      </c>
    </row>
    <row r="30" spans="1:17" ht="25.5">
      <c r="A30" s="342" t="s">
        <v>197</v>
      </c>
      <c r="B30" s="343" t="s">
        <v>198</v>
      </c>
      <c r="C30" s="344">
        <f>IFERROR('Profit &amp; Loss'!C10/'Profit &amp; Loss'!C4,"NA")</f>
        <v>7.4036568213783405E-2</v>
      </c>
      <c r="D30" s="344">
        <f>IFERROR('Profit &amp; Loss'!D10/'Profit &amp; Loss'!D4,"NA")</f>
        <v>0.11385591387513819</v>
      </c>
      <c r="E30" s="344">
        <f>IFERROR('Profit &amp; Loss'!E10/'Profit &amp; Loss'!E4,"NA")</f>
        <v>0.18302833710753413</v>
      </c>
      <c r="F30" s="344">
        <f>IFERROR('Profit &amp; Loss'!F10/'Profit &amp; Loss'!F4,"NA")</f>
        <v>8.2554437140509446E-2</v>
      </c>
      <c r="G30" s="344">
        <f>IFERROR('Profit &amp; Loss'!G10/'Profit &amp; Loss'!G4,"NA")</f>
        <v>0.10221473641871338</v>
      </c>
      <c r="H30" s="344">
        <f>IFERROR('Profit &amp; Loss'!H10/'Profit &amp; Loss'!H4,"NA")</f>
        <v>0.1251310877134108</v>
      </c>
      <c r="I30" s="344">
        <f>IFERROR('Profit &amp; Loss'!I10/'Profit &amp; Loss'!I4,"NA")</f>
        <v>0.12883609107622684</v>
      </c>
      <c r="J30" s="344">
        <f>IFERROR('Profit &amp; Loss'!J10/'Profit &amp; Loss'!J4,"NA")</f>
        <v>0.11980330800178811</v>
      </c>
      <c r="K30" s="344">
        <f>IFERROR('Profit &amp; Loss'!K10/'Profit &amp; Loss'!K4,"NA")</f>
        <v>0.13618294021883162</v>
      </c>
      <c r="L30" s="344">
        <f>IFERROR('Profit &amp; Loss'!L10/'Profit &amp; Loss'!L4,"NA")</f>
        <v>0.13664463866979321</v>
      </c>
      <c r="N30" s="344">
        <f>(L30/C30)^(1/(9-1))-1</f>
        <v>7.9613457849108338E-2</v>
      </c>
      <c r="O30" s="344">
        <f>MIN(C30:L30)</f>
        <v>7.4036568213783405E-2</v>
      </c>
      <c r="P30" s="344">
        <f>MAX(C30:L30)</f>
        <v>0.18302833710753413</v>
      </c>
      <c r="Q30" s="194">
        <f>AVERAGE(C30:L30)</f>
        <v>0.12022880584357291</v>
      </c>
    </row>
    <row r="31" spans="1:17" ht="25.5">
      <c r="A31" s="342" t="s">
        <v>199</v>
      </c>
      <c r="B31" s="343" t="s">
        <v>200</v>
      </c>
      <c r="C31" s="344">
        <f>IFERROR('Profit &amp; Loss'!C12/'Profit &amp; Loss'!C4,"NA")</f>
        <v>5.2995780590717301E-2</v>
      </c>
      <c r="D31" s="344">
        <f>IFERROR('Profit &amp; Loss'!D12/'Profit &amp; Loss'!D4,"NA")</f>
        <v>8.9056567501321682E-2</v>
      </c>
      <c r="E31" s="344">
        <f>IFERROR('Profit &amp; Loss'!E12/'Profit &amp; Loss'!E4,"NA")</f>
        <v>0.12987330926005264</v>
      </c>
      <c r="F31" s="344">
        <f>IFERROR('Profit &amp; Loss'!F12/'Profit &amp; Loss'!F4,"NA")</f>
        <v>6.1318816762530814E-2</v>
      </c>
      <c r="G31" s="344">
        <f>IFERROR('Profit &amp; Loss'!G12/'Profit &amp; Loss'!G4,"NA")</f>
        <v>7.7880288594484523E-2</v>
      </c>
      <c r="H31" s="344">
        <f>IFERROR('Profit &amp; Loss'!H12/'Profit &amp; Loss'!H4,"NA")</f>
        <v>0.10096900037753262</v>
      </c>
      <c r="I31" s="344">
        <f>IFERROR('Profit &amp; Loss'!I12/'Profit &amp; Loss'!I4,"NA")</f>
        <v>0.10340020607309533</v>
      </c>
      <c r="J31" s="344">
        <f>IFERROR('Profit &amp; Loss'!J12/'Profit &amp; Loss'!J4,"NA")</f>
        <v>9.0340147112610236E-2</v>
      </c>
      <c r="K31" s="344">
        <f>IFERROR('Profit &amp; Loss'!K12/'Profit &amp; Loss'!K4,"NA")</f>
        <v>0.10534585242115625</v>
      </c>
      <c r="L31" s="344">
        <f>IFERROR('Profit &amp; Loss'!L12/'Profit &amp; Loss'!L4,"NA")</f>
        <v>0.10399619566108587</v>
      </c>
      <c r="M31" s="347">
        <f>AVERAGE(J31:L31)</f>
        <v>9.9894065064950785E-2</v>
      </c>
      <c r="N31" s="344">
        <f>(L31/C31)^(1/(9-1))-1</f>
        <v>8.7920148073380444E-2</v>
      </c>
      <c r="O31" s="344">
        <f>MIN(C31:L31)</f>
        <v>5.2995780590717301E-2</v>
      </c>
      <c r="P31" s="344">
        <f>MAX(C31:L31)</f>
        <v>0.12987330926005264</v>
      </c>
      <c r="Q31" s="194">
        <f>AVERAGE(C31:L31)</f>
        <v>9.1517616435458721E-2</v>
      </c>
    </row>
    <row r="32" spans="1:17">
      <c r="A32" s="342" t="s">
        <v>133</v>
      </c>
      <c r="B32" s="343"/>
      <c r="C32" s="344">
        <f>'Data Sheet'!C29/'Data Sheet'!C28</f>
        <v>0.28419452887537994</v>
      </c>
      <c r="D32" s="344">
        <f>'Data Sheet'!D29/'Data Sheet'!D28</f>
        <v>0.21781342338539467</v>
      </c>
      <c r="E32" s="344">
        <f>'Data Sheet'!E29/'Data Sheet'!E28</f>
        <v>0.29041966226383548</v>
      </c>
      <c r="F32" s="344">
        <f>'Data Sheet'!F29/'Data Sheet'!F28</f>
        <v>0.25723172628304819</v>
      </c>
      <c r="G32" s="344">
        <f>'Data Sheet'!G29/'Data Sheet'!G28</f>
        <v>0.23807181505164782</v>
      </c>
      <c r="H32" s="344">
        <f>'Data Sheet'!H29/'Data Sheet'!H28</f>
        <v>0.19309420046932618</v>
      </c>
      <c r="I32" s="344">
        <f>'Data Sheet'!I29/'Data Sheet'!I28</f>
        <v>0.19742825780147402</v>
      </c>
      <c r="J32" s="344">
        <f>'Data Sheet'!J29/'Data Sheet'!J28</f>
        <v>0.24592944369063771</v>
      </c>
      <c r="K32" s="344">
        <f>'Data Sheet'!K29/'Data Sheet'!K28</f>
        <v>0.22643869891576313</v>
      </c>
      <c r="L32" s="344">
        <f>'Data Sheet'!K29/'Data Sheet'!K28</f>
        <v>0.22643869891576313</v>
      </c>
      <c r="N32" s="344"/>
      <c r="O32" s="344"/>
      <c r="P32" s="344"/>
      <c r="Q32" s="194"/>
    </row>
    <row r="33" spans="1:17">
      <c r="A33" s="342" t="s">
        <v>201</v>
      </c>
      <c r="B33" s="343"/>
      <c r="C33" s="344">
        <f>'Data Sheet'!C67/'Data Sheet'!C17</f>
        <v>4.0618846694796061E-2</v>
      </c>
      <c r="D33" s="344">
        <f>'Data Sheet'!D67/'Data Sheet'!D17</f>
        <v>0.11371173162877878</v>
      </c>
      <c r="E33" s="344">
        <f>'Data Sheet'!E67/'Data Sheet'!E17</f>
        <v>6.4783646489993282E-2</v>
      </c>
      <c r="F33" s="344">
        <f>'Data Sheet'!F67/'Data Sheet'!F17</f>
        <v>2.7038824979457681E-2</v>
      </c>
      <c r="G33" s="344">
        <f>'Data Sheet'!G67/'Data Sheet'!G17</f>
        <v>1.6415696724402323E-2</v>
      </c>
      <c r="H33" s="344">
        <f>'Data Sheet'!H67/'Data Sheet'!H17</f>
        <v>1.1955199463064727E-2</v>
      </c>
      <c r="I33" s="344">
        <f>'Data Sheet'!I67/'Data Sheet'!I17</f>
        <v>1.2202759763217972E-2</v>
      </c>
      <c r="J33" s="344">
        <f>'Data Sheet'!J67/'Data Sheet'!J17</f>
        <v>3.7590929410330397E-2</v>
      </c>
      <c r="K33" s="344">
        <f>'Data Sheet'!K67/'Data Sheet'!K17</f>
        <v>7.7689016772044067E-2</v>
      </c>
      <c r="L33" s="344">
        <f>'Data Sheet'!K67/'Data Sheet'!K17</f>
        <v>7.7689016772044067E-2</v>
      </c>
      <c r="N33" s="344"/>
      <c r="O33" s="344"/>
      <c r="P33" s="344"/>
      <c r="Q33" s="194">
        <f>AVERAGE(H33:L33)</f>
        <v>4.3425384436140246E-2</v>
      </c>
    </row>
    <row r="34" spans="1:17">
      <c r="A34" s="342" t="s">
        <v>202</v>
      </c>
      <c r="B34" s="343"/>
      <c r="C34" s="348">
        <f>'Data Sheet'!C68/'Data Sheet'!C17</f>
        <v>0.61277074542897325</v>
      </c>
      <c r="D34" s="348">
        <f>'Data Sheet'!D68/'Data Sheet'!D17</f>
        <v>0.65660594992069976</v>
      </c>
      <c r="E34" s="348">
        <f>'Data Sheet'!E68/'Data Sheet'!E17</f>
        <v>0.46034029010343358</v>
      </c>
      <c r="F34" s="348">
        <f>'Data Sheet'!F68/'Data Sheet'!F17</f>
        <v>0.21240755957271981</v>
      </c>
      <c r="G34" s="348">
        <f>'Data Sheet'!G68/'Data Sheet'!G17</f>
        <v>0.23173030996254307</v>
      </c>
      <c r="H34" s="348">
        <f>'Data Sheet'!H68/'Data Sheet'!H17</f>
        <v>0.27874491379671967</v>
      </c>
      <c r="I34" s="348">
        <f>'Data Sheet'!I68/'Data Sheet'!I17</f>
        <v>0.29199749479766451</v>
      </c>
      <c r="J34" s="348">
        <f>'Data Sheet'!J68/'Data Sheet'!J17</f>
        <v>0.25230625431787701</v>
      </c>
      <c r="K34" s="348">
        <f>'Data Sheet'!K68/'Data Sheet'!K17</f>
        <v>0.28679059554007497</v>
      </c>
      <c r="L34" s="349">
        <f>'Data Sheet'!K68/'Data Sheet'!K17</f>
        <v>0.28679059554007497</v>
      </c>
      <c r="N34" s="344"/>
      <c r="O34" s="344"/>
      <c r="P34" s="344"/>
      <c r="Q34" s="194">
        <f>AVERAGE(H34:L34)</f>
        <v>0.2793259707984822</v>
      </c>
    </row>
    <row r="35" spans="1:17">
      <c r="A35" s="342" t="s">
        <v>203</v>
      </c>
      <c r="B35" s="343"/>
      <c r="C35" s="344">
        <f>C48/'Data Sheet'!C17</f>
        <v>0.4572151898734178</v>
      </c>
      <c r="D35" s="344">
        <f>D48/'Data Sheet'!D17</f>
        <v>0.47118758110251363</v>
      </c>
      <c r="E35" s="344">
        <f>E48/'Data Sheet'!E17</f>
        <v>0.31678805312442626</v>
      </c>
      <c r="F35" s="344">
        <f>F48/'Data Sheet'!F17</f>
        <v>9.7370583401807723E-2</v>
      </c>
      <c r="G35" s="344">
        <f>G48/'Data Sheet'!G17</f>
        <v>5.6336257824480242E-2</v>
      </c>
      <c r="H35" s="344">
        <f>H48/'Data Sheet'!H17</f>
        <v>0.14736356390788205</v>
      </c>
      <c r="I35" s="344">
        <f>I48/'Data Sheet'!I17</f>
        <v>0.18946602824413603</v>
      </c>
      <c r="J35" s="344">
        <f>J48/'Data Sheet'!J17</f>
        <v>0.20219856138497178</v>
      </c>
      <c r="K35" s="344">
        <f>K48/'Data Sheet'!K17</f>
        <v>0.2423806458940673</v>
      </c>
      <c r="L35" s="350">
        <f>K48/'Data Sheet'!K17</f>
        <v>0.2423806458940673</v>
      </c>
      <c r="N35" s="344">
        <f>IFERROR((L35/G35)^(1/(5-1))-1,-0.1)</f>
        <v>0.44021551717792962</v>
      </c>
      <c r="O35" s="344"/>
      <c r="P35" s="344"/>
      <c r="Q35" s="194"/>
    </row>
    <row r="36" spans="1:17">
      <c r="A36" s="337" t="s">
        <v>204</v>
      </c>
      <c r="B36" s="343"/>
      <c r="C36" s="351">
        <f>C1</f>
        <v>39903</v>
      </c>
      <c r="D36" s="351">
        <f t="shared" ref="D36:L36" si="2">D1</f>
        <v>40268</v>
      </c>
      <c r="E36" s="351">
        <f t="shared" si="2"/>
        <v>40633</v>
      </c>
      <c r="F36" s="351">
        <f t="shared" si="2"/>
        <v>40999</v>
      </c>
      <c r="G36" s="351">
        <f t="shared" si="2"/>
        <v>41364</v>
      </c>
      <c r="H36" s="351">
        <f t="shared" si="2"/>
        <v>41729</v>
      </c>
      <c r="I36" s="351">
        <f t="shared" si="2"/>
        <v>42094</v>
      </c>
      <c r="J36" s="351">
        <f t="shared" si="2"/>
        <v>42460</v>
      </c>
      <c r="K36" s="351">
        <f t="shared" si="2"/>
        <v>42825</v>
      </c>
      <c r="L36" s="351" t="str">
        <f t="shared" si="2"/>
        <v>Trailing</v>
      </c>
      <c r="N36" s="344"/>
      <c r="O36" s="344"/>
      <c r="P36" s="344"/>
    </row>
    <row r="37" spans="1:17">
      <c r="A37" s="342" t="s">
        <v>205</v>
      </c>
      <c r="B37" s="343"/>
      <c r="C37" s="352"/>
      <c r="D37" s="352"/>
      <c r="E37" s="352"/>
      <c r="F37" s="352"/>
      <c r="G37" s="353"/>
      <c r="H37" s="353"/>
      <c r="I37" s="353"/>
      <c r="J37" s="353"/>
      <c r="K37" s="353"/>
      <c r="L37" s="353"/>
      <c r="N37" s="344"/>
      <c r="O37" s="344"/>
      <c r="P37" s="344"/>
    </row>
    <row r="38" spans="1:17">
      <c r="A38" s="342" t="s">
        <v>206</v>
      </c>
      <c r="B38" s="343"/>
      <c r="C38" s="352"/>
      <c r="D38" s="352"/>
      <c r="E38" s="352"/>
      <c r="F38" s="352"/>
      <c r="G38" s="353"/>
      <c r="H38" s="353"/>
      <c r="I38" s="353"/>
      <c r="J38" s="353"/>
      <c r="K38" s="353"/>
      <c r="L38" s="353"/>
      <c r="N38" s="344"/>
      <c r="O38" s="344"/>
      <c r="P38" s="344"/>
    </row>
    <row r="39" spans="1:17">
      <c r="A39" s="342" t="s">
        <v>207</v>
      </c>
      <c r="B39" s="343" t="s">
        <v>208</v>
      </c>
      <c r="C39" s="351"/>
      <c r="D39" s="351"/>
      <c r="E39" s="351"/>
      <c r="F39" s="351"/>
      <c r="G39" s="351"/>
      <c r="H39" s="351"/>
      <c r="I39" s="351"/>
      <c r="J39" s="351"/>
      <c r="K39" s="351"/>
      <c r="L39" s="351"/>
      <c r="N39" s="344"/>
      <c r="O39" s="344"/>
      <c r="P39" s="344"/>
    </row>
    <row r="40" spans="1:17" ht="25.5">
      <c r="A40" s="342" t="s">
        <v>209</v>
      </c>
      <c r="B40" s="343" t="s">
        <v>210</v>
      </c>
      <c r="C40" s="354">
        <f>'Data Sheet'!C90</f>
        <v>51.241667</v>
      </c>
      <c r="D40" s="354">
        <f>'Data Sheet'!D90</f>
        <v>168.31428600000001</v>
      </c>
      <c r="E40" s="354">
        <f>'Data Sheet'!E90</f>
        <v>218.2</v>
      </c>
      <c r="F40" s="354">
        <f>'Data Sheet'!F90</f>
        <v>146.73421099999999</v>
      </c>
      <c r="G40" s="354">
        <f>'Data Sheet'!G90</f>
        <v>198.59722199999999</v>
      </c>
      <c r="H40" s="354">
        <f>'Data Sheet'!H90</f>
        <v>294.52631600000001</v>
      </c>
      <c r="I40" s="354">
        <f>'Data Sheet'!I90</f>
        <v>869.3</v>
      </c>
      <c r="J40" s="354">
        <f>'Data Sheet'!J90</f>
        <v>844.25</v>
      </c>
      <c r="K40" s="354">
        <f>'Data Sheet'!K90</f>
        <v>1363.4605260000001</v>
      </c>
      <c r="L40" s="355">
        <f>'Data Sheet'!K90</f>
        <v>1363.4605260000001</v>
      </c>
      <c r="N40" s="344">
        <f>(L40/I40)^(1/(3-1))-1</f>
        <v>0.2523809263100818</v>
      </c>
      <c r="O40" s="344"/>
      <c r="P40" s="344"/>
    </row>
    <row r="41" spans="1:17">
      <c r="A41" s="342" t="s">
        <v>211</v>
      </c>
      <c r="B41" s="356" t="s">
        <v>212</v>
      </c>
      <c r="C41" s="357">
        <f>'Data Sheet'!C70/10000000</f>
        <v>0.58750000000000002</v>
      </c>
      <c r="D41" s="357">
        <f>'Data Sheet'!D70/10000000</f>
        <v>0.58750000000000002</v>
      </c>
      <c r="E41" s="357">
        <f>'Data Sheet'!E70/10000000</f>
        <v>0.58750000000000002</v>
      </c>
      <c r="F41" s="357">
        <f>'Data Sheet'!F70/10000000</f>
        <v>0.58750000000000002</v>
      </c>
      <c r="G41" s="357">
        <f>'Data Sheet'!G70/10000000</f>
        <v>0.58750000000000002</v>
      </c>
      <c r="H41" s="357">
        <f>'Data Sheet'!H70/10000000</f>
        <v>0.58750000000000002</v>
      </c>
      <c r="I41" s="357">
        <f>'Data Sheet'!I70/10000000</f>
        <v>0.58750000000000002</v>
      </c>
      <c r="J41" s="357">
        <f>'Data Sheet'!J70/10000000</f>
        <v>0.58750000000000002</v>
      </c>
      <c r="K41" s="357">
        <f>'Data Sheet'!K70/10000000</f>
        <v>0.57250000000000001</v>
      </c>
      <c r="L41" s="358">
        <f>'Data Sheet'!K70/10000000</f>
        <v>0.57250000000000001</v>
      </c>
      <c r="N41" s="344">
        <f>(L41/C41)^(1/(9-1))-1</f>
        <v>-3.2277185041941214E-3</v>
      </c>
      <c r="O41" s="344"/>
      <c r="P41" s="344"/>
    </row>
    <row r="42" spans="1:17" ht="25.5">
      <c r="A42" s="342" t="s">
        <v>117</v>
      </c>
      <c r="B42" s="343" t="s">
        <v>213</v>
      </c>
      <c r="C42" s="359">
        <f>'Data Sheet'!C70*'Financial Analysis'!C40/10000000</f>
        <v>30.104479362500001</v>
      </c>
      <c r="D42" s="359">
        <f>'Data Sheet'!D70*'Financial Analysis'!D40/10000000</f>
        <v>98.884643025000003</v>
      </c>
      <c r="E42" s="359">
        <f>'Data Sheet'!E70*'Financial Analysis'!E40/10000000</f>
        <v>128.1925</v>
      </c>
      <c r="F42" s="359">
        <f>'Data Sheet'!F70*'Financial Analysis'!F40/10000000</f>
        <v>86.206348962499987</v>
      </c>
      <c r="G42" s="359">
        <f>'Data Sheet'!G70*'Financial Analysis'!G40/10000000</f>
        <v>116.67586792500001</v>
      </c>
      <c r="H42" s="359">
        <f>'Data Sheet'!H70*'Financial Analysis'!H40/10000000</f>
        <v>173.03421065000001</v>
      </c>
      <c r="I42" s="359">
        <f>'Data Sheet'!I70*'Financial Analysis'!I40/10000000</f>
        <v>510.71375</v>
      </c>
      <c r="J42" s="359">
        <f>'Data Sheet'!J70*'Financial Analysis'!J40/10000000</f>
        <v>495.99687499999999</v>
      </c>
      <c r="K42" s="359">
        <f>'Data Sheet'!K70*'Financial Analysis'!K40/10000000</f>
        <v>780.58115113500003</v>
      </c>
      <c r="L42" s="359">
        <f>'Data Sheet'!K70*'Financial Analysis'!L40/10000000</f>
        <v>780.58115113500003</v>
      </c>
      <c r="N42" s="344">
        <f>(L42/I42)^(1/(3-1))-1</f>
        <v>0.23628971071050042</v>
      </c>
      <c r="O42" s="344" t="s">
        <v>214</v>
      </c>
      <c r="P42" s="344" t="s">
        <v>215</v>
      </c>
      <c r="Q42" s="211" t="s">
        <v>216</v>
      </c>
    </row>
    <row r="43" spans="1:17">
      <c r="A43" s="342" t="s">
        <v>217</v>
      </c>
      <c r="B43" s="343" t="s">
        <v>212</v>
      </c>
      <c r="C43" s="360">
        <f>'Data Sheet'!C31</f>
        <v>1.175</v>
      </c>
      <c r="D43" s="360">
        <f>'Data Sheet'!D31</f>
        <v>1.7625</v>
      </c>
      <c r="E43" s="360">
        <f>'Data Sheet'!E31</f>
        <v>2.9375</v>
      </c>
      <c r="F43" s="360">
        <f>'Data Sheet'!F31</f>
        <v>2.9375</v>
      </c>
      <c r="G43" s="360">
        <f>'Data Sheet'!G31</f>
        <v>5.5812499999999998</v>
      </c>
      <c r="H43" s="360">
        <f>'Data Sheet'!H31</f>
        <v>7.34375</v>
      </c>
      <c r="I43" s="360">
        <f>'Data Sheet'!I31</f>
        <v>8.2249999999999996</v>
      </c>
      <c r="J43" s="360">
        <f>'Data Sheet'!J31</f>
        <v>8.8125</v>
      </c>
      <c r="K43" s="360">
        <f>'Data Sheet'!K31</f>
        <v>0</v>
      </c>
      <c r="L43" s="360">
        <f>'Data Sheet'!K31</f>
        <v>0</v>
      </c>
      <c r="N43" s="344">
        <f>(L43/C43)^(1/(9-1))-1</f>
        <v>-1</v>
      </c>
      <c r="O43" s="361">
        <f t="shared" ref="O43:O55" si="3">SUM(D43:L43)</f>
        <v>37.6</v>
      </c>
      <c r="P43" s="361">
        <f t="shared" ref="P43:P55" si="4">SUM(H43:L43)</f>
        <v>24.381250000000001</v>
      </c>
      <c r="Q43" s="362">
        <f t="shared" ref="Q43:Q55" si="5">SUM(J43:L43)</f>
        <v>8.8125</v>
      </c>
    </row>
    <row r="44" spans="1:17">
      <c r="A44" s="342" t="s">
        <v>218</v>
      </c>
      <c r="B44" s="343" t="s">
        <v>212</v>
      </c>
      <c r="C44" s="361">
        <f>'Cash Flow'!C4</f>
        <v>50.79</v>
      </c>
      <c r="D44" s="361">
        <f>'Cash Flow'!D4</f>
        <v>38.630000000000003</v>
      </c>
      <c r="E44" s="361">
        <f>'Cash Flow'!E4</f>
        <v>72.69</v>
      </c>
      <c r="F44" s="361">
        <f>'Cash Flow'!F4</f>
        <v>135.4</v>
      </c>
      <c r="G44" s="361">
        <f>'Cash Flow'!G4</f>
        <v>87.41</v>
      </c>
      <c r="H44" s="361">
        <f>'Cash Flow'!H4</f>
        <v>37.82</v>
      </c>
      <c r="I44" s="361">
        <f>'Cash Flow'!I4</f>
        <v>42.95</v>
      </c>
      <c r="J44" s="361">
        <f>'Cash Flow'!J4</f>
        <v>66.98</v>
      </c>
      <c r="K44" s="361">
        <f>'Cash Flow'!K4</f>
        <v>68.540000000000006</v>
      </c>
      <c r="L44" s="361">
        <f>'Cash Flow'!K4</f>
        <v>68.540000000000006</v>
      </c>
      <c r="N44" s="344">
        <f>(L44/C44)^(1/(9-1))-1</f>
        <v>3.817540485905746E-2</v>
      </c>
      <c r="O44" s="361">
        <f t="shared" si="3"/>
        <v>618.95999999999992</v>
      </c>
      <c r="P44" s="361">
        <f t="shared" si="4"/>
        <v>284.83000000000004</v>
      </c>
      <c r="Q44" s="362">
        <f t="shared" si="5"/>
        <v>204.06</v>
      </c>
    </row>
    <row r="45" spans="1:17" ht="38.25">
      <c r="A45" s="342" t="s">
        <v>219</v>
      </c>
      <c r="B45" s="343" t="s">
        <v>220</v>
      </c>
      <c r="C45" s="361">
        <f>('Data Sheet'!C62-'Data Sheet'!B62)+('Data Sheet'!C63-'Data Sheet'!B63)+'Data Sheet'!C26</f>
        <v>15.740000000000016</v>
      </c>
      <c r="D45" s="361">
        <f>('Data Sheet'!D62-'Data Sheet'!C62)+('Data Sheet'!D63-'Data Sheet'!C63)+'Data Sheet'!D26</f>
        <v>1.9599999999999618</v>
      </c>
      <c r="E45" s="361">
        <f>('Data Sheet'!E62-'Data Sheet'!D62)+('Data Sheet'!E63-'Data Sheet'!D63)+'Data Sheet'!E26</f>
        <v>83.980000000000032</v>
      </c>
      <c r="F45" s="361">
        <f>('Data Sheet'!F62-'Data Sheet'!E62)+('Data Sheet'!F63-'Data Sheet'!E63)+'Data Sheet'!F26</f>
        <v>4.9700000000000024</v>
      </c>
      <c r="G45" s="361">
        <f>('Data Sheet'!G62-'Data Sheet'!F62)+('Data Sheet'!G63-'Data Sheet'!F63)+'Data Sheet'!G26</f>
        <v>8.9799999999999969</v>
      </c>
      <c r="H45" s="361">
        <f>('Data Sheet'!H62-'Data Sheet'!G62)+('Data Sheet'!H63-'Data Sheet'!G63)+'Data Sheet'!H26</f>
        <v>29.810000000000013</v>
      </c>
      <c r="I45" s="361">
        <f>('Data Sheet'!I62-'Data Sheet'!H62)+('Data Sheet'!I63-'Data Sheet'!H63)+'Data Sheet'!I26</f>
        <v>9.4500000000000135</v>
      </c>
      <c r="J45" s="361">
        <f>('Data Sheet'!J62-'Data Sheet'!I62)+('Data Sheet'!J63-'Data Sheet'!I63)+'Data Sheet'!J26</f>
        <v>15.079999999999961</v>
      </c>
      <c r="K45" s="361">
        <f>('Data Sheet'!K62-'Data Sheet'!J62)+('Data Sheet'!K63-'Data Sheet'!J63)+'Data Sheet'!K26</f>
        <v>28.140000000000022</v>
      </c>
      <c r="L45" s="361">
        <f>('Data Sheet'!K62-'Data Sheet'!J62)+('Data Sheet'!K63-'Data Sheet'!J63)+'Data Sheet'!K26</f>
        <v>28.140000000000022</v>
      </c>
      <c r="N45" s="352">
        <f>SUM(D45:L45)/COUNT(D45:L45)</f>
        <v>23.39</v>
      </c>
      <c r="O45" s="361">
        <f t="shared" si="3"/>
        <v>210.51</v>
      </c>
      <c r="P45" s="361">
        <f t="shared" si="4"/>
        <v>110.62000000000003</v>
      </c>
      <c r="Q45" s="362">
        <f t="shared" si="5"/>
        <v>71.360000000000014</v>
      </c>
    </row>
    <row r="46" spans="1:17" ht="25.5">
      <c r="A46" s="342" t="s">
        <v>221</v>
      </c>
      <c r="B46" s="343" t="s">
        <v>222</v>
      </c>
      <c r="C46" s="361">
        <f>'Data Sheet'!C82-'Financial Analysis'!C45</f>
        <v>35.049999999999983</v>
      </c>
      <c r="D46" s="361">
        <f>'Data Sheet'!D82-'Financial Analysis'!D45</f>
        <v>36.670000000000044</v>
      </c>
      <c r="E46" s="361">
        <f>'Data Sheet'!E82-'Financial Analysis'!E45</f>
        <v>-11.290000000000035</v>
      </c>
      <c r="F46" s="361">
        <f>'Data Sheet'!F82-'Financial Analysis'!F45</f>
        <v>130.43</v>
      </c>
      <c r="G46" s="361">
        <f>'Data Sheet'!G82-'Financial Analysis'!G45</f>
        <v>78.430000000000007</v>
      </c>
      <c r="H46" s="361">
        <f>'Data Sheet'!H82-'Financial Analysis'!H45</f>
        <v>8.0099999999999874</v>
      </c>
      <c r="I46" s="361">
        <f>'Data Sheet'!I82-'Financial Analysis'!I45</f>
        <v>33.499999999999986</v>
      </c>
      <c r="J46" s="361">
        <f>'Data Sheet'!J82-'Financial Analysis'!J45</f>
        <v>51.900000000000041</v>
      </c>
      <c r="K46" s="361">
        <f>'Data Sheet'!K82-'Financial Analysis'!K45</f>
        <v>40.399999999999984</v>
      </c>
      <c r="L46" s="361">
        <f>'Data Sheet'!K82-'Financial Analysis'!K45</f>
        <v>40.399999999999984</v>
      </c>
      <c r="N46" s="344">
        <f>(AVERAGE(I46:L46)/AVERAGE(E46:H46))^(1/(5-1))-1</f>
        <v>-5.1772515101816574E-2</v>
      </c>
      <c r="O46" s="361">
        <f t="shared" si="3"/>
        <v>408.45</v>
      </c>
      <c r="P46" s="361">
        <f t="shared" si="4"/>
        <v>174.20999999999998</v>
      </c>
      <c r="Q46" s="362">
        <f t="shared" si="5"/>
        <v>132.70000000000002</v>
      </c>
    </row>
    <row r="47" spans="1:17" ht="38.25">
      <c r="A47" s="342" t="s">
        <v>132</v>
      </c>
      <c r="B47" s="343" t="s">
        <v>223</v>
      </c>
      <c r="C47" s="361">
        <f>'Data Sheet'!C82-'Financial Analysis'!C45-'Data Sheet'!C31</f>
        <v>33.874999999999986</v>
      </c>
      <c r="D47" s="361">
        <f>'Data Sheet'!D82-'Financial Analysis'!D45-'Data Sheet'!D31</f>
        <v>34.907500000000041</v>
      </c>
      <c r="E47" s="361">
        <f>'Data Sheet'!E82-'Financial Analysis'!E45-'Data Sheet'!E31</f>
        <v>-14.227500000000035</v>
      </c>
      <c r="F47" s="361">
        <f>'Data Sheet'!F82-'Financial Analysis'!F45-'Data Sheet'!F31</f>
        <v>127.49250000000001</v>
      </c>
      <c r="G47" s="361">
        <f>'Data Sheet'!G82-'Financial Analysis'!G45-'Data Sheet'!G31</f>
        <v>72.84875000000001</v>
      </c>
      <c r="H47" s="361">
        <f>'Data Sheet'!H82-'Financial Analysis'!H45-'Data Sheet'!H31</f>
        <v>0.66624999999998735</v>
      </c>
      <c r="I47" s="361">
        <f>'Data Sheet'!I82-'Financial Analysis'!I45-'Data Sheet'!I31</f>
        <v>25.274999999999984</v>
      </c>
      <c r="J47" s="361">
        <f>'Data Sheet'!J82-'Financial Analysis'!J45-'Data Sheet'!J31</f>
        <v>43.087500000000041</v>
      </c>
      <c r="K47" s="361">
        <f>'Data Sheet'!K82-'Financial Analysis'!K45-'Data Sheet'!K31</f>
        <v>40.399999999999984</v>
      </c>
      <c r="L47" s="361">
        <f>'Data Sheet'!K82-'Financial Analysis'!K45-'Data Sheet'!K31</f>
        <v>40.399999999999984</v>
      </c>
      <c r="N47" s="344">
        <f>(AVERAGE(I47:L47)/AVERAGE(E47:H47))^(1/(5-1))-1</f>
        <v>-5.467243743470418E-2</v>
      </c>
      <c r="O47" s="361">
        <f t="shared" si="3"/>
        <v>370.84999999999997</v>
      </c>
      <c r="P47" s="361">
        <f t="shared" si="4"/>
        <v>149.82874999999999</v>
      </c>
      <c r="Q47" s="362">
        <f t="shared" si="5"/>
        <v>123.88750000000002</v>
      </c>
    </row>
    <row r="48" spans="1:17" ht="25.5">
      <c r="A48" s="342" t="s">
        <v>224</v>
      </c>
      <c r="B48" s="343" t="s">
        <v>225</v>
      </c>
      <c r="C48" s="361">
        <f>'Balance Sheet'!C16</f>
        <v>81.27000000000001</v>
      </c>
      <c r="D48" s="361">
        <f>'Balance Sheet'!D16</f>
        <v>98.04</v>
      </c>
      <c r="E48" s="361">
        <f>'Balance Sheet'!E16</f>
        <v>103.52</v>
      </c>
      <c r="F48" s="361">
        <f>'Balance Sheet'!F16</f>
        <v>37.92</v>
      </c>
      <c r="G48" s="361">
        <f>'Balance Sheet'!G16</f>
        <v>22.409999999999997</v>
      </c>
      <c r="H48" s="361">
        <f>'Balance Sheet'!H16</f>
        <v>70.260000000000005</v>
      </c>
      <c r="I48" s="361">
        <f>'Balance Sheet'!I16</f>
        <v>93.780000000000015</v>
      </c>
      <c r="J48" s="361">
        <f>'Balance Sheet'!J16</f>
        <v>99.51</v>
      </c>
      <c r="K48" s="361">
        <f>'Balance Sheet'!K16</f>
        <v>128.04</v>
      </c>
      <c r="L48" s="361">
        <f>'Balance Sheet'!K16</f>
        <v>128.04</v>
      </c>
      <c r="N48" s="344">
        <f t="shared" ref="N48:N55" si="6">(L48/C48)^(1/(9-1))-1</f>
        <v>5.8466032961703274E-2</v>
      </c>
      <c r="O48" s="361">
        <f t="shared" si="3"/>
        <v>781.52</v>
      </c>
      <c r="P48" s="361">
        <f t="shared" si="4"/>
        <v>519.63</v>
      </c>
      <c r="Q48" s="362">
        <f t="shared" si="5"/>
        <v>355.59000000000003</v>
      </c>
    </row>
    <row r="49" spans="1:17" ht="51">
      <c r="A49" s="342" t="s">
        <v>226</v>
      </c>
      <c r="B49" s="343" t="s">
        <v>227</v>
      </c>
      <c r="C49" s="361">
        <f>C48-'Data Sheet'!C69</f>
        <v>79.040000000000006</v>
      </c>
      <c r="D49" s="361">
        <f>D48-'Data Sheet'!D69</f>
        <v>92.440000000000012</v>
      </c>
      <c r="E49" s="361">
        <f>E48-'Data Sheet'!E69</f>
        <v>100.86999999999999</v>
      </c>
      <c r="F49" s="361">
        <f>F48-'Data Sheet'!F69</f>
        <v>35.880000000000003</v>
      </c>
      <c r="G49" s="361">
        <f>G48-'Data Sheet'!G69</f>
        <v>20.879999999999995</v>
      </c>
      <c r="H49" s="361">
        <f>H48-'Data Sheet'!H69</f>
        <v>67.52000000000001</v>
      </c>
      <c r="I49" s="361">
        <f>I48-'Data Sheet'!I69</f>
        <v>90.940000000000012</v>
      </c>
      <c r="J49" s="361">
        <f>J48-'Data Sheet'!J69</f>
        <v>94.73</v>
      </c>
      <c r="K49" s="361">
        <f>K48-'Data Sheet'!K69</f>
        <v>114.57</v>
      </c>
      <c r="L49" s="361">
        <f>L48-'Data Sheet'!K69</f>
        <v>114.57</v>
      </c>
      <c r="N49" s="344">
        <f t="shared" si="6"/>
        <v>4.7497506161147118E-2</v>
      </c>
      <c r="O49" s="361">
        <f t="shared" si="3"/>
        <v>732.40000000000009</v>
      </c>
      <c r="P49" s="361">
        <f t="shared" si="4"/>
        <v>482.33000000000004</v>
      </c>
      <c r="Q49" s="362">
        <f t="shared" si="5"/>
        <v>323.87</v>
      </c>
    </row>
    <row r="50" spans="1:17">
      <c r="A50" s="342" t="s">
        <v>228</v>
      </c>
      <c r="B50" s="343"/>
      <c r="C50" s="360">
        <f>SUM('Data Sheet'!C57:C59)</f>
        <v>372.56</v>
      </c>
      <c r="D50" s="360">
        <f>SUM('Data Sheet'!D57:D59)</f>
        <v>370.28</v>
      </c>
      <c r="E50" s="360">
        <f>SUM('Data Sheet'!E57:E59)</f>
        <v>435.53000000000003</v>
      </c>
      <c r="F50" s="360">
        <f>SUM('Data Sheet'!F57:F59)</f>
        <v>348.09</v>
      </c>
      <c r="G50" s="360">
        <f>SUM('Data Sheet'!G57:G59)</f>
        <v>314.14</v>
      </c>
      <c r="H50" s="360">
        <f>SUM('Data Sheet'!H57:H59)</f>
        <v>360.19</v>
      </c>
      <c r="I50" s="360">
        <f>SUM('Data Sheet'!I57:I59)</f>
        <v>363.84</v>
      </c>
      <c r="J50" s="360">
        <f>SUM('Data Sheet'!J57:J59)</f>
        <v>354.76</v>
      </c>
      <c r="K50" s="360">
        <f>SUM('Data Sheet'!K57:K59)</f>
        <v>382.08000000000004</v>
      </c>
      <c r="L50" s="360">
        <f>SUM('Data Sheet'!K57:K59)</f>
        <v>382.08000000000004</v>
      </c>
      <c r="N50" s="344">
        <f t="shared" si="6"/>
        <v>3.1589680678529852E-3</v>
      </c>
      <c r="O50" s="361">
        <f t="shared" si="3"/>
        <v>3310.99</v>
      </c>
      <c r="P50" s="361">
        <f t="shared" si="4"/>
        <v>1842.9499999999998</v>
      </c>
      <c r="Q50" s="362">
        <f t="shared" si="5"/>
        <v>1118.92</v>
      </c>
    </row>
    <row r="51" spans="1:17">
      <c r="A51" s="342" t="s">
        <v>229</v>
      </c>
      <c r="B51" s="343"/>
      <c r="C51" s="360">
        <f>C50-'Data Sheet'!C69</f>
        <v>370.33</v>
      </c>
      <c r="D51" s="360">
        <f>D50-'Data Sheet'!D69</f>
        <v>364.67999999999995</v>
      </c>
      <c r="E51" s="360">
        <f>E50-'Data Sheet'!E69</f>
        <v>432.88000000000005</v>
      </c>
      <c r="F51" s="360">
        <f>F50-'Data Sheet'!F69</f>
        <v>346.04999999999995</v>
      </c>
      <c r="G51" s="360">
        <f>G50-'Data Sheet'!G69</f>
        <v>312.61</v>
      </c>
      <c r="H51" s="360">
        <f>H50-'Data Sheet'!H69</f>
        <v>357.45</v>
      </c>
      <c r="I51" s="360">
        <f>I50-'Data Sheet'!I69</f>
        <v>361</v>
      </c>
      <c r="J51" s="360">
        <f>J50-'Data Sheet'!J69</f>
        <v>349.98</v>
      </c>
      <c r="K51" s="360">
        <f>K50-'Data Sheet'!K69</f>
        <v>368.61</v>
      </c>
      <c r="L51" s="360">
        <f>K50-'Data Sheet'!K69</f>
        <v>368.61</v>
      </c>
      <c r="N51" s="344">
        <f t="shared" si="6"/>
        <v>-5.8174640532127064E-4</v>
      </c>
      <c r="O51" s="361">
        <f t="shared" si="3"/>
        <v>3261.8700000000003</v>
      </c>
      <c r="P51" s="361">
        <f t="shared" si="4"/>
        <v>1805.65</v>
      </c>
      <c r="Q51" s="362">
        <f t="shared" si="5"/>
        <v>1087.2</v>
      </c>
    </row>
    <row r="52" spans="1:17">
      <c r="A52" s="342" t="s">
        <v>230</v>
      </c>
      <c r="B52" s="343"/>
      <c r="C52" s="360">
        <f>'Data Sheet'!C62+'Data Sheet'!C63+'Financial Analysis'!C49</f>
        <v>370.22</v>
      </c>
      <c r="D52" s="360">
        <f>'Data Sheet'!D62+'Data Sheet'!D63+'Financial Analysis'!D49</f>
        <v>364.63</v>
      </c>
      <c r="E52" s="360">
        <f>'Data Sheet'!E62+'Data Sheet'!E63+'Financial Analysis'!E49</f>
        <v>432.82</v>
      </c>
      <c r="F52" s="360">
        <f>'Data Sheet'!F62+'Data Sheet'!F63+'Financial Analysis'!F49</f>
        <v>346</v>
      </c>
      <c r="G52" s="360">
        <f>'Data Sheet'!G62+'Data Sheet'!G63+'Financial Analysis'!G49</f>
        <v>312.55</v>
      </c>
      <c r="H52" s="360">
        <f>'Data Sheet'!H62+'Data Sheet'!H63+'Financial Analysis'!H49</f>
        <v>357.38</v>
      </c>
      <c r="I52" s="360">
        <f>'Data Sheet'!I62+'Data Sheet'!I63+'Financial Analysis'!I49</f>
        <v>360.92</v>
      </c>
      <c r="J52" s="360">
        <f>'Data Sheet'!J62+'Data Sheet'!J63+'Financial Analysis'!J49</f>
        <v>349.87</v>
      </c>
      <c r="K52" s="360">
        <f>'Data Sheet'!K62+'Data Sheet'!K63+'Financial Analysis'!K49</f>
        <v>368.5</v>
      </c>
      <c r="L52" s="360">
        <f>'Data Sheet'!K62+'Data Sheet'!K63+'Financial Analysis'!K49</f>
        <v>368.5</v>
      </c>
      <c r="N52" s="344">
        <f t="shared" si="6"/>
        <v>-5.8191960684017552E-4</v>
      </c>
      <c r="O52" s="361">
        <f t="shared" si="3"/>
        <v>3261.17</v>
      </c>
      <c r="P52" s="361">
        <f t="shared" si="4"/>
        <v>1805.17</v>
      </c>
      <c r="Q52" s="362">
        <f t="shared" si="5"/>
        <v>1086.8699999999999</v>
      </c>
    </row>
    <row r="53" spans="1:17">
      <c r="A53" s="342" t="s">
        <v>231</v>
      </c>
      <c r="B53" s="343"/>
      <c r="C53" s="360">
        <f>'Data Sheet'!C62+'Financial Analysis'!C49</f>
        <v>369.84000000000003</v>
      </c>
      <c r="D53" s="360">
        <f>'Data Sheet'!D62+'Financial Analysis'!D49</f>
        <v>363.96999999999997</v>
      </c>
      <c r="E53" s="360">
        <f>'Data Sheet'!E62+'Financial Analysis'!E49</f>
        <v>432.24</v>
      </c>
      <c r="F53" s="360">
        <f>'Data Sheet'!F62+'Financial Analysis'!F49</f>
        <v>346</v>
      </c>
      <c r="G53" s="360">
        <f>'Data Sheet'!G62+'Financial Analysis'!G49</f>
        <v>312.19</v>
      </c>
      <c r="H53" s="360">
        <f>'Data Sheet'!H62+'Financial Analysis'!H49</f>
        <v>356.38</v>
      </c>
      <c r="I53" s="360">
        <f>'Data Sheet'!I62+'Financial Analysis'!I49</f>
        <v>360.91</v>
      </c>
      <c r="J53" s="360">
        <f>'Data Sheet'!J62+'Financial Analysis'!J49</f>
        <v>349.87</v>
      </c>
      <c r="K53" s="360">
        <f>'Data Sheet'!K62+'Financial Analysis'!K49</f>
        <v>368.5</v>
      </c>
      <c r="L53" s="360">
        <f>'Data Sheet'!K62+'Financial Analysis'!K49</f>
        <v>368.5</v>
      </c>
      <c r="N53" s="344">
        <f t="shared" si="6"/>
        <v>-4.536180905121423E-4</v>
      </c>
      <c r="O53" s="361">
        <f t="shared" si="3"/>
        <v>3258.56</v>
      </c>
      <c r="P53" s="361">
        <f t="shared" si="4"/>
        <v>1804.1599999999999</v>
      </c>
      <c r="Q53" s="362">
        <f t="shared" si="5"/>
        <v>1086.8699999999999</v>
      </c>
    </row>
    <row r="54" spans="1:17">
      <c r="A54" s="342" t="s">
        <v>113</v>
      </c>
      <c r="B54" s="343"/>
      <c r="C54" s="360">
        <f>'Data Sheet'!C27+'Data Sheet'!C28</f>
        <v>30.5</v>
      </c>
      <c r="D54" s="360">
        <f>'Data Sheet'!D27+'Data Sheet'!D28</f>
        <v>40.43</v>
      </c>
      <c r="E54" s="360">
        <f>'Data Sheet'!E27+'Data Sheet'!E28</f>
        <v>75.3</v>
      </c>
      <c r="F54" s="360">
        <f>'Data Sheet'!F27+'Data Sheet'!F28</f>
        <v>52.23</v>
      </c>
      <c r="G54" s="360">
        <f>'Data Sheet'!G27+'Data Sheet'!G28</f>
        <v>60.03</v>
      </c>
      <c r="H54" s="360">
        <f>'Data Sheet'!H27+'Data Sheet'!H28</f>
        <v>72.53</v>
      </c>
      <c r="I54" s="360">
        <f>'Data Sheet'!I27+'Data Sheet'!I28</f>
        <v>70.94</v>
      </c>
      <c r="J54" s="360">
        <f>'Data Sheet'!J27+'Data Sheet'!J28</f>
        <v>64.83</v>
      </c>
      <c r="K54" s="360">
        <f>'Data Sheet'!K27+'Data Sheet'!K28</f>
        <v>76.37</v>
      </c>
      <c r="L54" s="360">
        <f>'Data Sheet'!K27+'Data Sheet'!K28</f>
        <v>76.37</v>
      </c>
      <c r="N54" s="344">
        <f t="shared" si="6"/>
        <v>0.12157383434479119</v>
      </c>
      <c r="O54" s="361">
        <f t="shared" si="3"/>
        <v>589.03</v>
      </c>
      <c r="P54" s="361">
        <f t="shared" si="4"/>
        <v>361.04</v>
      </c>
      <c r="Q54" s="362">
        <f t="shared" si="5"/>
        <v>217.57</v>
      </c>
    </row>
    <row r="55" spans="1:17" ht="51">
      <c r="A55" s="342" t="s">
        <v>130</v>
      </c>
      <c r="B55" s="343" t="s">
        <v>232</v>
      </c>
      <c r="C55" s="360">
        <f>'Data Sheet'!C57+'Data Sheet'!C58+'Data Sheet'!C59</f>
        <v>372.56</v>
      </c>
      <c r="D55" s="360">
        <f>'Data Sheet'!D57+'Data Sheet'!D58+'Data Sheet'!D59</f>
        <v>370.28</v>
      </c>
      <c r="E55" s="360">
        <f>'Data Sheet'!E57+'Data Sheet'!E58+'Data Sheet'!E59</f>
        <v>435.53000000000003</v>
      </c>
      <c r="F55" s="360">
        <f>'Data Sheet'!F57+'Data Sheet'!F58+'Data Sheet'!F59</f>
        <v>348.09</v>
      </c>
      <c r="G55" s="360">
        <f>'Data Sheet'!G57+'Data Sheet'!G58+'Data Sheet'!G59</f>
        <v>314.14</v>
      </c>
      <c r="H55" s="360">
        <f>'Data Sheet'!H57+'Data Sheet'!H58+'Data Sheet'!H59</f>
        <v>360.19</v>
      </c>
      <c r="I55" s="360">
        <f>'Data Sheet'!I57+'Data Sheet'!I58+'Data Sheet'!I59</f>
        <v>363.84</v>
      </c>
      <c r="J55" s="360">
        <f>'Data Sheet'!J57+'Data Sheet'!J58+'Data Sheet'!J59</f>
        <v>354.76</v>
      </c>
      <c r="K55" s="360">
        <f>'Data Sheet'!K57+'Data Sheet'!K58+'Data Sheet'!K59</f>
        <v>382.08000000000004</v>
      </c>
      <c r="L55" s="360">
        <f>'Data Sheet'!K57+'Data Sheet'!K58+'Data Sheet'!K59</f>
        <v>382.08000000000004</v>
      </c>
      <c r="N55" s="344">
        <f t="shared" si="6"/>
        <v>3.1589680678529852E-3</v>
      </c>
      <c r="O55" s="361">
        <f t="shared" si="3"/>
        <v>3310.99</v>
      </c>
      <c r="P55" s="361">
        <f t="shared" si="4"/>
        <v>1842.9499999999998</v>
      </c>
      <c r="Q55" s="362">
        <f t="shared" si="5"/>
        <v>1118.92</v>
      </c>
    </row>
    <row r="56" spans="1:17">
      <c r="A56" s="342" t="s">
        <v>233</v>
      </c>
      <c r="B56" s="343"/>
      <c r="C56" s="360"/>
      <c r="D56" s="360"/>
      <c r="E56" s="360"/>
      <c r="F56" s="360"/>
      <c r="G56" s="360"/>
      <c r="H56" s="360"/>
      <c r="I56" s="360"/>
      <c r="J56" s="360"/>
      <c r="K56" s="360"/>
      <c r="L56" s="360"/>
      <c r="N56" s="344"/>
      <c r="O56" s="361"/>
      <c r="P56" s="361"/>
      <c r="Q56" s="362"/>
    </row>
    <row r="57" spans="1:17">
      <c r="A57" s="342" t="s">
        <v>10</v>
      </c>
      <c r="B57" s="343"/>
      <c r="C57" s="360">
        <f>'Data Sheet'!C26</f>
        <v>18.059999999999999</v>
      </c>
      <c r="D57" s="360">
        <f>'Data Sheet'!D26</f>
        <v>20.95</v>
      </c>
      <c r="E57" s="360">
        <f>'Data Sheet'!E26</f>
        <v>24.22</v>
      </c>
      <c r="F57" s="360">
        <f>'Data Sheet'!F26</f>
        <v>26.8</v>
      </c>
      <c r="G57" s="360">
        <f>'Data Sheet'!G26</f>
        <v>27.43</v>
      </c>
      <c r="H57" s="360">
        <f>'Data Sheet'!H26</f>
        <v>31.62</v>
      </c>
      <c r="I57" s="360">
        <f>'Data Sheet'!I26</f>
        <v>29.33</v>
      </c>
      <c r="J57" s="360">
        <f>'Data Sheet'!J26</f>
        <v>29.92</v>
      </c>
      <c r="K57" s="360">
        <f>'Data Sheet'!K26</f>
        <v>29.35</v>
      </c>
      <c r="L57" s="360">
        <f>'Data Sheet'!K26</f>
        <v>29.35</v>
      </c>
      <c r="M57" s="352">
        <f>AVERAGE(H57:L57)</f>
        <v>29.913999999999998</v>
      </c>
      <c r="O57" s="361">
        <f>SUM(D57:L57)</f>
        <v>248.97000000000003</v>
      </c>
      <c r="P57" s="361">
        <f>SUM(H57:L57)</f>
        <v>149.57</v>
      </c>
      <c r="Q57" s="362">
        <f>SUM(J57:L57)</f>
        <v>88.62</v>
      </c>
    </row>
    <row r="58" spans="1:17">
      <c r="A58" s="342" t="s">
        <v>234</v>
      </c>
      <c r="B58" s="343"/>
      <c r="C58" s="360">
        <f>'Data Sheet'!C62</f>
        <v>290.8</v>
      </c>
      <c r="D58" s="360">
        <f>'Data Sheet'!D62</f>
        <v>271.52999999999997</v>
      </c>
      <c r="E58" s="360">
        <f>'Data Sheet'!E62</f>
        <v>331.37</v>
      </c>
      <c r="F58" s="360">
        <f>'Data Sheet'!F62</f>
        <v>310.12</v>
      </c>
      <c r="G58" s="360">
        <f>'Data Sheet'!G62</f>
        <v>291.31</v>
      </c>
      <c r="H58" s="360">
        <f>'Data Sheet'!H62</f>
        <v>288.86</v>
      </c>
      <c r="I58" s="360">
        <f>'Data Sheet'!I62</f>
        <v>269.97000000000003</v>
      </c>
      <c r="J58" s="360">
        <f>'Data Sheet'!J62</f>
        <v>255.14</v>
      </c>
      <c r="K58" s="360">
        <f>'Data Sheet'!K62</f>
        <v>253.93</v>
      </c>
      <c r="L58" s="360">
        <f>'Data Sheet'!K62</f>
        <v>253.93</v>
      </c>
      <c r="M58" s="352">
        <f>AVERAGE(H58:L58)</f>
        <v>264.36600000000004</v>
      </c>
      <c r="O58" s="361">
        <f>SUM(D58:L58)</f>
        <v>2526.16</v>
      </c>
      <c r="P58" s="361">
        <f>SUM(H58:L58)</f>
        <v>1321.8300000000002</v>
      </c>
      <c r="Q58" s="362">
        <f>SUM(J58:L58)</f>
        <v>763</v>
      </c>
    </row>
    <row r="59" spans="1:17">
      <c r="A59" s="342" t="s">
        <v>235</v>
      </c>
      <c r="B59" s="343"/>
      <c r="C59" s="363">
        <f>C57/C58</f>
        <v>6.2104539202200819E-2</v>
      </c>
      <c r="D59" s="363">
        <f t="shared" ref="D59:K59" si="7">D57/D58</f>
        <v>7.7155378779508718E-2</v>
      </c>
      <c r="E59" s="363">
        <f t="shared" si="7"/>
        <v>7.3090503063041309E-2</v>
      </c>
      <c r="F59" s="363">
        <f t="shared" si="7"/>
        <v>8.6418160711982453E-2</v>
      </c>
      <c r="G59" s="363">
        <f t="shared" si="7"/>
        <v>9.4160859565411412E-2</v>
      </c>
      <c r="H59" s="363">
        <f t="shared" si="7"/>
        <v>0.10946479263310946</v>
      </c>
      <c r="I59" s="363">
        <f t="shared" si="7"/>
        <v>0.10864170092973291</v>
      </c>
      <c r="J59" s="363">
        <f t="shared" si="7"/>
        <v>0.11726895038018344</v>
      </c>
      <c r="K59" s="363">
        <f t="shared" si="7"/>
        <v>0.11558303469460088</v>
      </c>
      <c r="L59" s="363">
        <f>L57/L58</f>
        <v>0.11558303469460088</v>
      </c>
      <c r="M59" s="344">
        <f>AVERAGE(H59:L59)</f>
        <v>0.11330830266644551</v>
      </c>
      <c r="O59" s="361"/>
      <c r="P59" s="361"/>
      <c r="Q59" s="362"/>
    </row>
    <row r="60" spans="1:17">
      <c r="A60" s="342" t="s">
        <v>236</v>
      </c>
      <c r="B60" s="343"/>
      <c r="C60" s="364" t="e">
        <f>'Data Sheet'!C17/B58</f>
        <v>#DIV/0!</v>
      </c>
      <c r="D60" s="364">
        <f>'Data Sheet'!D17/C58</f>
        <v>0.7155089408528198</v>
      </c>
      <c r="E60" s="364">
        <f>'Data Sheet'!E17/D58</f>
        <v>1.2034765955879645</v>
      </c>
      <c r="F60" s="364">
        <f>'Data Sheet'!F17/E58</f>
        <v>1.1752421764191086</v>
      </c>
      <c r="G60" s="364">
        <f>'Data Sheet'!G17/F58</f>
        <v>1.2826970205081905</v>
      </c>
      <c r="H60" s="364">
        <f>'Data Sheet'!H17/G58</f>
        <v>1.6366757062922659</v>
      </c>
      <c r="I60" s="364">
        <f>'Data Sheet'!I17/H58</f>
        <v>1.7135290452122136</v>
      </c>
      <c r="J60" s="364">
        <f>'Data Sheet'!J17/I58</f>
        <v>1.8229432899951845</v>
      </c>
      <c r="K60" s="364">
        <f>'Data Sheet'!K17/J58</f>
        <v>2.0704711138982521</v>
      </c>
      <c r="L60" s="364">
        <f>'Data Sheet'!K17/J58</f>
        <v>2.0704711138982521</v>
      </c>
      <c r="M60" s="361">
        <f>AVERAGE(H60:L60)</f>
        <v>1.8628180538592338</v>
      </c>
      <c r="O60" s="361">
        <f>SUM(D60:L60)</f>
        <v>13.691015002664251</v>
      </c>
      <c r="P60" s="361">
        <f>SUM(H60:L60)</f>
        <v>9.3140902692961696</v>
      </c>
      <c r="Q60" s="362">
        <f>SUM(J60:L60)</f>
        <v>5.963885517791689</v>
      </c>
    </row>
    <row r="61" spans="1:17">
      <c r="A61" s="342" t="s">
        <v>237</v>
      </c>
      <c r="B61" s="343"/>
      <c r="C61" s="360"/>
      <c r="D61" s="363">
        <f>((1-D59)+(D60*D31*(1-D78)))-1</f>
        <v>-1.9495475065615997E-2</v>
      </c>
      <c r="E61" s="363">
        <f t="shared" ref="E61:M61" si="8">((1-E59)+(E60*E31*(1-E78)))-1</f>
        <v>7.2390659239466748E-2</v>
      </c>
      <c r="F61" s="363">
        <f t="shared" si="8"/>
        <v>-2.3218414205056659E-2</v>
      </c>
      <c r="G61" s="363">
        <f t="shared" si="8"/>
        <v>-1.2261111080953846E-2</v>
      </c>
      <c r="H61" s="363">
        <f t="shared" si="8"/>
        <v>3.0579318451302351E-2</v>
      </c>
      <c r="I61" s="363">
        <f t="shared" si="8"/>
        <v>4.0063554211165808E-2</v>
      </c>
      <c r="J61" s="363">
        <f t="shared" si="8"/>
        <v>1.4773498780834338E-2</v>
      </c>
      <c r="K61" s="363">
        <f t="shared" si="8"/>
        <v>0.10253250971239147</v>
      </c>
      <c r="L61" s="363">
        <f>((1-L59)+(L60*L31*(1-L78)))-1</f>
        <v>9.9738084376988168E-2</v>
      </c>
      <c r="M61" s="363">
        <f t="shared" si="8"/>
        <v>5.3740876456523257E-2</v>
      </c>
      <c r="N61" s="344"/>
      <c r="O61" s="344"/>
      <c r="P61" s="344"/>
    </row>
    <row r="62" spans="1:17">
      <c r="A62" s="342"/>
      <c r="B62" s="343"/>
      <c r="C62" s="360"/>
      <c r="D62" s="360"/>
      <c r="E62" s="360"/>
      <c r="F62" s="360"/>
      <c r="G62" s="360"/>
      <c r="H62" s="360"/>
      <c r="I62" s="360"/>
      <c r="J62" s="360"/>
      <c r="K62" s="360"/>
      <c r="L62" s="360"/>
      <c r="N62" s="344"/>
      <c r="O62" s="344"/>
      <c r="P62" s="344"/>
    </row>
    <row r="63" spans="1:17">
      <c r="A63" s="337" t="s">
        <v>238</v>
      </c>
      <c r="B63" s="343"/>
      <c r="C63" s="351">
        <f>C36</f>
        <v>39903</v>
      </c>
      <c r="D63" s="351">
        <f t="shared" ref="D63:L63" si="9">D36</f>
        <v>40268</v>
      </c>
      <c r="E63" s="351">
        <f t="shared" si="9"/>
        <v>40633</v>
      </c>
      <c r="F63" s="351">
        <f t="shared" si="9"/>
        <v>40999</v>
      </c>
      <c r="G63" s="351">
        <f t="shared" si="9"/>
        <v>41364</v>
      </c>
      <c r="H63" s="351">
        <f t="shared" si="9"/>
        <v>41729</v>
      </c>
      <c r="I63" s="351">
        <f t="shared" si="9"/>
        <v>42094</v>
      </c>
      <c r="J63" s="351">
        <f t="shared" si="9"/>
        <v>42460</v>
      </c>
      <c r="K63" s="351">
        <f t="shared" si="9"/>
        <v>42825</v>
      </c>
      <c r="L63" s="351" t="str">
        <f t="shared" si="9"/>
        <v>Trailing</v>
      </c>
      <c r="N63" s="344"/>
      <c r="O63" s="365" t="str">
        <f>O26</f>
        <v>Min</v>
      </c>
      <c r="P63" s="365" t="str">
        <f t="shared" ref="P63:Q63" si="10">P26</f>
        <v>Max</v>
      </c>
      <c r="Q63" s="365" t="str">
        <f t="shared" si="10"/>
        <v>Avg.</v>
      </c>
    </row>
    <row r="64" spans="1:17">
      <c r="A64" s="342" t="s">
        <v>239</v>
      </c>
      <c r="C64" s="366">
        <f>(C54/C50)*(1-('Data Sheet'!C29/'Data Sheet'!C28))</f>
        <v>5.8600136539888638E-2</v>
      </c>
      <c r="D64" s="366">
        <f>(D54/D50)*(1-('Data Sheet'!D29/'Data Sheet'!D28))</f>
        <v>8.5405107736114552E-2</v>
      </c>
      <c r="E64" s="366">
        <f>(E54/E50)*(1-('Data Sheet'!E29/'Data Sheet'!E28))</f>
        <v>0.12268132948713793</v>
      </c>
      <c r="F64" s="366">
        <f>(F54/F50)*(1-('Data Sheet'!F29/'Data Sheet'!F28))</f>
        <v>0.11145044941318739</v>
      </c>
      <c r="G64" s="366">
        <f>(G54/G50)*(1-('Data Sheet'!G29/'Data Sheet'!G28))</f>
        <v>0.145599251742693</v>
      </c>
      <c r="H64" s="366">
        <f>(H54/H50)*(1-('Data Sheet'!H29/'Data Sheet'!H28))</f>
        <v>0.16248334945434292</v>
      </c>
      <c r="I64" s="366">
        <f>(I54/I50)*(1-('Data Sheet'!I29/'Data Sheet'!I28))</f>
        <v>0.15648207836291622</v>
      </c>
      <c r="J64" s="366">
        <f>(J54/J50)*(1-('Data Sheet'!J29/'Data Sheet'!J28))</f>
        <v>0.13780131403071358</v>
      </c>
      <c r="K64" s="366">
        <f>(K54/K50)*(1-('Data Sheet'!K29/'Data Sheet'!K28))</f>
        <v>0.15461912836003758</v>
      </c>
      <c r="L64" s="366">
        <f>(L54/L50)*(1-('Data Sheet'!K29/'Data Sheet'!K28))</f>
        <v>0.15461912836003758</v>
      </c>
      <c r="N64" s="344">
        <f>(L64/C64)^(1/(9-1))-1</f>
        <v>0.12893925418321905</v>
      </c>
      <c r="O64" s="344">
        <f>MIN(C64:L64)</f>
        <v>5.8600136539888638E-2</v>
      </c>
      <c r="P64" s="344">
        <f>MAX(C64:L64)</f>
        <v>0.16248334945434292</v>
      </c>
      <c r="Q64" s="194">
        <f>AVERAGE(C64:L64)</f>
        <v>0.12897412734870695</v>
      </c>
    </row>
    <row r="65" spans="1:17">
      <c r="A65" s="342" t="s">
        <v>240</v>
      </c>
      <c r="C65" s="366">
        <f>(C54/C51)*(1-('Data Sheet'!C29/'Data Sheet'!C28))</f>
        <v>5.8953006424812764E-2</v>
      </c>
      <c r="D65" s="366">
        <f>(D54/D51)*(1-('Data Sheet'!D29/'Data Sheet'!D28))</f>
        <v>8.6716582462785172E-2</v>
      </c>
      <c r="E65" s="366">
        <f>(E54/E51)*(1-('Data Sheet'!E29/'Data Sheet'!E28))</f>
        <v>0.123432358694172</v>
      </c>
      <c r="F65" s="366">
        <f>(F54/F51)*(1-('Data Sheet'!F29/'Data Sheet'!F28))</f>
        <v>0.11210746116525473</v>
      </c>
      <c r="G65" s="366">
        <f>(G54/G51)*(1-('Data Sheet'!G29/'Data Sheet'!G28))</f>
        <v>0.14631185484293394</v>
      </c>
      <c r="H65" s="366">
        <f>(H54/H51)*(1-('Data Sheet'!H29/'Data Sheet'!H28))</f>
        <v>0.16372885058038825</v>
      </c>
      <c r="I65" s="366">
        <f>(I54/I51)*(1-('Data Sheet'!I29/'Data Sheet'!I28))</f>
        <v>0.15771312850848596</v>
      </c>
      <c r="J65" s="366">
        <f>(J54/J51)*(1-('Data Sheet'!J29/'Data Sheet'!J28))</f>
        <v>0.13968339380974901</v>
      </c>
      <c r="K65" s="366">
        <f>(K54/K51)*(1-('Data Sheet'!K29/'Data Sheet'!K28))</f>
        <v>0.1602693268327044</v>
      </c>
      <c r="L65" s="366">
        <f>(L54/L51)*(1-('Data Sheet'!K29/'Data Sheet'!K28))</f>
        <v>0.1602693268327044</v>
      </c>
      <c r="N65" s="344">
        <f>(L65/C65)^(1/(9-1))-1</f>
        <v>0.13316475175870202</v>
      </c>
      <c r="O65" s="344">
        <f>MIN(C65:L65)</f>
        <v>5.8953006424812764E-2</v>
      </c>
      <c r="P65" s="344">
        <f>MAX(C65:L65)</f>
        <v>0.16372885058038825</v>
      </c>
      <c r="Q65" s="194">
        <f>AVERAGE(C65:L65)</f>
        <v>0.13091852901539908</v>
      </c>
    </row>
    <row r="66" spans="1:17">
      <c r="A66" s="342" t="s">
        <v>241</v>
      </c>
      <c r="C66" s="366">
        <f>(C54/C52)*(1-('Data Sheet'!C29/'Data Sheet'!C28))</f>
        <v>5.8970522579279636E-2</v>
      </c>
      <c r="D66" s="366">
        <f>(D54/D52)*(1-('Data Sheet'!D29/'Data Sheet'!D28))</f>
        <v>8.6728473500612926E-2</v>
      </c>
      <c r="E66" s="366">
        <f>(E54/E52)*(1-('Data Sheet'!E29/'Data Sheet'!E28))</f>
        <v>0.123449469598293</v>
      </c>
      <c r="F66" s="366">
        <f>(F54/F52)*(1-('Data Sheet'!F29/'Data Sheet'!F28))</f>
        <v>0.1121236616654231</v>
      </c>
      <c r="G66" s="366">
        <f>(G54/G52)*(1-('Data Sheet'!G29/'Data Sheet'!G28))</f>
        <v>0.14633994222508262</v>
      </c>
      <c r="H66" s="366">
        <f>(H54/H52)*(1-('Data Sheet'!H29/'Data Sheet'!H28))</f>
        <v>0.16376092014091381</v>
      </c>
      <c r="I66" s="366">
        <f>(I54/I52)*(1-('Data Sheet'!I29/'Data Sheet'!I28))</f>
        <v>0.15774808653320246</v>
      </c>
      <c r="J66" s="366">
        <f>(J54/J52)*(1-('Data Sheet'!J29/'Data Sheet'!J28))</f>
        <v>0.1397273106169033</v>
      </c>
      <c r="K66" s="366">
        <f>(K54/K52)*(1-('Data Sheet'!K29/'Data Sheet'!K28))</f>
        <v>0.16031716842280372</v>
      </c>
      <c r="L66" s="366">
        <f>(L54/L52)*(1-('Data Sheet'!K29/'Data Sheet'!K28))</f>
        <v>0.16031716842280372</v>
      </c>
      <c r="N66" s="344">
        <f>(L66/C66)^(1/(9-1))-1</f>
        <v>0.13316494813883573</v>
      </c>
      <c r="O66" s="344">
        <f>MIN(C66:L66)</f>
        <v>5.8970522579279636E-2</v>
      </c>
      <c r="P66" s="344">
        <f>MAX(C66:L66)</f>
        <v>0.16376092014091381</v>
      </c>
      <c r="Q66" s="194">
        <f>AVERAGE(C66:L66)</f>
        <v>0.13094827237053183</v>
      </c>
    </row>
    <row r="67" spans="1:17">
      <c r="A67" s="342" t="s">
        <v>242</v>
      </c>
      <c r="C67" s="366">
        <f>(C54/C53)*(1-('Data Sheet'!C29/'Data Sheet'!C28))</f>
        <v>5.9031113101073195E-2</v>
      </c>
      <c r="D67" s="366">
        <f>(D54/D53)*(1-('Data Sheet'!D29/'Data Sheet'!D28))</f>
        <v>8.6885741386731039E-2</v>
      </c>
      <c r="E67" s="366">
        <f>(E54/E53)*(1-('Data Sheet'!E29/'Data Sheet'!E28))</f>
        <v>0.12361511991378211</v>
      </c>
      <c r="F67" s="366">
        <f>(F54/F53)*(1-('Data Sheet'!F29/'Data Sheet'!F28))</f>
        <v>0.1121236616654231</v>
      </c>
      <c r="G67" s="366">
        <f>(G54/G53)*(1-('Data Sheet'!G29/'Data Sheet'!G28))</f>
        <v>0.14650869323953228</v>
      </c>
      <c r="H67" s="366">
        <f>(H54/H53)*(1-('Data Sheet'!H29/'Data Sheet'!H28))</f>
        <v>0.16422043223514163</v>
      </c>
      <c r="I67" s="366">
        <f>(I54/I53)*(1-('Data Sheet'!I29/'Data Sheet'!I28))</f>
        <v>0.15775245737597579</v>
      </c>
      <c r="J67" s="366">
        <f>(J54/J53)*(1-('Data Sheet'!J29/'Data Sheet'!J28))</f>
        <v>0.1397273106169033</v>
      </c>
      <c r="K67" s="366">
        <f>(K54/K53)*(1-('Data Sheet'!K29/'Data Sheet'!K28))</f>
        <v>0.16031716842280372</v>
      </c>
      <c r="L67" s="366">
        <f>(L54/L53)*(1-('Data Sheet'!K29/'Data Sheet'!K28))</f>
        <v>0.16031716842280372</v>
      </c>
      <c r="N67" s="344">
        <f>(L67/C67)^(1/(9-1))-1</f>
        <v>0.13301949537773594</v>
      </c>
      <c r="O67" s="344">
        <f>MIN(C67:L67)</f>
        <v>5.9031113101073195E-2</v>
      </c>
      <c r="P67" s="344">
        <f>MAX(C67:L67)</f>
        <v>0.16422043223514163</v>
      </c>
      <c r="Q67" s="194">
        <f>AVERAGE(C67:L67)</f>
        <v>0.13104988663801698</v>
      </c>
    </row>
    <row r="68" spans="1:17">
      <c r="A68" s="342" t="s">
        <v>243</v>
      </c>
      <c r="B68" s="343" t="s">
        <v>244</v>
      </c>
      <c r="C68" s="366">
        <f>'Data Sheet'!C30/'Data Sheet'!C66</f>
        <v>2.1512743217319812E-2</v>
      </c>
      <c r="D68" s="366">
        <f>'Data Sheet'!D30/'Data Sheet'!D66</f>
        <v>3.9861463666480232E-2</v>
      </c>
      <c r="E68" s="366">
        <f>'Data Sheet'!E30/'Data Sheet'!E66</f>
        <v>7.849520039950432E-2</v>
      </c>
      <c r="F68" s="366">
        <f>'Data Sheet'!F30/'Data Sheet'!F66</f>
        <v>5.4513080399945207E-2</v>
      </c>
      <c r="G68" s="366">
        <f>'Data Sheet'!G30/'Data Sheet'!G66</f>
        <v>7.3321972924358617E-2</v>
      </c>
      <c r="H68" s="366">
        <f>'Data Sheet'!H30/'Data Sheet'!H66</f>
        <v>0.10585570728060338</v>
      </c>
      <c r="I68" s="366">
        <f>'Data Sheet'!I30/'Data Sheet'!I66</f>
        <v>0.11376872804872627</v>
      </c>
      <c r="J68" s="366">
        <f>'Data Sheet'!J30/'Data Sheet'!J66</f>
        <v>0.10484365419987737</v>
      </c>
      <c r="K68" s="366">
        <f>'Data Sheet'!K30/'Data Sheet'!K66</f>
        <v>0.11690930862797</v>
      </c>
      <c r="L68" s="366">
        <f>'Data Sheet'!K30/'Data Sheet'!K66</f>
        <v>0.11690930862797</v>
      </c>
      <c r="N68" s="344">
        <f>(L68/C68)^(1/(9-1))-1</f>
        <v>0.23564626952342271</v>
      </c>
      <c r="O68" s="344">
        <f>MIN(C68:L68)</f>
        <v>2.1512743217319812E-2</v>
      </c>
      <c r="P68" s="344">
        <f>MAX(C68:L68)</f>
        <v>0.11690930862797</v>
      </c>
      <c r="Q68" s="194">
        <f>AVERAGE(C68:L68)</f>
        <v>8.259911673927553E-2</v>
      </c>
    </row>
    <row r="69" spans="1:17">
      <c r="A69" s="342" t="s">
        <v>245</v>
      </c>
      <c r="B69" s="343"/>
      <c r="C69" s="366"/>
      <c r="D69" s="366"/>
      <c r="E69" s="366"/>
      <c r="F69" s="366"/>
      <c r="G69" s="366"/>
      <c r="H69" s="366"/>
      <c r="I69" s="366"/>
      <c r="J69" s="366"/>
      <c r="K69" s="366"/>
      <c r="L69" s="366"/>
      <c r="N69" s="344"/>
      <c r="O69" s="344"/>
      <c r="P69" s="344"/>
      <c r="Q69" s="194"/>
    </row>
    <row r="70" spans="1:17" ht="25.5">
      <c r="A70" s="342" t="s">
        <v>246</v>
      </c>
      <c r="B70" s="343" t="s">
        <v>247</v>
      </c>
      <c r="C70" s="366">
        <f>C54/C55</f>
        <v>8.1866008159759501E-2</v>
      </c>
      <c r="D70" s="366">
        <f t="shared" ref="D70:L70" si="11">D54/D55</f>
        <v>0.10918764178459545</v>
      </c>
      <c r="E70" s="366">
        <f t="shared" si="11"/>
        <v>0.17289279728147314</v>
      </c>
      <c r="F70" s="366">
        <f t="shared" si="11"/>
        <v>0.15004740153408602</v>
      </c>
      <c r="G70" s="366">
        <f t="shared" si="11"/>
        <v>0.19109314318456741</v>
      </c>
      <c r="H70" s="366">
        <f t="shared" si="11"/>
        <v>0.20136594575085373</v>
      </c>
      <c r="I70" s="366">
        <f t="shared" si="11"/>
        <v>0.19497581354441512</v>
      </c>
      <c r="J70" s="366">
        <f t="shared" si="11"/>
        <v>0.18274326305107677</v>
      </c>
      <c r="K70" s="366">
        <f t="shared" si="11"/>
        <v>0.19987960636515911</v>
      </c>
      <c r="L70" s="366">
        <f t="shared" si="11"/>
        <v>0.19987960636515911</v>
      </c>
      <c r="N70" s="344">
        <f>(L70/C70)^(1/(9-1))-1</f>
        <v>0.11804197544583839</v>
      </c>
      <c r="O70" s="344">
        <f>MIN(C70:L70)</f>
        <v>8.1866008159759501E-2</v>
      </c>
      <c r="P70" s="344">
        <f>MAX(C70:L70)</f>
        <v>0.20136594575085373</v>
      </c>
      <c r="Q70" s="194">
        <f>AVERAGE(C70:L70)</f>
        <v>0.16839312270211454</v>
      </c>
    </row>
    <row r="71" spans="1:17">
      <c r="A71" s="342" t="s">
        <v>248</v>
      </c>
      <c r="B71" s="367"/>
      <c r="C71" s="211"/>
      <c r="D71" s="211"/>
      <c r="E71" s="211"/>
      <c r="F71" s="211"/>
      <c r="G71" s="211"/>
      <c r="H71" s="211"/>
      <c r="I71" s="211"/>
      <c r="J71" s="211"/>
      <c r="K71" s="211"/>
      <c r="L71" s="211"/>
      <c r="N71" s="344"/>
      <c r="O71" s="344"/>
      <c r="P71" s="344"/>
      <c r="Q71" s="194"/>
    </row>
    <row r="72" spans="1:17" ht="25.5">
      <c r="A72" s="342" t="s">
        <v>60</v>
      </c>
      <c r="B72" s="343" t="s">
        <v>249</v>
      </c>
      <c r="C72" s="366">
        <f>'Data Sheet'!C30/('Data Sheet'!C57+'Data Sheet'!C58)</f>
        <v>7.7844806214362461E-2</v>
      </c>
      <c r="D72" s="366">
        <f>'Data Sheet'!D30/('Data Sheet'!D57+'Data Sheet'!D58)</f>
        <v>0.13593016431924884</v>
      </c>
      <c r="E72" s="366">
        <f>'Data Sheet'!E30/('Data Sheet'!E57+'Data Sheet'!E58)</f>
        <v>0.24191985407284955</v>
      </c>
      <c r="F72" s="366">
        <f>'Data Sheet'!F30/('Data Sheet'!F57+'Data Sheet'!F58)</f>
        <v>0.12190515084996682</v>
      </c>
      <c r="G72" s="366">
        <f>'Data Sheet'!G30/('Data Sheet'!G57+'Data Sheet'!G58)</f>
        <v>0.14056899133354508</v>
      </c>
      <c r="H72" s="366">
        <f>'Data Sheet'!H30/('Data Sheet'!H57+'Data Sheet'!H58)</f>
        <v>0.18519658382703702</v>
      </c>
      <c r="I72" s="366">
        <f>'Data Sheet'!I30/('Data Sheet'!I57+'Data Sheet'!I58)</f>
        <v>0.16991467746754757</v>
      </c>
      <c r="J72" s="366">
        <f>'Data Sheet'!J30/('Data Sheet'!J57+'Data Sheet'!J58)</f>
        <v>0.13269661244590358</v>
      </c>
      <c r="K72" s="366">
        <f>'Data Sheet'!K30/('Data Sheet'!K57+'Data Sheet'!K58)</f>
        <v>0.14856242825489199</v>
      </c>
      <c r="L72" s="366">
        <f>'Data Sheet'!K30/('Data Sheet'!K57+'Data Sheet'!K58)</f>
        <v>0.14856242825489199</v>
      </c>
      <c r="N72" s="344">
        <f>(L72/C72)^(1/(9-1))-1</f>
        <v>8.4138877058371087E-2</v>
      </c>
      <c r="O72" s="344">
        <f t="shared" ref="O72:O78" si="12">MIN(C72:L72)</f>
        <v>7.7844806214362461E-2</v>
      </c>
      <c r="P72" s="344">
        <f t="shared" ref="P72:P78" si="13">MAX(C72:L72)</f>
        <v>0.24191985407284955</v>
      </c>
      <c r="Q72" s="194">
        <f t="shared" ref="Q72:Q78" si="14">AVERAGE(C72:L72)</f>
        <v>0.1503101697040245</v>
      </c>
    </row>
    <row r="73" spans="1:17">
      <c r="A73" s="342" t="s">
        <v>250</v>
      </c>
      <c r="B73" s="343" t="s">
        <v>251</v>
      </c>
      <c r="C73" s="194">
        <f t="shared" ref="C73:L73" si="15">C31</f>
        <v>5.2995780590717301E-2</v>
      </c>
      <c r="D73" s="194">
        <f t="shared" si="15"/>
        <v>8.9056567501321682E-2</v>
      </c>
      <c r="E73" s="194">
        <f t="shared" si="15"/>
        <v>0.12987330926005264</v>
      </c>
      <c r="F73" s="194">
        <f t="shared" si="15"/>
        <v>6.1318816762530814E-2</v>
      </c>
      <c r="G73" s="194">
        <f t="shared" si="15"/>
        <v>7.7880288594484523E-2</v>
      </c>
      <c r="H73" s="194">
        <f t="shared" si="15"/>
        <v>0.10096900037753262</v>
      </c>
      <c r="I73" s="194">
        <f t="shared" si="15"/>
        <v>0.10340020607309533</v>
      </c>
      <c r="J73" s="194">
        <f t="shared" si="15"/>
        <v>9.0340147112610236E-2</v>
      </c>
      <c r="K73" s="194">
        <f t="shared" si="15"/>
        <v>0.10534585242115625</v>
      </c>
      <c r="L73" s="194">
        <f t="shared" si="15"/>
        <v>0.10399619566108587</v>
      </c>
      <c r="N73" s="344">
        <f>(L73/C73)^(1/(9-1))-1</f>
        <v>8.7920148073380444E-2</v>
      </c>
      <c r="O73" s="344">
        <f t="shared" si="12"/>
        <v>5.2995780590717301E-2</v>
      </c>
      <c r="P73" s="344">
        <f t="shared" si="13"/>
        <v>0.12987330926005264</v>
      </c>
      <c r="Q73" s="194">
        <f t="shared" si="14"/>
        <v>9.1517616435458721E-2</v>
      </c>
    </row>
    <row r="74" spans="1:17">
      <c r="A74" s="342" t="s">
        <v>252</v>
      </c>
      <c r="B74" s="343" t="s">
        <v>253</v>
      </c>
      <c r="C74" s="368">
        <f>'Data Sheet'!C17/'Data Sheet'!C66</f>
        <v>0.40593313236503153</v>
      </c>
      <c r="D74" s="368">
        <f>'Data Sheet'!D17/'Data Sheet'!D66</f>
        <v>0.44759712601643503</v>
      </c>
      <c r="E74" s="368">
        <f>'Data Sheet'!E17/'Data Sheet'!E66</f>
        <v>0.60439824661993458</v>
      </c>
      <c r="F74" s="368">
        <f>'Data Sheet'!F17/'Data Sheet'!F66</f>
        <v>0.88901063781217182</v>
      </c>
      <c r="G74" s="368">
        <f>'Data Sheet'!G17/'Data Sheet'!G66</f>
        <v>0.9414702262614788</v>
      </c>
      <c r="H74" s="368">
        <f>'Data Sheet'!H17/'Data Sheet'!H66</f>
        <v>1.0483980913428765</v>
      </c>
      <c r="I74" s="368">
        <f>'Data Sheet'!I17/'Data Sheet'!I66</f>
        <v>1.10027564131063</v>
      </c>
      <c r="J74" s="368">
        <f>'Data Sheet'!J17/'Data Sheet'!J66</f>
        <v>1.1605433193416026</v>
      </c>
      <c r="K74" s="368">
        <f>'Data Sheet'!K17/'Data Sheet'!K66</f>
        <v>1.1097666015419845</v>
      </c>
      <c r="L74" s="368">
        <f>'Data Sheet'!K17/'Data Sheet'!K66</f>
        <v>1.1097666015419845</v>
      </c>
      <c r="M74" s="203">
        <f>(L74/G74)^(1/(5-1))-1</f>
        <v>4.1972519206731951E-2</v>
      </c>
      <c r="N74" s="344">
        <f>(L74/C74)^(1/(9-1))-1</f>
        <v>0.13395845574142218</v>
      </c>
      <c r="O74" s="349">
        <f t="shared" si="12"/>
        <v>0.40593313236503153</v>
      </c>
      <c r="P74" s="349">
        <f t="shared" si="13"/>
        <v>1.1605433193416026</v>
      </c>
      <c r="Q74" s="368">
        <f t="shared" si="14"/>
        <v>0.88171596241541295</v>
      </c>
    </row>
    <row r="75" spans="1:17" ht="25.5">
      <c r="A75" s="342" t="s">
        <v>254</v>
      </c>
      <c r="B75" s="343" t="s">
        <v>255</v>
      </c>
      <c r="C75" s="369">
        <f>'Data Sheet'!C66/('Data Sheet'!C57+'Data Sheet'!C58)</f>
        <v>3.6185439219899185</v>
      </c>
      <c r="D75" s="369">
        <f>'Data Sheet'!D66/('Data Sheet'!D57+'Data Sheet'!D58)</f>
        <v>3.4100645539906105</v>
      </c>
      <c r="E75" s="369">
        <f>'Data Sheet'!E66/('Data Sheet'!E57+'Data Sheet'!E58)</f>
        <v>3.0819700165308097</v>
      </c>
      <c r="F75" s="369">
        <f>'Data Sheet'!F66/('Data Sheet'!F57+'Data Sheet'!F58)</f>
        <v>2.2362550410944921</v>
      </c>
      <c r="G75" s="369">
        <f>'Data Sheet'!G66/('Data Sheet'!G57+'Data Sheet'!G58)</f>
        <v>1.9171468759925587</v>
      </c>
      <c r="H75" s="369">
        <f>'Data Sheet'!H66/('Data Sheet'!H57+'Data Sheet'!H58)</f>
        <v>1.7495191197968762</v>
      </c>
      <c r="I75" s="369">
        <f>'Data Sheet'!I66/('Data Sheet'!I57+'Data Sheet'!I58)</f>
        <v>1.4935095116364001</v>
      </c>
      <c r="J75" s="369">
        <f>'Data Sheet'!J66/('Data Sheet'!J57+'Data Sheet'!J58)</f>
        <v>1.2656618415161915</v>
      </c>
      <c r="K75" s="369">
        <f>'Data Sheet'!K66/('Data Sheet'!K57+'Data Sheet'!K58)</f>
        <v>1.2707493526255371</v>
      </c>
      <c r="L75" s="368">
        <f>'Data Sheet'!K66/('Data Sheet'!K57+'Data Sheet'!K58)</f>
        <v>1.2707493526255371</v>
      </c>
      <c r="N75" s="344">
        <f>(L75/C75)^(1/(9-1))-1</f>
        <v>-0.12261388732512146</v>
      </c>
      <c r="O75" s="349">
        <f t="shared" si="12"/>
        <v>1.2656618415161915</v>
      </c>
      <c r="P75" s="349">
        <f t="shared" si="13"/>
        <v>3.6185439219899185</v>
      </c>
      <c r="Q75" s="368">
        <f t="shared" si="14"/>
        <v>2.1314169587798935</v>
      </c>
    </row>
    <row r="76" spans="1:17" ht="38.25">
      <c r="A76" s="342" t="s">
        <v>256</v>
      </c>
      <c r="B76" s="343" t="s">
        <v>257</v>
      </c>
      <c r="C76" s="366">
        <f>C73*C74*C75</f>
        <v>7.7844806214362461E-2</v>
      </c>
      <c r="D76" s="366">
        <f t="shared" ref="D76:L76" si="16">D73*D74*D75</f>
        <v>0.13593016431924884</v>
      </c>
      <c r="E76" s="366">
        <f t="shared" si="16"/>
        <v>0.2419198540728496</v>
      </c>
      <c r="F76" s="366">
        <f t="shared" si="16"/>
        <v>0.12190515084996684</v>
      </c>
      <c r="G76" s="366">
        <f t="shared" si="16"/>
        <v>0.14056899133354508</v>
      </c>
      <c r="H76" s="366">
        <f t="shared" si="16"/>
        <v>0.18519658382703702</v>
      </c>
      <c r="I76" s="366">
        <f t="shared" si="16"/>
        <v>0.1699146774675476</v>
      </c>
      <c r="J76" s="366">
        <f t="shared" si="16"/>
        <v>0.13269661244590358</v>
      </c>
      <c r="K76" s="366">
        <f t="shared" si="16"/>
        <v>0.14856242825489202</v>
      </c>
      <c r="L76" s="366">
        <f t="shared" si="16"/>
        <v>0.14665909479677838</v>
      </c>
      <c r="N76" s="344">
        <f>(L76/C76)^(1/(9-1))-1</f>
        <v>8.2392862511504461E-2</v>
      </c>
      <c r="O76" s="344">
        <f t="shared" si="12"/>
        <v>7.7844806214362461E-2</v>
      </c>
      <c r="P76" s="344">
        <f t="shared" si="13"/>
        <v>0.2419198540728496</v>
      </c>
      <c r="Q76" s="194">
        <f t="shared" si="14"/>
        <v>0.15011983635821313</v>
      </c>
    </row>
    <row r="77" spans="1:17" ht="25.5">
      <c r="A77" s="342" t="s">
        <v>144</v>
      </c>
      <c r="B77" s="343" t="s">
        <v>258</v>
      </c>
      <c r="C77" s="366">
        <f>IFERROR((C43/C41)/C40,"NA")</f>
        <v>3.9030736451255578E-2</v>
      </c>
      <c r="D77" s="366">
        <f t="shared" ref="D77:L77" si="17">IFERROR((D43/D41)/D40,"NA")</f>
        <v>1.7823798985191309E-2</v>
      </c>
      <c r="E77" s="366">
        <f t="shared" si="17"/>
        <v>2.2914757103574702E-2</v>
      </c>
      <c r="F77" s="366">
        <f t="shared" si="17"/>
        <v>3.4075216446967503E-2</v>
      </c>
      <c r="G77" s="366">
        <f t="shared" si="17"/>
        <v>4.783551302646117E-2</v>
      </c>
      <c r="H77" s="366">
        <f t="shared" si="17"/>
        <v>4.2441029276310917E-2</v>
      </c>
      <c r="I77" s="366">
        <f t="shared" si="17"/>
        <v>1.6104911998159437E-2</v>
      </c>
      <c r="J77" s="366">
        <f t="shared" si="17"/>
        <v>1.7767249037607343E-2</v>
      </c>
      <c r="K77" s="366">
        <f t="shared" si="17"/>
        <v>0</v>
      </c>
      <c r="L77" s="366">
        <f t="shared" si="17"/>
        <v>0</v>
      </c>
      <c r="N77" s="344"/>
      <c r="O77" s="344">
        <f t="shared" si="12"/>
        <v>0</v>
      </c>
      <c r="P77" s="344">
        <f t="shared" si="13"/>
        <v>4.783551302646117E-2</v>
      </c>
      <c r="Q77" s="194">
        <f t="shared" si="14"/>
        <v>2.3799321232552795E-2</v>
      </c>
    </row>
    <row r="78" spans="1:17" ht="38.25">
      <c r="A78" s="342" t="s">
        <v>259</v>
      </c>
      <c r="B78" s="343" t="s">
        <v>260</v>
      </c>
      <c r="C78" s="348">
        <f>'Data Sheet'!C31/'Data Sheet'!C30</f>
        <v>0.12473460721868365</v>
      </c>
      <c r="D78" s="348">
        <f>'Data Sheet'!D31/'Data Sheet'!D30</f>
        <v>9.5116028062601179E-2</v>
      </c>
      <c r="E78" s="348">
        <f>'Data Sheet'!E31/'Data Sheet'!E30</f>
        <v>6.9215362865221494E-2</v>
      </c>
      <c r="F78" s="348">
        <f>'Data Sheet'!F31/'Data Sheet'!F30</f>
        <v>0.12301088777219431</v>
      </c>
      <c r="G78" s="348">
        <f>'Data Sheet'!G31/'Data Sheet'!G30</f>
        <v>0.18015655261459004</v>
      </c>
      <c r="H78" s="348">
        <f>'Data Sheet'!H31/'Data Sheet'!H30</f>
        <v>0.15254985459077691</v>
      </c>
      <c r="I78" s="348">
        <f>'Data Sheet'!I31/'Data Sheet'!I30</f>
        <v>0.1607073075420086</v>
      </c>
      <c r="J78" s="350">
        <f>'Data Sheet'!J31/'Data Sheet'!J30</f>
        <v>0.19821187584345479</v>
      </c>
      <c r="K78" s="350">
        <f>'Data Sheet'!K31/'Data Sheet'!K30</f>
        <v>0</v>
      </c>
      <c r="L78" s="344">
        <f>'Data Sheet'!K31/'Data Sheet'!K30</f>
        <v>0</v>
      </c>
      <c r="M78" s="347">
        <f>AVERAGE(H78:L78)</f>
        <v>0.10229380759524806</v>
      </c>
      <c r="N78" s="344"/>
      <c r="O78" s="344">
        <f t="shared" si="12"/>
        <v>0</v>
      </c>
      <c r="P78" s="344">
        <f t="shared" si="13"/>
        <v>0.19821187584345479</v>
      </c>
      <c r="Q78" s="194">
        <f t="shared" si="14"/>
        <v>0.11037024765095312</v>
      </c>
    </row>
    <row r="79" spans="1:17">
      <c r="A79" s="342"/>
      <c r="B79" s="343"/>
      <c r="C79" s="344"/>
      <c r="D79" s="344"/>
      <c r="E79" s="344"/>
      <c r="F79" s="344"/>
      <c r="G79" s="344"/>
      <c r="H79" s="344"/>
      <c r="I79" s="344"/>
      <c r="J79" s="344"/>
      <c r="K79" s="344"/>
      <c r="L79" s="344"/>
      <c r="N79" s="344"/>
      <c r="O79" s="344"/>
      <c r="P79" s="344"/>
      <c r="Q79" s="194"/>
    </row>
    <row r="80" spans="1:17">
      <c r="A80" s="337" t="s">
        <v>261</v>
      </c>
      <c r="C80" s="346">
        <f>C63</f>
        <v>39903</v>
      </c>
      <c r="D80" s="346">
        <f t="shared" ref="D80:L80" si="18">D63</f>
        <v>40268</v>
      </c>
      <c r="E80" s="346">
        <f t="shared" si="18"/>
        <v>40633</v>
      </c>
      <c r="F80" s="346">
        <f t="shared" si="18"/>
        <v>40999</v>
      </c>
      <c r="G80" s="346">
        <f t="shared" si="18"/>
        <v>41364</v>
      </c>
      <c r="H80" s="346">
        <f t="shared" si="18"/>
        <v>41729</v>
      </c>
      <c r="I80" s="346">
        <f t="shared" si="18"/>
        <v>42094</v>
      </c>
      <c r="J80" s="346">
        <f t="shared" si="18"/>
        <v>42460</v>
      </c>
      <c r="K80" s="346">
        <f t="shared" si="18"/>
        <v>42825</v>
      </c>
      <c r="L80" s="346" t="str">
        <f t="shared" si="18"/>
        <v>Trailing</v>
      </c>
      <c r="N80" s="344"/>
      <c r="O80" s="365" t="str">
        <f>O63</f>
        <v>Min</v>
      </c>
      <c r="P80" s="365" t="str">
        <f t="shared" ref="P80:Q80" si="19">P63</f>
        <v>Max</v>
      </c>
      <c r="Q80" s="365" t="str">
        <f t="shared" si="19"/>
        <v>Avg.</v>
      </c>
    </row>
    <row r="81" spans="1:17" ht="25.5">
      <c r="A81" s="342" t="s">
        <v>262</v>
      </c>
      <c r="B81" s="343" t="s">
        <v>263</v>
      </c>
      <c r="C81" s="344">
        <f>'Data Sheet'!C67/'Data Sheet'!C17</f>
        <v>4.0618846694796061E-2</v>
      </c>
      <c r="D81" s="344">
        <f>'Data Sheet'!D67/'Data Sheet'!D17</f>
        <v>0.11371173162877878</v>
      </c>
      <c r="E81" s="344">
        <f>'Data Sheet'!E67/'Data Sheet'!E17</f>
        <v>6.4783646489993282E-2</v>
      </c>
      <c r="F81" s="344">
        <f>'Data Sheet'!F67/'Data Sheet'!F17</f>
        <v>2.7038824979457681E-2</v>
      </c>
      <c r="G81" s="344">
        <f>'Data Sheet'!G67/'Data Sheet'!G17</f>
        <v>1.6415696724402323E-2</v>
      </c>
      <c r="H81" s="344">
        <f>'Data Sheet'!H67/'Data Sheet'!H17</f>
        <v>1.1955199463064727E-2</v>
      </c>
      <c r="I81" s="344">
        <f>'Data Sheet'!I67/'Data Sheet'!I17</f>
        <v>1.2202759763217972E-2</v>
      </c>
      <c r="J81" s="344">
        <f>'Data Sheet'!J67/'Data Sheet'!J17</f>
        <v>3.7590929410330397E-2</v>
      </c>
      <c r="K81" s="344">
        <f>'Data Sheet'!K67/'Data Sheet'!K17</f>
        <v>7.7689016772044067E-2</v>
      </c>
      <c r="L81" s="344">
        <f>'Data Sheet'!K67/'Data Sheet'!K17</f>
        <v>7.7689016772044067E-2</v>
      </c>
      <c r="N81" s="344">
        <f>AVERAGE(C81:L81)</f>
        <v>4.7969566869812942E-2</v>
      </c>
      <c r="O81" s="344">
        <f>MIN(C81:L81)</f>
        <v>1.1955199463064727E-2</v>
      </c>
      <c r="P81" s="344">
        <f>MAX(C81:L81)</f>
        <v>0.11371173162877878</v>
      </c>
      <c r="Q81" s="194">
        <f>AVERAGE(C81:L81)</f>
        <v>4.7969566869812942E-2</v>
      </c>
    </row>
    <row r="82" spans="1:17">
      <c r="A82" s="342" t="s">
        <v>264</v>
      </c>
      <c r="B82" s="343" t="s">
        <v>265</v>
      </c>
      <c r="C82" s="348">
        <f>'Data Sheet'!C68/'Data Sheet'!C17</f>
        <v>0.61277074542897325</v>
      </c>
      <c r="D82" s="348">
        <f>'Data Sheet'!D68/'Data Sheet'!D17</f>
        <v>0.65660594992069976</v>
      </c>
      <c r="E82" s="348">
        <f>'Data Sheet'!E68/'Data Sheet'!E17</f>
        <v>0.46034029010343358</v>
      </c>
      <c r="F82" s="348">
        <f>'Data Sheet'!F68/'Data Sheet'!F17</f>
        <v>0.21240755957271981</v>
      </c>
      <c r="G82" s="348">
        <f>'Data Sheet'!G68/'Data Sheet'!G17</f>
        <v>0.23173030996254307</v>
      </c>
      <c r="H82" s="348">
        <f>'Data Sheet'!H68/'Data Sheet'!H17</f>
        <v>0.27874491379671967</v>
      </c>
      <c r="I82" s="348">
        <f>'Data Sheet'!I68/'Data Sheet'!I17</f>
        <v>0.29199749479766451</v>
      </c>
      <c r="J82" s="348">
        <f>'Data Sheet'!J68/'Data Sheet'!J17</f>
        <v>0.25230625431787701</v>
      </c>
      <c r="K82" s="348">
        <f>'Data Sheet'!K68/'Data Sheet'!K17</f>
        <v>0.28679059554007497</v>
      </c>
      <c r="L82" s="349">
        <f>'Data Sheet'!K68/'Data Sheet'!K17</f>
        <v>0.28679059554007497</v>
      </c>
      <c r="N82" s="344">
        <f t="shared" ref="N82:N85" si="20">AVERAGE(C82:L82)</f>
        <v>0.35704847089807801</v>
      </c>
      <c r="O82" s="344">
        <f t="shared" ref="O82:O129" si="21">MIN(C82:L82)</f>
        <v>0.21240755957271981</v>
      </c>
      <c r="P82" s="344">
        <f t="shared" ref="P82:P129" si="22">MAX(C82:L82)</f>
        <v>0.65660594992069976</v>
      </c>
      <c r="Q82" s="194">
        <f t="shared" ref="Q82:Q129" si="23">AVERAGE(C82:L82)</f>
        <v>0.35704847089807801</v>
      </c>
    </row>
    <row r="83" spans="1:17">
      <c r="A83" s="342" t="s">
        <v>266</v>
      </c>
      <c r="B83" s="343" t="s">
        <v>267</v>
      </c>
      <c r="C83" s="344">
        <f>'Data Sheet'!C69/'Data Sheet'!C59</f>
        <v>8.8650367720135154E-3</v>
      </c>
      <c r="D83" s="344">
        <f>'Data Sheet'!D69/'Data Sheet'!D59</f>
        <v>2.3935715506924259E-2</v>
      </c>
      <c r="E83" s="344">
        <f>'Data Sheet'!E69/'Data Sheet'!E59</f>
        <v>1.0188389081122644E-2</v>
      </c>
      <c r="F83" s="344">
        <f>'Data Sheet'!F69/'Data Sheet'!F59</f>
        <v>1.3403416557161631E-2</v>
      </c>
      <c r="G83" s="344">
        <f>'Data Sheet'!G69/'Data Sheet'!G59</f>
        <v>1.6320000000000001E-2</v>
      </c>
      <c r="H83" s="344">
        <f>'Data Sheet'!H69/'Data Sheet'!H59</f>
        <v>2.7331670822942647E-2</v>
      </c>
      <c r="I83" s="344">
        <f>'Data Sheet'!I69/'Data Sheet'!I59</f>
        <v>4.5345680983554203E-2</v>
      </c>
      <c r="J83" s="350">
        <f>'Data Sheet'!J69/'Data Sheet'!J59</f>
        <v>0.24251648909183157</v>
      </c>
      <c r="K83" s="350">
        <f>'Data Sheet'!K69/'Data Sheet'!K59</f>
        <v>1.7983978638184246</v>
      </c>
      <c r="L83" s="344">
        <f>'Data Sheet'!K69/'Data Sheet'!K59</f>
        <v>1.7983978638184246</v>
      </c>
      <c r="N83" s="344"/>
      <c r="O83" s="344">
        <f t="shared" si="21"/>
        <v>8.8650367720135154E-3</v>
      </c>
      <c r="P83" s="344">
        <f t="shared" si="22"/>
        <v>1.7983978638184246</v>
      </c>
      <c r="Q83" s="194">
        <f t="shared" si="23"/>
        <v>0.39847021264523991</v>
      </c>
    </row>
    <row r="84" spans="1:17">
      <c r="A84" s="342" t="s">
        <v>268</v>
      </c>
      <c r="B84" s="343"/>
      <c r="C84" s="344">
        <f>'Data Sheet'!C27/'Data Sheet'!C59</f>
        <v>6.8932617769827065E-2</v>
      </c>
      <c r="D84" s="344">
        <f>'Data Sheet'!D27/'Data Sheet'!D59</f>
        <v>7.1550692426055731E-2</v>
      </c>
      <c r="E84" s="344">
        <f>'Data Sheet'!E27/'Data Sheet'!E59</f>
        <v>5.955401768550557E-2</v>
      </c>
      <c r="F84" s="344">
        <f>'Data Sheet'!F27/'Data Sheet'!F59</f>
        <v>0.13193166885676741</v>
      </c>
      <c r="G84" s="344">
        <f>'Data Sheet'!G27/'Data Sheet'!G59</f>
        <v>0.20661333333333334</v>
      </c>
      <c r="H84" s="344">
        <f>'Data Sheet'!H27/'Data Sheet'!H59</f>
        <v>0.12837905236907729</v>
      </c>
      <c r="I84" s="344">
        <f>'Data Sheet'!I27/'Data Sheet'!I59</f>
        <v>0.11448187769439565</v>
      </c>
      <c r="J84" s="350">
        <f>'Data Sheet'!J27/'Data Sheet'!J59</f>
        <v>0.29781836631151698</v>
      </c>
      <c r="K84" s="350">
        <f>'Data Sheet'!K27/'Data Sheet'!K59</f>
        <v>0.59145527369826434</v>
      </c>
      <c r="L84" s="344">
        <f>'Data Sheet'!K27/'Data Sheet'!K59</f>
        <v>0.59145527369826434</v>
      </c>
      <c r="N84" s="344"/>
      <c r="O84" s="344">
        <f t="shared" si="21"/>
        <v>5.955401768550557E-2</v>
      </c>
      <c r="P84" s="344">
        <f t="shared" si="22"/>
        <v>0.59145527369826434</v>
      </c>
      <c r="Q84" s="194">
        <f t="shared" si="23"/>
        <v>0.22621721738430076</v>
      </c>
    </row>
    <row r="85" spans="1:17" ht="25.5">
      <c r="A85" s="342" t="s">
        <v>269</v>
      </c>
      <c r="B85" s="343" t="s">
        <v>270</v>
      </c>
      <c r="C85" s="344">
        <f>('Data Sheet'!C67+'Data Sheet'!C68)/'Data Sheet'!C17</f>
        <v>0.65338959212376935</v>
      </c>
      <c r="D85" s="344">
        <f>('Data Sheet'!D67+'Data Sheet'!D68)/'Data Sheet'!D17</f>
        <v>0.77031768154947855</v>
      </c>
      <c r="E85" s="344">
        <f>('Data Sheet'!E67+'Data Sheet'!E68)/'Data Sheet'!E17</f>
        <v>0.52512393659342693</v>
      </c>
      <c r="F85" s="344">
        <f>('Data Sheet'!F67+'Data Sheet'!F68)/'Data Sheet'!F17</f>
        <v>0.23944638455217748</v>
      </c>
      <c r="G85" s="344">
        <f>('Data Sheet'!G67+'Data Sheet'!G68)/'Data Sheet'!G17</f>
        <v>0.24814600668694539</v>
      </c>
      <c r="H85" s="344">
        <f>('Data Sheet'!H67+'Data Sheet'!H68)/'Data Sheet'!H17</f>
        <v>0.2907001132597844</v>
      </c>
      <c r="I85" s="344">
        <f>('Data Sheet'!I67+'Data Sheet'!I68)/'Data Sheet'!I17</f>
        <v>0.30420025456088245</v>
      </c>
      <c r="J85" s="344">
        <f>('Data Sheet'!J67+'Data Sheet'!J68)/'Data Sheet'!J17</f>
        <v>0.28989718372820744</v>
      </c>
      <c r="K85" s="344">
        <f>('Data Sheet'!K67+'Data Sheet'!K68)/'Data Sheet'!K17</f>
        <v>0.36447961231211901</v>
      </c>
      <c r="L85" s="350">
        <f>('Data Sheet'!K67+'Data Sheet'!K68)/'Data Sheet'!K17</f>
        <v>0.36447961231211901</v>
      </c>
      <c r="N85" s="344">
        <f t="shared" si="20"/>
        <v>0.40501803776789097</v>
      </c>
      <c r="O85" s="344">
        <f t="shared" si="21"/>
        <v>0.23944638455217748</v>
      </c>
      <c r="P85" s="344">
        <f t="shared" si="22"/>
        <v>0.77031768154947855</v>
      </c>
      <c r="Q85" s="194">
        <f t="shared" si="23"/>
        <v>0.40501803776789097</v>
      </c>
    </row>
    <row r="86" spans="1:17" ht="38.25">
      <c r="A86" s="342" t="s">
        <v>271</v>
      </c>
      <c r="B86" s="343" t="s">
        <v>272</v>
      </c>
      <c r="C86" s="361">
        <f>'Balance Sheet'!C13/'Balance Sheet'!C7</f>
        <v>2.2441824862216784</v>
      </c>
      <c r="D86" s="361">
        <f>'Balance Sheet'!D13/'Balance Sheet'!D7</f>
        <v>2.0365827870585749</v>
      </c>
      <c r="E86" s="361">
        <f>'Balance Sheet'!E13/'Balance Sheet'!E7</f>
        <v>1.9845919726079513</v>
      </c>
      <c r="F86" s="361">
        <f>'Balance Sheet'!F13/'Balance Sheet'!F7</f>
        <v>1.4214738246082028</v>
      </c>
      <c r="G86" s="361">
        <f>'Balance Sheet'!G13/'Balance Sheet'!G7</f>
        <v>1.2067724672448792</v>
      </c>
      <c r="H86" s="361">
        <f>'Balance Sheet'!H13/'Balance Sheet'!H7</f>
        <v>1.7428631846056248</v>
      </c>
      <c r="I86" s="361">
        <f>'Balance Sheet'!I13/'Balance Sheet'!I7</f>
        <v>2.0902115787026276</v>
      </c>
      <c r="J86" s="361">
        <f>'Balance Sheet'!J13/'Balance Sheet'!J7</f>
        <v>2.4359307359307363</v>
      </c>
      <c r="K86" s="361">
        <f>'Balance Sheet'!K13/'Balance Sheet'!K7</f>
        <v>2.3631427658894921</v>
      </c>
      <c r="L86" s="361">
        <f>'Balance Sheet'!K13/'Balance Sheet'!K7</f>
        <v>2.3631427658894921</v>
      </c>
      <c r="N86" s="344"/>
      <c r="O86" s="349">
        <f t="shared" si="21"/>
        <v>1.2067724672448792</v>
      </c>
      <c r="P86" s="349">
        <f t="shared" si="22"/>
        <v>2.4359307359307363</v>
      </c>
      <c r="Q86" s="368">
        <f t="shared" si="23"/>
        <v>1.9888894568759259</v>
      </c>
    </row>
    <row r="87" spans="1:17" ht="25.5">
      <c r="A87" s="342" t="s">
        <v>273</v>
      </c>
      <c r="B87" s="343" t="s">
        <v>274</v>
      </c>
      <c r="C87" s="348">
        <f>C48/'Profit &amp; Loss'!C4</f>
        <v>0.4572151898734178</v>
      </c>
      <c r="D87" s="348">
        <f>D48/'Profit &amp; Loss'!D4</f>
        <v>0.47118758110251363</v>
      </c>
      <c r="E87" s="348">
        <f>E48/'Profit &amp; Loss'!E4</f>
        <v>0.31678805312442626</v>
      </c>
      <c r="F87" s="348">
        <f>F48/'Profit &amp; Loss'!F4</f>
        <v>9.7370583401807723E-2</v>
      </c>
      <c r="G87" s="348">
        <f>G48/'Profit &amp; Loss'!G4</f>
        <v>5.6336257824480242E-2</v>
      </c>
      <c r="H87" s="348">
        <f>H48/'Profit &amp; Loss'!H4</f>
        <v>0.14736356390788205</v>
      </c>
      <c r="I87" s="348">
        <f>I48/'Profit &amp; Loss'!I4</f>
        <v>0.18946602824413603</v>
      </c>
      <c r="J87" s="348">
        <f>J48/'Profit &amp; Loss'!J4</f>
        <v>0.20219856138497178</v>
      </c>
      <c r="K87" s="348">
        <f>K48/'Profit &amp; Loss'!K4</f>
        <v>0.2423806458940673</v>
      </c>
      <c r="L87" s="348">
        <f>L48/'Profit &amp; Loss'!L4</f>
        <v>0.20996015282947705</v>
      </c>
      <c r="N87" s="344"/>
      <c r="O87" s="344">
        <f t="shared" si="21"/>
        <v>5.6336257824480242E-2</v>
      </c>
      <c r="P87" s="344">
        <f t="shared" si="22"/>
        <v>0.47118758110251363</v>
      </c>
      <c r="Q87" s="194">
        <f t="shared" si="23"/>
        <v>0.23902666175871801</v>
      </c>
    </row>
    <row r="88" spans="1:17" ht="25.5">
      <c r="A88" s="342" t="s">
        <v>275</v>
      </c>
      <c r="B88" s="343" t="s">
        <v>276</v>
      </c>
      <c r="C88" s="348">
        <f>C55/'Profit &amp; Loss'!C4</f>
        <v>2.0959774964838256</v>
      </c>
      <c r="D88" s="348">
        <f>D55/'Profit &amp; Loss'!D4</f>
        <v>1.7795934060652665</v>
      </c>
      <c r="E88" s="348">
        <f>E55/'Profit &amp; Loss'!E4</f>
        <v>1.3327927045718835</v>
      </c>
      <c r="F88" s="348">
        <f>F55/'Profit &amp; Loss'!F4</f>
        <v>0.89382189811010682</v>
      </c>
      <c r="G88" s="348">
        <f>G55/'Profit &amp; Loss'!G4</f>
        <v>0.78971316523793955</v>
      </c>
      <c r="H88" s="348">
        <f>H55/'Profit &amp; Loss'!H4</f>
        <v>0.75546373589496207</v>
      </c>
      <c r="I88" s="348">
        <f>I55/'Profit &amp; Loss'!I4</f>
        <v>0.73507485302139519</v>
      </c>
      <c r="J88" s="348">
        <f>J55/'Profit &amp; Loss'!J4</f>
        <v>0.72085179014101675</v>
      </c>
      <c r="K88" s="348">
        <f>K55/'Profit &amp; Loss'!K4</f>
        <v>0.72328020293037532</v>
      </c>
      <c r="L88" s="348">
        <f>L55/'Profit &amp; Loss'!L4</f>
        <v>0.62653526392601222</v>
      </c>
      <c r="N88" s="344"/>
      <c r="O88" s="344">
        <f t="shared" si="21"/>
        <v>0.62653526392601222</v>
      </c>
      <c r="P88" s="344">
        <f t="shared" si="22"/>
        <v>2.0959774964838256</v>
      </c>
      <c r="Q88" s="194">
        <f t="shared" si="23"/>
        <v>1.0453104516382785</v>
      </c>
    </row>
    <row r="89" spans="1:17">
      <c r="A89" s="342" t="s">
        <v>277</v>
      </c>
      <c r="B89" s="343" t="s">
        <v>278</v>
      </c>
      <c r="C89" s="348">
        <f>C48/'Profit &amp; Loss'!C12</f>
        <v>8.627388535031848</v>
      </c>
      <c r="D89" s="348">
        <f>D48/'Profit &amp; Loss'!D12</f>
        <v>5.2908796546141392</v>
      </c>
      <c r="E89" s="348">
        <f>E48/'Profit &amp; Loss'!E12</f>
        <v>2.4392082940622055</v>
      </c>
      <c r="F89" s="348">
        <f>F48/'Profit &amp; Loss'!F12</f>
        <v>1.5879396984924625</v>
      </c>
      <c r="G89" s="348">
        <f>G48/'Profit &amp; Loss'!G12</f>
        <v>0.72336991607488688</v>
      </c>
      <c r="H89" s="348">
        <f>H48/'Profit &amp; Loss'!H12</f>
        <v>1.4594931449937683</v>
      </c>
      <c r="I89" s="348">
        <f>I48/'Profit &amp; Loss'!I12</f>
        <v>1.8323563892145371</v>
      </c>
      <c r="J89" s="348">
        <f>J48/'Profit &amp; Loss'!J12</f>
        <v>2.238191632928475</v>
      </c>
      <c r="K89" s="348">
        <f>K48/'Profit &amp; Loss'!K12</f>
        <v>2.3008086253369271</v>
      </c>
      <c r="L89" s="348">
        <f>L48/'Profit &amp; Loss'!L12</f>
        <v>2.0189214758751182</v>
      </c>
      <c r="N89" s="344"/>
      <c r="O89" s="344">
        <f t="shared" si="21"/>
        <v>0.72336991607488688</v>
      </c>
      <c r="P89" s="344">
        <f t="shared" si="22"/>
        <v>8.627388535031848</v>
      </c>
      <c r="Q89" s="194">
        <f t="shared" si="23"/>
        <v>2.8518557366624373</v>
      </c>
    </row>
    <row r="90" spans="1:17" ht="25.5">
      <c r="A90" s="342" t="s">
        <v>279</v>
      </c>
      <c r="B90" s="343" t="s">
        <v>280</v>
      </c>
      <c r="C90" s="349">
        <f>'Profit &amp; Loss'!C12/'Financial Analysis'!C55</f>
        <v>2.5284517929997852E-2</v>
      </c>
      <c r="D90" s="349">
        <f>'Profit &amp; Loss'!D12/'Financial Analysis'!D55</f>
        <v>5.0043210543372588E-2</v>
      </c>
      <c r="E90" s="349">
        <f>'Profit &amp; Loss'!E12/'Financial Analysis'!E55</f>
        <v>9.7444492916676229E-2</v>
      </c>
      <c r="F90" s="349">
        <f>'Profit &amp; Loss'!F12/'Financial Analysis'!F55</f>
        <v>6.8602947513574083E-2</v>
      </c>
      <c r="G90" s="349">
        <f>'Profit &amp; Loss'!G12/'Financial Analysis'!G55</f>
        <v>9.8618450372445418E-2</v>
      </c>
      <c r="H90" s="349">
        <f>'Profit &amp; Loss'!H12/'Financial Analysis'!H55</f>
        <v>0.13365168383353229</v>
      </c>
      <c r="I90" s="349">
        <f>'Profit &amp; Loss'!I12/'Financial Analysis'!I55</f>
        <v>0.14066622691292877</v>
      </c>
      <c r="J90" s="349">
        <f>'Profit &amp; Loss'!J12/'Financial Analysis'!J55</f>
        <v>0.12532416281429701</v>
      </c>
      <c r="K90" s="349">
        <f>'Profit &amp; Loss'!K12/'Financial Analysis'!K55</f>
        <v>0.1456501256281407</v>
      </c>
      <c r="L90" s="349">
        <f>'Profit &amp; Loss'!L12/'Financial Analysis'!L55</f>
        <v>0.16598618090452261</v>
      </c>
      <c r="N90" s="344"/>
      <c r="O90" s="344">
        <f t="shared" si="21"/>
        <v>2.5284517929997852E-2</v>
      </c>
      <c r="P90" s="344">
        <f t="shared" si="22"/>
        <v>0.16598618090452261</v>
      </c>
      <c r="Q90" s="194">
        <f t="shared" si="23"/>
        <v>0.10512719993694877</v>
      </c>
    </row>
    <row r="91" spans="1:17">
      <c r="A91" s="342" t="s">
        <v>281</v>
      </c>
      <c r="B91" s="343" t="s">
        <v>282</v>
      </c>
      <c r="C91" s="344"/>
      <c r="D91" s="344"/>
      <c r="E91" s="344"/>
      <c r="F91" s="344"/>
      <c r="G91" s="344"/>
      <c r="H91" s="344"/>
      <c r="I91" s="344"/>
      <c r="J91" s="344"/>
      <c r="K91" s="344"/>
      <c r="L91" s="344"/>
      <c r="N91" s="344"/>
      <c r="O91" s="344">
        <f t="shared" si="21"/>
        <v>0</v>
      </c>
      <c r="P91" s="344">
        <f t="shared" si="22"/>
        <v>0</v>
      </c>
      <c r="Q91" s="194" t="e">
        <f t="shared" si="23"/>
        <v>#DIV/0!</v>
      </c>
    </row>
    <row r="92" spans="1:17" ht="25.5">
      <c r="A92" s="342" t="s">
        <v>283</v>
      </c>
      <c r="B92" s="343" t="s">
        <v>284</v>
      </c>
      <c r="C92" s="344"/>
      <c r="D92" s="344"/>
      <c r="E92" s="344"/>
      <c r="F92" s="344"/>
      <c r="G92" s="344"/>
      <c r="H92" s="344"/>
      <c r="I92" s="344"/>
      <c r="J92" s="344"/>
      <c r="K92" s="344"/>
      <c r="L92" s="344"/>
      <c r="N92" s="344"/>
      <c r="O92" s="344">
        <f t="shared" si="21"/>
        <v>0</v>
      </c>
      <c r="P92" s="344">
        <f t="shared" si="22"/>
        <v>0</v>
      </c>
      <c r="Q92" s="194" t="e">
        <f t="shared" si="23"/>
        <v>#DIV/0!</v>
      </c>
    </row>
    <row r="93" spans="1:17">
      <c r="A93" s="342" t="s">
        <v>285</v>
      </c>
      <c r="B93" s="343" t="s">
        <v>164</v>
      </c>
      <c r="C93" s="344"/>
      <c r="D93" s="344"/>
      <c r="E93" s="344"/>
      <c r="F93" s="344"/>
      <c r="G93" s="344"/>
      <c r="H93" s="344"/>
      <c r="I93" s="344"/>
      <c r="J93" s="344"/>
      <c r="K93" s="344"/>
      <c r="L93" s="344"/>
      <c r="N93" s="344"/>
      <c r="O93" s="344">
        <f t="shared" si="21"/>
        <v>0</v>
      </c>
      <c r="P93" s="344">
        <f t="shared" si="22"/>
        <v>0</v>
      </c>
      <c r="Q93" s="194" t="e">
        <f t="shared" si="23"/>
        <v>#DIV/0!</v>
      </c>
    </row>
    <row r="94" spans="1:17">
      <c r="A94" s="342" t="s">
        <v>286</v>
      </c>
      <c r="B94" s="343" t="s">
        <v>164</v>
      </c>
      <c r="C94" s="344"/>
      <c r="D94" s="344"/>
      <c r="E94" s="344"/>
      <c r="F94" s="344"/>
      <c r="G94" s="344"/>
      <c r="H94" s="344"/>
      <c r="I94" s="344"/>
      <c r="J94" s="344"/>
      <c r="K94" s="344"/>
      <c r="L94" s="344"/>
      <c r="N94" s="344"/>
      <c r="O94" s="344">
        <f t="shared" si="21"/>
        <v>0</v>
      </c>
      <c r="P94" s="344">
        <f t="shared" si="22"/>
        <v>0</v>
      </c>
      <c r="Q94" s="194" t="e">
        <f t="shared" si="23"/>
        <v>#DIV/0!</v>
      </c>
    </row>
    <row r="95" spans="1:17">
      <c r="A95" s="342" t="s">
        <v>47</v>
      </c>
      <c r="B95" s="343" t="s">
        <v>287</v>
      </c>
      <c r="C95" s="369">
        <f>IFERROR('Data Sheet'!C17/'Data Sheet'!C68,"NA")</f>
        <v>1.6319316929856775</v>
      </c>
      <c r="D95" s="369">
        <f>IFERROR('Data Sheet'!D17/'Data Sheet'!D68,"NA")</f>
        <v>1.5229834577660664</v>
      </c>
      <c r="E95" s="369">
        <f>IFERROR('Data Sheet'!E17/'Data Sheet'!E68,"NA")</f>
        <v>2.1723060559728773</v>
      </c>
      <c r="F95" s="369">
        <f>IFERROR('Data Sheet'!F17/'Data Sheet'!F68,"NA")</f>
        <v>4.7079303675048356</v>
      </c>
      <c r="G95" s="369">
        <f>IFERROR('Data Sheet'!G17/'Data Sheet'!G68,"NA")</f>
        <v>4.3153612497287916</v>
      </c>
      <c r="H95" s="369">
        <f>IFERROR('Data Sheet'!H17/'Data Sheet'!H68,"NA")</f>
        <v>3.5875094055680958</v>
      </c>
      <c r="I95" s="369">
        <f>IFERROR('Data Sheet'!I17/'Data Sheet'!I68,"NA")</f>
        <v>3.4246869162111673</v>
      </c>
      <c r="J95" s="369">
        <f>IFERROR('Data Sheet'!J17/'Data Sheet'!J68,"NA")</f>
        <v>3.9634372231617943</v>
      </c>
      <c r="K95" s="369">
        <f>IFERROR('Data Sheet'!K17/'Data Sheet'!K68,"NA")</f>
        <v>3.486864686468647</v>
      </c>
      <c r="L95" s="369">
        <f>IFERROR('Data Sheet'!K17/'Data Sheet'!K68,"NA")</f>
        <v>3.486864686468647</v>
      </c>
      <c r="N95" s="344"/>
      <c r="O95" s="349">
        <f t="shared" si="21"/>
        <v>1.5229834577660664</v>
      </c>
      <c r="P95" s="349">
        <f t="shared" si="22"/>
        <v>4.7079303675048356</v>
      </c>
      <c r="Q95" s="368">
        <f t="shared" si="23"/>
        <v>3.2299875741836601</v>
      </c>
    </row>
    <row r="96" spans="1:17">
      <c r="A96" s="342" t="s">
        <v>288</v>
      </c>
      <c r="B96" s="343" t="s">
        <v>289</v>
      </c>
      <c r="C96" s="369">
        <f>'Data Sheet'!C17/'Data Sheet'!C62</f>
        <v>0.61124484181568084</v>
      </c>
      <c r="D96" s="369">
        <f>'Data Sheet'!D17/'Data Sheet'!D62</f>
        <v>0.76628733473281041</v>
      </c>
      <c r="E96" s="369">
        <f>'Data Sheet'!E17/'Data Sheet'!E62</f>
        <v>0.9861484141593988</v>
      </c>
      <c r="F96" s="369">
        <f>'Data Sheet'!F17/'Data Sheet'!F62</f>
        <v>1.2557719592415839</v>
      </c>
      <c r="G96" s="369">
        <f>'Data Sheet'!G17/'Data Sheet'!G62</f>
        <v>1.3655212660052864</v>
      </c>
      <c r="H96" s="369">
        <f>'Data Sheet'!H17/'Data Sheet'!H62</f>
        <v>1.6505573634286503</v>
      </c>
      <c r="I96" s="369">
        <f>'Data Sheet'!I17/'Data Sheet'!I62</f>
        <v>1.8334259362151348</v>
      </c>
      <c r="J96" s="369">
        <f>'Data Sheet'!J17/'Data Sheet'!J62</f>
        <v>1.928901779415223</v>
      </c>
      <c r="K96" s="369">
        <f>'Data Sheet'!K17/'Data Sheet'!K62</f>
        <v>2.0803371007758042</v>
      </c>
      <c r="L96" s="369">
        <f>'Data Sheet'!K17/'Data Sheet'!K62</f>
        <v>2.0803371007758042</v>
      </c>
      <c r="N96" s="344"/>
      <c r="O96" s="349">
        <f t="shared" si="21"/>
        <v>0.61124484181568084</v>
      </c>
      <c r="P96" s="349">
        <f t="shared" si="22"/>
        <v>2.0803371007758042</v>
      </c>
      <c r="Q96" s="368">
        <f t="shared" si="23"/>
        <v>1.4558533096565376</v>
      </c>
    </row>
    <row r="97" spans="1:17" ht="25.5">
      <c r="A97" s="342" t="s">
        <v>290</v>
      </c>
      <c r="B97" s="343" t="s">
        <v>291</v>
      </c>
      <c r="N97" s="344"/>
      <c r="O97" s="344"/>
      <c r="P97" s="344"/>
      <c r="Q97" s="194"/>
    </row>
    <row r="98" spans="1:17" ht="25.5">
      <c r="A98" s="342" t="s">
        <v>292</v>
      </c>
      <c r="B98" s="343" t="s">
        <v>293</v>
      </c>
      <c r="C98" s="369">
        <f>IFERROR(('Data Sheet'!C68/'Data Sheet'!C17)*365,"NA")</f>
        <v>223.66132208157524</v>
      </c>
      <c r="D98" s="369">
        <f>IFERROR(('Data Sheet'!D68/'Data Sheet'!D17)*365,"NA")</f>
        <v>239.66117172105541</v>
      </c>
      <c r="E98" s="369">
        <f>IFERROR(('Data Sheet'!E68/'Data Sheet'!E17)*365,"NA")</f>
        <v>168.02420588775325</v>
      </c>
      <c r="F98" s="369">
        <f>IFERROR(('Data Sheet'!F68/'Data Sheet'!F17)*365,"NA")</f>
        <v>77.528759244042732</v>
      </c>
      <c r="G98" s="369">
        <f>IFERROR(('Data Sheet'!G68/'Data Sheet'!G17)*365,"NA")</f>
        <v>84.581563136328214</v>
      </c>
      <c r="H98" s="369">
        <f>IFERROR(('Data Sheet'!H68/'Data Sheet'!H17)*365,"NA")</f>
        <v>101.74189353580267</v>
      </c>
      <c r="I98" s="369">
        <f>IFERROR(('Data Sheet'!I68/'Data Sheet'!I17)*365,"NA")</f>
        <v>106.57908560114755</v>
      </c>
      <c r="J98" s="369">
        <f>IFERROR(('Data Sheet'!J68/'Data Sheet'!J17)*365,"NA")</f>
        <v>92.09178282602511</v>
      </c>
      <c r="K98" s="369">
        <f>IFERROR(('Data Sheet'!K68/'Data Sheet'!K17)*365,"NA")</f>
        <v>104.67856737212736</v>
      </c>
      <c r="L98" s="369">
        <f>IFERROR(('Data Sheet'!K68/'Data Sheet'!K17)*365,"NA")</f>
        <v>104.67856737212736</v>
      </c>
      <c r="N98" s="344"/>
      <c r="O98" s="361">
        <f t="shared" si="21"/>
        <v>77.528759244042732</v>
      </c>
      <c r="P98" s="361">
        <f t="shared" si="22"/>
        <v>239.66117172105541</v>
      </c>
      <c r="Q98" s="369">
        <f t="shared" si="23"/>
        <v>130.32269187779849</v>
      </c>
    </row>
    <row r="99" spans="1:17" ht="38.25">
      <c r="A99" s="342" t="s">
        <v>294</v>
      </c>
      <c r="B99" s="343" t="s">
        <v>295</v>
      </c>
      <c r="C99" s="369">
        <f>IFERROR(('Data Sheet'!C67/'Data Sheet'!C17)*365,"NA")</f>
        <v>14.825879043600562</v>
      </c>
      <c r="D99" s="369">
        <f>IFERROR(('Data Sheet'!D67/'Data Sheet'!D17)*365,"NA")</f>
        <v>41.504782044504253</v>
      </c>
      <c r="E99" s="369">
        <f>IFERROR(('Data Sheet'!E67/'Data Sheet'!E17)*365,"NA")</f>
        <v>23.646030968847548</v>
      </c>
      <c r="F99" s="369">
        <f>IFERROR(('Data Sheet'!F67/'Data Sheet'!F17)*365,"NA")</f>
        <v>9.869171117502054</v>
      </c>
      <c r="G99" s="369">
        <f>IFERROR(('Data Sheet'!G67/'Data Sheet'!G17)*365,"NA")</f>
        <v>5.9917293044068476</v>
      </c>
      <c r="H99" s="369">
        <f>IFERROR(('Data Sheet'!H67/'Data Sheet'!H17)*365,"NA")</f>
        <v>4.3636478040186253</v>
      </c>
      <c r="I99" s="369">
        <f>IFERROR(('Data Sheet'!I67/'Data Sheet'!I17)*365,"NA")</f>
        <v>4.4540073135745599</v>
      </c>
      <c r="J99" s="369">
        <f>IFERROR(('Data Sheet'!J67/'Data Sheet'!J17)*365,"NA")</f>
        <v>13.720689234770594</v>
      </c>
      <c r="K99" s="369">
        <f>IFERROR(('Data Sheet'!K67/'Data Sheet'!K17)*365,"NA")</f>
        <v>28.356491121796086</v>
      </c>
      <c r="L99" s="369">
        <f>IFERROR(('Data Sheet'!K67/'Data Sheet'!K17)*365,"NA")</f>
        <v>28.356491121796086</v>
      </c>
      <c r="N99" s="344"/>
      <c r="O99" s="361">
        <f t="shared" si="21"/>
        <v>4.3636478040186253</v>
      </c>
      <c r="P99" s="361">
        <f t="shared" si="22"/>
        <v>41.504782044504253</v>
      </c>
      <c r="Q99" s="369">
        <f t="shared" si="23"/>
        <v>17.508891907481722</v>
      </c>
    </row>
    <row r="100" spans="1:17" ht="38.25">
      <c r="A100" s="342" t="s">
        <v>296</v>
      </c>
      <c r="B100" s="343" t="s">
        <v>297</v>
      </c>
      <c r="C100" s="211"/>
      <c r="D100" s="211"/>
      <c r="E100" s="211"/>
      <c r="F100" s="211"/>
      <c r="G100" s="211"/>
      <c r="H100" s="211"/>
      <c r="I100" s="211"/>
      <c r="J100" s="211"/>
      <c r="K100" s="211"/>
      <c r="N100" s="344"/>
      <c r="O100" s="344"/>
      <c r="P100" s="344"/>
      <c r="Q100" s="194"/>
    </row>
    <row r="101" spans="1:17">
      <c r="A101" s="342" t="s">
        <v>298</v>
      </c>
      <c r="B101" s="343" t="s">
        <v>299</v>
      </c>
      <c r="C101" s="211"/>
      <c r="D101" s="211"/>
      <c r="E101" s="211"/>
      <c r="F101" s="211"/>
      <c r="G101" s="211"/>
      <c r="H101" s="211"/>
      <c r="I101" s="211"/>
      <c r="J101" s="211"/>
      <c r="K101" s="211"/>
      <c r="N101" s="344"/>
      <c r="O101" s="344"/>
      <c r="P101" s="344"/>
      <c r="Q101" s="194"/>
    </row>
    <row r="102" spans="1:17">
      <c r="A102" s="342" t="s">
        <v>300</v>
      </c>
      <c r="B102" s="343" t="s">
        <v>299</v>
      </c>
      <c r="N102" s="344"/>
      <c r="O102" s="344"/>
      <c r="P102" s="344"/>
      <c r="Q102" s="194"/>
    </row>
    <row r="103" spans="1:17">
      <c r="A103" s="342" t="s">
        <v>115</v>
      </c>
      <c r="B103" s="343"/>
      <c r="D103" s="183">
        <f>'Data Sheet'!D30</f>
        <v>18.53</v>
      </c>
      <c r="E103" s="183">
        <f>'Data Sheet'!E30</f>
        <v>42.44</v>
      </c>
      <c r="F103" s="183">
        <f>'Data Sheet'!F30</f>
        <v>23.88</v>
      </c>
      <c r="G103" s="183">
        <f>'Data Sheet'!G30</f>
        <v>30.98</v>
      </c>
      <c r="H103" s="183">
        <f>'Data Sheet'!H30</f>
        <v>48.14</v>
      </c>
      <c r="I103" s="183">
        <f>'Data Sheet'!I30</f>
        <v>51.18</v>
      </c>
      <c r="J103" s="183">
        <f>'Data Sheet'!J30</f>
        <v>44.46</v>
      </c>
      <c r="K103" s="183">
        <f>'Data Sheet'!K30</f>
        <v>55.65</v>
      </c>
      <c r="L103" s="370">
        <f>'Data Sheet'!K30</f>
        <v>55.65</v>
      </c>
      <c r="N103" s="352">
        <f>SUM(D103:L103)</f>
        <v>370.90999999999997</v>
      </c>
      <c r="O103" s="344"/>
      <c r="P103" s="344"/>
      <c r="Q103" s="194"/>
    </row>
    <row r="104" spans="1:17">
      <c r="A104" s="342" t="s">
        <v>301</v>
      </c>
      <c r="B104" s="343"/>
      <c r="D104" s="183">
        <f>'Data Sheet'!D82</f>
        <v>38.630000000000003</v>
      </c>
      <c r="E104" s="183">
        <f>'Data Sheet'!E82</f>
        <v>72.69</v>
      </c>
      <c r="F104" s="183">
        <f>'Data Sheet'!F82</f>
        <v>135.4</v>
      </c>
      <c r="G104" s="183">
        <f>'Data Sheet'!G82</f>
        <v>87.41</v>
      </c>
      <c r="H104" s="183">
        <f>'Data Sheet'!H82</f>
        <v>37.82</v>
      </c>
      <c r="I104" s="183">
        <f>'Data Sheet'!I82</f>
        <v>42.95</v>
      </c>
      <c r="J104" s="183">
        <f>'Data Sheet'!J82</f>
        <v>66.98</v>
      </c>
      <c r="K104" s="183">
        <f>'Data Sheet'!K82</f>
        <v>68.540000000000006</v>
      </c>
      <c r="L104" s="370">
        <f>'Data Sheet'!K82</f>
        <v>68.540000000000006</v>
      </c>
      <c r="N104" s="352">
        <f t="shared" ref="N104:N105" si="24">SUM(D104:L104)</f>
        <v>618.95999999999992</v>
      </c>
      <c r="O104" s="344"/>
      <c r="P104" s="344"/>
      <c r="Q104" s="194"/>
    </row>
    <row r="105" spans="1:17">
      <c r="A105" s="342" t="s">
        <v>302</v>
      </c>
      <c r="B105" s="343" t="s">
        <v>303</v>
      </c>
      <c r="D105" s="362">
        <f>'Data Sheet'!D82-'Financial Analysis'!D45</f>
        <v>36.670000000000044</v>
      </c>
      <c r="E105" s="362">
        <f>'Data Sheet'!E82-'Financial Analysis'!E45</f>
        <v>-11.290000000000035</v>
      </c>
      <c r="F105" s="362">
        <f>'Data Sheet'!F82-'Financial Analysis'!F45</f>
        <v>130.43</v>
      </c>
      <c r="G105" s="362">
        <f>'Data Sheet'!G82-'Financial Analysis'!G45</f>
        <v>78.430000000000007</v>
      </c>
      <c r="H105" s="362">
        <f>'Data Sheet'!H82-'Financial Analysis'!H45</f>
        <v>8.0099999999999874</v>
      </c>
      <c r="I105" s="362">
        <f>'Data Sheet'!I82-'Financial Analysis'!I45</f>
        <v>33.499999999999986</v>
      </c>
      <c r="J105" s="362">
        <f>'Data Sheet'!J82-'Financial Analysis'!J45</f>
        <v>51.900000000000041</v>
      </c>
      <c r="K105" s="362">
        <f>'Data Sheet'!K82-'Financial Analysis'!K45</f>
        <v>40.399999999999984</v>
      </c>
      <c r="L105" s="362">
        <f>'Data Sheet'!K82-'Financial Analysis'!K45</f>
        <v>40.399999999999984</v>
      </c>
      <c r="N105" s="352">
        <f t="shared" si="24"/>
        <v>408.45</v>
      </c>
      <c r="O105" s="344"/>
      <c r="P105" s="344"/>
      <c r="Q105" s="194"/>
    </row>
    <row r="106" spans="1:17">
      <c r="A106" s="342"/>
      <c r="B106" s="343"/>
      <c r="D106" s="362"/>
      <c r="N106" s="344"/>
      <c r="O106" s="344"/>
      <c r="P106" s="344"/>
      <c r="Q106" s="194"/>
    </row>
    <row r="107" spans="1:17">
      <c r="A107" s="342" t="s">
        <v>567</v>
      </c>
      <c r="B107" s="343"/>
      <c r="C107" s="362"/>
      <c r="D107" s="371">
        <f>D42/D104</f>
        <v>2.5597888435154026</v>
      </c>
      <c r="E107" s="371">
        <f t="shared" ref="E107:L107" si="25">E42/E104</f>
        <v>1.7635506947310498</v>
      </c>
      <c r="F107" s="371">
        <f t="shared" si="25"/>
        <v>0.63667909130354494</v>
      </c>
      <c r="G107" s="371">
        <f t="shared" si="25"/>
        <v>1.3348114394806088</v>
      </c>
      <c r="H107" s="371">
        <f t="shared" si="25"/>
        <v>4.5752038775780015</v>
      </c>
      <c r="I107" s="371">
        <f t="shared" si="25"/>
        <v>11.890890570430733</v>
      </c>
      <c r="J107" s="371">
        <f t="shared" si="25"/>
        <v>7.405148925052254</v>
      </c>
      <c r="K107" s="371">
        <f t="shared" si="25"/>
        <v>11.388694939232565</v>
      </c>
      <c r="L107" s="371">
        <f t="shared" si="25"/>
        <v>11.388694939232565</v>
      </c>
      <c r="N107" s="344"/>
      <c r="O107" s="344"/>
      <c r="P107" s="344"/>
      <c r="Q107" s="194"/>
    </row>
    <row r="108" spans="1:17">
      <c r="A108" s="337" t="s">
        <v>304</v>
      </c>
      <c r="B108" s="343"/>
      <c r="C108" s="346">
        <f>C80</f>
        <v>39903</v>
      </c>
      <c r="D108" s="346">
        <f t="shared" ref="D108:L108" si="26">D80</f>
        <v>40268</v>
      </c>
      <c r="E108" s="346">
        <f t="shared" si="26"/>
        <v>40633</v>
      </c>
      <c r="F108" s="346">
        <f t="shared" si="26"/>
        <v>40999</v>
      </c>
      <c r="G108" s="346">
        <f t="shared" si="26"/>
        <v>41364</v>
      </c>
      <c r="H108" s="346">
        <f t="shared" si="26"/>
        <v>41729</v>
      </c>
      <c r="I108" s="346">
        <f t="shared" si="26"/>
        <v>42094</v>
      </c>
      <c r="J108" s="346">
        <f t="shared" si="26"/>
        <v>42460</v>
      </c>
      <c r="K108" s="346">
        <f t="shared" si="26"/>
        <v>42825</v>
      </c>
      <c r="L108" s="346" t="str">
        <f t="shared" si="26"/>
        <v>Trailing</v>
      </c>
      <c r="O108" s="344">
        <f t="shared" si="21"/>
        <v>39903</v>
      </c>
      <c r="P108" s="344">
        <f t="shared" si="22"/>
        <v>42825</v>
      </c>
      <c r="Q108" s="194">
        <f t="shared" si="23"/>
        <v>41363.888888888891</v>
      </c>
    </row>
    <row r="109" spans="1:17" ht="25.5">
      <c r="A109" s="342" t="s">
        <v>305</v>
      </c>
      <c r="B109" s="343" t="s">
        <v>306</v>
      </c>
      <c r="C109" s="368">
        <f>('Data Sheet'!C59)/('Data Sheet'!C57+'Data Sheet'!C58)</f>
        <v>2.0787538219981823</v>
      </c>
      <c r="D109" s="368">
        <f>('Data Sheet'!D59)/('Data Sheet'!D57+'Data Sheet'!D58)</f>
        <v>1.716255868544601</v>
      </c>
      <c r="E109" s="368">
        <f>('Data Sheet'!E59)/('Data Sheet'!E57+'Data Sheet'!E58)</f>
        <v>1.482642649489825</v>
      </c>
      <c r="F109" s="368">
        <f>('Data Sheet'!F59)/('Data Sheet'!F57+'Data Sheet'!F58)</f>
        <v>0.77696666496503142</v>
      </c>
      <c r="G109" s="368">
        <f>('Data Sheet'!G59)/('Data Sheet'!G57+'Data Sheet'!G58)</f>
        <v>0.42538227687281638</v>
      </c>
      <c r="H109" s="368">
        <f>('Data Sheet'!H59)/('Data Sheet'!H57+'Data Sheet'!H58)</f>
        <v>0.38566592290528584</v>
      </c>
      <c r="I109" s="368">
        <f>('Data Sheet'!I59)/('Data Sheet'!I57+'Data Sheet'!I58)</f>
        <v>0.20792802363799345</v>
      </c>
      <c r="J109" s="368">
        <f>('Data Sheet'!J59)/('Data Sheet'!J57+'Data Sheet'!J58)</f>
        <v>5.8827040740188033E-2</v>
      </c>
      <c r="K109" s="368">
        <f>('Data Sheet'!K59)/('Data Sheet'!K57+'Data Sheet'!K58)</f>
        <v>1.9995194746255905E-2</v>
      </c>
      <c r="L109" s="368">
        <f>('Data Sheet'!K59)/('Data Sheet'!K57+'Data Sheet'!K58)</f>
        <v>1.9995194746255905E-2</v>
      </c>
      <c r="N109" s="344">
        <f t="shared" ref="N109:N118" si="27">(L109/C109)^(1/(9-1))-1</f>
        <v>-0.44038374321486506</v>
      </c>
      <c r="O109" s="344">
        <f t="shared" si="21"/>
        <v>1.9995194746255905E-2</v>
      </c>
      <c r="P109" s="344">
        <f t="shared" si="22"/>
        <v>2.0787538219981823</v>
      </c>
      <c r="Q109" s="194">
        <f t="shared" si="23"/>
        <v>0.71724126586464354</v>
      </c>
    </row>
    <row r="110" spans="1:17">
      <c r="A110" s="342" t="s">
        <v>307</v>
      </c>
      <c r="B110" s="343" t="s">
        <v>308</v>
      </c>
      <c r="C110" s="369">
        <f>C54/'Profit &amp; Loss'!C9</f>
        <v>1.7589388696655133</v>
      </c>
      <c r="D110" s="369">
        <f>D54/'Profit &amp; Loss'!D9</f>
        <v>2.415173237753883</v>
      </c>
      <c r="E110" s="369">
        <f>E54/'Profit &amp; Loss'!E9</f>
        <v>4.8612007746933505</v>
      </c>
      <c r="F110" s="369">
        <f>F54/'Profit &amp; Loss'!F9</f>
        <v>2.6010956175298805</v>
      </c>
      <c r="G110" s="369">
        <f>G54/'Profit &amp; Loss'!G9</f>
        <v>3.0991223541559112</v>
      </c>
      <c r="H110" s="369">
        <f>H54/'Profit &amp; Loss'!H9</f>
        <v>5.6355866355866358</v>
      </c>
      <c r="I110" s="369">
        <f>I54/'Profit &amp; Loss'!I9</f>
        <v>9.8940027894002789</v>
      </c>
      <c r="J110" s="369">
        <f>J54/'Profit &amp; Loss'!J9</f>
        <v>11.044293015332197</v>
      </c>
      <c r="K110" s="369">
        <f>K54/'Profit &amp; Loss'!K9</f>
        <v>17.239277652370205</v>
      </c>
      <c r="L110" s="369">
        <f>L54/'Profit &amp; Loss'!L9</f>
        <v>12.458401305057095</v>
      </c>
      <c r="N110" s="344">
        <f t="shared" si="27"/>
        <v>0.27725157307181414</v>
      </c>
      <c r="O110" s="344">
        <f t="shared" si="21"/>
        <v>1.7589388696655133</v>
      </c>
      <c r="P110" s="344">
        <f t="shared" si="22"/>
        <v>17.239277652370205</v>
      </c>
      <c r="Q110" s="194">
        <f t="shared" si="23"/>
        <v>7.1007092251544943</v>
      </c>
    </row>
    <row r="111" spans="1:17" ht="25.5">
      <c r="A111" s="342" t="s">
        <v>309</v>
      </c>
      <c r="B111" s="343" t="s">
        <v>310</v>
      </c>
      <c r="C111" s="369">
        <f>'Data Sheet'!C82/('Data Sheet'!C59+'Data Sheet'!C60)</f>
        <v>0.16028655284501531</v>
      </c>
      <c r="D111" s="369">
        <f>'Data Sheet'!D82/('Data Sheet'!D59+'Data Sheet'!D60)</f>
        <v>0.117580812077677</v>
      </c>
      <c r="E111" s="369">
        <f>'Data Sheet'!E82/('Data Sheet'!E59+'Data Sheet'!E60)</f>
        <v>0.19901982258241155</v>
      </c>
      <c r="F111" s="369">
        <f>'Data Sheet'!F82/('Data Sheet'!F59+'Data Sheet'!F60)</f>
        <v>0.5591113680472396</v>
      </c>
      <c r="G111" s="369">
        <f>'Data Sheet'!G82/('Data Sheet'!G59+'Data Sheet'!G60)</f>
        <v>0.43244446643249396</v>
      </c>
      <c r="H111" s="369">
        <f>'Data Sheet'!H82/('Data Sheet'!H59+'Data Sheet'!H60)</f>
        <v>0.19411794898116308</v>
      </c>
      <c r="I111" s="369">
        <f>'Data Sheet'!I82/('Data Sheet'!I59+'Data Sheet'!I60)</f>
        <v>0.28893373696602759</v>
      </c>
      <c r="J111" s="369">
        <f>'Data Sheet'!J82/('Data Sheet'!J59+'Data Sheet'!J60)</f>
        <v>0.75249971913268188</v>
      </c>
      <c r="K111" s="369">
        <f>'Data Sheet'!K82/('Data Sheet'!K59+'Data Sheet'!K60)</f>
        <v>0.67580358903569315</v>
      </c>
      <c r="L111" s="369">
        <f>'Data Sheet'!K82/('Data Sheet'!K59+'Data Sheet'!K60)</f>
        <v>0.67580358903569315</v>
      </c>
      <c r="N111" s="344">
        <f t="shared" si="27"/>
        <v>0.19705864004059648</v>
      </c>
      <c r="O111" s="349">
        <f t="shared" si="21"/>
        <v>0.117580812077677</v>
      </c>
      <c r="P111" s="349">
        <f t="shared" si="22"/>
        <v>0.75249971913268188</v>
      </c>
      <c r="Q111" s="368">
        <f t="shared" si="23"/>
        <v>0.4055601605136096</v>
      </c>
    </row>
    <row r="112" spans="1:17" ht="38.25">
      <c r="A112" s="342" t="s">
        <v>311</v>
      </c>
      <c r="B112" s="343" t="s">
        <v>272</v>
      </c>
      <c r="C112" s="369">
        <f>C86</f>
        <v>2.2441824862216784</v>
      </c>
      <c r="D112" s="369">
        <f t="shared" ref="D112:L112" si="28">D86</f>
        <v>2.0365827870585749</v>
      </c>
      <c r="E112" s="369">
        <f t="shared" si="28"/>
        <v>1.9845919726079513</v>
      </c>
      <c r="F112" s="369">
        <f t="shared" si="28"/>
        <v>1.4214738246082028</v>
      </c>
      <c r="G112" s="369">
        <f t="shared" si="28"/>
        <v>1.2067724672448792</v>
      </c>
      <c r="H112" s="369">
        <f t="shared" si="28"/>
        <v>1.7428631846056248</v>
      </c>
      <c r="I112" s="369">
        <f t="shared" si="28"/>
        <v>2.0902115787026276</v>
      </c>
      <c r="J112" s="369">
        <f t="shared" si="28"/>
        <v>2.4359307359307363</v>
      </c>
      <c r="K112" s="369">
        <f t="shared" si="28"/>
        <v>2.3631427658894921</v>
      </c>
      <c r="L112" s="369">
        <f t="shared" si="28"/>
        <v>2.3631427658894921</v>
      </c>
      <c r="N112" s="344">
        <f t="shared" si="27"/>
        <v>6.4772758288820231E-3</v>
      </c>
      <c r="O112" s="349">
        <f t="shared" si="21"/>
        <v>1.2067724672448792</v>
      </c>
      <c r="P112" s="349">
        <f t="shared" si="22"/>
        <v>2.4359307359307363</v>
      </c>
      <c r="Q112" s="368">
        <f t="shared" si="23"/>
        <v>1.9888894568759259</v>
      </c>
    </row>
    <row r="113" spans="1:17" ht="38.25">
      <c r="A113" s="342" t="s">
        <v>312</v>
      </c>
      <c r="B113" s="343" t="s">
        <v>313</v>
      </c>
      <c r="C113" s="369">
        <f>('Data Sheet'!C65-'Data Sheet'!C68)/'Data Sheet'!C60</f>
        <v>0.57669932639314159</v>
      </c>
      <c r="D113" s="369">
        <f>('Data Sheet'!D65-'Data Sheet'!D68)/'Data Sheet'!D60</f>
        <v>0.59209135123704804</v>
      </c>
      <c r="E113" s="369">
        <f>('Data Sheet'!E65-'Data Sheet'!E68)/'Data Sheet'!E60</f>
        <v>0.5538329845919725</v>
      </c>
      <c r="F113" s="369">
        <f>('Data Sheet'!F65-'Data Sheet'!F68)/'Data Sheet'!F60</f>
        <v>0.50205624096921198</v>
      </c>
      <c r="G113" s="369">
        <f>('Data Sheet'!G65-'Data Sheet'!G68)/'Data Sheet'!G60</f>
        <v>0.35624653995202055</v>
      </c>
      <c r="H113" s="369">
        <f>('Data Sheet'!H65-'Data Sheet'!H68)/'Data Sheet'!H60</f>
        <v>0.33770353140198772</v>
      </c>
      <c r="I113" s="369">
        <f>('Data Sheet'!I65-'Data Sheet'!I68)/'Data Sheet'!I60</f>
        <v>0.41002092536619406</v>
      </c>
      <c r="J113" s="369">
        <f>('Data Sheet'!J65-'Data Sheet'!J68)/'Data Sheet'!J60</f>
        <v>0.64415584415584415</v>
      </c>
      <c r="K113" s="369">
        <f>('Data Sheet'!K65-'Data Sheet'!K68)/'Data Sheet'!K60</f>
        <v>0.7502395400830405</v>
      </c>
      <c r="L113" s="369">
        <f>('Data Sheet'!K65-'Data Sheet'!K68)/'Data Sheet'!K60</f>
        <v>0.7502395400830405</v>
      </c>
      <c r="N113" s="344">
        <f t="shared" si="27"/>
        <v>3.3430590999814935E-2</v>
      </c>
      <c r="O113" s="349">
        <f t="shared" si="21"/>
        <v>0.33770353140198772</v>
      </c>
      <c r="P113" s="349">
        <f t="shared" si="22"/>
        <v>0.7502395400830405</v>
      </c>
      <c r="Q113" s="368">
        <f t="shared" si="23"/>
        <v>0.54732858242335003</v>
      </c>
    </row>
    <row r="114" spans="1:17" ht="51">
      <c r="A114" s="342" t="s">
        <v>314</v>
      </c>
      <c r="B114" s="343" t="s">
        <v>315</v>
      </c>
      <c r="C114" s="369">
        <f>'Data Sheet'!C69/'Data Sheet'!C60</f>
        <v>3.4139620330679736E-2</v>
      </c>
      <c r="D114" s="369">
        <f>'Data Sheet'!D69/'Data Sheet'!D60</f>
        <v>5.9209135123704799E-2</v>
      </c>
      <c r="E114" s="369">
        <f>'Data Sheet'!E69/'Data Sheet'!E60</f>
        <v>2.5204489252425338E-2</v>
      </c>
      <c r="F114" s="369">
        <f>'Data Sheet'!F69/'Data Sheet'!F60</f>
        <v>2.2674224741580526E-2</v>
      </c>
      <c r="G114" s="369">
        <f>'Data Sheet'!G69/'Data Sheet'!G60</f>
        <v>1.411699575567448E-2</v>
      </c>
      <c r="H114" s="369">
        <f>'Data Sheet'!H69/'Data Sheet'!H60</f>
        <v>2.8970183971241278E-2</v>
      </c>
      <c r="I114" s="369">
        <f>'Data Sheet'!I69/'Data Sheet'!I60</f>
        <v>3.3015577772611021E-2</v>
      </c>
      <c r="J114" s="369">
        <f>'Data Sheet'!J69/'Data Sheet'!J60</f>
        <v>6.8975468975468981E-2</v>
      </c>
      <c r="K114" s="369">
        <f>'Data Sheet'!K69/'Data Sheet'!K60</f>
        <v>0.14340466304694985</v>
      </c>
      <c r="L114" s="369">
        <f>'Data Sheet'!K69/'Data Sheet'!K60</f>
        <v>0.14340466304694985</v>
      </c>
      <c r="N114" s="344">
        <f t="shared" si="27"/>
        <v>0.196501020333123</v>
      </c>
      <c r="O114" s="349">
        <f t="shared" si="21"/>
        <v>1.411699575567448E-2</v>
      </c>
      <c r="P114" s="349">
        <f t="shared" si="22"/>
        <v>0.14340466304694985</v>
      </c>
      <c r="Q114" s="368">
        <f t="shared" si="23"/>
        <v>5.7311502201728592E-2</v>
      </c>
    </row>
    <row r="115" spans="1:17" ht="25.5">
      <c r="A115" s="342" t="s">
        <v>316</v>
      </c>
      <c r="B115" s="343" t="s">
        <v>317</v>
      </c>
      <c r="C115" s="369">
        <f>'Data Sheet'!C82/'Data Sheet'!C60</f>
        <v>0.77755664421310478</v>
      </c>
      <c r="D115" s="369">
        <f>'Data Sheet'!D82/'Data Sheet'!D60</f>
        <v>0.40843730175512799</v>
      </c>
      <c r="E115" s="369">
        <f>'Data Sheet'!E82/'Data Sheet'!E60</f>
        <v>0.69136389575803692</v>
      </c>
      <c r="F115" s="369">
        <f>'Data Sheet'!F82/'Data Sheet'!F60</f>
        <v>1.5049460931421585</v>
      </c>
      <c r="G115" s="369">
        <f>'Data Sheet'!G82/'Data Sheet'!G60</f>
        <v>0.8065141169957557</v>
      </c>
      <c r="H115" s="369">
        <f>'Data Sheet'!H82/'Data Sheet'!H60</f>
        <v>0.3998731232818778</v>
      </c>
      <c r="I115" s="369">
        <f>'Data Sheet'!I82/'Data Sheet'!I60</f>
        <v>0.49930248779353642</v>
      </c>
      <c r="J115" s="369">
        <f>'Data Sheet'!J82/'Data Sheet'!J60</f>
        <v>0.96652236652236667</v>
      </c>
      <c r="K115" s="369">
        <f>'Data Sheet'!K82/'Data Sheet'!K60</f>
        <v>0.72969232407111684</v>
      </c>
      <c r="L115" s="369">
        <f>'Data Sheet'!K82/'Data Sheet'!K60</f>
        <v>0.72969232407111684</v>
      </c>
      <c r="N115" s="344">
        <f t="shared" si="27"/>
        <v>-7.9102386251037604E-3</v>
      </c>
      <c r="O115" s="349">
        <f t="shared" si="21"/>
        <v>0.3998731232818778</v>
      </c>
      <c r="P115" s="349">
        <f t="shared" si="22"/>
        <v>1.5049460931421585</v>
      </c>
      <c r="Q115" s="368">
        <f t="shared" si="23"/>
        <v>0.75139006776041972</v>
      </c>
    </row>
    <row r="116" spans="1:17" ht="25.5">
      <c r="A116" s="342" t="s">
        <v>318</v>
      </c>
      <c r="B116" s="343" t="s">
        <v>319</v>
      </c>
      <c r="C116" s="349">
        <f>'Data Sheet'!C82/'Financial Analysis'!C45</f>
        <v>3.226810673443453</v>
      </c>
      <c r="D116" s="349">
        <f>'Data Sheet'!D82/'Financial Analysis'!D45</f>
        <v>19.709183673469774</v>
      </c>
      <c r="E116" s="349">
        <f>'Data Sheet'!E82/'Financial Analysis'!E45</f>
        <v>0.86556322934031871</v>
      </c>
      <c r="F116" s="349">
        <f>'Data Sheet'!F82/'Financial Analysis'!F45</f>
        <v>27.243460764587514</v>
      </c>
      <c r="G116" s="349">
        <f>'Data Sheet'!G82/'Financial Analysis'!G45</f>
        <v>9.7338530066815174</v>
      </c>
      <c r="H116" s="349">
        <f>'Data Sheet'!H82/'Financial Analysis'!H45</f>
        <v>1.2687017779268697</v>
      </c>
      <c r="I116" s="349">
        <f>'Data Sheet'!I82/'Financial Analysis'!I45</f>
        <v>4.5449735449735389</v>
      </c>
      <c r="J116" s="349">
        <f>'Data Sheet'!J82/'Financial Analysis'!J45</f>
        <v>4.4416445623342291</v>
      </c>
      <c r="K116" s="349">
        <f>'Data Sheet'!K82/'Financial Analysis'!K45</f>
        <v>2.4356787491115832</v>
      </c>
      <c r="L116" s="349">
        <f>'Data Sheet'!K82/'Financial Analysis'!K45</f>
        <v>2.4356787491115832</v>
      </c>
      <c r="N116" s="344">
        <f>(L116/D116)^(1/(8-1))-1</f>
        <v>-0.2582137699256265</v>
      </c>
      <c r="O116" s="344">
        <f t="shared" si="21"/>
        <v>0.86556322934031871</v>
      </c>
      <c r="P116" s="344">
        <f t="shared" si="22"/>
        <v>27.243460764587514</v>
      </c>
      <c r="Q116" s="194">
        <f t="shared" si="23"/>
        <v>7.5905548730980383</v>
      </c>
    </row>
    <row r="117" spans="1:17" ht="25.5">
      <c r="A117" s="342" t="s">
        <v>320</v>
      </c>
      <c r="B117" s="343" t="s">
        <v>321</v>
      </c>
      <c r="C117" s="344">
        <f>'Data Sheet'!C82/'Data Sheet'!C17</f>
        <v>0.28573839662447259</v>
      </c>
      <c r="D117" s="344">
        <f>'Data Sheet'!D82/'Data Sheet'!D17</f>
        <v>0.18565867256211854</v>
      </c>
      <c r="E117" s="344">
        <f>'Data Sheet'!E82/'Data Sheet'!E17</f>
        <v>0.22244323398004776</v>
      </c>
      <c r="F117" s="344">
        <f>'Data Sheet'!F82/'Data Sheet'!F17</f>
        <v>0.34767871815940837</v>
      </c>
      <c r="G117" s="344">
        <f>'Data Sheet'!G82/'Data Sheet'!G17</f>
        <v>0.21973905829709142</v>
      </c>
      <c r="H117" s="344">
        <f>'Data Sheet'!H82/'Data Sheet'!H17</f>
        <v>7.9323797139141741E-2</v>
      </c>
      <c r="I117" s="344">
        <f>'Data Sheet'!I82/'Data Sheet'!I17</f>
        <v>8.6772935733478801E-2</v>
      </c>
      <c r="J117" s="344">
        <f>'Data Sheet'!J82/'Data Sheet'!J17</f>
        <v>0.13609948388669893</v>
      </c>
      <c r="K117" s="344">
        <f>'Data Sheet'!K82/'Data Sheet'!K17</f>
        <v>0.12974671563245374</v>
      </c>
      <c r="L117" s="344">
        <f>'Data Sheet'!K82/'Data Sheet'!K17</f>
        <v>0.12974671563245374</v>
      </c>
      <c r="N117" s="344">
        <f t="shared" si="27"/>
        <v>-9.3973352213551076E-2</v>
      </c>
      <c r="O117" s="344">
        <f t="shared" si="21"/>
        <v>7.9323797139141741E-2</v>
      </c>
      <c r="P117" s="344">
        <f t="shared" si="22"/>
        <v>0.34767871815940837</v>
      </c>
      <c r="Q117" s="194">
        <f t="shared" si="23"/>
        <v>0.18229477276473655</v>
      </c>
    </row>
    <row r="118" spans="1:17" ht="25.5">
      <c r="A118" s="342" t="s">
        <v>322</v>
      </c>
      <c r="B118" s="343" t="s">
        <v>323</v>
      </c>
      <c r="C118" s="344">
        <f>'Data Sheet'!C85/'Data Sheet'!C17</f>
        <v>-6.0703234880450069E-2</v>
      </c>
      <c r="D118" s="344">
        <f>'Data Sheet'!D85/'Data Sheet'!D17</f>
        <v>1.6148411592252606E-2</v>
      </c>
      <c r="E118" s="344">
        <f>'Data Sheet'!E85/'Data Sheet'!E17</f>
        <v>-9.0274802619499366E-3</v>
      </c>
      <c r="F118" s="344">
        <f>'Data Sheet'!F85/'Data Sheet'!F17</f>
        <v>-1.5406737880032868E-3</v>
      </c>
      <c r="G118" s="344">
        <f>'Data Sheet'!G85/'Data Sheet'!G17</f>
        <v>-1.2820835114004875E-3</v>
      </c>
      <c r="H118" s="344">
        <f>'Data Sheet'!H85/'Data Sheet'!H17</f>
        <v>2.5588321657787662E-3</v>
      </c>
      <c r="I118" s="344">
        <f>'Data Sheet'!I85/'Data Sheet'!I17</f>
        <v>2.020324464108936E-4</v>
      </c>
      <c r="J118" s="344">
        <f>'Data Sheet'!J85/'Data Sheet'!J17</f>
        <v>3.9419677327589709E-3</v>
      </c>
      <c r="K118" s="344">
        <f>'Data Sheet'!K85/'Data Sheet'!K17</f>
        <v>1.6450232839889448E-2</v>
      </c>
      <c r="L118" s="344">
        <f>'Data Sheet'!K85/'Data Sheet'!K17</f>
        <v>1.6450232839889448E-2</v>
      </c>
      <c r="N118" s="344" t="e">
        <f t="shared" si="27"/>
        <v>#NUM!</v>
      </c>
      <c r="O118" s="344">
        <f t="shared" si="21"/>
        <v>-6.0703234880450069E-2</v>
      </c>
      <c r="P118" s="344">
        <f t="shared" si="22"/>
        <v>1.6450232839889448E-2</v>
      </c>
      <c r="Q118" s="194">
        <f t="shared" si="23"/>
        <v>-1.6801762824823648E-3</v>
      </c>
    </row>
    <row r="119" spans="1:17">
      <c r="O119" s="344">
        <f t="shared" si="21"/>
        <v>0</v>
      </c>
      <c r="P119" s="344">
        <f t="shared" si="22"/>
        <v>0</v>
      </c>
      <c r="Q119" s="194" t="e">
        <f t="shared" si="23"/>
        <v>#DIV/0!</v>
      </c>
    </row>
    <row r="120" spans="1:17">
      <c r="A120" s="337" t="s">
        <v>324</v>
      </c>
      <c r="O120" s="344">
        <f t="shared" si="21"/>
        <v>0</v>
      </c>
      <c r="P120" s="344">
        <f t="shared" si="22"/>
        <v>0</v>
      </c>
      <c r="Q120" s="194" t="e">
        <f t="shared" si="23"/>
        <v>#DIV/0!</v>
      </c>
    </row>
    <row r="121" spans="1:17" ht="89.25">
      <c r="A121" s="342" t="s">
        <v>145</v>
      </c>
      <c r="B121" s="343" t="s">
        <v>325</v>
      </c>
      <c r="C121" s="373"/>
      <c r="D121" s="373"/>
      <c r="E121" s="373"/>
      <c r="F121" s="373"/>
      <c r="G121" s="373"/>
      <c r="H121" s="373"/>
      <c r="I121" s="373"/>
      <c r="J121" s="373"/>
      <c r="K121" s="373"/>
      <c r="O121" s="344"/>
      <c r="P121" s="344"/>
      <c r="Q121" s="194"/>
    </row>
    <row r="122" spans="1:17">
      <c r="A122" s="374" t="s">
        <v>326</v>
      </c>
      <c r="B122" s="367"/>
      <c r="C122" s="373"/>
      <c r="D122" s="373"/>
      <c r="E122" s="373"/>
      <c r="F122" s="373"/>
      <c r="G122" s="373"/>
      <c r="H122" s="373"/>
      <c r="I122" s="373"/>
      <c r="J122" s="373"/>
      <c r="K122" s="373"/>
      <c r="O122" s="344"/>
      <c r="P122" s="344"/>
      <c r="Q122" s="194"/>
    </row>
    <row r="123" spans="1:17" ht="25.5">
      <c r="A123" s="342" t="s">
        <v>327</v>
      </c>
      <c r="B123" s="343" t="s">
        <v>328</v>
      </c>
      <c r="C123" s="369">
        <f>Other_input_data!D85</f>
        <v>3.1958046032377916</v>
      </c>
      <c r="D123" s="369">
        <f>Other_input_data!E85</f>
        <v>5.336462116837561</v>
      </c>
      <c r="E123" s="369">
        <f>Other_input_data!F85</f>
        <v>3.0205584354382657</v>
      </c>
      <c r="F123" s="369">
        <f>Other_input_data!G85</f>
        <v>3.6099811123324956</v>
      </c>
      <c r="G123" s="369">
        <f>Other_input_data!H85</f>
        <v>3.7661674604583601</v>
      </c>
      <c r="H123" s="369">
        <f>Other_input_data!I85</f>
        <v>3.5943957343165764</v>
      </c>
      <c r="I123" s="369">
        <f>Other_input_data!J85</f>
        <v>9.9787758890191487</v>
      </c>
      <c r="J123" s="369">
        <f>Other_input_data!K85</f>
        <v>11.156025078722447</v>
      </c>
      <c r="K123" s="369">
        <f>Other_input_data!L85</f>
        <v>14.026615474123991</v>
      </c>
      <c r="L123" s="369">
        <f>Other_input_data!M85</f>
        <v>11.375906654052351</v>
      </c>
      <c r="O123" s="361">
        <f>MIN(D123:L123)</f>
        <v>3.0205584354382657</v>
      </c>
      <c r="P123" s="361">
        <f>MAX(D123:L123)</f>
        <v>14.026615474123991</v>
      </c>
      <c r="Q123" s="369">
        <f>AVERAGE(D123:L123)</f>
        <v>7.3183208839223557</v>
      </c>
    </row>
    <row r="124" spans="1:17" ht="25.5">
      <c r="A124" s="374" t="s">
        <v>329</v>
      </c>
      <c r="B124" s="367" t="s">
        <v>330</v>
      </c>
      <c r="O124" s="361"/>
      <c r="P124" s="361"/>
      <c r="Q124" s="369"/>
    </row>
    <row r="125" spans="1:17" ht="25.5">
      <c r="A125" s="374" t="s">
        <v>143</v>
      </c>
      <c r="B125" s="367" t="s">
        <v>331</v>
      </c>
      <c r="O125" s="361"/>
      <c r="P125" s="361"/>
      <c r="Q125" s="369"/>
    </row>
    <row r="126" spans="1:17" ht="25.5">
      <c r="A126" s="342" t="s">
        <v>332</v>
      </c>
      <c r="B126" s="343" t="s">
        <v>333</v>
      </c>
      <c r="D126" s="368">
        <f t="shared" ref="D126:L126" si="29">(D123/D8)/100</f>
        <v>5.518054131790321E-2</v>
      </c>
      <c r="E126" s="368">
        <f t="shared" si="29"/>
        <v>2.3409012048795929E-2</v>
      </c>
      <c r="F126" s="368">
        <f t="shared" si="29"/>
        <v>-8.2547197417775386E-2</v>
      </c>
      <c r="G126" s="368">
        <f t="shared" si="29"/>
        <v>0.12667053374048684</v>
      </c>
      <c r="H126" s="368">
        <f t="shared" si="29"/>
        <v>6.4891829748908808E-2</v>
      </c>
      <c r="I126" s="368">
        <f t="shared" si="29"/>
        <v>1.5801916818992865</v>
      </c>
      <c r="J126" s="368">
        <f t="shared" si="29"/>
        <v>-0.84965083858484436</v>
      </c>
      <c r="K126" s="368">
        <f t="shared" si="29"/>
        <v>0.49305775491493825</v>
      </c>
      <c r="L126" s="368">
        <f t="shared" si="29"/>
        <v>0.81471940438741852</v>
      </c>
      <c r="O126" s="361">
        <f t="shared" si="21"/>
        <v>-0.84965083858484436</v>
      </c>
      <c r="P126" s="361">
        <f t="shared" si="22"/>
        <v>1.5801916818992865</v>
      </c>
      <c r="Q126" s="369">
        <f t="shared" si="23"/>
        <v>0.24732474689501316</v>
      </c>
    </row>
    <row r="127" spans="1:17" ht="51">
      <c r="A127" s="342" t="s">
        <v>334</v>
      </c>
      <c r="B127" s="343" t="s">
        <v>335</v>
      </c>
      <c r="C127" s="368">
        <f>C42/'Data Sheet'!C17</f>
        <v>0.16936415956399439</v>
      </c>
      <c r="D127" s="368">
        <f>D42/'Data Sheet'!D17</f>
        <v>0.4752469987263902</v>
      </c>
      <c r="E127" s="368">
        <f>E42/'Data Sheet'!E17</f>
        <v>0.39228991982373462</v>
      </c>
      <c r="F127" s="368">
        <f>F42/'Data Sheet'!F17</f>
        <v>0.22135977034331344</v>
      </c>
      <c r="G127" s="368">
        <f>G42/'Data Sheet'!G17</f>
        <v>0.293310208715654</v>
      </c>
      <c r="H127" s="368">
        <f>H42/'Data Sheet'!H17</f>
        <v>0.36292254425521209</v>
      </c>
      <c r="I127" s="368">
        <f>I42/'Data Sheet'!I17</f>
        <v>1.0318074832818149</v>
      </c>
      <c r="J127" s="368">
        <f>J42/'Data Sheet'!J17</f>
        <v>1.0078369468037551</v>
      </c>
      <c r="K127" s="368">
        <f>K42/'Data Sheet'!K17</f>
        <v>1.4776457637053724</v>
      </c>
      <c r="L127" s="368">
        <f>L42/'Data Sheet'!K17</f>
        <v>1.4776457637053724</v>
      </c>
      <c r="O127" s="361">
        <f t="shared" si="21"/>
        <v>0.16936415956399439</v>
      </c>
      <c r="P127" s="361">
        <f t="shared" si="22"/>
        <v>1.4776457637053724</v>
      </c>
      <c r="Q127" s="369">
        <f t="shared" si="23"/>
        <v>0.69094295589246135</v>
      </c>
    </row>
    <row r="128" spans="1:17" ht="51">
      <c r="A128" s="374" t="s">
        <v>336</v>
      </c>
      <c r="B128" s="343" t="s">
        <v>337</v>
      </c>
      <c r="C128" s="369">
        <f>'Data Sheet'!C69/'Financial Analysis'!C41</f>
        <v>3.7957446808510635</v>
      </c>
      <c r="D128" s="369">
        <f>'Data Sheet'!D69/'Financial Analysis'!D41</f>
        <v>9.5319148936170208</v>
      </c>
      <c r="E128" s="369">
        <f>'Data Sheet'!E69/'Financial Analysis'!E41</f>
        <v>4.5106382978723403</v>
      </c>
      <c r="F128" s="369">
        <f>'Data Sheet'!F69/'Financial Analysis'!F41</f>
        <v>3.472340425531915</v>
      </c>
      <c r="G128" s="369">
        <f>'Data Sheet'!G69/'Financial Analysis'!G41</f>
        <v>2.6042553191489359</v>
      </c>
      <c r="H128" s="369">
        <f>'Data Sheet'!H69/'Financial Analysis'!H41</f>
        <v>4.6638297872340431</v>
      </c>
      <c r="I128" s="369">
        <f>'Data Sheet'!I69/'Financial Analysis'!I41</f>
        <v>4.8340425531914892</v>
      </c>
      <c r="J128" s="369">
        <f>'Data Sheet'!J69/'Financial Analysis'!J41</f>
        <v>8.1361702127659576</v>
      </c>
      <c r="K128" s="369">
        <f>'Data Sheet'!K69/'Financial Analysis'!K41</f>
        <v>23.528384279475983</v>
      </c>
      <c r="L128" s="369">
        <f>'Data Sheet'!K69/'Financial Analysis'!L41</f>
        <v>23.528384279475983</v>
      </c>
      <c r="N128" s="344"/>
      <c r="O128" s="349">
        <f t="shared" si="21"/>
        <v>2.6042553191489359</v>
      </c>
      <c r="P128" s="349">
        <f t="shared" si="22"/>
        <v>23.528384279475983</v>
      </c>
      <c r="Q128" s="368">
        <f t="shared" si="23"/>
        <v>8.8605704729164749</v>
      </c>
    </row>
    <row r="129" spans="1:17" ht="25.5">
      <c r="A129" s="374" t="s">
        <v>338</v>
      </c>
      <c r="B129" s="343" t="s">
        <v>339</v>
      </c>
      <c r="C129" s="344">
        <f>C128/C40</f>
        <v>7.4075355137276533E-2</v>
      </c>
      <c r="D129" s="344">
        <f t="shared" ref="D129:L129" si="30">D128/D40</f>
        <v>5.6631645002593663E-2</v>
      </c>
      <c r="E129" s="344">
        <f t="shared" si="30"/>
        <v>2.0672036195565263E-2</v>
      </c>
      <c r="F129" s="344">
        <f t="shared" si="30"/>
        <v>2.3664150315511053E-2</v>
      </c>
      <c r="G129" s="344">
        <f t="shared" si="30"/>
        <v>1.3113251499303128E-2</v>
      </c>
      <c r="H129" s="344">
        <f t="shared" si="30"/>
        <v>1.5835018923178474E-2</v>
      </c>
      <c r="I129" s="344">
        <f t="shared" si="30"/>
        <v>5.5608449938933501E-3</v>
      </c>
      <c r="J129" s="344">
        <f t="shared" si="30"/>
        <v>9.6371574921716996E-3</v>
      </c>
      <c r="K129" s="344">
        <f t="shared" si="30"/>
        <v>1.7256373639581248E-2</v>
      </c>
      <c r="L129" s="344">
        <f t="shared" si="30"/>
        <v>1.7256373639581248E-2</v>
      </c>
      <c r="O129" s="344">
        <f t="shared" si="21"/>
        <v>5.5608449938933501E-3</v>
      </c>
      <c r="P129" s="344">
        <f t="shared" si="22"/>
        <v>7.4075355137276533E-2</v>
      </c>
      <c r="Q129" s="194">
        <f t="shared" si="23"/>
        <v>2.5370220683865564E-2</v>
      </c>
    </row>
    <row r="130" spans="1:17">
      <c r="A130" s="374"/>
      <c r="B130" s="343"/>
    </row>
    <row r="131" spans="1:17">
      <c r="A131" s="337" t="s">
        <v>340</v>
      </c>
    </row>
    <row r="132" spans="1:17" ht="51">
      <c r="A132" s="374" t="s">
        <v>341</v>
      </c>
      <c r="B132" s="367" t="s">
        <v>342</v>
      </c>
    </row>
    <row r="133" spans="1:17">
      <c r="A133" s="374" t="s">
        <v>343</v>
      </c>
      <c r="B133" s="367" t="s">
        <v>344</v>
      </c>
    </row>
    <row r="134" spans="1:17">
      <c r="A134" s="374" t="s">
        <v>345</v>
      </c>
      <c r="B134" s="367" t="s">
        <v>344</v>
      </c>
    </row>
    <row r="135" spans="1:17">
      <c r="A135" s="374" t="s">
        <v>346</v>
      </c>
      <c r="B135" s="367" t="s">
        <v>344</v>
      </c>
    </row>
    <row r="136" spans="1:17">
      <c r="A136" s="342"/>
      <c r="B136" s="343"/>
    </row>
    <row r="137" spans="1:17">
      <c r="A137" s="337" t="s">
        <v>347</v>
      </c>
      <c r="B137" s="343"/>
    </row>
    <row r="138" spans="1:17">
      <c r="A138" s="374" t="s">
        <v>348</v>
      </c>
      <c r="B138" s="367" t="s">
        <v>349</v>
      </c>
    </row>
    <row r="139" spans="1:17">
      <c r="A139" s="374" t="s">
        <v>350</v>
      </c>
      <c r="B139" s="367" t="s">
        <v>351</v>
      </c>
    </row>
    <row r="140" spans="1:17">
      <c r="A140" s="374" t="s">
        <v>352</v>
      </c>
      <c r="B140" s="367" t="s">
        <v>353</v>
      </c>
    </row>
    <row r="141" spans="1:17">
      <c r="A141" s="374" t="s">
        <v>354</v>
      </c>
      <c r="B141" s="367" t="s">
        <v>344</v>
      </c>
    </row>
    <row r="142" spans="1:17">
      <c r="A142" s="374" t="s">
        <v>355</v>
      </c>
      <c r="B142" s="367" t="s">
        <v>344</v>
      </c>
    </row>
    <row r="143" spans="1:17">
      <c r="A143" s="374" t="s">
        <v>356</v>
      </c>
      <c r="B143" s="367" t="s">
        <v>344</v>
      </c>
    </row>
    <row r="144" spans="1:17">
      <c r="A144" s="374" t="s">
        <v>357</v>
      </c>
      <c r="B144" s="367" t="s">
        <v>344</v>
      </c>
    </row>
    <row r="145" spans="1:1">
      <c r="A145" s="372" t="s">
        <v>358</v>
      </c>
    </row>
    <row r="147" spans="1:1">
      <c r="A147" s="337"/>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Projections</vt:lpstr>
      <vt:lpstr>Profit &amp; Loss</vt:lpstr>
      <vt:lpstr>Quarters</vt:lpstr>
      <vt:lpstr>Balance Sheet</vt:lpstr>
      <vt:lpstr>Cash Flow</vt:lpstr>
      <vt:lpstr>Customization</vt:lpstr>
      <vt:lpstr>Investment_Ratio</vt:lpstr>
      <vt:lpstr>Asset_Ratio</vt:lpstr>
      <vt:lpstr>Financial Analysis</vt:lpstr>
      <vt:lpstr>Data Sheet</vt:lpstr>
      <vt:lpstr>Format1</vt:lpstr>
      <vt:lpstr>Other_input_data</vt:lpstr>
      <vt:lpstr>Trend</vt:lpstr>
      <vt:lpstr>Model_Input2</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Hardik</cp:lastModifiedBy>
  <cp:lastPrinted>2012-12-06T18:14:13Z</cp:lastPrinted>
  <dcterms:created xsi:type="dcterms:W3CDTF">2012-08-17T09:55:37Z</dcterms:created>
  <dcterms:modified xsi:type="dcterms:W3CDTF">2018-09-08T05:34:32Z</dcterms:modified>
</cp:coreProperties>
</file>