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17486165-78F7-4234-B2A3-05844C3A125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J15" i="1"/>
  <c r="I15" i="1" l="1"/>
  <c r="K15" i="1" s="1"/>
  <c r="J21" i="1"/>
  <c r="K19" i="1"/>
  <c r="J19" i="1"/>
  <c r="I19" i="1"/>
  <c r="K18" i="1"/>
  <c r="J18" i="1"/>
  <c r="I18" i="1"/>
  <c r="K17" i="1"/>
  <c r="J17" i="1"/>
  <c r="I17" i="1"/>
  <c r="J14" i="1"/>
  <c r="I14" i="1"/>
  <c r="I21" i="1" s="1"/>
  <c r="K13" i="1"/>
  <c r="J13" i="1"/>
  <c r="I13" i="1"/>
  <c r="J12" i="1"/>
  <c r="K11" i="1"/>
  <c r="J11" i="1"/>
  <c r="I11" i="1"/>
  <c r="K10" i="1"/>
  <c r="J10" i="1"/>
  <c r="I10" i="1"/>
  <c r="J9" i="1"/>
  <c r="I9" i="1"/>
  <c r="J8" i="1"/>
  <c r="K8" i="1" s="1"/>
  <c r="I8" i="1"/>
  <c r="K5" i="1"/>
  <c r="K6" i="1"/>
  <c r="K4" i="1"/>
  <c r="J5" i="1"/>
  <c r="F42" i="1"/>
  <c r="E14" i="1"/>
  <c r="E13" i="1"/>
  <c r="E3" i="1"/>
  <c r="E4" i="1"/>
  <c r="E5" i="1"/>
  <c r="E6" i="1"/>
  <c r="E7" i="1"/>
  <c r="E8" i="1"/>
  <c r="E9" i="1"/>
  <c r="E2" i="1"/>
  <c r="C4" i="1"/>
  <c r="C14" i="1"/>
  <c r="C13" i="1"/>
  <c r="C3" i="1"/>
  <c r="C5" i="1"/>
  <c r="C6" i="1"/>
  <c r="C7" i="1"/>
  <c r="C8" i="1"/>
  <c r="C9" i="1"/>
  <c r="C2" i="1"/>
  <c r="D41" i="1"/>
  <c r="B41" i="1"/>
  <c r="I6" i="1" s="1"/>
  <c r="D38" i="1"/>
  <c r="D37" i="1" s="1"/>
  <c r="B38" i="1"/>
  <c r="F39" i="1"/>
  <c r="F40" i="1"/>
  <c r="F43" i="1"/>
  <c r="F44" i="1"/>
  <c r="F45" i="1"/>
  <c r="F46" i="1"/>
  <c r="D34" i="1"/>
  <c r="D33" i="1" s="1"/>
  <c r="E42" i="1" s="1"/>
  <c r="B34" i="1"/>
  <c r="F36" i="1"/>
  <c r="F35" i="1"/>
  <c r="D25" i="1"/>
  <c r="J4" i="1" s="1"/>
  <c r="B25" i="1"/>
  <c r="I4" i="1" s="1"/>
  <c r="F32" i="1"/>
  <c r="F31" i="1"/>
  <c r="F30" i="1"/>
  <c r="F29" i="1"/>
  <c r="F28" i="1"/>
  <c r="F27" i="1"/>
  <c r="F26" i="1"/>
  <c r="D19" i="1"/>
  <c r="D18" i="1" s="1"/>
  <c r="E23" i="1" s="1"/>
  <c r="B19" i="1"/>
  <c r="F23" i="1"/>
  <c r="F22" i="1"/>
  <c r="F20" i="1"/>
  <c r="D12" i="1"/>
  <c r="E12" i="1" s="1"/>
  <c r="B12" i="1"/>
  <c r="C12" i="1" s="1"/>
  <c r="D10" i="1"/>
  <c r="B10" i="1"/>
  <c r="F9" i="1"/>
  <c r="F8" i="1"/>
  <c r="F7" i="1"/>
  <c r="F6" i="1"/>
  <c r="F4" i="1"/>
  <c r="F3" i="1"/>
  <c r="F2" i="1"/>
  <c r="K14" i="1" l="1"/>
  <c r="K21" i="1"/>
  <c r="K9" i="1"/>
  <c r="E41" i="1"/>
  <c r="I5" i="1"/>
  <c r="B37" i="1"/>
  <c r="J6" i="1"/>
  <c r="E25" i="1"/>
  <c r="E37" i="1"/>
  <c r="F37" i="1"/>
  <c r="E30" i="1"/>
  <c r="E26" i="1"/>
  <c r="E22" i="1"/>
  <c r="E45" i="1"/>
  <c r="E18" i="1"/>
  <c r="E29" i="1"/>
  <c r="E21" i="1"/>
  <c r="E44" i="1"/>
  <c r="E40" i="1"/>
  <c r="E36" i="1"/>
  <c r="F19" i="1"/>
  <c r="F41" i="1"/>
  <c r="E32" i="1"/>
  <c r="E28" i="1"/>
  <c r="E24" i="1"/>
  <c r="E20" i="1"/>
  <c r="E33" i="1"/>
  <c r="E43" i="1"/>
  <c r="E39" i="1"/>
  <c r="E35" i="1"/>
  <c r="F25" i="1"/>
  <c r="E31" i="1"/>
  <c r="E27" i="1"/>
  <c r="E19" i="1"/>
  <c r="E46" i="1"/>
  <c r="E38" i="1"/>
  <c r="E34" i="1"/>
  <c r="B33" i="1"/>
  <c r="C41" i="1" s="1"/>
  <c r="B11" i="1"/>
  <c r="D15" i="1"/>
  <c r="D16" i="1" s="1"/>
  <c r="B18" i="1"/>
  <c r="F34" i="1"/>
  <c r="F38" i="1"/>
  <c r="B16" i="1"/>
  <c r="F12" i="1"/>
  <c r="D11" i="1"/>
  <c r="F11" i="1" s="1"/>
  <c r="F10" i="1"/>
  <c r="F16" i="1" l="1"/>
  <c r="I12" i="1"/>
  <c r="K12" i="1" s="1"/>
  <c r="F33" i="1"/>
  <c r="C35" i="1"/>
  <c r="C39" i="1"/>
  <c r="C43" i="1"/>
  <c r="C33" i="1"/>
  <c r="C46" i="1"/>
  <c r="C36" i="1"/>
  <c r="C40" i="1"/>
  <c r="C44" i="1"/>
  <c r="C45" i="1"/>
  <c r="C34" i="1"/>
  <c r="C38" i="1"/>
  <c r="C42" i="1"/>
  <c r="C37" i="1"/>
  <c r="F18" i="1"/>
  <c r="C22" i="1"/>
  <c r="C26" i="1"/>
  <c r="C30" i="1"/>
  <c r="C29" i="1"/>
  <c r="C23" i="1"/>
  <c r="C27" i="1"/>
  <c r="C31" i="1"/>
  <c r="C18" i="1"/>
  <c r="C20" i="1"/>
  <c r="C24" i="1"/>
  <c r="C28" i="1"/>
  <c r="C32" i="1"/>
  <c r="C21" i="1"/>
  <c r="C25" i="1"/>
  <c r="C19" i="1"/>
  <c r="F15" i="1"/>
</calcChain>
</file>

<file path=xl/sharedStrings.xml><?xml version="1.0" encoding="utf-8"?>
<sst xmlns="http://schemas.openxmlformats.org/spreadsheetml/2006/main" count="101" uniqueCount="88">
  <si>
    <t>Change</t>
  </si>
  <si>
    <t>Revenue from Operation</t>
  </si>
  <si>
    <t>Other Non-operation Incomes</t>
  </si>
  <si>
    <t>Cost of Material Consumed</t>
  </si>
  <si>
    <t>Change in Inventories</t>
  </si>
  <si>
    <t>-</t>
  </si>
  <si>
    <t>Employee Benefit Expenses</t>
  </si>
  <si>
    <t>Finance Costs</t>
  </si>
  <si>
    <t>Depreciation</t>
  </si>
  <si>
    <t>Notes</t>
  </si>
  <si>
    <t>Other Expenses</t>
  </si>
  <si>
    <t>Profit Before Tax</t>
  </si>
  <si>
    <t>Tax Expenses</t>
  </si>
  <si>
    <t>Remeasurement of Employee Benefit</t>
  </si>
  <si>
    <t>Remeasurement of Tax</t>
  </si>
  <si>
    <t>Total Comprehensive Income</t>
  </si>
  <si>
    <t>Net Margin</t>
  </si>
  <si>
    <t>Operating Margin</t>
  </si>
  <si>
    <t>2018-2019 (In Rs. Lakhs)</t>
  </si>
  <si>
    <t>2017-18 (In Rs. Lakhs)</t>
  </si>
  <si>
    <t>P&amp;L Statement</t>
  </si>
  <si>
    <t>Balance Sheet</t>
  </si>
  <si>
    <t>Assets</t>
  </si>
  <si>
    <t>Non-current Assets</t>
  </si>
  <si>
    <t>Property, Plant and Equipment</t>
  </si>
  <si>
    <t>WIP Building</t>
  </si>
  <si>
    <t>Intangible Assets</t>
  </si>
  <si>
    <t>Other Financial Assets</t>
  </si>
  <si>
    <t>Other Non-current Assets</t>
  </si>
  <si>
    <t>Current Assets</t>
  </si>
  <si>
    <t>Inventories</t>
  </si>
  <si>
    <t>Trade Receivables</t>
  </si>
  <si>
    <t>Current Investments</t>
  </si>
  <si>
    <t>Cash and Cash Equivalents</t>
  </si>
  <si>
    <t>Bank Balances</t>
  </si>
  <si>
    <t>Other Current Assets</t>
  </si>
  <si>
    <t>Liabilities</t>
  </si>
  <si>
    <t>Equity and Liabilities</t>
  </si>
  <si>
    <t>Equity</t>
  </si>
  <si>
    <t>Share Capital</t>
  </si>
  <si>
    <t>1:5 Bonus Shares Issued</t>
  </si>
  <si>
    <t>Other Equity</t>
  </si>
  <si>
    <t>Non-current Liabilities</t>
  </si>
  <si>
    <t>Deferred Tax Liabilities</t>
  </si>
  <si>
    <t>Provisions</t>
  </si>
  <si>
    <t>Current Liabilities</t>
  </si>
  <si>
    <t>Current Borrowings</t>
  </si>
  <si>
    <t>Trade Payables</t>
  </si>
  <si>
    <t>Other Financial Liabilities</t>
  </si>
  <si>
    <t>Other Current Liabilities</t>
  </si>
  <si>
    <t>Income Tax Liability</t>
  </si>
  <si>
    <t>Ratio Analysis</t>
  </si>
  <si>
    <t>Rs. 300 Lakhs Inventory Write-off</t>
  </si>
  <si>
    <t>Stable</t>
  </si>
  <si>
    <t>Common Size</t>
  </si>
  <si>
    <t>Drastic increase in Interest Paid</t>
  </si>
  <si>
    <t>Sunk Costs / Marketing Expenses</t>
  </si>
  <si>
    <t>Drastic Increase in Other Income</t>
  </si>
  <si>
    <t>MC-FC split increased in favor of MC</t>
  </si>
  <si>
    <t>New Capacity Addition Done</t>
  </si>
  <si>
    <t>Rs. 3 per Share Dividend</t>
  </si>
  <si>
    <t>Year</t>
  </si>
  <si>
    <t>Trade Receivables position better</t>
  </si>
  <si>
    <t>Liquid positions ~17% of Market Cap</t>
  </si>
  <si>
    <t>Decrease in leverage</t>
  </si>
  <si>
    <t>Trade Payables position better</t>
  </si>
  <si>
    <t>Income Tax Liabilities position worse</t>
  </si>
  <si>
    <t>Current Ratio</t>
  </si>
  <si>
    <t>31 March 2019 (In Rs. Lakhs)</t>
  </si>
  <si>
    <t>31 March 18 (In Rs. Lakhs)</t>
  </si>
  <si>
    <t>Quick Ratio</t>
  </si>
  <si>
    <t>Cash Ratio</t>
  </si>
  <si>
    <t>Liquidity</t>
  </si>
  <si>
    <t>Efficiency</t>
  </si>
  <si>
    <t>Asset Turnover</t>
  </si>
  <si>
    <t>Equity Turnover</t>
  </si>
  <si>
    <t>GPM</t>
  </si>
  <si>
    <t>OPM</t>
  </si>
  <si>
    <t>NPM</t>
  </si>
  <si>
    <t>Return on Assets</t>
  </si>
  <si>
    <t>Return on Equity</t>
  </si>
  <si>
    <t>Financial Risk</t>
  </si>
  <si>
    <t>Debt-to-Equity</t>
  </si>
  <si>
    <t>Interest Coverage</t>
  </si>
  <si>
    <t>DSCR</t>
  </si>
  <si>
    <t>Growth</t>
  </si>
  <si>
    <t>SGR</t>
  </si>
  <si>
    <t>Return on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</si>
</sst>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₹-4009]\ #,##0.00"/>
    <numFmt numFmtId="165" formatCode="[$₹-4009]\ #,##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5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1" fillId="3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/>
  </sheetViews>
  <sheetFormatPr defaultRowHeight="15" x14ac:dyDescent="0.25"/>
  <cols>
    <col min="1" max="1" width="35.140625" style="3" bestFit="1" customWidth="1"/>
    <col min="2" max="2" width="25.85546875" style="3" bestFit="1" customWidth="1"/>
    <col min="3" max="3" width="13.140625" style="3" bestFit="1" customWidth="1"/>
    <col min="4" max="4" width="23.7109375" style="3" bestFit="1" customWidth="1"/>
    <col min="5" max="5" width="13.140625" style="3" bestFit="1" customWidth="1"/>
    <col min="6" max="6" width="8.140625" style="3" bestFit="1" customWidth="1"/>
    <col min="7" max="7" width="34.42578125" style="3" bestFit="1" customWidth="1"/>
    <col min="8" max="8" width="16.85546875" style="3" bestFit="1" customWidth="1"/>
    <col min="9" max="9" width="10" style="3" bestFit="1" customWidth="1"/>
    <col min="10" max="10" width="10" style="3" customWidth="1"/>
    <col min="11" max="11" width="7.85546875" style="3" bestFit="1" customWidth="1"/>
    <col min="12" max="16384" width="9.140625" style="3"/>
  </cols>
  <sheetData>
    <row r="1" spans="1:11" x14ac:dyDescent="0.25">
      <c r="A1" s="12" t="s">
        <v>20</v>
      </c>
      <c r="B1" s="12" t="s">
        <v>18</v>
      </c>
      <c r="C1" s="12" t="s">
        <v>54</v>
      </c>
      <c r="D1" s="12" t="s">
        <v>19</v>
      </c>
      <c r="E1" s="12" t="s">
        <v>54</v>
      </c>
      <c r="F1" s="12" t="s">
        <v>0</v>
      </c>
      <c r="G1" s="12" t="s">
        <v>9</v>
      </c>
      <c r="H1" s="14" t="s">
        <v>51</v>
      </c>
      <c r="I1" s="14"/>
      <c r="J1" s="14"/>
      <c r="K1" s="14"/>
    </row>
    <row r="2" spans="1:11" x14ac:dyDescent="0.25">
      <c r="A2" s="6" t="s">
        <v>1</v>
      </c>
      <c r="B2" s="4">
        <v>8546.69</v>
      </c>
      <c r="C2" s="5">
        <f>B2/($B$2+$B$3)</f>
        <v>0.97189841490775886</v>
      </c>
      <c r="D2" s="4">
        <v>8059.88</v>
      </c>
      <c r="E2" s="5">
        <f>D2/SUM($D$2:$D$3)</f>
        <v>0.98553106364351128</v>
      </c>
      <c r="F2" s="9">
        <f>LN(B2/D2)</f>
        <v>5.8645405419601761E-2</v>
      </c>
      <c r="G2" s="2" t="s">
        <v>52</v>
      </c>
      <c r="H2" s="6" t="s">
        <v>61</v>
      </c>
      <c r="I2" s="7">
        <v>43555</v>
      </c>
      <c r="J2" s="7">
        <v>43190</v>
      </c>
      <c r="K2" s="6" t="s">
        <v>0</v>
      </c>
    </row>
    <row r="3" spans="1:11" x14ac:dyDescent="0.25">
      <c r="A3" s="11" t="s">
        <v>2</v>
      </c>
      <c r="B3" s="1">
        <v>247.12</v>
      </c>
      <c r="C3" s="5">
        <f t="shared" ref="C3:C14" si="0">B3/($B$2+$B$3)</f>
        <v>2.8101585092241015E-2</v>
      </c>
      <c r="D3" s="1">
        <v>118.33</v>
      </c>
      <c r="E3" s="5">
        <f t="shared" ref="E3:E9" si="1">D3/SUM($D$2:$D$3)</f>
        <v>1.4468936356488767E-2</v>
      </c>
      <c r="F3" s="9">
        <f>LN(B3/D3)</f>
        <v>0.73639671721385869</v>
      </c>
      <c r="G3" s="2" t="s">
        <v>57</v>
      </c>
      <c r="H3" s="14" t="s">
        <v>72</v>
      </c>
      <c r="I3" s="14"/>
      <c r="J3" s="14"/>
      <c r="K3" s="14"/>
    </row>
    <row r="4" spans="1:11" x14ac:dyDescent="0.25">
      <c r="A4" s="11" t="s">
        <v>3</v>
      </c>
      <c r="B4" s="1">
        <v>-3682.33</v>
      </c>
      <c r="C4" s="13">
        <f t="shared" si="0"/>
        <v>-0.41874113723175727</v>
      </c>
      <c r="D4" s="1">
        <v>-3346.91</v>
      </c>
      <c r="E4" s="13">
        <f t="shared" si="1"/>
        <v>-0.4092472558175933</v>
      </c>
      <c r="F4" s="9">
        <f>LN(B4/D4)</f>
        <v>9.5508171882844106E-2</v>
      </c>
      <c r="G4" s="2" t="s">
        <v>53</v>
      </c>
      <c r="H4" s="6" t="s">
        <v>67</v>
      </c>
      <c r="I4" s="8">
        <f>B25/B41</f>
        <v>4.8050685004959917</v>
      </c>
      <c r="J4" s="8">
        <f>D25/D41</f>
        <v>5.953339148977415</v>
      </c>
      <c r="K4" s="9">
        <f>LN(I4/J4)</f>
        <v>-0.2142809652444588</v>
      </c>
    </row>
    <row r="5" spans="1:11" x14ac:dyDescent="0.25">
      <c r="A5" s="11" t="s">
        <v>4</v>
      </c>
      <c r="B5" s="1">
        <v>-55.26</v>
      </c>
      <c r="C5" s="13">
        <f t="shared" si="0"/>
        <v>-6.2839656531128137E-3</v>
      </c>
      <c r="D5" s="1">
        <v>225.94</v>
      </c>
      <c r="E5" s="13">
        <f t="shared" si="1"/>
        <v>2.7627072427829562E-2</v>
      </c>
      <c r="F5" s="9" t="s">
        <v>5</v>
      </c>
      <c r="G5" s="2"/>
      <c r="H5" s="6" t="s">
        <v>70</v>
      </c>
      <c r="I5" s="8">
        <f>(B27+B28+B29+B30)/B41</f>
        <v>3.605163677310383</v>
      </c>
      <c r="J5" s="8">
        <f>(D27+D28+D29+D30)/D41</f>
        <v>4.3075409518270815</v>
      </c>
      <c r="K5" s="9">
        <f t="shared" ref="K5:K15" si="2">LN(I5/J5)</f>
        <v>-0.17800002390706668</v>
      </c>
    </row>
    <row r="6" spans="1:11" x14ac:dyDescent="0.25">
      <c r="A6" s="11" t="s">
        <v>6</v>
      </c>
      <c r="B6" s="1">
        <v>-720</v>
      </c>
      <c r="C6" s="13">
        <f t="shared" si="0"/>
        <v>-8.1875773981925914E-2</v>
      </c>
      <c r="D6" s="1">
        <v>-708.54</v>
      </c>
      <c r="E6" s="13">
        <f t="shared" si="1"/>
        <v>-8.6637540488688838E-2</v>
      </c>
      <c r="F6" s="9">
        <f t="shared" ref="F6:F12" si="3">LN(B6/D6)</f>
        <v>1.6044697168855763E-2</v>
      </c>
      <c r="G6" s="2" t="s">
        <v>53</v>
      </c>
      <c r="H6" s="6" t="s">
        <v>71</v>
      </c>
      <c r="I6" s="8">
        <f>(B28+B29+B30)/B41</f>
        <v>2.0779712592830908</v>
      </c>
      <c r="J6" s="8">
        <f>(D28+D29+D30)/D41</f>
        <v>2.1620820005815644</v>
      </c>
      <c r="K6" s="9">
        <f t="shared" si="2"/>
        <v>-3.9679584981310627E-2</v>
      </c>
    </row>
    <row r="7" spans="1:11" x14ac:dyDescent="0.25">
      <c r="A7" s="11" t="s">
        <v>7</v>
      </c>
      <c r="B7" s="1">
        <v>-10.73</v>
      </c>
      <c r="C7" s="13">
        <f t="shared" si="0"/>
        <v>-1.2201764650362015E-3</v>
      </c>
      <c r="D7" s="1">
        <v>-5.72</v>
      </c>
      <c r="E7" s="13">
        <f t="shared" si="1"/>
        <v>-6.9941955513492561E-4</v>
      </c>
      <c r="F7" s="9">
        <f t="shared" si="3"/>
        <v>0.62907475125090062</v>
      </c>
      <c r="G7" s="2" t="s">
        <v>55</v>
      </c>
      <c r="H7" s="14" t="s">
        <v>73</v>
      </c>
      <c r="I7" s="14"/>
      <c r="J7" s="14"/>
      <c r="K7" s="14"/>
    </row>
    <row r="8" spans="1:11" x14ac:dyDescent="0.25">
      <c r="A8" s="11" t="s">
        <v>8</v>
      </c>
      <c r="B8" s="1">
        <v>-201.45</v>
      </c>
      <c r="C8" s="13">
        <f t="shared" si="0"/>
        <v>-2.2908159262026353E-2</v>
      </c>
      <c r="D8" s="1">
        <v>-217.85</v>
      </c>
      <c r="E8" s="13">
        <f t="shared" si="1"/>
        <v>-2.6637858406668453E-2</v>
      </c>
      <c r="F8" s="9">
        <f t="shared" si="3"/>
        <v>-7.8265540926094918E-2</v>
      </c>
      <c r="G8" s="2" t="s">
        <v>53</v>
      </c>
      <c r="H8" s="6" t="s">
        <v>74</v>
      </c>
      <c r="I8" s="8">
        <f>B2/(B18+B3)</f>
        <v>0.89573016656553051</v>
      </c>
      <c r="J8" s="8">
        <f>D2/(D18+D3)</f>
        <v>1.0141619889950462</v>
      </c>
      <c r="K8" s="9">
        <f t="shared" si="2"/>
        <v>-0.12417870962020247</v>
      </c>
    </row>
    <row r="9" spans="1:11" x14ac:dyDescent="0.25">
      <c r="A9" s="11" t="s">
        <v>10</v>
      </c>
      <c r="B9" s="1">
        <v>-2032.8</v>
      </c>
      <c r="C9" s="13">
        <f t="shared" si="0"/>
        <v>-0.23116260187563747</v>
      </c>
      <c r="D9" s="1">
        <v>-1515.9</v>
      </c>
      <c r="E9" s="13">
        <f t="shared" si="1"/>
        <v>-0.18535840972535556</v>
      </c>
      <c r="F9" s="9">
        <f t="shared" si="3"/>
        <v>0.29340483103998161</v>
      </c>
      <c r="G9" s="2" t="s">
        <v>56</v>
      </c>
      <c r="H9" s="6" t="s">
        <v>75</v>
      </c>
      <c r="I9" s="8">
        <f>B2/(B3+B34)</f>
        <v>1.0900500469349441</v>
      </c>
      <c r="J9" s="8">
        <f>D2/(D34+D3)</f>
        <v>1.2059712926678547</v>
      </c>
      <c r="K9" s="9">
        <f t="shared" si="2"/>
        <v>-0.10106168445745874</v>
      </c>
    </row>
    <row r="10" spans="1:11" x14ac:dyDescent="0.25">
      <c r="A10" s="6" t="s">
        <v>11</v>
      </c>
      <c r="B10" s="4">
        <f>(B2+B3)+SUM(B4:B9)</f>
        <v>2091.2400000000016</v>
      </c>
      <c r="C10" s="13"/>
      <c r="D10" s="4">
        <f>(D2+D3)+SUM(D4:D9)</f>
        <v>2609.2300000000005</v>
      </c>
      <c r="E10" s="13"/>
      <c r="F10" s="9">
        <f t="shared" si="3"/>
        <v>-0.22129796717238664</v>
      </c>
      <c r="G10" s="2"/>
      <c r="H10" s="6" t="s">
        <v>76</v>
      </c>
      <c r="I10" s="9">
        <f>(B2+B3+B4+B5)/(B2+B3)</f>
        <v>0.57497489711512995</v>
      </c>
      <c r="J10" s="9">
        <f>(D2+D3+D4+D5)/(D2+D3)</f>
        <v>0.61837981661023622</v>
      </c>
      <c r="K10" s="9">
        <f t="shared" si="2"/>
        <v>-7.2776476005543794E-2</v>
      </c>
    </row>
    <row r="11" spans="1:11" x14ac:dyDescent="0.25">
      <c r="A11" s="6" t="s">
        <v>17</v>
      </c>
      <c r="B11" s="5">
        <f>B10/(B2+B3)</f>
        <v>0.23780818553050398</v>
      </c>
      <c r="C11" s="13"/>
      <c r="D11" s="5">
        <f>D10/(D2+D3)</f>
        <v>0.31904658843438849</v>
      </c>
      <c r="E11" s="13"/>
      <c r="F11" s="9">
        <f t="shared" si="3"/>
        <v>-0.29387273179459433</v>
      </c>
      <c r="G11" s="2" t="s">
        <v>58</v>
      </c>
      <c r="H11" s="6" t="s">
        <v>77</v>
      </c>
      <c r="I11" s="9">
        <f>B11</f>
        <v>0.23780818553050398</v>
      </c>
      <c r="J11" s="9">
        <f>D11</f>
        <v>0.31904658843438849</v>
      </c>
      <c r="K11" s="9">
        <f t="shared" si="2"/>
        <v>-0.29387273179459433</v>
      </c>
    </row>
    <row r="12" spans="1:11" x14ac:dyDescent="0.25">
      <c r="A12" s="11" t="s">
        <v>12</v>
      </c>
      <c r="B12" s="1">
        <f>-(561.68+3.31+5.44)</f>
        <v>-570.42999999999995</v>
      </c>
      <c r="C12" s="13">
        <f t="shared" si="0"/>
        <v>-6.486721910070832E-2</v>
      </c>
      <c r="D12" s="1">
        <f>-(927.89-10.54-17.14)</f>
        <v>-900.21</v>
      </c>
      <c r="E12" s="13">
        <f t="shared" ref="E12:E14" si="4">D12/SUM($D$2:$D$3)</f>
        <v>-0.11007420939300899</v>
      </c>
      <c r="F12" s="9">
        <f t="shared" si="3"/>
        <v>-0.45623760705221411</v>
      </c>
      <c r="G12" s="2"/>
      <c r="H12" s="6" t="s">
        <v>78</v>
      </c>
      <c r="I12" s="8">
        <f>B16</f>
        <v>0.17333215068326488</v>
      </c>
      <c r="J12" s="8">
        <f>D16</f>
        <v>0.20786211163567583</v>
      </c>
      <c r="K12" s="9">
        <f t="shared" si="2"/>
        <v>-0.18166523513808966</v>
      </c>
    </row>
    <row r="13" spans="1:11" x14ac:dyDescent="0.25">
      <c r="A13" s="11" t="s">
        <v>13</v>
      </c>
      <c r="B13" s="1">
        <v>4.8499999999999996</v>
      </c>
      <c r="C13" s="13">
        <f t="shared" si="0"/>
        <v>5.5152431085047314E-4</v>
      </c>
      <c r="D13" s="1">
        <v>-13.89</v>
      </c>
      <c r="E13" s="13">
        <f t="shared" si="4"/>
        <v>-1.6984156679762442E-3</v>
      </c>
      <c r="F13" s="9" t="s">
        <v>5</v>
      </c>
      <c r="G13" s="2"/>
      <c r="H13" s="6" t="s">
        <v>79</v>
      </c>
      <c r="I13" s="9">
        <f>(B10-B7)/B18</f>
        <v>0.22615275534807275</v>
      </c>
      <c r="J13" s="9">
        <f>(D10-D7)/D18</f>
        <v>0.33400817473495981</v>
      </c>
      <c r="K13" s="9">
        <f t="shared" si="2"/>
        <v>-0.3899547883628332</v>
      </c>
    </row>
    <row r="14" spans="1:11" x14ac:dyDescent="0.25">
      <c r="A14" s="11" t="s">
        <v>14</v>
      </c>
      <c r="B14" s="1">
        <v>-1.41</v>
      </c>
      <c r="C14" s="13">
        <f t="shared" si="0"/>
        <v>-1.6034005738127155E-4</v>
      </c>
      <c r="D14" s="1">
        <v>4.8099999999999996</v>
      </c>
      <c r="E14" s="13">
        <f t="shared" si="4"/>
        <v>5.8814826227255104E-4</v>
      </c>
      <c r="F14" s="9" t="s">
        <v>5</v>
      </c>
      <c r="G14" s="2"/>
      <c r="H14" s="6" t="s">
        <v>80</v>
      </c>
      <c r="I14" s="9">
        <f>B15/B34</f>
        <v>0.20073035956973864</v>
      </c>
      <c r="J14" s="9">
        <f>D15/D34</f>
        <v>0.2589406212966377</v>
      </c>
      <c r="K14" s="9">
        <f t="shared" si="2"/>
        <v>-0.25463626124054056</v>
      </c>
    </row>
    <row r="15" spans="1:11" x14ac:dyDescent="0.25">
      <c r="A15" s="6" t="s">
        <v>15</v>
      </c>
      <c r="B15" s="4">
        <f>B10+SUM(B12:B14)</f>
        <v>1524.2500000000018</v>
      </c>
      <c r="C15" s="10"/>
      <c r="D15" s="4">
        <f>D10+SUM(D12:D14)</f>
        <v>1699.9400000000005</v>
      </c>
      <c r="E15" s="4"/>
      <c r="F15" s="9">
        <f>LN(B15/D15)</f>
        <v>-0.109090470515882</v>
      </c>
      <c r="G15" s="2"/>
      <c r="H15" s="6" t="s">
        <v>87</v>
      </c>
      <c r="I15" s="9">
        <f>B15/(B34+B42-B28-B29-B30)</f>
        <v>0.32276199994917998</v>
      </c>
      <c r="J15" s="9">
        <f>D15/(D34+D42-D28-D29-D30)</f>
        <v>0.37373064501590625</v>
      </c>
      <c r="K15" s="9">
        <f t="shared" si="2"/>
        <v>-0.1466201280949716</v>
      </c>
    </row>
    <row r="16" spans="1:11" x14ac:dyDescent="0.25">
      <c r="A16" s="6" t="s">
        <v>16</v>
      </c>
      <c r="B16" s="5">
        <f>B15/(B2+B3)</f>
        <v>0.17333215068326488</v>
      </c>
      <c r="C16" s="5"/>
      <c r="D16" s="5">
        <f>D15/(D2+D3)</f>
        <v>0.20786211163567583</v>
      </c>
      <c r="E16" s="5"/>
      <c r="F16" s="9">
        <f>LN(B16/D16)</f>
        <v>-0.18166523513808966</v>
      </c>
      <c r="G16" s="2"/>
      <c r="H16" s="14" t="s">
        <v>81</v>
      </c>
      <c r="I16" s="14"/>
      <c r="J16" s="14"/>
      <c r="K16" s="14"/>
    </row>
    <row r="17" spans="1:11" x14ac:dyDescent="0.25">
      <c r="A17" s="12" t="s">
        <v>21</v>
      </c>
      <c r="B17" s="12" t="s">
        <v>68</v>
      </c>
      <c r="C17" s="12" t="s">
        <v>54</v>
      </c>
      <c r="D17" s="12" t="s">
        <v>69</v>
      </c>
      <c r="E17" s="12" t="s">
        <v>54</v>
      </c>
      <c r="F17" s="12" t="s">
        <v>0</v>
      </c>
      <c r="G17" s="12" t="s">
        <v>9</v>
      </c>
      <c r="H17" s="6" t="s">
        <v>82</v>
      </c>
      <c r="I17" s="8">
        <f>(B42/B34)</f>
        <v>3.0190214814736775E-2</v>
      </c>
      <c r="J17" s="8">
        <f>D42/D34</f>
        <v>3.2629193082080982E-2</v>
      </c>
      <c r="K17" s="9">
        <f>LN(I17/J17)</f>
        <v>-7.7689521852809057E-2</v>
      </c>
    </row>
    <row r="18" spans="1:11" x14ac:dyDescent="0.25">
      <c r="A18" s="6" t="s">
        <v>22</v>
      </c>
      <c r="B18" s="4">
        <f>B19+B25</f>
        <v>9294.4699999999993</v>
      </c>
      <c r="C18" s="5">
        <f>B18/$B$18</f>
        <v>1</v>
      </c>
      <c r="D18" s="4">
        <f>D19+D25</f>
        <v>7829</v>
      </c>
      <c r="E18" s="5">
        <f>D18/$D$18</f>
        <v>1</v>
      </c>
      <c r="F18" s="9">
        <f>LN(B18/D18)</f>
        <v>0.17158481171875994</v>
      </c>
      <c r="G18" s="2"/>
      <c r="H18" s="6" t="s">
        <v>83</v>
      </c>
      <c r="I18" s="8">
        <f>(B10-B8-B7)/(-B7)</f>
        <v>214.67101584342976</v>
      </c>
      <c r="J18" s="8">
        <f>(D10-D8-D7)/(-D7)</f>
        <v>495.24475524475531</v>
      </c>
      <c r="K18" s="9">
        <f>LN(I18/J18)</f>
        <v>-0.83594539803477685</v>
      </c>
    </row>
    <row r="19" spans="1:11" x14ac:dyDescent="0.25">
      <c r="A19" s="6" t="s">
        <v>23</v>
      </c>
      <c r="B19" s="4">
        <f>SUM(B20:B24)</f>
        <v>2125.4999999999995</v>
      </c>
      <c r="C19" s="13">
        <f t="shared" ref="C19:C32" si="5">B19/$B$18</f>
        <v>0.22868436823186256</v>
      </c>
      <c r="D19" s="4">
        <f>SUM(D20:D24)</f>
        <v>1686.94</v>
      </c>
      <c r="E19" s="13">
        <f t="shared" ref="E19:E32" si="6">D19/$D$18</f>
        <v>0.21547324051603015</v>
      </c>
      <c r="F19" s="9">
        <f>LN(B19/D19)</f>
        <v>0.23109083197902211</v>
      </c>
      <c r="G19" s="2"/>
      <c r="H19" s="6" t="s">
        <v>84</v>
      </c>
      <c r="I19" s="8">
        <f>B10/-B7</f>
        <v>194.89655172413808</v>
      </c>
      <c r="J19" s="8">
        <f>D10/-D7</f>
        <v>456.15909090909099</v>
      </c>
      <c r="K19" s="9">
        <f>LN(I19/J19)</f>
        <v>-0.85037271842328732</v>
      </c>
    </row>
    <row r="20" spans="1:11" x14ac:dyDescent="0.25">
      <c r="A20" s="11" t="s">
        <v>24</v>
      </c>
      <c r="B20" s="1">
        <v>2077.9499999999998</v>
      </c>
      <c r="C20" s="13">
        <f t="shared" si="5"/>
        <v>0.22356842294396559</v>
      </c>
      <c r="D20" s="1">
        <v>1620.09</v>
      </c>
      <c r="E20" s="13">
        <f t="shared" si="6"/>
        <v>0.20693447439008814</v>
      </c>
      <c r="F20" s="9">
        <f>LN(B20/D20)</f>
        <v>0.24890012753316512</v>
      </c>
      <c r="G20" s="2" t="s">
        <v>59</v>
      </c>
      <c r="H20" s="14" t="s">
        <v>85</v>
      </c>
      <c r="I20" s="14"/>
      <c r="J20" s="14"/>
      <c r="K20" s="14"/>
    </row>
    <row r="21" spans="1:11" x14ac:dyDescent="0.25">
      <c r="A21" s="11" t="s">
        <v>25</v>
      </c>
      <c r="B21" s="1">
        <v>6.7</v>
      </c>
      <c r="C21" s="13">
        <f t="shared" si="5"/>
        <v>7.2085874719053384E-4</v>
      </c>
      <c r="D21" s="1">
        <v>0</v>
      </c>
      <c r="E21" s="13">
        <f t="shared" si="6"/>
        <v>0</v>
      </c>
      <c r="F21" s="9" t="s">
        <v>5</v>
      </c>
      <c r="G21" s="2"/>
      <c r="H21" s="6" t="s">
        <v>86</v>
      </c>
      <c r="I21" s="9">
        <f>I14*(1-0.5177)</f>
        <v>9.681225242048494E-2</v>
      </c>
      <c r="J21" s="9">
        <f>J14*(1-0.2928)</f>
        <v>0.18312280738098219</v>
      </c>
      <c r="K21" s="9">
        <f>LN(I21/J21)</f>
        <v>-0.63738344548904802</v>
      </c>
    </row>
    <row r="22" spans="1:11" x14ac:dyDescent="0.25">
      <c r="A22" s="11" t="s">
        <v>26</v>
      </c>
      <c r="B22" s="1">
        <v>6.22</v>
      </c>
      <c r="C22" s="13">
        <f t="shared" si="5"/>
        <v>6.6921513545151038E-4</v>
      </c>
      <c r="D22" s="1">
        <v>9.68</v>
      </c>
      <c r="E22" s="13">
        <f t="shared" si="6"/>
        <v>1.2364286626644527E-3</v>
      </c>
      <c r="F22" s="9">
        <f>LN(B22/D22)</f>
        <v>-0.44229199453739754</v>
      </c>
      <c r="G22" s="2"/>
    </row>
    <row r="23" spans="1:11" x14ac:dyDescent="0.25">
      <c r="A23" s="11" t="s">
        <v>27</v>
      </c>
      <c r="B23" s="1">
        <v>34.630000000000003</v>
      </c>
      <c r="C23" s="13">
        <f t="shared" si="5"/>
        <v>3.7258714052549533E-3</v>
      </c>
      <c r="D23" s="1">
        <v>36.42</v>
      </c>
      <c r="E23" s="13">
        <f t="shared" si="6"/>
        <v>4.6519351130412572E-3</v>
      </c>
      <c r="F23" s="9">
        <f>LN(B23/D23)</f>
        <v>-5.0397715885131311E-2</v>
      </c>
      <c r="G23" s="2"/>
    </row>
    <row r="24" spans="1:11" x14ac:dyDescent="0.25">
      <c r="A24" s="11" t="s">
        <v>28</v>
      </c>
      <c r="B24" s="1">
        <v>0</v>
      </c>
      <c r="C24" s="13">
        <f t="shared" si="5"/>
        <v>0</v>
      </c>
      <c r="D24" s="1">
        <v>20.75</v>
      </c>
      <c r="E24" s="13">
        <f t="shared" si="6"/>
        <v>2.650402350236301E-3</v>
      </c>
      <c r="F24" s="9" t="s">
        <v>5</v>
      </c>
      <c r="G24" s="2"/>
    </row>
    <row r="25" spans="1:11" x14ac:dyDescent="0.25">
      <c r="A25" s="6" t="s">
        <v>29</v>
      </c>
      <c r="B25" s="4">
        <f>SUM(B26:B32)</f>
        <v>7168.9699999999993</v>
      </c>
      <c r="C25" s="13">
        <f t="shared" si="5"/>
        <v>0.77131563176813733</v>
      </c>
      <c r="D25" s="4">
        <f>SUM(D26:D32)</f>
        <v>6142.0599999999995</v>
      </c>
      <c r="E25" s="13">
        <f t="shared" si="6"/>
        <v>0.78452675948396977</v>
      </c>
      <c r="F25" s="9">
        <f t="shared" ref="F25:F46" si="7">LN(B25/D25)</f>
        <v>0.15460179940205734</v>
      </c>
      <c r="G25" s="2"/>
    </row>
    <row r="26" spans="1:11" x14ac:dyDescent="0.25">
      <c r="A26" s="11" t="s">
        <v>30</v>
      </c>
      <c r="B26" s="1">
        <v>791.4</v>
      </c>
      <c r="C26" s="13">
        <f t="shared" si="5"/>
        <v>8.5147404854714684E-2</v>
      </c>
      <c r="D26" s="1">
        <v>756.03</v>
      </c>
      <c r="E26" s="13">
        <f t="shared" si="6"/>
        <v>9.6567888619236167E-2</v>
      </c>
      <c r="F26" s="9">
        <f t="shared" si="7"/>
        <v>4.5722471019439437E-2</v>
      </c>
      <c r="G26" s="2"/>
    </row>
    <row r="27" spans="1:11" x14ac:dyDescent="0.25">
      <c r="A27" s="11" t="s">
        <v>31</v>
      </c>
      <c r="B27" s="1">
        <v>2278.5100000000002</v>
      </c>
      <c r="C27" s="13">
        <f t="shared" si="5"/>
        <v>0.24514684538225423</v>
      </c>
      <c r="D27" s="1">
        <v>2213.4699999999998</v>
      </c>
      <c r="E27" s="13">
        <f t="shared" si="6"/>
        <v>0.28272704049048408</v>
      </c>
      <c r="F27" s="9">
        <f t="shared" si="7"/>
        <v>2.8960300662566718E-2</v>
      </c>
      <c r="G27" s="2" t="s">
        <v>62</v>
      </c>
    </row>
    <row r="28" spans="1:11" x14ac:dyDescent="0.25">
      <c r="A28" s="11" t="s">
        <v>32</v>
      </c>
      <c r="B28" s="1">
        <v>2217.56</v>
      </c>
      <c r="C28" s="13">
        <f t="shared" si="5"/>
        <v>0.23858918259997614</v>
      </c>
      <c r="D28" s="1">
        <v>1805.2</v>
      </c>
      <c r="E28" s="13">
        <f t="shared" si="6"/>
        <v>0.23057861795887086</v>
      </c>
      <c r="F28" s="9">
        <f t="shared" si="7"/>
        <v>0.20573610336202239</v>
      </c>
      <c r="G28" s="2"/>
    </row>
    <row r="29" spans="1:11" x14ac:dyDescent="0.25">
      <c r="A29" s="11" t="s">
        <v>33</v>
      </c>
      <c r="B29" s="1">
        <v>277.24</v>
      </c>
      <c r="C29" s="13">
        <f t="shared" si="5"/>
        <v>2.9828489413597552E-2</v>
      </c>
      <c r="D29" s="1">
        <v>321.26</v>
      </c>
      <c r="E29" s="13">
        <f t="shared" si="6"/>
        <v>4.1034614893345256E-2</v>
      </c>
      <c r="F29" s="9">
        <f t="shared" si="7"/>
        <v>-0.14736720707983605</v>
      </c>
      <c r="G29" s="2"/>
    </row>
    <row r="30" spans="1:11" x14ac:dyDescent="0.25">
      <c r="A30" s="11" t="s">
        <v>34</v>
      </c>
      <c r="B30" s="1">
        <v>605.45000000000005</v>
      </c>
      <c r="C30" s="13">
        <f t="shared" si="5"/>
        <v>6.514088484873265E-2</v>
      </c>
      <c r="D30" s="1">
        <v>104.16</v>
      </c>
      <c r="E30" s="13">
        <f t="shared" si="6"/>
        <v>1.3304381147017499E-2</v>
      </c>
      <c r="F30" s="9">
        <f t="shared" si="7"/>
        <v>1.7600438047401163</v>
      </c>
      <c r="G30" s="2" t="s">
        <v>63</v>
      </c>
    </row>
    <row r="31" spans="1:11" x14ac:dyDescent="0.25">
      <c r="A31" s="11" t="s">
        <v>27</v>
      </c>
      <c r="B31" s="1">
        <v>91.98</v>
      </c>
      <c r="C31" s="13">
        <f t="shared" si="5"/>
        <v>9.8962070994903437E-3</v>
      </c>
      <c r="D31" s="1">
        <v>130.9</v>
      </c>
      <c r="E31" s="13">
        <f t="shared" si="6"/>
        <v>1.6719887597394303E-2</v>
      </c>
      <c r="F31" s="9">
        <f t="shared" si="7"/>
        <v>-0.35286251080407655</v>
      </c>
      <c r="G31" s="2"/>
    </row>
    <row r="32" spans="1:11" x14ac:dyDescent="0.25">
      <c r="A32" s="11" t="s">
        <v>35</v>
      </c>
      <c r="B32" s="1">
        <v>906.83</v>
      </c>
      <c r="C32" s="13">
        <f t="shared" si="5"/>
        <v>9.7566617569371905E-2</v>
      </c>
      <c r="D32" s="1">
        <v>811.04</v>
      </c>
      <c r="E32" s="13">
        <f t="shared" si="6"/>
        <v>0.10359432877762166</v>
      </c>
      <c r="F32" s="9">
        <f t="shared" si="7"/>
        <v>0.11163762673218486</v>
      </c>
      <c r="G32" s="2"/>
    </row>
    <row r="33" spans="1:7" x14ac:dyDescent="0.25">
      <c r="A33" s="6" t="s">
        <v>37</v>
      </c>
      <c r="B33" s="4">
        <f>B34+B37</f>
        <v>9294.4700000000012</v>
      </c>
      <c r="C33" s="5">
        <f>B33/$B$33</f>
        <v>1</v>
      </c>
      <c r="D33" s="4">
        <f>D34+D37</f>
        <v>7829</v>
      </c>
      <c r="E33" s="5">
        <f>D33/$D$33</f>
        <v>1</v>
      </c>
      <c r="F33" s="9">
        <f t="shared" si="7"/>
        <v>0.17158481171876014</v>
      </c>
      <c r="G33" s="2"/>
    </row>
    <row r="34" spans="1:7" x14ac:dyDescent="0.25">
      <c r="A34" s="6" t="s">
        <v>38</v>
      </c>
      <c r="B34" s="4">
        <f>SUM(B35:B36)</f>
        <v>7593.52</v>
      </c>
      <c r="C34" s="13">
        <f t="shared" ref="C34:C46" si="8">B34/$B$33</f>
        <v>0.8169933304427256</v>
      </c>
      <c r="D34" s="4">
        <f>SUM(D35:D36)</f>
        <v>6564.98</v>
      </c>
      <c r="E34" s="13">
        <f t="shared" ref="E34:E46" si="9">D34/$D$33</f>
        <v>0.83854642993996675</v>
      </c>
      <c r="F34" s="9">
        <f t="shared" si="7"/>
        <v>0.14554579072465856</v>
      </c>
      <c r="G34" s="2"/>
    </row>
    <row r="35" spans="1:7" x14ac:dyDescent="0.25">
      <c r="A35" s="11" t="s">
        <v>39</v>
      </c>
      <c r="B35" s="1">
        <v>1333.8</v>
      </c>
      <c r="C35" s="13">
        <f t="shared" si="8"/>
        <v>0.14350468611981101</v>
      </c>
      <c r="D35" s="1">
        <v>1111.5</v>
      </c>
      <c r="E35" s="13">
        <f t="shared" si="9"/>
        <v>0.14197215480904329</v>
      </c>
      <c r="F35" s="9">
        <f t="shared" si="7"/>
        <v>0.18232155679395459</v>
      </c>
      <c r="G35" s="2" t="s">
        <v>40</v>
      </c>
    </row>
    <row r="36" spans="1:7" x14ac:dyDescent="0.25">
      <c r="A36" s="11" t="s">
        <v>41</v>
      </c>
      <c r="B36" s="1">
        <v>6259.72</v>
      </c>
      <c r="C36" s="13">
        <f t="shared" si="8"/>
        <v>0.67348864432291455</v>
      </c>
      <c r="D36" s="1">
        <v>5453.48</v>
      </c>
      <c r="E36" s="13">
        <f t="shared" si="9"/>
        <v>0.6965742751309234</v>
      </c>
      <c r="F36" s="9">
        <f t="shared" si="7"/>
        <v>0.1378815186667996</v>
      </c>
      <c r="G36" s="2" t="s">
        <v>60</v>
      </c>
    </row>
    <row r="37" spans="1:7" x14ac:dyDescent="0.25">
      <c r="A37" s="6" t="s">
        <v>36</v>
      </c>
      <c r="B37" s="4">
        <f>B38+B41</f>
        <v>1700.95</v>
      </c>
      <c r="C37" s="13">
        <f t="shared" si="8"/>
        <v>0.18300666955727435</v>
      </c>
      <c r="D37" s="4">
        <f>D38+D41</f>
        <v>1264.02</v>
      </c>
      <c r="E37" s="13">
        <f t="shared" si="9"/>
        <v>0.16145357006003322</v>
      </c>
      <c r="F37" s="9">
        <f t="shared" si="7"/>
        <v>0.29688980012356292</v>
      </c>
      <c r="G37" s="1"/>
    </row>
    <row r="38" spans="1:7" x14ac:dyDescent="0.25">
      <c r="A38" s="6" t="s">
        <v>42</v>
      </c>
      <c r="B38" s="4">
        <f>SUM(B39:B40)</f>
        <v>208.99</v>
      </c>
      <c r="C38" s="13">
        <f t="shared" si="8"/>
        <v>2.2485413369455171E-2</v>
      </c>
      <c r="D38" s="4">
        <f>SUM(D39:D40)</f>
        <v>232.32</v>
      </c>
      <c r="E38" s="13">
        <f t="shared" si="9"/>
        <v>2.9674287903946862E-2</v>
      </c>
      <c r="F38" s="9">
        <f t="shared" si="7"/>
        <v>-0.10582932770627131</v>
      </c>
      <c r="G38" s="2"/>
    </row>
    <row r="39" spans="1:7" x14ac:dyDescent="0.25">
      <c r="A39" s="11" t="s">
        <v>43</v>
      </c>
      <c r="B39" s="1">
        <v>177.31</v>
      </c>
      <c r="C39" s="13">
        <f t="shared" si="8"/>
        <v>1.9076934994679631E-2</v>
      </c>
      <c r="D39" s="1">
        <v>170.44</v>
      </c>
      <c r="E39" s="13">
        <f t="shared" si="9"/>
        <v>2.1770341039724101E-2</v>
      </c>
      <c r="F39" s="9">
        <f t="shared" si="7"/>
        <v>3.9516284437186001E-2</v>
      </c>
      <c r="G39" s="2"/>
    </row>
    <row r="40" spans="1:7" x14ac:dyDescent="0.25">
      <c r="A40" s="11" t="s">
        <v>44</v>
      </c>
      <c r="B40" s="1">
        <v>31.68</v>
      </c>
      <c r="C40" s="13">
        <f t="shared" si="8"/>
        <v>3.4084783747755382E-3</v>
      </c>
      <c r="D40" s="1">
        <v>61.88</v>
      </c>
      <c r="E40" s="13">
        <f t="shared" si="9"/>
        <v>7.9039468642227613E-3</v>
      </c>
      <c r="F40" s="9">
        <f t="shared" si="7"/>
        <v>-0.66951145875864038</v>
      </c>
      <c r="G40" s="2"/>
    </row>
    <row r="41" spans="1:7" x14ac:dyDescent="0.25">
      <c r="A41" s="6" t="s">
        <v>45</v>
      </c>
      <c r="B41" s="4">
        <f>SUM(B42:B46)</f>
        <v>1491.96</v>
      </c>
      <c r="C41" s="13">
        <f t="shared" si="8"/>
        <v>0.16052125618781921</v>
      </c>
      <c r="D41" s="4">
        <f>SUM(D42:D46)</f>
        <v>1031.7</v>
      </c>
      <c r="E41" s="13">
        <f t="shared" si="9"/>
        <v>0.13177928215608636</v>
      </c>
      <c r="F41" s="9">
        <f t="shared" si="7"/>
        <v>0.36888276464651631</v>
      </c>
      <c r="G41" s="2"/>
    </row>
    <row r="42" spans="1:7" x14ac:dyDescent="0.25">
      <c r="A42" s="11" t="s">
        <v>46</v>
      </c>
      <c r="B42" s="1">
        <v>229.25</v>
      </c>
      <c r="C42" s="13">
        <f t="shared" si="8"/>
        <v>2.4665204148273109E-2</v>
      </c>
      <c r="D42" s="1">
        <v>214.21</v>
      </c>
      <c r="E42" s="13">
        <f t="shared" si="9"/>
        <v>2.7361093370800869E-2</v>
      </c>
      <c r="F42" s="9">
        <f t="shared" si="7"/>
        <v>6.7856268871849382E-2</v>
      </c>
      <c r="G42" s="2" t="s">
        <v>64</v>
      </c>
    </row>
    <row r="43" spans="1:7" x14ac:dyDescent="0.25">
      <c r="A43" s="11" t="s">
        <v>47</v>
      </c>
      <c r="B43" s="1">
        <v>637.05999999999995</v>
      </c>
      <c r="C43" s="13">
        <f t="shared" si="8"/>
        <v>6.8541831863462882E-2</v>
      </c>
      <c r="D43" s="1">
        <v>471.6</v>
      </c>
      <c r="E43" s="13">
        <f t="shared" si="9"/>
        <v>6.023757823476817E-2</v>
      </c>
      <c r="F43" s="9">
        <f t="shared" si="7"/>
        <v>0.30073267399596743</v>
      </c>
      <c r="G43" s="2" t="s">
        <v>65</v>
      </c>
    </row>
    <row r="44" spans="1:7" x14ac:dyDescent="0.25">
      <c r="A44" s="11" t="s">
        <v>48</v>
      </c>
      <c r="B44" s="1">
        <v>435.24</v>
      </c>
      <c r="C44" s="13">
        <f t="shared" si="8"/>
        <v>4.6827844944359383E-2</v>
      </c>
      <c r="D44" s="1">
        <v>124.3</v>
      </c>
      <c r="E44" s="13">
        <f t="shared" si="9"/>
        <v>1.5876868054668539E-2</v>
      </c>
      <c r="F44" s="9">
        <f t="shared" si="7"/>
        <v>1.253199604566146</v>
      </c>
      <c r="G44" s="2"/>
    </row>
    <row r="45" spans="1:7" x14ac:dyDescent="0.25">
      <c r="A45" s="11" t="s">
        <v>49</v>
      </c>
      <c r="B45" s="1">
        <v>59.01</v>
      </c>
      <c r="C45" s="13">
        <f t="shared" si="8"/>
        <v>6.348936518166177E-3</v>
      </c>
      <c r="D45" s="1">
        <v>49.9</v>
      </c>
      <c r="E45" s="13">
        <f t="shared" si="9"/>
        <v>6.3737386639417552E-3</v>
      </c>
      <c r="F45" s="9">
        <f t="shared" si="7"/>
        <v>0.16768591831160448</v>
      </c>
      <c r="G45" s="2"/>
    </row>
    <row r="46" spans="1:7" x14ac:dyDescent="0.25">
      <c r="A46" s="11" t="s">
        <v>50</v>
      </c>
      <c r="B46" s="1">
        <v>131.4</v>
      </c>
      <c r="C46" s="13">
        <f t="shared" si="8"/>
        <v>1.413743871355763E-2</v>
      </c>
      <c r="D46" s="1">
        <v>171.69</v>
      </c>
      <c r="E46" s="13">
        <f t="shared" si="9"/>
        <v>2.1930003831907012E-2</v>
      </c>
      <c r="F46" s="9">
        <f t="shared" si="7"/>
        <v>-0.26744441903861044</v>
      </c>
      <c r="G46" s="2" t="s">
        <v>66</v>
      </c>
    </row>
  </sheetData>
  <mergeCells count="5">
    <mergeCell ref="H16:K16"/>
    <mergeCell ref="H20:K20"/>
    <mergeCell ref="H1:K1"/>
    <mergeCell ref="H3:K3"/>
    <mergeCell ref="H7:K7"/>
  </mergeCells>
  <conditionalFormatting sqref="K4:K6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K8:K15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K1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K18:K1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K2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2:F3 F10:F11 F15:F16">
    <cfRule type="cellIs" dxfId="7" priority="8" operator="greaterThan">
      <formula>0</formula>
    </cfRule>
  </conditionalFormatting>
  <conditionalFormatting sqref="F2:F3 F10:F11 F15:F16">
    <cfRule type="cellIs" dxfId="6" priority="7" operator="lessThan">
      <formula>0</formula>
    </cfRule>
  </conditionalFormatting>
  <conditionalFormatting sqref="F4:F9 F12:F14">
    <cfRule type="cellIs" dxfId="5" priority="6" operator="greaterThan">
      <formula>0</formula>
    </cfRule>
    <cfRule type="cellIs" dxfId="4" priority="5" operator="lessThan">
      <formula>0</formula>
    </cfRule>
  </conditionalFormatting>
  <conditionalFormatting sqref="F18:F32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F33:F46">
    <cfRule type="cellIs" dxfId="1" priority="2" operator="lessThan">
      <formula>0</formula>
    </cfRule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ignoredErrors>
    <ignoredError sqref="C18:C19 C25 C33:C34 C37:C38 C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2019-05-30T18:15:19Z</dcterms:modified>
</cp:coreProperties>
</file>