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9.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adip Beriwal\Desktop\Create life you love\Reserach @ 2016\Polished\Discard\"/>
    </mc:Choice>
  </mc:AlternateContent>
  <bookViews>
    <workbookView xWindow="0" yWindow="0" windowWidth="15360" windowHeight="7650" tabRatio="877" firstSheet="8" activeTab="17"/>
  </bookViews>
  <sheets>
    <sheet name="Valuation_Chart" sheetId="1" r:id="rId1"/>
    <sheet name="Valuation_Table" sheetId="11" r:id="rId2"/>
    <sheet name="|" sheetId="33" r:id="rId3"/>
    <sheet name="Scorecard" sheetId="18" r:id="rId4"/>
    <sheet name="Revenue" sheetId="27" r:id="rId5"/>
    <sheet name="Profit" sheetId="28" r:id="rId6"/>
    <sheet name="Dupont" sheetId="16" r:id="rId7"/>
    <sheet name="Efficiency" sheetId="29" r:id="rId8"/>
    <sheet name="Others" sheetId="30" r:id="rId9"/>
    <sheet name="Piotroski" sheetId="14" r:id="rId10"/>
    <sheet name="Altman" sheetId="15" r:id="rId11"/>
    <sheet name="||" sheetId="32" r:id="rId12"/>
    <sheet name="Analysis" sheetId="19" r:id="rId13"/>
    <sheet name="MICAP" sheetId="17" state="hidden" r:id="rId14"/>
    <sheet name="Screener Output.v0" sheetId="20" r:id="rId15"/>
    <sheet name="Screener Input" sheetId="21" r:id="rId16"/>
    <sheet name="Shareholding input" sheetId="31" r:id="rId17"/>
    <sheet name="Annual Report input" sheetId="24" r:id="rId18"/>
    <sheet name="Phil Fisher" sheetId="25" r:id="rId19"/>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ividend">'Screener Output.v0'!$H$76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'Screener Input'!$E$1</definedName>
  </definedNames>
  <calcPr calcId="152511"/>
</workbook>
</file>

<file path=xl/calcChain.xml><?xml version="1.0" encoding="utf-8"?>
<calcChain xmlns="http://schemas.openxmlformats.org/spreadsheetml/2006/main">
  <c r="K93" i="21" l="1"/>
  <c r="J93" i="21"/>
  <c r="I93" i="21"/>
  <c r="H93" i="21"/>
  <c r="G93" i="21"/>
  <c r="F93" i="21"/>
  <c r="E93" i="21"/>
  <c r="D93" i="21"/>
  <c r="C93" i="21"/>
  <c r="B93" i="21"/>
  <c r="B6" i="21"/>
  <c r="E1" i="21"/>
  <c r="H6" i="31" l="1"/>
  <c r="G6" i="31"/>
  <c r="N35" i="20" l="1"/>
  <c r="M29" i="20" l="1"/>
  <c r="M34" i="20"/>
  <c r="M132" i="20" s="1"/>
  <c r="M32" i="20"/>
  <c r="M131" i="20" s="1"/>
  <c r="M30" i="20"/>
  <c r="M130" i="20" s="1"/>
  <c r="N29" i="20"/>
  <c r="N25" i="20"/>
  <c r="M25" i="20"/>
  <c r="B8" i="1" l="1"/>
  <c r="I26" i="18"/>
  <c r="L26" i="18" s="1"/>
  <c r="I25" i="18"/>
  <c r="F4" i="30"/>
  <c r="E4" i="30"/>
  <c r="H26" i="31"/>
  <c r="G26" i="31"/>
  <c r="F26" i="31"/>
  <c r="E26" i="31"/>
  <c r="D26" i="31"/>
  <c r="C26" i="31"/>
  <c r="H13" i="31"/>
  <c r="H17" i="31" s="1"/>
  <c r="G13" i="31"/>
  <c r="G17" i="31" s="1"/>
  <c r="F13" i="31"/>
  <c r="F17" i="31" s="1"/>
  <c r="E13" i="31"/>
  <c r="E17" i="31" s="1"/>
  <c r="D13" i="31"/>
  <c r="D17" i="31" s="1"/>
  <c r="C13" i="31"/>
  <c r="C17" i="31" s="1"/>
  <c r="D5" i="31"/>
  <c r="E5" i="31" s="1"/>
  <c r="F5" i="31" s="1"/>
  <c r="G5" i="31" s="1"/>
  <c r="H5" i="31" s="1"/>
  <c r="L16" i="18"/>
  <c r="L17" i="18"/>
  <c r="L18" i="18"/>
  <c r="L19" i="18"/>
  <c r="L21" i="18"/>
  <c r="L22" i="18"/>
  <c r="L23" i="18"/>
  <c r="L24" i="18"/>
  <c r="N26" i="20"/>
  <c r="M26" i="20"/>
  <c r="M126" i="20" l="1"/>
  <c r="C192" i="20"/>
  <c r="C190" i="20"/>
  <c r="K8" i="18" l="1"/>
  <c r="I14" i="18" l="1"/>
  <c r="I13" i="18"/>
  <c r="L4" i="30" l="1"/>
  <c r="L13" i="18" s="1"/>
  <c r="M4" i="30"/>
  <c r="L14" i="18" s="1"/>
  <c r="M35" i="20"/>
  <c r="N74" i="20"/>
  <c r="D196" i="20"/>
  <c r="E196" i="20"/>
  <c r="F196" i="20"/>
  <c r="G196" i="20"/>
  <c r="H196" i="20"/>
  <c r="I196" i="20"/>
  <c r="J196" i="20"/>
  <c r="K196" i="20"/>
  <c r="L196" i="20"/>
  <c r="D197" i="20"/>
  <c r="E197" i="20"/>
  <c r="F197" i="20"/>
  <c r="G197" i="20"/>
  <c r="H197" i="20"/>
  <c r="I197" i="20"/>
  <c r="J197" i="20"/>
  <c r="K197" i="20"/>
  <c r="L197" i="20"/>
  <c r="D198" i="20"/>
  <c r="E198" i="20"/>
  <c r="F198" i="20"/>
  <c r="G198" i="20"/>
  <c r="H198" i="20"/>
  <c r="I198" i="20"/>
  <c r="J198" i="20"/>
  <c r="K198" i="20"/>
  <c r="L198" i="20"/>
  <c r="D199" i="20"/>
  <c r="E199" i="20"/>
  <c r="F199" i="20"/>
  <c r="G199" i="20"/>
  <c r="H199" i="20"/>
  <c r="I199" i="20"/>
  <c r="J199" i="20"/>
  <c r="K199" i="20"/>
  <c r="L199" i="20"/>
  <c r="C199" i="20"/>
  <c r="C198" i="20"/>
  <c r="C197" i="20"/>
  <c r="C196" i="20"/>
  <c r="D179" i="20"/>
  <c r="E179" i="20"/>
  <c r="F179" i="20"/>
  <c r="G179" i="20"/>
  <c r="H179" i="20"/>
  <c r="I179" i="20"/>
  <c r="J179" i="20"/>
  <c r="K179" i="20"/>
  <c r="L179" i="20"/>
  <c r="C179" i="20"/>
  <c r="D178" i="20"/>
  <c r="E178" i="20"/>
  <c r="F178" i="20"/>
  <c r="G178" i="20"/>
  <c r="H178" i="20"/>
  <c r="I178" i="20"/>
  <c r="J178" i="20"/>
  <c r="K178" i="20"/>
  <c r="L178" i="20"/>
  <c r="C178" i="20"/>
  <c r="D177" i="20"/>
  <c r="E177" i="20"/>
  <c r="F177" i="20"/>
  <c r="G177" i="20"/>
  <c r="H177" i="20"/>
  <c r="I177" i="20"/>
  <c r="J177" i="20"/>
  <c r="K177" i="20"/>
  <c r="L177" i="20"/>
  <c r="C177" i="20"/>
  <c r="D176" i="20"/>
  <c r="E176" i="20"/>
  <c r="F176" i="20"/>
  <c r="G176" i="20"/>
  <c r="H176" i="20"/>
  <c r="I176" i="20"/>
  <c r="J176" i="20"/>
  <c r="K176" i="20"/>
  <c r="L176" i="20"/>
  <c r="C176" i="20"/>
  <c r="D175" i="20"/>
  <c r="E175" i="20"/>
  <c r="F175" i="20"/>
  <c r="G175" i="20"/>
  <c r="H175" i="20"/>
  <c r="I175" i="20"/>
  <c r="J175" i="20"/>
  <c r="K175" i="20"/>
  <c r="L175" i="20"/>
  <c r="C175" i="20"/>
  <c r="D174" i="20"/>
  <c r="E174" i="20"/>
  <c r="F174" i="20"/>
  <c r="G174" i="20"/>
  <c r="H174" i="20"/>
  <c r="I174" i="20"/>
  <c r="J174" i="20"/>
  <c r="K174" i="20"/>
  <c r="L174" i="20"/>
  <c r="C174" i="20"/>
  <c r="D173" i="20"/>
  <c r="E173" i="20"/>
  <c r="F173" i="20"/>
  <c r="G173" i="20"/>
  <c r="H173" i="20"/>
  <c r="I173" i="20"/>
  <c r="J173" i="20"/>
  <c r="K173" i="20"/>
  <c r="L173" i="20"/>
  <c r="C173" i="20"/>
  <c r="D172" i="20"/>
  <c r="E172" i="20"/>
  <c r="F172" i="20"/>
  <c r="G172" i="20"/>
  <c r="H172" i="20"/>
  <c r="I172" i="20"/>
  <c r="J172" i="20"/>
  <c r="K172" i="20"/>
  <c r="L172" i="20"/>
  <c r="C172" i="20"/>
  <c r="D171" i="20"/>
  <c r="E171" i="20"/>
  <c r="F171" i="20"/>
  <c r="G171" i="20"/>
  <c r="H171" i="20"/>
  <c r="I171" i="20"/>
  <c r="J171" i="20"/>
  <c r="K171" i="20"/>
  <c r="L171" i="20"/>
  <c r="C171" i="20"/>
  <c r="D4" i="20"/>
  <c r="E4" i="20"/>
  <c r="F4" i="20"/>
  <c r="G4" i="20"/>
  <c r="H4" i="20"/>
  <c r="I4" i="20"/>
  <c r="J4" i="20"/>
  <c r="K4" i="20"/>
  <c r="L4" i="20"/>
  <c r="C4" i="20"/>
  <c r="H6" i="28" l="1"/>
  <c r="M127" i="20"/>
  <c r="F4" i="19"/>
  <c r="M133" i="20"/>
  <c r="M134" i="20" s="1"/>
  <c r="H7" i="16"/>
  <c r="C99" i="20"/>
  <c r="C94" i="20"/>
  <c r="E99" i="20"/>
  <c r="E94" i="20"/>
  <c r="L99" i="20"/>
  <c r="L94" i="20"/>
  <c r="D99" i="20"/>
  <c r="D94" i="20"/>
  <c r="K99" i="20"/>
  <c r="K94" i="20"/>
  <c r="G99" i="20"/>
  <c r="G94" i="20"/>
  <c r="I99" i="20"/>
  <c r="I94" i="20"/>
  <c r="H99" i="20"/>
  <c r="H94" i="20"/>
  <c r="J99" i="20"/>
  <c r="J94" i="20"/>
  <c r="F99" i="20"/>
  <c r="F94" i="20"/>
  <c r="I111" i="20"/>
  <c r="I105" i="20"/>
  <c r="D111" i="20"/>
  <c r="D105" i="20"/>
  <c r="K111" i="20"/>
  <c r="K105" i="20"/>
  <c r="G111" i="20"/>
  <c r="G105" i="20"/>
  <c r="C111" i="20"/>
  <c r="E111" i="20"/>
  <c r="E105" i="20"/>
  <c r="L111" i="20"/>
  <c r="L105" i="20"/>
  <c r="H111" i="20"/>
  <c r="H105" i="20"/>
  <c r="J111" i="20"/>
  <c r="J105" i="20"/>
  <c r="F111" i="20"/>
  <c r="F105" i="20"/>
  <c r="I137" i="20"/>
  <c r="I116" i="20"/>
  <c r="D137" i="20"/>
  <c r="D116" i="20"/>
  <c r="K137" i="20"/>
  <c r="K116" i="20"/>
  <c r="G137" i="20"/>
  <c r="G116" i="20"/>
  <c r="E137" i="20"/>
  <c r="E116" i="20"/>
  <c r="L137" i="20"/>
  <c r="L116" i="20"/>
  <c r="H137" i="20"/>
  <c r="H116" i="20"/>
  <c r="J137" i="20"/>
  <c r="J116" i="20"/>
  <c r="F137" i="20"/>
  <c r="F116" i="20"/>
  <c r="C137" i="20"/>
  <c r="C116" i="20"/>
  <c r="J125" i="20"/>
  <c r="J129" i="20" s="1"/>
  <c r="G125" i="20"/>
  <c r="G129" i="20" s="1"/>
  <c r="K125" i="20"/>
  <c r="K129" i="20" s="1"/>
  <c r="F125" i="20"/>
  <c r="F129" i="20" s="1"/>
  <c r="C125" i="20"/>
  <c r="C129" i="20" s="1"/>
  <c r="I125" i="20"/>
  <c r="I129" i="20" s="1"/>
  <c r="E125" i="20"/>
  <c r="E129" i="20" s="1"/>
  <c r="L125" i="20"/>
  <c r="L129" i="20" s="1"/>
  <c r="H125" i="20"/>
  <c r="H129" i="20" s="1"/>
  <c r="D125" i="20"/>
  <c r="D129" i="20" s="1"/>
  <c r="C180" i="20"/>
  <c r="I180" i="20"/>
  <c r="E180" i="20"/>
  <c r="K180" i="20"/>
  <c r="G180" i="20"/>
  <c r="C200" i="20"/>
  <c r="J200" i="20"/>
  <c r="F200" i="20"/>
  <c r="K200" i="20"/>
  <c r="G200" i="20"/>
  <c r="J180" i="20"/>
  <c r="F180" i="20"/>
  <c r="L180" i="20"/>
  <c r="H180" i="20"/>
  <c r="D180" i="20"/>
  <c r="E5" i="27"/>
  <c r="L200" i="20"/>
  <c r="H200" i="20"/>
  <c r="D200" i="20"/>
  <c r="I200" i="20"/>
  <c r="E200" i="20"/>
  <c r="E186" i="20" l="1"/>
  <c r="F186" i="20"/>
  <c r="G186" i="20"/>
  <c r="H186" i="20"/>
  <c r="I186" i="20"/>
  <c r="J186" i="20"/>
  <c r="K186" i="20"/>
  <c r="L186" i="20"/>
  <c r="D186" i="20"/>
  <c r="E187" i="20"/>
  <c r="F187" i="20"/>
  <c r="G187" i="20"/>
  <c r="H187" i="20"/>
  <c r="I187" i="20"/>
  <c r="J187" i="20"/>
  <c r="K187" i="20"/>
  <c r="L187" i="20"/>
  <c r="D187" i="20"/>
  <c r="E184" i="20"/>
  <c r="F184" i="20"/>
  <c r="G184" i="20"/>
  <c r="H184" i="20"/>
  <c r="I184" i="20"/>
  <c r="J184" i="20"/>
  <c r="K184" i="20"/>
  <c r="L184" i="20"/>
  <c r="D184" i="20"/>
  <c r="E192" i="20"/>
  <c r="F192" i="20"/>
  <c r="G192" i="20"/>
  <c r="G193" i="20" s="1"/>
  <c r="H192" i="20"/>
  <c r="I192" i="20"/>
  <c r="I193" i="20" s="1"/>
  <c r="J192" i="20"/>
  <c r="J193" i="20" s="1"/>
  <c r="K192" i="20"/>
  <c r="K193" i="20" s="1"/>
  <c r="L192" i="20"/>
  <c r="L193" i="20" s="1"/>
  <c r="S5" i="28" s="1"/>
  <c r="D192" i="20"/>
  <c r="E190" i="20"/>
  <c r="F190" i="20"/>
  <c r="G190" i="20"/>
  <c r="G191" i="20" s="1"/>
  <c r="H190" i="20"/>
  <c r="I190" i="20"/>
  <c r="I191" i="20" s="1"/>
  <c r="J190" i="20"/>
  <c r="J191" i="20" s="1"/>
  <c r="K190" i="20"/>
  <c r="L190" i="20"/>
  <c r="L191" i="20" s="1"/>
  <c r="F5" i="27" s="1"/>
  <c r="D190" i="20"/>
  <c r="K191" i="20" l="1"/>
  <c r="H191" i="20"/>
  <c r="H193" i="20"/>
  <c r="D189" i="20"/>
  <c r="E189" i="20"/>
  <c r="F189" i="20"/>
  <c r="G189" i="20"/>
  <c r="H189" i="20"/>
  <c r="I189" i="20"/>
  <c r="J189" i="20"/>
  <c r="K189" i="20"/>
  <c r="L189" i="20"/>
  <c r="C189" i="20"/>
  <c r="E185" i="20" l="1"/>
  <c r="F185" i="20"/>
  <c r="G185" i="20"/>
  <c r="H185" i="20"/>
  <c r="I185" i="20"/>
  <c r="J185" i="20"/>
  <c r="K185" i="20"/>
  <c r="L185" i="20"/>
  <c r="D185" i="20"/>
  <c r="D195" i="20" l="1"/>
  <c r="E195" i="20"/>
  <c r="F195" i="20"/>
  <c r="G195" i="20"/>
  <c r="H195" i="20"/>
  <c r="I195" i="20"/>
  <c r="J195" i="20"/>
  <c r="K195" i="20"/>
  <c r="L195" i="20"/>
  <c r="C195" i="20"/>
  <c r="B10" i="11" l="1"/>
  <c r="D165" i="20"/>
  <c r="D166" i="20" s="1"/>
  <c r="E165" i="20"/>
  <c r="E166" i="20" s="1"/>
  <c r="F165" i="20"/>
  <c r="F166" i="20" s="1"/>
  <c r="G165" i="20"/>
  <c r="G166" i="20" s="1"/>
  <c r="H165" i="20"/>
  <c r="H166" i="20" s="1"/>
  <c r="I165" i="20"/>
  <c r="I166" i="20" s="1"/>
  <c r="J165" i="20"/>
  <c r="J166" i="20" s="1"/>
  <c r="K165" i="20"/>
  <c r="K166" i="20" s="1"/>
  <c r="L165" i="20"/>
  <c r="L166" i="20" s="1"/>
  <c r="C165" i="20"/>
  <c r="C166" i="20" s="1"/>
  <c r="D162" i="20"/>
  <c r="E162" i="20"/>
  <c r="F162" i="20"/>
  <c r="G162" i="20"/>
  <c r="H162" i="20"/>
  <c r="I162" i="20"/>
  <c r="J162" i="20"/>
  <c r="K162" i="20"/>
  <c r="L162" i="20"/>
  <c r="C162" i="20"/>
  <c r="D161" i="20"/>
  <c r="E161" i="20"/>
  <c r="F161" i="20"/>
  <c r="G161" i="20"/>
  <c r="H161" i="20"/>
  <c r="I161" i="20"/>
  <c r="J161" i="20"/>
  <c r="K161" i="20"/>
  <c r="L161" i="20"/>
  <c r="C161" i="20"/>
  <c r="D160" i="20"/>
  <c r="E160" i="20"/>
  <c r="F160" i="20"/>
  <c r="G160" i="20"/>
  <c r="H160" i="20"/>
  <c r="I160" i="20"/>
  <c r="J160" i="20"/>
  <c r="K160" i="20"/>
  <c r="L160" i="20"/>
  <c r="C160" i="20"/>
  <c r="D159" i="20"/>
  <c r="E159" i="20"/>
  <c r="F159" i="20"/>
  <c r="G159" i="20"/>
  <c r="H159" i="20"/>
  <c r="I159" i="20"/>
  <c r="J159" i="20"/>
  <c r="K159" i="20"/>
  <c r="L159" i="20"/>
  <c r="C159" i="20"/>
  <c r="D156" i="20"/>
  <c r="E156" i="20"/>
  <c r="F156" i="20"/>
  <c r="G156" i="20"/>
  <c r="H156" i="20"/>
  <c r="I156" i="20"/>
  <c r="J156" i="20"/>
  <c r="K156" i="20"/>
  <c r="L156" i="20"/>
  <c r="C156" i="20"/>
  <c r="D158" i="20"/>
  <c r="E158" i="20"/>
  <c r="F158" i="20"/>
  <c r="G158" i="20"/>
  <c r="H158" i="20"/>
  <c r="I158" i="20"/>
  <c r="J158" i="20"/>
  <c r="K158" i="20"/>
  <c r="L158" i="20"/>
  <c r="C158" i="20"/>
  <c r="D157" i="20"/>
  <c r="E157" i="20"/>
  <c r="F157" i="20"/>
  <c r="G157" i="20"/>
  <c r="H157" i="20"/>
  <c r="I157" i="20"/>
  <c r="J157" i="20"/>
  <c r="K157" i="20"/>
  <c r="L157" i="20"/>
  <c r="C157" i="20"/>
  <c r="C181" i="20" l="1"/>
  <c r="I181" i="20"/>
  <c r="K181" i="20"/>
  <c r="L181" i="20"/>
  <c r="D181" i="20"/>
  <c r="F181" i="20"/>
  <c r="E181" i="20"/>
  <c r="G181" i="20"/>
  <c r="H181" i="20"/>
  <c r="J181" i="20"/>
  <c r="D2" i="24" l="1"/>
  <c r="D5" i="24" l="1"/>
  <c r="M74" i="20" l="1"/>
  <c r="B9" i="11" l="1"/>
  <c r="H5" i="28"/>
  <c r="B8" i="11"/>
  <c r="B13" i="11" l="1"/>
  <c r="B5" i="1"/>
  <c r="A1" i="20"/>
  <c r="B11" i="1"/>
  <c r="B4" i="1"/>
  <c r="B3" i="1"/>
  <c r="L33" i="18"/>
  <c r="L29" i="18"/>
  <c r="L30" i="18"/>
  <c r="L31" i="18"/>
  <c r="L28" i="18"/>
  <c r="B24" i="11"/>
  <c r="L27" i="18" l="1"/>
  <c r="K27" i="18"/>
  <c r="D72" i="20" l="1"/>
  <c r="E72" i="20"/>
  <c r="F72" i="20"/>
  <c r="G72" i="20"/>
  <c r="H72" i="20"/>
  <c r="I72" i="20"/>
  <c r="J72" i="20"/>
  <c r="K72" i="20"/>
  <c r="L72" i="20"/>
  <c r="C72" i="20"/>
  <c r="C25" i="20"/>
  <c r="E12" i="19" s="1"/>
  <c r="D25" i="20"/>
  <c r="E25" i="20"/>
  <c r="F25" i="20"/>
  <c r="G25" i="20"/>
  <c r="E13" i="19" s="1"/>
  <c r="H25" i="20"/>
  <c r="I25" i="20"/>
  <c r="J25" i="20"/>
  <c r="K25" i="20"/>
  <c r="L25" i="20"/>
  <c r="L73" i="20"/>
  <c r="K73" i="20"/>
  <c r="F12" i="11" s="1"/>
  <c r="J73" i="20"/>
  <c r="G12" i="11" s="1"/>
  <c r="I75" i="20"/>
  <c r="H10" i="11" s="1"/>
  <c r="H73" i="20"/>
  <c r="I12" i="11" s="1"/>
  <c r="G73" i="20"/>
  <c r="J12" i="11" s="1"/>
  <c r="F73" i="20"/>
  <c r="E75" i="20"/>
  <c r="D73" i="20"/>
  <c r="C75" i="20"/>
  <c r="H76" i="20"/>
  <c r="D76" i="20"/>
  <c r="H74" i="20"/>
  <c r="I9" i="11" s="1"/>
  <c r="D74" i="20"/>
  <c r="L65" i="20"/>
  <c r="K65" i="20"/>
  <c r="J65" i="20"/>
  <c r="I65" i="20"/>
  <c r="H65" i="20"/>
  <c r="G65" i="20"/>
  <c r="F65" i="20"/>
  <c r="E65" i="20"/>
  <c r="D65" i="20"/>
  <c r="C65" i="20"/>
  <c r="L64" i="20"/>
  <c r="K64" i="20"/>
  <c r="J64" i="20"/>
  <c r="I64" i="20"/>
  <c r="H64" i="20"/>
  <c r="G64" i="20"/>
  <c r="F64" i="20"/>
  <c r="E64" i="20"/>
  <c r="D64" i="20"/>
  <c r="C64" i="20"/>
  <c r="K62" i="20"/>
  <c r="J62" i="20"/>
  <c r="I62" i="20"/>
  <c r="H62" i="20"/>
  <c r="G62" i="20"/>
  <c r="F62" i="20"/>
  <c r="E62" i="20"/>
  <c r="D62" i="20"/>
  <c r="C62" i="20"/>
  <c r="L60" i="20"/>
  <c r="H8" i="16" s="1"/>
  <c r="K60" i="20"/>
  <c r="J60" i="20"/>
  <c r="I60" i="20"/>
  <c r="H60" i="20"/>
  <c r="G60" i="20"/>
  <c r="F60" i="20"/>
  <c r="E60" i="20"/>
  <c r="D60" i="20"/>
  <c r="C60" i="20"/>
  <c r="L59" i="20"/>
  <c r="K59" i="20"/>
  <c r="J59" i="20"/>
  <c r="I59" i="20"/>
  <c r="H59" i="20"/>
  <c r="G59" i="20"/>
  <c r="F59" i="20"/>
  <c r="E59" i="20"/>
  <c r="D59" i="20"/>
  <c r="C59" i="20"/>
  <c r="L55" i="20"/>
  <c r="L8" i="20" s="1"/>
  <c r="C22" i="20" s="1"/>
  <c r="K55" i="20"/>
  <c r="K8" i="20" s="1"/>
  <c r="J55" i="20"/>
  <c r="J8" i="20" s="1"/>
  <c r="I55" i="20"/>
  <c r="I8" i="20" s="1"/>
  <c r="H55" i="20"/>
  <c r="G55" i="20"/>
  <c r="G8" i="20" s="1"/>
  <c r="F55" i="20"/>
  <c r="F8" i="20" s="1"/>
  <c r="E55" i="20"/>
  <c r="E8" i="20" s="1"/>
  <c r="D55" i="20"/>
  <c r="D8" i="20" s="1"/>
  <c r="C55" i="20"/>
  <c r="C8" i="20" s="1"/>
  <c r="L54" i="20"/>
  <c r="L6" i="20" s="1"/>
  <c r="K54" i="20"/>
  <c r="K6" i="20" s="1"/>
  <c r="J54" i="20"/>
  <c r="J6" i="20" s="1"/>
  <c r="J114" i="20" s="1"/>
  <c r="I54" i="20"/>
  <c r="I6" i="20" s="1"/>
  <c r="H54" i="20"/>
  <c r="H6" i="20" s="1"/>
  <c r="G54" i="20"/>
  <c r="G6" i="20" s="1"/>
  <c r="F54" i="20"/>
  <c r="F6" i="20" s="1"/>
  <c r="F114" i="20" s="1"/>
  <c r="E54" i="20"/>
  <c r="E6" i="20" s="1"/>
  <c r="D54" i="20"/>
  <c r="D6" i="20" s="1"/>
  <c r="C54" i="20"/>
  <c r="C6" i="20" s="1"/>
  <c r="L53" i="20"/>
  <c r="L7" i="20" s="1"/>
  <c r="K53" i="20"/>
  <c r="K7" i="20" s="1"/>
  <c r="J53" i="20"/>
  <c r="J7" i="20" s="1"/>
  <c r="I53" i="20"/>
  <c r="I7" i="20" s="1"/>
  <c r="H53" i="20"/>
  <c r="H7" i="20" s="1"/>
  <c r="G53" i="20"/>
  <c r="G7" i="20" s="1"/>
  <c r="F53" i="20"/>
  <c r="F7" i="20" s="1"/>
  <c r="E53" i="20"/>
  <c r="E7" i="20" s="1"/>
  <c r="D53" i="20"/>
  <c r="D7" i="20" s="1"/>
  <c r="C53" i="20"/>
  <c r="C7" i="20" s="1"/>
  <c r="L52" i="20"/>
  <c r="C5" i="15" s="1"/>
  <c r="K52" i="20"/>
  <c r="J52" i="20"/>
  <c r="I52" i="20"/>
  <c r="H52" i="20"/>
  <c r="G52" i="20"/>
  <c r="F52" i="20"/>
  <c r="E52" i="20"/>
  <c r="D52" i="20"/>
  <c r="C52" i="20"/>
  <c r="L51" i="20"/>
  <c r="K51" i="20"/>
  <c r="J51" i="20"/>
  <c r="I51" i="20"/>
  <c r="H51" i="20"/>
  <c r="G51" i="20"/>
  <c r="F51" i="20"/>
  <c r="E51" i="20"/>
  <c r="D51" i="20"/>
  <c r="C51" i="20"/>
  <c r="L50" i="20"/>
  <c r="K50" i="20"/>
  <c r="J50" i="20"/>
  <c r="I50" i="20"/>
  <c r="H50" i="20"/>
  <c r="G50" i="20"/>
  <c r="F50" i="20"/>
  <c r="E50" i="20"/>
  <c r="D50" i="20"/>
  <c r="C50" i="20"/>
  <c r="L49" i="20"/>
  <c r="K49" i="20"/>
  <c r="J49" i="20"/>
  <c r="I49" i="20"/>
  <c r="H49" i="20"/>
  <c r="G49" i="20"/>
  <c r="F49" i="20"/>
  <c r="E49" i="20"/>
  <c r="D49" i="20"/>
  <c r="C49" i="20"/>
  <c r="L48" i="20"/>
  <c r="L10" i="20" s="1"/>
  <c r="K48" i="20"/>
  <c r="K10" i="20" s="1"/>
  <c r="J48" i="20"/>
  <c r="J10" i="20" s="1"/>
  <c r="I48" i="20"/>
  <c r="I10" i="20" s="1"/>
  <c r="H48" i="20"/>
  <c r="H10" i="20" s="1"/>
  <c r="G48" i="20"/>
  <c r="G10" i="20" s="1"/>
  <c r="F48" i="20"/>
  <c r="F10" i="20" s="1"/>
  <c r="E48" i="20"/>
  <c r="E10" i="20" s="1"/>
  <c r="D48" i="20"/>
  <c r="D10" i="20" s="1"/>
  <c r="C48" i="20"/>
  <c r="C10" i="20" s="1"/>
  <c r="L47" i="20"/>
  <c r="L9" i="20" s="1"/>
  <c r="K47" i="20"/>
  <c r="K9" i="20" s="1"/>
  <c r="J47" i="20"/>
  <c r="J9" i="20" s="1"/>
  <c r="I47" i="20"/>
  <c r="I9" i="20" s="1"/>
  <c r="H47" i="20"/>
  <c r="H9" i="20" s="1"/>
  <c r="G47" i="20"/>
  <c r="G9" i="20" s="1"/>
  <c r="F47" i="20"/>
  <c r="F9" i="20" s="1"/>
  <c r="E47" i="20"/>
  <c r="E9" i="20" s="1"/>
  <c r="D47" i="20"/>
  <c r="D9" i="20" s="1"/>
  <c r="C47" i="20"/>
  <c r="C9" i="20" s="1"/>
  <c r="L46" i="20"/>
  <c r="K46" i="20"/>
  <c r="J46" i="20"/>
  <c r="I46" i="20"/>
  <c r="H46" i="20"/>
  <c r="G46" i="20"/>
  <c r="F46" i="20"/>
  <c r="E46" i="20"/>
  <c r="D46" i="20"/>
  <c r="C46" i="20"/>
  <c r="L45" i="20"/>
  <c r="K45" i="20"/>
  <c r="J45" i="20"/>
  <c r="I45" i="20"/>
  <c r="H45" i="20"/>
  <c r="G45" i="20"/>
  <c r="F45" i="20"/>
  <c r="E45" i="20"/>
  <c r="D45" i="20"/>
  <c r="C45" i="20"/>
  <c r="L41" i="20"/>
  <c r="C8" i="15" s="1"/>
  <c r="K41" i="20"/>
  <c r="J41" i="20"/>
  <c r="I41" i="20"/>
  <c r="H41" i="20"/>
  <c r="G41" i="20"/>
  <c r="F41" i="20"/>
  <c r="E41" i="20"/>
  <c r="D41" i="20"/>
  <c r="C41" i="20"/>
  <c r="L40" i="20"/>
  <c r="K40" i="20"/>
  <c r="D10" i="14" s="1"/>
  <c r="J40" i="20"/>
  <c r="E10" i="14" s="1"/>
  <c r="I40" i="20"/>
  <c r="F10" i="14" s="1"/>
  <c r="H40" i="20"/>
  <c r="G10" i="14" s="1"/>
  <c r="G40" i="20"/>
  <c r="F40" i="20"/>
  <c r="E40" i="20"/>
  <c r="D40" i="20"/>
  <c r="C40" i="20"/>
  <c r="B38" i="20"/>
  <c r="L37" i="20"/>
  <c r="H37" i="20"/>
  <c r="D37" i="20"/>
  <c r="L36" i="20"/>
  <c r="K36" i="20"/>
  <c r="J36" i="20"/>
  <c r="I36" i="20"/>
  <c r="H36" i="20"/>
  <c r="G36" i="20"/>
  <c r="F36" i="20"/>
  <c r="E36" i="20"/>
  <c r="D36" i="20"/>
  <c r="C36" i="20"/>
  <c r="L34" i="20"/>
  <c r="L132" i="20" s="1"/>
  <c r="K34" i="20"/>
  <c r="J34" i="20"/>
  <c r="I34" i="20"/>
  <c r="H34" i="20"/>
  <c r="H132" i="20" s="1"/>
  <c r="G34" i="20"/>
  <c r="F34" i="20"/>
  <c r="E34" i="20"/>
  <c r="D34" i="20"/>
  <c r="D132" i="20" s="1"/>
  <c r="C34" i="20"/>
  <c r="L32" i="20"/>
  <c r="K32" i="20"/>
  <c r="J32" i="20"/>
  <c r="I32" i="20"/>
  <c r="H32" i="20"/>
  <c r="G32" i="20"/>
  <c r="F32" i="20"/>
  <c r="E32" i="20"/>
  <c r="D32" i="20"/>
  <c r="C32" i="20"/>
  <c r="L30" i="20"/>
  <c r="L130" i="20" s="1"/>
  <c r="K30" i="20"/>
  <c r="J30" i="20"/>
  <c r="I30" i="20"/>
  <c r="H30" i="20"/>
  <c r="H130" i="20" s="1"/>
  <c r="G30" i="20"/>
  <c r="F30" i="20"/>
  <c r="E30" i="20"/>
  <c r="D30" i="20"/>
  <c r="D130" i="20" s="1"/>
  <c r="C30" i="20"/>
  <c r="L29" i="20"/>
  <c r="K29" i="20"/>
  <c r="J29" i="20"/>
  <c r="I29" i="20"/>
  <c r="H29" i="20"/>
  <c r="G29" i="20"/>
  <c r="F29" i="20"/>
  <c r="E29" i="20"/>
  <c r="D29" i="20"/>
  <c r="C29" i="20"/>
  <c r="A27" i="20"/>
  <c r="L26" i="20"/>
  <c r="K26" i="20"/>
  <c r="J26" i="20"/>
  <c r="J95" i="20" s="1"/>
  <c r="J96" i="20" s="1"/>
  <c r="I26" i="20"/>
  <c r="H26" i="20"/>
  <c r="G26" i="20"/>
  <c r="F26" i="20"/>
  <c r="F95" i="20" s="1"/>
  <c r="F96" i="20" s="1"/>
  <c r="E26" i="20"/>
  <c r="D26" i="20"/>
  <c r="C26" i="20"/>
  <c r="A24" i="20"/>
  <c r="L21" i="20"/>
  <c r="K21" i="20"/>
  <c r="J21" i="20"/>
  <c r="I21" i="20"/>
  <c r="H21" i="20"/>
  <c r="G21" i="20"/>
  <c r="F21" i="20"/>
  <c r="E21" i="20"/>
  <c r="D21" i="20"/>
  <c r="C21" i="20"/>
  <c r="L20" i="20"/>
  <c r="K20" i="20"/>
  <c r="J20" i="20"/>
  <c r="I20" i="20"/>
  <c r="H20" i="20"/>
  <c r="G20" i="20"/>
  <c r="F20" i="20"/>
  <c r="E20" i="20"/>
  <c r="D20" i="20"/>
  <c r="C20" i="20"/>
  <c r="L17" i="20"/>
  <c r="K17" i="20"/>
  <c r="J17" i="20"/>
  <c r="I17" i="20"/>
  <c r="H17" i="20"/>
  <c r="G17" i="20"/>
  <c r="F17" i="20"/>
  <c r="E17" i="20"/>
  <c r="D17" i="20"/>
  <c r="C17" i="20"/>
  <c r="L16" i="20"/>
  <c r="K16" i="20"/>
  <c r="J16" i="20"/>
  <c r="I16" i="20"/>
  <c r="H16" i="20"/>
  <c r="G16" i="20"/>
  <c r="F16" i="20"/>
  <c r="E16" i="20"/>
  <c r="D16" i="20"/>
  <c r="C16" i="20"/>
  <c r="L15" i="20"/>
  <c r="L27" i="20" s="1"/>
  <c r="L113" i="20" s="1"/>
  <c r="K15" i="20"/>
  <c r="K27" i="20" s="1"/>
  <c r="J15" i="20"/>
  <c r="J27" i="20" s="1"/>
  <c r="I15" i="20"/>
  <c r="I27" i="20" s="1"/>
  <c r="H15" i="20"/>
  <c r="H27" i="20" s="1"/>
  <c r="H113" i="20" s="1"/>
  <c r="G15" i="20"/>
  <c r="G27" i="20" s="1"/>
  <c r="F15" i="20"/>
  <c r="F27" i="20" s="1"/>
  <c r="E15" i="20"/>
  <c r="E27" i="20" s="1"/>
  <c r="D15" i="20"/>
  <c r="D27" i="20" s="1"/>
  <c r="D113" i="20" s="1"/>
  <c r="C15" i="20"/>
  <c r="C27" i="20" s="1"/>
  <c r="L183" i="20"/>
  <c r="K183" i="20"/>
  <c r="J183" i="20"/>
  <c r="I183" i="20"/>
  <c r="H183" i="20"/>
  <c r="G183" i="20"/>
  <c r="F183" i="20"/>
  <c r="E183" i="20"/>
  <c r="D183" i="20"/>
  <c r="C183" i="20"/>
  <c r="A4" i="20"/>
  <c r="K4" i="19"/>
  <c r="K3" i="19"/>
  <c r="L32" i="18"/>
  <c r="C9" i="18" s="1"/>
  <c r="K32" i="18"/>
  <c r="K20" i="18"/>
  <c r="L15" i="18"/>
  <c r="C6" i="18" s="1"/>
  <c r="K15" i="18"/>
  <c r="C8" i="18"/>
  <c r="K3" i="18"/>
  <c r="B5" i="18" s="1"/>
  <c r="E113" i="20" l="1"/>
  <c r="I113" i="20"/>
  <c r="C95" i="20"/>
  <c r="C96" i="20" s="1"/>
  <c r="G95" i="20"/>
  <c r="G96" i="20" s="1"/>
  <c r="K95" i="20"/>
  <c r="K96" i="20" s="1"/>
  <c r="E130" i="20"/>
  <c r="I130" i="20"/>
  <c r="E132" i="20"/>
  <c r="I132" i="20"/>
  <c r="C114" i="20"/>
  <c r="G114" i="20"/>
  <c r="K114" i="20"/>
  <c r="J131" i="20"/>
  <c r="M117" i="20"/>
  <c r="C5" i="29"/>
  <c r="L4" i="19"/>
  <c r="K131" i="20"/>
  <c r="M138" i="20"/>
  <c r="M120" i="20"/>
  <c r="F130" i="20"/>
  <c r="J130" i="20"/>
  <c r="D131" i="20"/>
  <c r="H131" i="20"/>
  <c r="L131" i="20"/>
  <c r="F132" i="20"/>
  <c r="J132" i="20"/>
  <c r="F131" i="20"/>
  <c r="C131" i="20"/>
  <c r="G131" i="20"/>
  <c r="C130" i="20"/>
  <c r="G130" i="20"/>
  <c r="K130" i="20"/>
  <c r="E131" i="20"/>
  <c r="I131" i="20"/>
  <c r="C132" i="20"/>
  <c r="G132" i="20"/>
  <c r="K132" i="20"/>
  <c r="D114" i="20"/>
  <c r="H114" i="20"/>
  <c r="L114" i="20"/>
  <c r="E114" i="20"/>
  <c r="I114" i="20"/>
  <c r="L25" i="18"/>
  <c r="L20" i="18" s="1"/>
  <c r="C7" i="18" s="1"/>
  <c r="I120" i="20"/>
  <c r="I95" i="20"/>
  <c r="I96" i="20" s="1"/>
  <c r="E120" i="20"/>
  <c r="E95" i="20"/>
  <c r="E96" i="20" s="1"/>
  <c r="D95" i="20"/>
  <c r="D96" i="20" s="1"/>
  <c r="H95" i="20"/>
  <c r="H96" i="20" s="1"/>
  <c r="L95" i="20"/>
  <c r="L96" i="20" s="1"/>
  <c r="C126" i="20"/>
  <c r="F126" i="20"/>
  <c r="J126" i="20"/>
  <c r="F121" i="20"/>
  <c r="J121" i="20"/>
  <c r="G126" i="20"/>
  <c r="K126" i="20"/>
  <c r="D126" i="20"/>
  <c r="H126" i="20"/>
  <c r="L126" i="20"/>
  <c r="E126" i="20"/>
  <c r="I126" i="20"/>
  <c r="D112" i="20"/>
  <c r="H112" i="20"/>
  <c r="L112" i="20"/>
  <c r="C121" i="20"/>
  <c r="G121" i="20"/>
  <c r="K121" i="20"/>
  <c r="D121" i="20"/>
  <c r="H121" i="20"/>
  <c r="L121" i="20"/>
  <c r="D5" i="29"/>
  <c r="E121" i="20"/>
  <c r="I121" i="20"/>
  <c r="E112" i="20"/>
  <c r="I112" i="20"/>
  <c r="F113" i="20"/>
  <c r="J113" i="20"/>
  <c r="F112" i="20"/>
  <c r="J112" i="20"/>
  <c r="C113" i="20"/>
  <c r="G113" i="20"/>
  <c r="K113" i="20"/>
  <c r="C112" i="20"/>
  <c r="G112" i="20"/>
  <c r="K112" i="20"/>
  <c r="F120" i="20"/>
  <c r="C120" i="20"/>
  <c r="G120" i="20"/>
  <c r="K120" i="20"/>
  <c r="E9" i="14"/>
  <c r="J120" i="20"/>
  <c r="D120" i="20"/>
  <c r="H120" i="20"/>
  <c r="L120" i="20"/>
  <c r="F9" i="14"/>
  <c r="G5" i="14"/>
  <c r="C5" i="14"/>
  <c r="F5" i="14"/>
  <c r="E5" i="14"/>
  <c r="D5" i="14"/>
  <c r="E138" i="20"/>
  <c r="I138" i="20"/>
  <c r="D141" i="20"/>
  <c r="H141" i="20"/>
  <c r="I141" i="20"/>
  <c r="L141" i="20"/>
  <c r="E141" i="20"/>
  <c r="D5" i="27"/>
  <c r="C5" i="27"/>
  <c r="F141" i="20"/>
  <c r="J141" i="20"/>
  <c r="C141" i="20"/>
  <c r="G141" i="20"/>
  <c r="K141" i="20"/>
  <c r="F138" i="20"/>
  <c r="C138" i="20"/>
  <c r="G138" i="20"/>
  <c r="K138" i="20"/>
  <c r="J138" i="20"/>
  <c r="D138" i="20"/>
  <c r="H138" i="20"/>
  <c r="L138" i="20"/>
  <c r="K10" i="16"/>
  <c r="G14" i="20"/>
  <c r="G24" i="20" s="1"/>
  <c r="G170" i="20"/>
  <c r="G164" i="20"/>
  <c r="G155" i="20"/>
  <c r="D14" i="20"/>
  <c r="D24" i="20" s="1"/>
  <c r="D170" i="20"/>
  <c r="D155" i="20"/>
  <c r="D164" i="20"/>
  <c r="L14" i="20"/>
  <c r="L24" i="20" s="1"/>
  <c r="L170" i="20"/>
  <c r="L155" i="20"/>
  <c r="L164" i="20"/>
  <c r="E14" i="20"/>
  <c r="E24" i="20" s="1"/>
  <c r="E170" i="20"/>
  <c r="E155" i="20"/>
  <c r="E164" i="20"/>
  <c r="I14" i="20"/>
  <c r="I24" i="20" s="1"/>
  <c r="I164" i="20"/>
  <c r="I170" i="20"/>
  <c r="I155" i="20"/>
  <c r="C14" i="20"/>
  <c r="C24" i="20" s="1"/>
  <c r="C170" i="20"/>
  <c r="C155" i="20"/>
  <c r="C164" i="20"/>
  <c r="K14" i="20"/>
  <c r="K24" i="20" s="1"/>
  <c r="K155" i="20"/>
  <c r="K164" i="20"/>
  <c r="K170" i="20"/>
  <c r="H14" i="20"/>
  <c r="H24" i="20" s="1"/>
  <c r="H170" i="20"/>
  <c r="H155" i="20"/>
  <c r="H164" i="20"/>
  <c r="F14" i="20"/>
  <c r="F24" i="20" s="1"/>
  <c r="F164" i="20"/>
  <c r="F170" i="20"/>
  <c r="F155" i="20"/>
  <c r="J14" i="20"/>
  <c r="J24" i="20" s="1"/>
  <c r="J164" i="20"/>
  <c r="J170" i="20"/>
  <c r="J155" i="20"/>
  <c r="C6" i="15"/>
  <c r="K9" i="16"/>
  <c r="K8" i="16"/>
  <c r="B7" i="1"/>
  <c r="F7" i="15"/>
  <c r="C10" i="15"/>
  <c r="E90" i="20"/>
  <c r="I90" i="20"/>
  <c r="D58" i="20"/>
  <c r="C6" i="14"/>
  <c r="D90" i="20"/>
  <c r="H90" i="20"/>
  <c r="G76" i="20"/>
  <c r="G77" i="20" s="1"/>
  <c r="F8" i="16"/>
  <c r="C9" i="16"/>
  <c r="F90" i="20"/>
  <c r="J90" i="20"/>
  <c r="C8" i="16"/>
  <c r="C37" i="20"/>
  <c r="C83" i="20" s="1"/>
  <c r="K37" i="20"/>
  <c r="K82" i="20" s="1"/>
  <c r="D6" i="14"/>
  <c r="D9" i="16"/>
  <c r="C74" i="20"/>
  <c r="K74" i="20"/>
  <c r="F9" i="11" s="1"/>
  <c r="G9" i="16"/>
  <c r="H10" i="16" s="1"/>
  <c r="G6" i="14"/>
  <c r="E9" i="16"/>
  <c r="C76" i="20"/>
  <c r="K76" i="20"/>
  <c r="K77" i="20" s="1"/>
  <c r="H75" i="20"/>
  <c r="I10" i="11" s="1"/>
  <c r="E11" i="14"/>
  <c r="C7" i="15"/>
  <c r="G8" i="16"/>
  <c r="G37" i="20"/>
  <c r="G81" i="20" s="1"/>
  <c r="F9" i="16"/>
  <c r="G74" i="20"/>
  <c r="I13" i="19" s="1"/>
  <c r="D77" i="20"/>
  <c r="D8" i="16"/>
  <c r="F11" i="14"/>
  <c r="B6" i="1"/>
  <c r="F6" i="14"/>
  <c r="E6" i="14"/>
  <c r="J23" i="20"/>
  <c r="J63" i="20" s="1"/>
  <c r="C10" i="14"/>
  <c r="C20" i="14" s="1"/>
  <c r="G21" i="16"/>
  <c r="E8" i="16"/>
  <c r="E74" i="20"/>
  <c r="I37" i="20"/>
  <c r="I83" i="20" s="1"/>
  <c r="E37" i="20"/>
  <c r="E83" i="20" s="1"/>
  <c r="I76" i="20"/>
  <c r="I77" i="20" s="1"/>
  <c r="I74" i="20"/>
  <c r="H9" i="11" s="1"/>
  <c r="E76" i="20"/>
  <c r="E77" i="20" s="1"/>
  <c r="D75" i="20"/>
  <c r="C73" i="20"/>
  <c r="J12" i="19" s="1"/>
  <c r="F37" i="20"/>
  <c r="F83" i="20" s="1"/>
  <c r="J37" i="20"/>
  <c r="J81" i="20" s="1"/>
  <c r="F74" i="20"/>
  <c r="J74" i="20"/>
  <c r="G9" i="11" s="1"/>
  <c r="I73" i="20"/>
  <c r="H12" i="11" s="1"/>
  <c r="L75" i="20"/>
  <c r="E73" i="20"/>
  <c r="E12" i="11"/>
  <c r="K12" i="11" s="1"/>
  <c r="J13" i="19"/>
  <c r="F76" i="20"/>
  <c r="F77" i="20" s="1"/>
  <c r="J76" i="20"/>
  <c r="K75" i="20"/>
  <c r="F10" i="11" s="1"/>
  <c r="G75" i="20"/>
  <c r="J10" i="11" s="1"/>
  <c r="J75" i="20"/>
  <c r="G10" i="11" s="1"/>
  <c r="F75" i="20"/>
  <c r="H77" i="20"/>
  <c r="I8" i="11"/>
  <c r="B4" i="18"/>
  <c r="G7" i="14"/>
  <c r="C7" i="14"/>
  <c r="B11" i="11"/>
  <c r="B16" i="11" s="1"/>
  <c r="G11" i="14"/>
  <c r="F23" i="20"/>
  <c r="F63" i="20" s="1"/>
  <c r="C11" i="14"/>
  <c r="E42" i="20"/>
  <c r="I42" i="20"/>
  <c r="I100" i="20" s="1"/>
  <c r="F58" i="20"/>
  <c r="J58" i="20"/>
  <c r="D11" i="14"/>
  <c r="H4" i="19"/>
  <c r="G13" i="19"/>
  <c r="E4" i="19"/>
  <c r="I31" i="20"/>
  <c r="I88" i="20" s="1"/>
  <c r="D86" i="20"/>
  <c r="C11" i="15"/>
  <c r="G4" i="19"/>
  <c r="F31" i="20"/>
  <c r="F88" i="20" s="1"/>
  <c r="J31" i="20"/>
  <c r="J33" i="20" s="1"/>
  <c r="J35" i="20" s="1"/>
  <c r="J133" i="20" s="1"/>
  <c r="D89" i="20"/>
  <c r="H89" i="20"/>
  <c r="L89" i="20"/>
  <c r="D11" i="20"/>
  <c r="L11" i="20"/>
  <c r="M119" i="20" s="1"/>
  <c r="E11" i="20"/>
  <c r="D23" i="20"/>
  <c r="D63" i="20" s="1"/>
  <c r="D80" i="20" s="1"/>
  <c r="H23" i="20"/>
  <c r="H63" i="20" s="1"/>
  <c r="L23" i="20"/>
  <c r="E23" i="20"/>
  <c r="E63" i="20" s="1"/>
  <c r="I23" i="20"/>
  <c r="I63" i="20" s="1"/>
  <c r="E86" i="20"/>
  <c r="I86" i="20"/>
  <c r="H3" i="19"/>
  <c r="I3" i="19"/>
  <c r="C9" i="15"/>
  <c r="E31" i="20"/>
  <c r="E88" i="20" s="1"/>
  <c r="H86" i="20"/>
  <c r="D7" i="14"/>
  <c r="H11" i="20"/>
  <c r="J3" i="19"/>
  <c r="F13" i="19"/>
  <c r="E3" i="19"/>
  <c r="G12" i="19"/>
  <c r="C11" i="20"/>
  <c r="G11" i="20"/>
  <c r="K11" i="20"/>
  <c r="F42" i="20"/>
  <c r="F102" i="20" s="1"/>
  <c r="J42" i="20"/>
  <c r="J101" i="20" s="1"/>
  <c r="C58" i="20"/>
  <c r="G58" i="20"/>
  <c r="K58" i="20"/>
  <c r="F12" i="19"/>
  <c r="G3" i="19"/>
  <c r="H58" i="20"/>
  <c r="E7" i="14"/>
  <c r="I11" i="20"/>
  <c r="F7" i="14"/>
  <c r="I4" i="19"/>
  <c r="H8" i="20"/>
  <c r="H82" i="20" s="1"/>
  <c r="G23" i="20"/>
  <c r="G63" i="20" s="1"/>
  <c r="K23" i="20"/>
  <c r="K63" i="20" s="1"/>
  <c r="C28" i="20"/>
  <c r="G28" i="20"/>
  <c r="K28" i="20"/>
  <c r="C31" i="20"/>
  <c r="C88" i="20" s="1"/>
  <c r="G31" i="20"/>
  <c r="G33" i="20" s="1"/>
  <c r="G35" i="20" s="1"/>
  <c r="G6" i="28" s="1"/>
  <c r="K31" i="20"/>
  <c r="K33" i="20" s="1"/>
  <c r="K35" i="20" s="1"/>
  <c r="K133" i="20" s="1"/>
  <c r="F86" i="20"/>
  <c r="J86" i="20"/>
  <c r="J4" i="19"/>
  <c r="F11" i="20"/>
  <c r="J11" i="20"/>
  <c r="J106" i="20" s="1"/>
  <c r="D31" i="20"/>
  <c r="D33" i="20" s="1"/>
  <c r="H31" i="20"/>
  <c r="H88" i="20" s="1"/>
  <c r="L31" i="20"/>
  <c r="L33" i="20" s="1"/>
  <c r="L35" i="20" s="1"/>
  <c r="L133" i="20" s="1"/>
  <c r="D83" i="20"/>
  <c r="H83" i="20"/>
  <c r="L83" i="20"/>
  <c r="C42" i="20"/>
  <c r="C101" i="20" s="1"/>
  <c r="G42" i="20"/>
  <c r="K42" i="20"/>
  <c r="L58" i="20"/>
  <c r="C86" i="20"/>
  <c r="G86" i="20"/>
  <c r="K86" i="20"/>
  <c r="G9" i="14"/>
  <c r="D42" i="20"/>
  <c r="D101" i="20" s="1"/>
  <c r="H42" i="20"/>
  <c r="H101" i="20" s="1"/>
  <c r="L42" i="20"/>
  <c r="E58" i="20"/>
  <c r="I58" i="20"/>
  <c r="D9" i="14"/>
  <c r="L28" i="20"/>
  <c r="L76" i="20"/>
  <c r="L74" i="20"/>
  <c r="E9" i="11" s="1"/>
  <c r="D28" i="20"/>
  <c r="H28" i="20"/>
  <c r="D69" i="20"/>
  <c r="H69" i="20"/>
  <c r="L69" i="20"/>
  <c r="D79" i="20"/>
  <c r="H79" i="20"/>
  <c r="D81" i="20"/>
  <c r="H81" i="20"/>
  <c r="L81" i="20"/>
  <c r="C90" i="20"/>
  <c r="G90" i="20"/>
  <c r="K90" i="20"/>
  <c r="L62" i="20"/>
  <c r="M118" i="20" s="1"/>
  <c r="E28" i="20"/>
  <c r="I28" i="20"/>
  <c r="F28" i="20"/>
  <c r="J28" i="20"/>
  <c r="D82" i="20"/>
  <c r="L82" i="20"/>
  <c r="D84" i="20"/>
  <c r="L84" i="20"/>
  <c r="L134" i="20" l="1"/>
  <c r="J134" i="20"/>
  <c r="K134" i="20"/>
  <c r="M4" i="19"/>
  <c r="D4" i="16"/>
  <c r="K4" i="16" s="1"/>
  <c r="L8" i="18" s="1"/>
  <c r="F5" i="28"/>
  <c r="I5" i="18" s="1"/>
  <c r="I12" i="19"/>
  <c r="G133" i="20"/>
  <c r="G134" i="20" s="1"/>
  <c r="H13" i="19"/>
  <c r="I18" i="18" s="1"/>
  <c r="I101" i="20"/>
  <c r="C102" i="20"/>
  <c r="F101" i="20"/>
  <c r="I102" i="20"/>
  <c r="L57" i="20"/>
  <c r="L100" i="20"/>
  <c r="K57" i="20"/>
  <c r="K100" i="20"/>
  <c r="H57" i="20"/>
  <c r="H100" i="20"/>
  <c r="L101" i="20"/>
  <c r="K102" i="20"/>
  <c r="J102" i="20"/>
  <c r="L102" i="20"/>
  <c r="E57" i="20"/>
  <c r="E100" i="20"/>
  <c r="E102" i="20"/>
  <c r="G57" i="20"/>
  <c r="G100" i="20"/>
  <c r="J57" i="20"/>
  <c r="J100" i="20"/>
  <c r="E101" i="20"/>
  <c r="D57" i="20"/>
  <c r="D100" i="20"/>
  <c r="C57" i="20"/>
  <c r="C100" i="20"/>
  <c r="F57" i="20"/>
  <c r="F100" i="20"/>
  <c r="G102" i="20"/>
  <c r="G101" i="20"/>
  <c r="D102" i="20"/>
  <c r="K101" i="20"/>
  <c r="H102" i="20"/>
  <c r="K106" i="20"/>
  <c r="L5" i="29"/>
  <c r="L12" i="18" s="1"/>
  <c r="I12" i="18"/>
  <c r="G118" i="20"/>
  <c r="H107" i="20"/>
  <c r="L5" i="27"/>
  <c r="L4" i="18" s="1"/>
  <c r="I4" i="18"/>
  <c r="K118" i="20"/>
  <c r="L107" i="20"/>
  <c r="J118" i="20"/>
  <c r="K107" i="20"/>
  <c r="I8" i="18"/>
  <c r="F106" i="20"/>
  <c r="H106" i="20"/>
  <c r="D106" i="20"/>
  <c r="G106" i="20"/>
  <c r="E106" i="20"/>
  <c r="I106" i="20"/>
  <c r="L106" i="20"/>
  <c r="K119" i="20"/>
  <c r="C9" i="14"/>
  <c r="F5" i="29"/>
  <c r="L118" i="20"/>
  <c r="C18" i="14"/>
  <c r="J117" i="20"/>
  <c r="G119" i="20"/>
  <c r="L119" i="20"/>
  <c r="K117" i="20"/>
  <c r="J119" i="20"/>
  <c r="G117" i="20"/>
  <c r="L117" i="20"/>
  <c r="L127" i="20"/>
  <c r="J9" i="11"/>
  <c r="G5" i="28"/>
  <c r="G139" i="20"/>
  <c r="G127" i="20"/>
  <c r="J139" i="20"/>
  <c r="J127" i="20"/>
  <c r="K139" i="20"/>
  <c r="K127" i="20"/>
  <c r="L139" i="20"/>
  <c r="L38" i="20"/>
  <c r="K140" i="20"/>
  <c r="L140" i="20"/>
  <c r="K80" i="20"/>
  <c r="G140" i="20"/>
  <c r="J140" i="20"/>
  <c r="E10" i="11"/>
  <c r="K10" i="11" s="1"/>
  <c r="B15" i="11"/>
  <c r="G70" i="20"/>
  <c r="G87" i="20" s="1"/>
  <c r="G92" i="20"/>
  <c r="E7" i="16"/>
  <c r="J92" i="20"/>
  <c r="L92" i="20"/>
  <c r="K7" i="16"/>
  <c r="F7" i="16"/>
  <c r="K92" i="20"/>
  <c r="C82" i="20"/>
  <c r="G80" i="20"/>
  <c r="G84" i="20"/>
  <c r="C79" i="20"/>
  <c r="G82" i="20"/>
  <c r="C81" i="20"/>
  <c r="E69" i="20"/>
  <c r="C19" i="14"/>
  <c r="F33" i="20"/>
  <c r="F35" i="20" s="1"/>
  <c r="F133" i="20" s="1"/>
  <c r="F134" i="20" s="1"/>
  <c r="K84" i="20"/>
  <c r="I79" i="20"/>
  <c r="L78" i="20"/>
  <c r="E11" i="11" s="1"/>
  <c r="E82" i="20"/>
  <c r="E81" i="20"/>
  <c r="G88" i="20"/>
  <c r="H84" i="20"/>
  <c r="E33" i="20"/>
  <c r="E35" i="20" s="1"/>
  <c r="E133" i="20" s="1"/>
  <c r="E134" i="20" s="1"/>
  <c r="E84" i="20"/>
  <c r="E78" i="20"/>
  <c r="E79" i="20"/>
  <c r="E89" i="20"/>
  <c r="E80" i="20"/>
  <c r="K89" i="20"/>
  <c r="K79" i="20"/>
  <c r="K69" i="20"/>
  <c r="G89" i="20"/>
  <c r="C84" i="20"/>
  <c r="K81" i="20"/>
  <c r="G83" i="20"/>
  <c r="K83" i="20"/>
  <c r="G79" i="20"/>
  <c r="G69" i="20"/>
  <c r="C89" i="20"/>
  <c r="F8" i="11"/>
  <c r="J84" i="20"/>
  <c r="I84" i="20"/>
  <c r="I80" i="20"/>
  <c r="J83" i="20"/>
  <c r="H33" i="20"/>
  <c r="H35" i="20" s="1"/>
  <c r="I81" i="20"/>
  <c r="I69" i="20"/>
  <c r="I89" i="20"/>
  <c r="I82" i="20"/>
  <c r="J89" i="20"/>
  <c r="B5" i="19"/>
  <c r="C33" i="20"/>
  <c r="C35" i="20" s="1"/>
  <c r="F6" i="28" s="1"/>
  <c r="I78" i="20"/>
  <c r="H11" i="11" s="1"/>
  <c r="F69" i="20"/>
  <c r="F80" i="20"/>
  <c r="H80" i="20"/>
  <c r="F82" i="20"/>
  <c r="H8" i="11"/>
  <c r="F78" i="20"/>
  <c r="F79" i="20"/>
  <c r="F89" i="20"/>
  <c r="F84" i="20"/>
  <c r="F81" i="20"/>
  <c r="J69" i="20"/>
  <c r="J82" i="20"/>
  <c r="J80" i="20"/>
  <c r="B3" i="19"/>
  <c r="J79" i="20"/>
  <c r="E8" i="11"/>
  <c r="B4" i="19"/>
  <c r="J77" i="20"/>
  <c r="G8" i="11"/>
  <c r="C21" i="14"/>
  <c r="L66" i="20"/>
  <c r="L67" i="20" s="1"/>
  <c r="K78" i="20"/>
  <c r="F11" i="11" s="1"/>
  <c r="J88" i="20"/>
  <c r="C22" i="14"/>
  <c r="I57" i="20"/>
  <c r="H78" i="20"/>
  <c r="D78" i="20"/>
  <c r="I33" i="20"/>
  <c r="I35" i="20" s="1"/>
  <c r="I133" i="20" s="1"/>
  <c r="I134" i="20" s="1"/>
  <c r="K88" i="20"/>
  <c r="J78" i="20"/>
  <c r="G11" i="11" s="1"/>
  <c r="G7" i="16"/>
  <c r="G78" i="20"/>
  <c r="M12" i="19"/>
  <c r="C4" i="14"/>
  <c r="C8" i="14"/>
  <c r="C14" i="14" s="1"/>
  <c r="J70" i="20"/>
  <c r="J87" i="20" s="1"/>
  <c r="E8" i="14"/>
  <c r="E4" i="14"/>
  <c r="K70" i="20"/>
  <c r="K87" i="20" s="1"/>
  <c r="D8" i="14"/>
  <c r="D4" i="14"/>
  <c r="M13" i="19"/>
  <c r="D35" i="20"/>
  <c r="D133" i="20" s="1"/>
  <c r="D134" i="20" s="1"/>
  <c r="D66" i="20"/>
  <c r="D67" i="20" s="1"/>
  <c r="L77" i="20"/>
  <c r="D88" i="20"/>
  <c r="C78" i="20"/>
  <c r="K13" i="19"/>
  <c r="L63" i="20"/>
  <c r="M9" i="19" s="1"/>
  <c r="K12" i="19"/>
  <c r="J9" i="19"/>
  <c r="F9" i="19"/>
  <c r="L8" i="19"/>
  <c r="K9" i="19"/>
  <c r="G9" i="19"/>
  <c r="E8" i="19"/>
  <c r="I9" i="19"/>
  <c r="E9" i="19"/>
  <c r="K8" i="19"/>
  <c r="G8" i="19"/>
  <c r="I8" i="19"/>
  <c r="L9" i="19"/>
  <c r="H9" i="19"/>
  <c r="J8" i="19"/>
  <c r="F8" i="19"/>
  <c r="K66" i="20"/>
  <c r="K67" i="20" s="1"/>
  <c r="L70" i="20"/>
  <c r="N4" i="19"/>
  <c r="O4" i="19"/>
  <c r="B12" i="11"/>
  <c r="J66" i="20"/>
  <c r="J67" i="20" s="1"/>
  <c r="L79" i="20"/>
  <c r="G66" i="20"/>
  <c r="G67" i="20" s="1"/>
  <c r="B22" i="11" l="1"/>
  <c r="B21" i="11"/>
  <c r="L5" i="28"/>
  <c r="L5" i="18" s="1"/>
  <c r="F3" i="19"/>
  <c r="H133" i="20"/>
  <c r="H134" i="20" s="1"/>
  <c r="C133" i="20"/>
  <c r="C134" i="20" s="1"/>
  <c r="H12" i="19"/>
  <c r="I118" i="20"/>
  <c r="J107" i="20"/>
  <c r="H118" i="20"/>
  <c r="I107" i="20"/>
  <c r="E118" i="20"/>
  <c r="F107" i="20"/>
  <c r="F118" i="20"/>
  <c r="G107" i="20"/>
  <c r="M5" i="28"/>
  <c r="L6" i="18" s="1"/>
  <c r="I6" i="18"/>
  <c r="D118" i="20"/>
  <c r="E107" i="20"/>
  <c r="C118" i="20"/>
  <c r="D107" i="20"/>
  <c r="G5" i="29"/>
  <c r="N5" i="29"/>
  <c r="L11" i="18" s="1"/>
  <c r="I11" i="18"/>
  <c r="K5" i="29"/>
  <c r="L9" i="18" s="1"/>
  <c r="I9" i="18"/>
  <c r="E5" i="29"/>
  <c r="I119" i="20"/>
  <c r="I117" i="20"/>
  <c r="H119" i="20"/>
  <c r="H117" i="20"/>
  <c r="E119" i="20"/>
  <c r="E117" i="20"/>
  <c r="F119" i="20"/>
  <c r="F117" i="20"/>
  <c r="D119" i="20"/>
  <c r="D117" i="20"/>
  <c r="C119" i="20"/>
  <c r="C117" i="20"/>
  <c r="I127" i="20"/>
  <c r="H127" i="20"/>
  <c r="C5" i="28"/>
  <c r="P5" i="28" s="1"/>
  <c r="D127" i="20"/>
  <c r="C127" i="20"/>
  <c r="E127" i="20"/>
  <c r="F127" i="20"/>
  <c r="L142" i="20"/>
  <c r="G5" i="27" s="1"/>
  <c r="D139" i="20"/>
  <c r="D140" i="20"/>
  <c r="I139" i="20"/>
  <c r="I140" i="20"/>
  <c r="G4" i="14"/>
  <c r="H139" i="20"/>
  <c r="H140" i="20"/>
  <c r="C139" i="20"/>
  <c r="C140" i="20"/>
  <c r="E139" i="20"/>
  <c r="E140" i="20"/>
  <c r="F139" i="20"/>
  <c r="F140" i="20"/>
  <c r="H70" i="20"/>
  <c r="H87" i="20" s="1"/>
  <c r="C7" i="16"/>
  <c r="H92" i="20"/>
  <c r="C70" i="20"/>
  <c r="C87" i="20" s="1"/>
  <c r="C92" i="20"/>
  <c r="D70" i="20"/>
  <c r="D87" i="20" s="1"/>
  <c r="D92" i="20"/>
  <c r="D7" i="16"/>
  <c r="I92" i="20"/>
  <c r="E70" i="20"/>
  <c r="E87" i="20" s="1"/>
  <c r="E92" i="20"/>
  <c r="F70" i="20"/>
  <c r="F87" i="20" s="1"/>
  <c r="F92" i="20"/>
  <c r="C4" i="19"/>
  <c r="H66" i="20"/>
  <c r="H67" i="20" s="1"/>
  <c r="I70" i="20"/>
  <c r="I87" i="20" s="1"/>
  <c r="G8" i="14"/>
  <c r="M3" i="19"/>
  <c r="G19" i="16"/>
  <c r="F66" i="20"/>
  <c r="F67" i="20" s="1"/>
  <c r="L3" i="19"/>
  <c r="E66" i="20"/>
  <c r="E67" i="20" s="1"/>
  <c r="H8" i="19"/>
  <c r="I66" i="20"/>
  <c r="I67" i="20" s="1"/>
  <c r="N3" i="19"/>
  <c r="O3" i="19"/>
  <c r="F8" i="14"/>
  <c r="C66" i="20"/>
  <c r="C67" i="20" s="1"/>
  <c r="M8" i="19"/>
  <c r="I33" i="18" s="1"/>
  <c r="C16" i="14"/>
  <c r="F4" i="14"/>
  <c r="I11" i="11"/>
  <c r="C5" i="19"/>
  <c r="C3" i="19"/>
  <c r="K9" i="11"/>
  <c r="C17" i="14"/>
  <c r="L12" i="19"/>
  <c r="L13" i="19"/>
  <c r="N9" i="19"/>
  <c r="N8" i="19"/>
  <c r="L80" i="20"/>
  <c r="L7" i="18" l="1"/>
  <c r="I7" i="18"/>
  <c r="M5" i="29"/>
  <c r="L10" i="18" s="1"/>
  <c r="I10" i="18"/>
  <c r="G142" i="20"/>
  <c r="K142" i="20"/>
  <c r="J142" i="20"/>
  <c r="I142" i="20"/>
  <c r="F142" i="20"/>
  <c r="H142" i="20"/>
  <c r="E142" i="20"/>
  <c r="B25" i="11"/>
  <c r="K6" i="1" s="1"/>
  <c r="K7" i="1"/>
  <c r="F17" i="11"/>
  <c r="E17" i="11"/>
  <c r="J17" i="11"/>
  <c r="H17" i="11"/>
  <c r="G17" i="11"/>
  <c r="I17" i="11"/>
  <c r="B17" i="11"/>
  <c r="N7" i="1" s="1"/>
  <c r="B19" i="11"/>
  <c r="C15" i="14"/>
  <c r="C23" i="14" s="1"/>
  <c r="J19" i="16"/>
  <c r="L3" i="18" l="1"/>
  <c r="C5" i="18" s="1"/>
  <c r="C4" i="18" s="1"/>
  <c r="B16" i="17"/>
  <c r="B15" i="17"/>
  <c r="B17" i="17" l="1"/>
  <c r="B18" i="17" s="1"/>
  <c r="B4" i="17" l="1"/>
  <c r="U7" i="17" l="1"/>
  <c r="E2" i="17"/>
  <c r="F2" i="17" s="1"/>
  <c r="G2" i="17" s="1"/>
  <c r="H2" i="17" s="1"/>
  <c r="I2" i="17" s="1"/>
  <c r="J2" i="17" s="1"/>
  <c r="D4" i="17"/>
  <c r="E4" i="17" s="1"/>
  <c r="F4" i="17" s="1"/>
  <c r="G4" i="17" s="1"/>
  <c r="H4" i="17" s="1"/>
  <c r="I4" i="17" s="1"/>
  <c r="J4" i="17" s="1"/>
  <c r="K4" i="17" s="1"/>
  <c r="L4" i="17" s="1"/>
  <c r="M4" i="17" s="1"/>
  <c r="N4" i="17" s="1"/>
  <c r="O4" i="17" s="1"/>
  <c r="P4" i="17" s="1"/>
  <c r="Q4" i="17" s="1"/>
  <c r="R4" i="17" s="1"/>
  <c r="S4" i="17" s="1"/>
  <c r="T4" i="17" s="1"/>
  <c r="U4" i="17" s="1"/>
  <c r="V4" i="17" s="1"/>
  <c r="W4" i="17" s="1"/>
  <c r="X4" i="17" s="1"/>
  <c r="G7" i="17" l="1"/>
  <c r="K7" i="17"/>
  <c r="O7" i="17"/>
  <c r="S7" i="17"/>
  <c r="W7" i="17"/>
  <c r="F7" i="17"/>
  <c r="J7" i="17"/>
  <c r="N7" i="17"/>
  <c r="R7" i="17"/>
  <c r="V7" i="17"/>
  <c r="D7" i="17"/>
  <c r="H7" i="17"/>
  <c r="L7" i="17"/>
  <c r="P7" i="17"/>
  <c r="T7" i="17"/>
  <c r="X7" i="17"/>
  <c r="D3" i="17"/>
  <c r="D5" i="17" s="1"/>
  <c r="D6" i="17" s="1"/>
  <c r="E7" i="17"/>
  <c r="I7" i="17"/>
  <c r="M7" i="17"/>
  <c r="Q7" i="17"/>
  <c r="K2" i="17"/>
  <c r="L2" i="17" s="1"/>
  <c r="M2" i="17" s="1"/>
  <c r="N2" i="17" s="1"/>
  <c r="D8" i="17" l="1"/>
  <c r="D9" i="17" s="1"/>
  <c r="E3" i="17"/>
  <c r="E5" i="17" s="1"/>
  <c r="O2" i="17"/>
  <c r="P2" i="17" s="1"/>
  <c r="Q2" i="17" s="1"/>
  <c r="R2" i="17" s="1"/>
  <c r="S2" i="17" s="1"/>
  <c r="T2" i="17" s="1"/>
  <c r="U2" i="17" s="1"/>
  <c r="V2" i="17" s="1"/>
  <c r="W2" i="17" s="1"/>
  <c r="X2" i="17" s="1"/>
  <c r="E10" i="16"/>
  <c r="C10" i="16"/>
  <c r="D10" i="16"/>
  <c r="G10" i="16"/>
  <c r="F10" i="16"/>
  <c r="F3" i="17" l="1"/>
  <c r="G3" i="17" s="1"/>
  <c r="E6" i="17"/>
  <c r="E8" i="17" s="1"/>
  <c r="E9" i="17" s="1"/>
  <c r="F5" i="17" l="1"/>
  <c r="F6" i="17" s="1"/>
  <c r="F8" i="17" s="1"/>
  <c r="F9" i="17" s="1"/>
  <c r="G5" i="17"/>
  <c r="H3" i="17"/>
  <c r="H5" i="17" l="1"/>
  <c r="H6" i="17" s="1"/>
  <c r="H8" i="17" s="1"/>
  <c r="H9" i="17" s="1"/>
  <c r="I3" i="17"/>
  <c r="G6" i="17"/>
  <c r="G8" i="17" s="1"/>
  <c r="G9" i="17" s="1"/>
  <c r="J3" i="17" l="1"/>
  <c r="I5" i="17"/>
  <c r="I6" i="17" s="1"/>
  <c r="I8" i="17" s="1"/>
  <c r="I9" i="17" s="1"/>
  <c r="J5" i="17" l="1"/>
  <c r="K3" i="17"/>
  <c r="L3" i="17" l="1"/>
  <c r="K5" i="17"/>
  <c r="K6" i="17" s="1"/>
  <c r="K8" i="17" s="1"/>
  <c r="K9" i="17" s="1"/>
  <c r="J6" i="17"/>
  <c r="J8" i="17" s="1"/>
  <c r="J9" i="17" s="1"/>
  <c r="G10" i="15"/>
  <c r="L5" i="17" l="1"/>
  <c r="L6" i="17" s="1"/>
  <c r="L8" i="17" s="1"/>
  <c r="L9" i="17" s="1"/>
  <c r="M3" i="17"/>
  <c r="B12" i="17"/>
  <c r="M5" i="17" l="1"/>
  <c r="M6" i="17" s="1"/>
  <c r="M8" i="17" s="1"/>
  <c r="M9" i="17" s="1"/>
  <c r="N3" i="17"/>
  <c r="O3" i="17" l="1"/>
  <c r="N5" i="17"/>
  <c r="N6" i="17" s="1"/>
  <c r="N8" i="17" s="1"/>
  <c r="N9" i="17" s="1"/>
  <c r="F8" i="15"/>
  <c r="F5" i="15"/>
  <c r="F6" i="15"/>
  <c r="F4" i="15"/>
  <c r="E21" i="11"/>
  <c r="C14" i="15" l="1"/>
  <c r="P3" i="17"/>
  <c r="O5" i="17"/>
  <c r="O6" i="17" s="1"/>
  <c r="O8" i="17" s="1"/>
  <c r="O9" i="17" s="1"/>
  <c r="K12" i="14"/>
  <c r="K14" i="14" s="1"/>
  <c r="E18" i="11"/>
  <c r="F14" i="11"/>
  <c r="E14" i="11"/>
  <c r="B14" i="11"/>
  <c r="H14" i="11"/>
  <c r="I14" i="11"/>
  <c r="P5" i="17" l="1"/>
  <c r="P6" i="17" s="1"/>
  <c r="P8" i="17" s="1"/>
  <c r="P9" i="17" s="1"/>
  <c r="Q3" i="17"/>
  <c r="E27" i="11"/>
  <c r="E28" i="11" s="1"/>
  <c r="G14" i="11"/>
  <c r="B20" i="11" s="1"/>
  <c r="E29" i="11" l="1"/>
  <c r="F18" i="11"/>
  <c r="Q5" i="17"/>
  <c r="Q6" i="17" s="1"/>
  <c r="Q8" i="17" s="1"/>
  <c r="Q9" i="17" s="1"/>
  <c r="R3" i="17"/>
  <c r="G18" i="11" l="1"/>
  <c r="R5" i="17"/>
  <c r="R6" i="17" s="1"/>
  <c r="R8" i="17" s="1"/>
  <c r="R9" i="17" s="1"/>
  <c r="S3" i="17"/>
  <c r="H18" i="11"/>
  <c r="F27" i="11"/>
  <c r="F28" i="11" s="1"/>
  <c r="F29" i="11" l="1"/>
  <c r="S5" i="17"/>
  <c r="S6" i="17" s="1"/>
  <c r="S8" i="17" s="1"/>
  <c r="S9" i="17" s="1"/>
  <c r="T3" i="17"/>
  <c r="I18" i="11"/>
  <c r="G27" i="11" l="1"/>
  <c r="G28" i="11" s="1"/>
  <c r="T5" i="17"/>
  <c r="T6" i="17" s="1"/>
  <c r="T8" i="17" s="1"/>
  <c r="T9" i="17" s="1"/>
  <c r="U3" i="17"/>
  <c r="E20" i="11"/>
  <c r="E23" i="11" s="1"/>
  <c r="J18" i="11"/>
  <c r="E22" i="11" s="1"/>
  <c r="G29" i="11" l="1"/>
  <c r="U5" i="17"/>
  <c r="U6" i="17" s="1"/>
  <c r="U8" i="17" s="1"/>
  <c r="U9" i="17" s="1"/>
  <c r="V3" i="17"/>
  <c r="H27" i="11" l="1"/>
  <c r="E24" i="11"/>
  <c r="V5" i="17"/>
  <c r="V6" i="17" s="1"/>
  <c r="V8" i="17" s="1"/>
  <c r="V9" i="17" s="1"/>
  <c r="W3" i="17"/>
  <c r="B26" i="11" l="1"/>
  <c r="K8" i="1"/>
  <c r="H28" i="11"/>
  <c r="H29" i="11" s="1"/>
  <c r="X3" i="17"/>
  <c r="X5" i="17" s="1"/>
  <c r="W5" i="17"/>
  <c r="W6" i="17" s="1"/>
  <c r="W8" i="17" s="1"/>
  <c r="W9" i="17" s="1"/>
  <c r="I27" i="11" l="1"/>
  <c r="I28" i="11" s="1"/>
  <c r="I29" i="11" s="1"/>
  <c r="X6" i="17"/>
  <c r="X8" i="17" s="1"/>
  <c r="X9" i="17" s="1"/>
  <c r="B6" i="17" s="1"/>
  <c r="J27" i="11" l="1"/>
  <c r="J28" i="11" s="1"/>
  <c r="J29" i="11" l="1"/>
  <c r="E31" i="11" s="1"/>
  <c r="E30" i="11" l="1"/>
  <c r="E32" i="11" s="1"/>
  <c r="B27" i="11" s="1"/>
  <c r="E33" i="11" l="1"/>
  <c r="J5" i="15"/>
  <c r="J7" i="15" s="1"/>
</calcChain>
</file>

<file path=xl/comments1.xml><?xml version="1.0" encoding="utf-8"?>
<comments xmlns="http://schemas.openxmlformats.org/spreadsheetml/2006/main">
  <authors>
    <author>HP</author>
  </authors>
  <commentList>
    <comment ref="I6" authorId="0" shapeId="0">
      <text>
        <r>
          <rPr>
            <sz val="9"/>
            <color indexed="81"/>
            <rFont val="Tahoma"/>
            <family val="2"/>
          </rPr>
          <t xml:space="preserve">How much CMP higher than P E/B Valuation
</t>
        </r>
      </text>
    </comment>
    <comment ref="I7" authorId="0" shapeId="0">
      <text>
        <r>
          <rPr>
            <sz val="9"/>
            <color indexed="81"/>
            <rFont val="Tahoma"/>
            <family val="2"/>
          </rPr>
          <t xml:space="preserve">If next yr EPS to grow same as how it grew from last yr to current yr, what will be the share price on historical PE/PB
</t>
        </r>
      </text>
    </comment>
    <comment ref="I8" authorId="0" shapeId="0">
      <text>
        <r>
          <rPr>
            <sz val="9"/>
            <color indexed="81"/>
            <rFont val="Tahoma"/>
            <family val="2"/>
          </rPr>
          <t xml:space="preserve">CAGR b/n CMP and future price based on historical valuation
</t>
        </r>
      </text>
    </comment>
  </commentList>
</comments>
</file>

<file path=xl/comments2.xml><?xml version="1.0" encoding="utf-8"?>
<comments xmlns="http://schemas.openxmlformats.org/spreadsheetml/2006/main">
  <authors>
    <author>HP</author>
  </authors>
  <commentList>
    <comment ref="E2" authorId="0" shapeId="0">
      <text>
        <r>
          <rPr>
            <sz val="9"/>
            <color indexed="81"/>
            <rFont val="Tahoma"/>
            <family val="2"/>
          </rPr>
          <t xml:space="preserve">Gross margins suggest pricing power. Higher = Better, but also invites competition. So watch out for consistency.
</t>
        </r>
      </text>
    </comment>
    <comment ref="I7" authorId="0" shapeId="0">
      <text>
        <r>
          <rPr>
            <sz val="9"/>
            <color indexed="81"/>
            <rFont val="Tahoma"/>
            <family val="2"/>
          </rPr>
          <t xml:space="preserve">Accruals method of accounting -
Revenue is booked when sales transaction takes place, not when the actual cash is collected.
Low number would mean that company is able to report higher revenue without realizing the cash benefit from the transactions.
Fluctuating trend reflects operational weakness
</t>
        </r>
      </text>
    </comment>
    <comment ref="J7" authorId="0" shapeId="0">
      <text>
        <r>
          <rPr>
            <sz val="9"/>
            <color indexed="81"/>
            <rFont val="Tahoma"/>
            <family val="2"/>
          </rPr>
          <t xml:space="preserve">How efficiently company's assets are used
</t>
        </r>
      </text>
    </comment>
    <comment ref="K7" authorId="0" shapeId="0">
      <text>
        <r>
          <rPr>
            <sz val="9"/>
            <color indexed="81"/>
            <rFont val="Tahoma"/>
            <family val="2"/>
          </rPr>
          <t xml:space="preserve">Abilty to pay short term loan
</t>
        </r>
      </text>
    </comment>
    <comment ref="L7" authorId="0" shapeId="0">
      <text>
        <r>
          <rPr>
            <sz val="9"/>
            <color indexed="81"/>
            <rFont val="Tahoma"/>
            <family val="2"/>
          </rPr>
          <t xml:space="preserve">Abilty to pay borrowings
</t>
        </r>
      </text>
    </comment>
  </commentList>
</comments>
</file>

<file path=xl/comments3.xml><?xml version="1.0" encoding="utf-8"?>
<comments xmlns="http://schemas.openxmlformats.org/spreadsheetml/2006/main">
  <authors>
    <author>Kumar Saurabh</author>
  </authors>
  <commentList>
    <comment ref="A53" authorId="0" shapeId="0">
      <text>
        <r>
          <rPr>
            <b/>
            <sz val="9"/>
            <color indexed="81"/>
            <rFont val="Tahoma"/>
            <family val="2"/>
          </rPr>
          <t>Kumar Saurabh:</t>
        </r>
        <r>
          <rPr>
            <sz val="9"/>
            <color indexed="81"/>
            <rFont val="Tahoma"/>
            <family val="2"/>
          </rPr>
          <t xml:space="preserve">
Trades Receiavbles</t>
        </r>
      </text>
    </comment>
    <comment ref="A58"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sharedStrings.xml><?xml version="1.0" encoding="utf-8"?>
<sst xmlns="http://schemas.openxmlformats.org/spreadsheetml/2006/main" count="741" uniqueCount="533">
  <si>
    <t>Company</t>
  </si>
  <si>
    <t>Sector</t>
  </si>
  <si>
    <t>Face value</t>
  </si>
  <si>
    <t>No of shares outstanding</t>
  </si>
  <si>
    <t>Market Cap</t>
  </si>
  <si>
    <t>Promoter Shareholding</t>
  </si>
  <si>
    <t>Business Summary</t>
  </si>
  <si>
    <t>Equity Share Capital</t>
  </si>
  <si>
    <t>Reserves</t>
  </si>
  <si>
    <t>Networth</t>
  </si>
  <si>
    <t>Secured Loans</t>
  </si>
  <si>
    <t>Unsecured Loans</t>
  </si>
  <si>
    <t>Total Liabilities</t>
  </si>
  <si>
    <t>Net Block</t>
  </si>
  <si>
    <t>Capital Work in Progress</t>
  </si>
  <si>
    <t>Investments</t>
  </si>
  <si>
    <t>Current Liabilities</t>
  </si>
  <si>
    <t>Total Assets</t>
  </si>
  <si>
    <t>Net Sales</t>
  </si>
  <si>
    <t>Other Income</t>
  </si>
  <si>
    <t>Total Income</t>
  </si>
  <si>
    <t>Raw Materials</t>
  </si>
  <si>
    <t>Employee Cost</t>
  </si>
  <si>
    <t>Operating Profit</t>
  </si>
  <si>
    <t>Interest</t>
  </si>
  <si>
    <t>Depreciation</t>
  </si>
  <si>
    <t>Tax</t>
  </si>
  <si>
    <t>Current Assets</t>
  </si>
  <si>
    <t>Year</t>
  </si>
  <si>
    <t>Free Cash Flow</t>
  </si>
  <si>
    <t>Shares Outstanding</t>
  </si>
  <si>
    <t>CAGR</t>
  </si>
  <si>
    <t>FCF</t>
  </si>
  <si>
    <t>DPS</t>
  </si>
  <si>
    <t>Input</t>
  </si>
  <si>
    <t>EPS</t>
  </si>
  <si>
    <t>CMP</t>
  </si>
  <si>
    <t>BVPS</t>
  </si>
  <si>
    <t>P/E</t>
  </si>
  <si>
    <t>Earnings Yeild</t>
  </si>
  <si>
    <t>Dividend Yeild</t>
  </si>
  <si>
    <t>Discount rate</t>
  </si>
  <si>
    <t>ROE</t>
  </si>
  <si>
    <t>Payout Ratio</t>
  </si>
  <si>
    <t>Current Data</t>
  </si>
  <si>
    <t>Average Data</t>
  </si>
  <si>
    <t>Payout</t>
  </si>
  <si>
    <t>Projections Historical</t>
  </si>
  <si>
    <t>Earnings after 5 years</t>
  </si>
  <si>
    <t>Sum Of dividend paid</t>
  </si>
  <si>
    <t>Projected Price</t>
  </si>
  <si>
    <t>Total Gain</t>
  </si>
  <si>
    <t>Projections Growth</t>
  </si>
  <si>
    <t>Historical Earnings Growth</t>
  </si>
  <si>
    <t>Sustainable Earnings Growth</t>
  </si>
  <si>
    <t>Year Ending</t>
  </si>
  <si>
    <t>Piotroski F Score</t>
  </si>
  <si>
    <t>ROA</t>
  </si>
  <si>
    <t>Current Ratio</t>
  </si>
  <si>
    <t>Gross Margin</t>
  </si>
  <si>
    <t>Net Income</t>
  </si>
  <si>
    <t>Operating Cash Flow</t>
  </si>
  <si>
    <t>Asset Turnover</t>
  </si>
  <si>
    <t>Working Capital</t>
  </si>
  <si>
    <t>EBITDA</t>
  </si>
  <si>
    <t>Market Value of Equity</t>
  </si>
  <si>
    <t>Score</t>
  </si>
  <si>
    <t>T1 = Working Capital/Total Assets</t>
  </si>
  <si>
    <t>T3 = EBITDA/Total Assets</t>
  </si>
  <si>
    <t>T5 = Net Sales/Total Assets</t>
  </si>
  <si>
    <r>
      <t>Stock Price</t>
    </r>
    <r>
      <rPr>
        <sz val="10"/>
        <color theme="0"/>
        <rFont val="Arial"/>
        <family val="2"/>
      </rPr>
      <t>#</t>
    </r>
  </si>
  <si>
    <t>Snapshot</t>
  </si>
  <si>
    <t>Value</t>
  </si>
  <si>
    <t>Altman Zscore = 1.2T1 + 1.4T2 + 3.3T3 + 0.6T4 + 0.999T5.</t>
  </si>
  <si>
    <t>Value of stock based on</t>
  </si>
  <si>
    <t>Value of Stock</t>
  </si>
  <si>
    <t>Year 0</t>
  </si>
  <si>
    <t>Start</t>
  </si>
  <si>
    <t>Intial</t>
  </si>
  <si>
    <t>Middle</t>
  </si>
  <si>
    <t>End</t>
  </si>
  <si>
    <t>Max</t>
  </si>
  <si>
    <t>Pointer</t>
  </si>
  <si>
    <t>Altman Score</t>
  </si>
  <si>
    <t>0 to 1.8</t>
  </si>
  <si>
    <t>1.8 to 3</t>
  </si>
  <si>
    <t>Less Chances of Bankruptcy</t>
  </si>
  <si>
    <t>3+</t>
  </si>
  <si>
    <t>How to read score</t>
  </si>
  <si>
    <t>Not likely to be Bankrupt</t>
  </si>
  <si>
    <t>Likely to be Bankrupt</t>
  </si>
  <si>
    <t>Piotroski F Score data</t>
  </si>
  <si>
    <t>Weak</t>
  </si>
  <si>
    <t>Stable</t>
  </si>
  <si>
    <t>Strong</t>
  </si>
  <si>
    <t>Piotrosoki Score</t>
  </si>
  <si>
    <t>Altman Zscore</t>
  </si>
  <si>
    <t>CY</t>
  </si>
  <si>
    <t>CY-1</t>
  </si>
  <si>
    <t>CY-2</t>
  </si>
  <si>
    <t>CY-3</t>
  </si>
  <si>
    <t>CY-4</t>
  </si>
  <si>
    <t>CFO</t>
  </si>
  <si>
    <t>NPM</t>
  </si>
  <si>
    <t>Equity Multiplier</t>
  </si>
  <si>
    <t>DU Pont Analysis</t>
  </si>
  <si>
    <t>DuPont analysis is an extended analysis of a company's return on equity. It concludes that a company can earn a high return on equity if:</t>
  </si>
  <si>
    <t>3. It has a high financial leverage</t>
  </si>
  <si>
    <r>
      <t>2. It uses its assets effectively to generate more sales; and/or -</t>
    </r>
    <r>
      <rPr>
        <b/>
        <sz val="11"/>
        <color rgb="FF00B050"/>
        <rFont val="Calibri"/>
        <family val="2"/>
        <scheme val="minor"/>
      </rPr>
      <t xml:space="preserve"> Preferred</t>
    </r>
  </si>
  <si>
    <r>
      <t xml:space="preserve">1. It earns a high net profit margin - </t>
    </r>
    <r>
      <rPr>
        <b/>
        <sz val="11"/>
        <color rgb="FF00B050"/>
        <rFont val="Calibri"/>
        <family val="2"/>
        <scheme val="minor"/>
      </rPr>
      <t>Preferred</t>
    </r>
  </si>
  <si>
    <t>Multiple</t>
  </si>
  <si>
    <t>PV</t>
  </si>
  <si>
    <t>MICAP</t>
  </si>
  <si>
    <t>Cumulative FCF Sum of PV</t>
  </si>
  <si>
    <t>PV of Terminal Value</t>
  </si>
  <si>
    <t>Discounted Value Today</t>
  </si>
  <si>
    <t xml:space="preserve">FCF growth </t>
  </si>
  <si>
    <t>FCF (per Share)</t>
  </si>
  <si>
    <t>* The module will pick FCF / Share, You can change Input cells</t>
  </si>
  <si>
    <t>Model FCF / Share</t>
  </si>
  <si>
    <t>Capex</t>
  </si>
  <si>
    <t>Owner's Earnings</t>
  </si>
  <si>
    <r>
      <rPr>
        <sz val="11"/>
        <color rgb="FF00B050"/>
        <rFont val="Calibri"/>
        <family val="2"/>
        <scheme val="minor"/>
      </rPr>
      <t>Add</t>
    </r>
    <r>
      <rPr>
        <sz val="11"/>
        <color theme="1"/>
        <rFont val="Calibri"/>
        <family val="2"/>
        <scheme val="minor"/>
      </rPr>
      <t xml:space="preserve"> Depreciation</t>
    </r>
  </si>
  <si>
    <r>
      <rPr>
        <sz val="11"/>
        <color rgb="FFFF0000"/>
        <rFont val="Calibri"/>
        <family val="2"/>
        <scheme val="minor"/>
      </rPr>
      <t>Minus</t>
    </r>
    <r>
      <rPr>
        <sz val="11"/>
        <color theme="1"/>
        <rFont val="Calibri"/>
        <family val="2"/>
        <scheme val="minor"/>
      </rPr>
      <t xml:space="preserve"> Average Capex</t>
    </r>
  </si>
  <si>
    <t>Note - If MICAP is more than twenty it will shown as Zero</t>
  </si>
  <si>
    <t>Owner's Earnings (in INR Cr)</t>
  </si>
  <si>
    <t>This is based on whatever you have input on FCF sheet</t>
  </si>
  <si>
    <t>꓿</t>
  </si>
  <si>
    <r>
      <t>NP</t>
    </r>
    <r>
      <rPr>
        <vertAlign val="subscript"/>
        <sz val="11"/>
        <color theme="1"/>
        <rFont val="Calibri"/>
        <family val="2"/>
        <scheme val="minor"/>
      </rPr>
      <t>CY</t>
    </r>
    <r>
      <rPr>
        <sz val="11"/>
        <color theme="1"/>
        <rFont val="Calibri"/>
        <family val="2"/>
        <scheme val="minor"/>
      </rPr>
      <t xml:space="preserve"> - NP</t>
    </r>
    <r>
      <rPr>
        <vertAlign val="subscript"/>
        <sz val="11"/>
        <color theme="1"/>
        <rFont val="Calibri"/>
        <family val="2"/>
        <scheme val="minor"/>
      </rPr>
      <t>CY-4</t>
    </r>
  </si>
  <si>
    <r>
      <t>NW</t>
    </r>
    <r>
      <rPr>
        <vertAlign val="subscript"/>
        <sz val="11"/>
        <color theme="1"/>
        <rFont val="Calibri"/>
        <family val="2"/>
        <scheme val="minor"/>
      </rPr>
      <t>CY</t>
    </r>
    <r>
      <rPr>
        <sz val="11"/>
        <color theme="1"/>
        <rFont val="Calibri"/>
        <family val="2"/>
        <scheme val="minor"/>
      </rPr>
      <t xml:space="preserve"> - NW</t>
    </r>
    <r>
      <rPr>
        <vertAlign val="subscript"/>
        <sz val="11"/>
        <color theme="1"/>
        <rFont val="Calibri"/>
        <family val="2"/>
        <scheme val="minor"/>
      </rPr>
      <t>CY-4</t>
    </r>
  </si>
  <si>
    <t>Piotroski 2: Operating Cash Flow &gt;0</t>
  </si>
  <si>
    <t>Piotroski 3: Return on Assets higher than last Yr.</t>
  </si>
  <si>
    <t>Piotroski 7: Shares Outstanding not higher than last Yr.</t>
  </si>
  <si>
    <t>Piotroski 8: Gross Margin higher than last Yr.</t>
  </si>
  <si>
    <t>Piotroski 9: Total Income/Total Assets higher than last Yr.</t>
  </si>
  <si>
    <t>Discount Rate</t>
  </si>
  <si>
    <t>RESEARCH FRAMEWORK</t>
  </si>
  <si>
    <t>S.No</t>
  </si>
  <si>
    <t>Criteria</t>
  </si>
  <si>
    <t>Goal</t>
  </si>
  <si>
    <t>Actual</t>
  </si>
  <si>
    <t>Description</t>
  </si>
  <si>
    <t>Weight</t>
  </si>
  <si>
    <t>PARAMETER</t>
  </si>
  <si>
    <t>Max WEIGHT</t>
  </si>
  <si>
    <t>Actual Weight</t>
  </si>
  <si>
    <t>FINANCIAL ANALYSIS</t>
  </si>
  <si>
    <t>TOTAL</t>
  </si>
  <si>
    <t>Financial Anlaysis</t>
  </si>
  <si>
    <t>ROE/ROA 5 Yr.</t>
  </si>
  <si>
    <t>Industry Analysis</t>
  </si>
  <si>
    <t>EPS growth 5 Yr.</t>
  </si>
  <si>
    <t>&gt;20%</t>
  </si>
  <si>
    <t>Management Analysis</t>
  </si>
  <si>
    <t>Promoter Pledged Holding</t>
  </si>
  <si>
    <t>Other Parameters</t>
  </si>
  <si>
    <t>EPS growth 10 Yr.</t>
  </si>
  <si>
    <t>Margin of Safety</t>
  </si>
  <si>
    <t>Growth should be consistent year on year. Ignore companies where a sudden spurt of sales in one year is confounding the 10 years performance.
Very high growth rates of &gt;50% are unsustainable.</t>
  </si>
  <si>
    <t>Avg. NP margin 5 Yr.</t>
  </si>
  <si>
    <t>Look for companies with sustained operating &amp; net profit margins over the years - See more at: http://www.drvijaymalik.com/2015/01/selecting-top-stocks-to-buy-part-10.html#sthash.swZnrKBv.dpuf</t>
  </si>
  <si>
    <t>CFO/PAT 5 Yr.</t>
  </si>
  <si>
    <t>&gt;1</t>
  </si>
  <si>
    <t>Cumulative PAT and CFO are similar for last 10 years</t>
  </si>
  <si>
    <t>Promoter Holding 5 Yr.</t>
  </si>
  <si>
    <t>Debt/Net Profit</t>
  </si>
  <si>
    <t>&lt;=5</t>
  </si>
  <si>
    <t>&gt;1.25</t>
  </si>
  <si>
    <t>Current Cash flow</t>
  </si>
  <si>
    <t>CFO &gt; 0</t>
  </si>
  <si>
    <t>Positive CFO is necessary. It’s great if CFO meets the outflow for CFI and CFF</t>
  </si>
  <si>
    <t>BUSINESS &amp; INDUSTRY ANALYSIS</t>
  </si>
  <si>
    <t>Comparison with industry peers</t>
  </si>
  <si>
    <t>Sales growth &gt; peers</t>
  </si>
  <si>
    <t>The Company must show sales growth higher than peers. If its sales growth is similar to peers, then there is no Moat</t>
  </si>
  <si>
    <t>Increase in production capacity and sales volume</t>
  </si>
  <si>
    <t>Production capacity &amp; sales volume CAGR ~ Sales CAGR</t>
  </si>
  <si>
    <t>Company must have shown increased market penetration by selling higher volumes of its product/service</t>
  </si>
  <si>
    <t>Conversion of sales growth into profits</t>
  </si>
  <si>
    <t>Profit CAGR 5 Yr.~ Sales CAGR 5 Yr.</t>
  </si>
  <si>
    <t>A Moat would result in increasing profits with increasing sales. Otherwise, sales growth is only a result of unnecessary expansion or aggressive marketing push, which would erode value in long term.</t>
  </si>
  <si>
    <t>Creation of value for shareholders from the profits retained</t>
  </si>
  <si>
    <t>The increase in MCap in last 10 yrs. &gt; Retained profits in last 10 yrs.</t>
  </si>
  <si>
    <t>Otherwise, company is destroying wealth of shareholders</t>
  </si>
  <si>
    <t>MANAGEMENT ANALYSIS</t>
  </si>
  <si>
    <t>Background check of promoters &amp; directors</t>
  </si>
  <si>
    <t>Web Search</t>
  </si>
  <si>
    <t>There should not be any information questioning the integrity of promoters &amp; directors</t>
  </si>
  <si>
    <t>Management succession plans</t>
  </si>
  <si>
    <t>Good succession plan should be in place</t>
  </si>
  <si>
    <t>Salary being paid to potential successors should be in line with their experience</t>
  </si>
  <si>
    <t>Salary of promoters vs. net profits</t>
  </si>
  <si>
    <t>No salary increase with declining profits/losses</t>
  </si>
  <si>
    <t>promoter should not have a history of seeking increase in remuneration when the profits of the company declined in past</t>
  </si>
  <si>
    <t>Project execution skills</t>
  </si>
  <si>
    <t>Green/brownfield project execution</t>
  </si>
  <si>
    <t>The company should have shown good project execution skills with cost and time overruns.Exclude capacity increase by mergers &amp; acquisitions.</t>
  </si>
  <si>
    <t>Promoter shareholding</t>
  </si>
  <si>
    <t>&gt; 51%</t>
  </si>
  <si>
    <t>Higher the better</t>
  </si>
  <si>
    <t>FII shareholding</t>
  </si>
  <si>
    <t>the lower the better</t>
  </si>
  <si>
    <t>OTHER BUSINESS PARAMETERS</t>
  </si>
  <si>
    <t>Product diversification</t>
  </si>
  <si>
    <t>Pure play</t>
  </si>
  <si>
    <t>The company should be either a pure play (only one business segment) or related products. Pure play model ensures that the management is specialized in what they are doing. Entirely different unrelated products/services are a strict NO. An investor should rather buy stocks of different companies if she wants such diversification.</t>
  </si>
  <si>
    <t>Govt. influence</t>
  </si>
  <si>
    <t>No govt. interference in profit making</t>
  </si>
  <si>
    <t>No cap on profit returns or pricing of the product.No compulsion to supply to certain clients.</t>
  </si>
  <si>
    <t>Labor Problems</t>
  </si>
  <si>
    <t>Free Cash Flow (FCF)</t>
  </si>
  <si>
    <t>FCF/CFO &gt;&gt; 0</t>
  </si>
  <si>
    <t>CASH FLOW</t>
  </si>
  <si>
    <t xml:space="preserve"> CFF/CFO</t>
  </si>
  <si>
    <t>Capex/CFO</t>
  </si>
  <si>
    <t>CFO/PAT</t>
  </si>
  <si>
    <t>CFO/Sales</t>
  </si>
  <si>
    <t>CFO/Assets</t>
  </si>
  <si>
    <t>CFO/Current Liabilty</t>
  </si>
  <si>
    <t>CFO/Total Debt</t>
  </si>
  <si>
    <t>CAPEX/FCF</t>
  </si>
  <si>
    <t>5 Yr. Average</t>
  </si>
  <si>
    <t>Current</t>
  </si>
  <si>
    <t>OTHERS</t>
  </si>
  <si>
    <t>Gross Profit Margin</t>
  </si>
  <si>
    <t>Net Profit Margin</t>
  </si>
  <si>
    <t>Inventory/Sales</t>
  </si>
  <si>
    <t>Current Cash/Assets</t>
  </si>
  <si>
    <t>Current Assets/Current Liabilities</t>
  </si>
  <si>
    <t>Leverage</t>
  </si>
  <si>
    <t>ROCE</t>
  </si>
  <si>
    <t>GROWTH</t>
  </si>
  <si>
    <t>Sales</t>
  </si>
  <si>
    <t xml:space="preserve">Inventory </t>
  </si>
  <si>
    <t xml:space="preserve">Receivables </t>
  </si>
  <si>
    <t>PAT</t>
  </si>
  <si>
    <t>10 YR CAGR</t>
  </si>
  <si>
    <t>5 YR CAGR</t>
  </si>
  <si>
    <t>FII</t>
  </si>
  <si>
    <t>COPY PASTE DATA FROM ANY FINANCIAL WEBSITE: ONLY FOR THE FIELDS MARKED GREEN BELOW</t>
  </si>
  <si>
    <t>CONSOLIDATED</t>
  </si>
  <si>
    <t>Inventory</t>
  </si>
  <si>
    <t>Debtors</t>
  </si>
  <si>
    <t>Working Capital (check)</t>
  </si>
  <si>
    <t>COPY PASTE DATA FROM ANNUAL REPORTS: ONLY FOR THE FIELDS MARKED ORANGE BELOW</t>
  </si>
  <si>
    <t>Operating Expenses/Capex</t>
  </si>
  <si>
    <t>Employee cost</t>
  </si>
  <si>
    <t>Advertising and sales promotion</t>
  </si>
  <si>
    <t>Freight, transport and distribution</t>
  </si>
  <si>
    <t>Royalty</t>
  </si>
  <si>
    <t>Power and fuel</t>
  </si>
  <si>
    <t>Miscellaneous expenses</t>
  </si>
  <si>
    <t>R&amp;D Cost</t>
  </si>
  <si>
    <t>Gross Profit</t>
  </si>
  <si>
    <t>Depreciation &amp; Amortisation</t>
  </si>
  <si>
    <t>EBIT</t>
  </si>
  <si>
    <t>PBT</t>
  </si>
  <si>
    <t>Dividends</t>
  </si>
  <si>
    <t>Current Market Cap</t>
  </si>
  <si>
    <t>Equity</t>
  </si>
  <si>
    <t>Reserves &amp; Surplus</t>
  </si>
  <si>
    <t>Borrowings</t>
  </si>
  <si>
    <t>Other Liabilities</t>
  </si>
  <si>
    <t>Current Asset</t>
  </si>
  <si>
    <t>Net Fixed Assets</t>
  </si>
  <si>
    <t>Cash</t>
  </si>
  <si>
    <t>Net Other Assets</t>
  </si>
  <si>
    <t>Invested Capital</t>
  </si>
  <si>
    <t>Capital Employed</t>
  </si>
  <si>
    <t>Total Liability</t>
  </si>
  <si>
    <t>Cash from Investing Activity</t>
  </si>
  <si>
    <t>Cash from Financing Activity</t>
  </si>
  <si>
    <t>Tax Rate</t>
  </si>
  <si>
    <t>NOPAT</t>
  </si>
  <si>
    <t>MktCap+Dividend</t>
  </si>
  <si>
    <t>Retained Profit</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</si>
  <si>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</si>
  <si>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</si>
  <si>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</si>
  <si>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</si>
  <si>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</si>
  <si>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</si>
  <si>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</si>
  <si>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</si>
  <si>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</si>
  <si>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</si>
  <si>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</si>
  <si>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</si>
  <si>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</si>
  <si>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</si>
  <si>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COMPANY NAME</t>
  </si>
  <si>
    <t>LATEST VERSION</t>
  </si>
  <si>
    <t>PLEASE DO NOT MAKE ANY CHANGES TO THIS SHEET</t>
  </si>
  <si>
    <t>CURRENT VERSION</t>
  </si>
  <si>
    <t>META</t>
  </si>
  <si>
    <t>Number of shares</t>
  </si>
  <si>
    <t>Face Value</t>
  </si>
  <si>
    <t>Current Price</t>
  </si>
  <si>
    <t>Market Capitalization</t>
  </si>
  <si>
    <t>PROFIT &amp; LOSS</t>
  </si>
  <si>
    <t>Report Date</t>
  </si>
  <si>
    <t>Raw Material Cost</t>
  </si>
  <si>
    <t>Change in Inventory</t>
  </si>
  <si>
    <t>Power and Fuel</t>
  </si>
  <si>
    <t>Other Mfr. Exp</t>
  </si>
  <si>
    <t>Selling and admin</t>
  </si>
  <si>
    <t>Other Expenses</t>
  </si>
  <si>
    <t>Profit before tax</t>
  </si>
  <si>
    <t>Net profit</t>
  </si>
  <si>
    <t>Dividend Amount</t>
  </si>
  <si>
    <t>Quarters</t>
  </si>
  <si>
    <t>Expenses</t>
  </si>
  <si>
    <t>BALANCE SHEET</t>
  </si>
  <si>
    <t>Total</t>
  </si>
  <si>
    <t>Other Assets</t>
  </si>
  <si>
    <t>Receivables</t>
  </si>
  <si>
    <t>Cash &amp; Bank</t>
  </si>
  <si>
    <t>No. of Equity Shares</t>
  </si>
  <si>
    <t>New Bonus Shares</t>
  </si>
  <si>
    <t>CASH FLOW:</t>
  </si>
  <si>
    <t>Cash from Operating Activity</t>
  </si>
  <si>
    <t>Net Cash Flow</t>
  </si>
  <si>
    <t>PRICE:</t>
  </si>
  <si>
    <t>DERIVED:</t>
  </si>
  <si>
    <t>Adjusted Equity Shares in Cr</t>
  </si>
  <si>
    <t>Piotroski 1: PAT &gt;0</t>
  </si>
  <si>
    <t>Piotroski 4: Operating Cash Flow higher than PAT</t>
  </si>
  <si>
    <t>T2 = Reserves &amp; Surplus/Total Assets</t>
  </si>
  <si>
    <t>Borrowings / Total Assets</t>
  </si>
  <si>
    <t>Piotroski 5: Borrowings/Assets lower than last Yr.</t>
  </si>
  <si>
    <t>Piotroski 6: Current Ratio than last Yr.</t>
  </si>
  <si>
    <t>T4 = Market Value of Equity/Total Assets</t>
  </si>
  <si>
    <t>Price</t>
  </si>
  <si>
    <t>CY-5</t>
  </si>
  <si>
    <t>P E/B Valuation</t>
  </si>
  <si>
    <t>Avg P/E Ratio</t>
  </si>
  <si>
    <t>Avg P/B Ratio</t>
  </si>
  <si>
    <t>EPS/BV  after 5 years</t>
  </si>
  <si>
    <t xml:space="preserve">EPS/BV </t>
  </si>
  <si>
    <t>5 Yr. Max</t>
  </si>
  <si>
    <t xml:space="preserve"> </t>
  </si>
  <si>
    <t>Receivables/
Sales</t>
  </si>
  <si>
    <t>PE</t>
  </si>
  <si>
    <t>PB</t>
  </si>
  <si>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</si>
  <si>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FCF/CFO</t>
  </si>
  <si>
    <t>Pricing Power</t>
  </si>
  <si>
    <t>That's what is called "pricing power". Companies with moat (as seen from other screening metrics as suggested above (like high ROE, high grow margins, low debt etc.) are able to adjust prices to inflation without the risk of losing significant volume sales.</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</si>
  <si>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</si>
  <si>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Rising earnings serve as a good catalyst for stock prices. So seek companies with strong, consistent, and expanding earnings (profits). Seek companies with 5/10 year earnings per share growth greater than 25% (alongwith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</si>
  <si>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</si>
  <si>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Current Ratio measures the liquidity of a company, or its ability to pay short-term obligations. 
Current Ratio = Current Assets / Current Liabilities
The ratio is mainly used to give an idea of the company's ability to pay back its short-term liabilities (debt and payables) with its short-term assets (cash, inventory, receivables). The higher the current ratio, the more capable the company is of paying its obligations. A ratio under 1 suggests that the company would be unable to pay off its obligations if they came due at that point.
While this shows the company is not in good financial health, it does not necessarily mean that it will go bankrupt - as there are many ways to access financing - but it is definitely not a good sign.
The current ratio can give a sense of the efficiency of a company's operating cycle or its ability to turn its product into cash. Companies that have trouble getting paid on their receivables or have long inventory turnover can run into liquidity problems because they are unable to alleviate their obligations.</t>
  </si>
  <si>
    <t>Seek companies where earnings have risen as retained earnings (earnings after paying dividends) have been employed profitably. A great way to screen for such companies is by looking at those that have had consistent earnings and strong return on equity in the past.
  What counts in the long run is the increase in "per share value", not overall growth or size of a business.</t>
  </si>
  <si>
    <t>ROE = Efficiency in allocating capital, which is a CEO's #1 job. Higher = Better. Look for consistency. 
Consider it a positive sign when a company is able to earn above-average (better than competitors) returns on equity without employing much debt. Average return on equity for Indian companies over the last 10 years is approximately 16%. Thus, seek companies that earn atleast this much (16%) or more than this. Again, consistency is the key here.</t>
  </si>
  <si>
    <t>Final Price</t>
  </si>
  <si>
    <t>Conservative furture growth in EPS/BVPS</t>
  </si>
  <si>
    <t>ROE 5 Yr.</t>
  </si>
  <si>
    <t>Assumptions</t>
  </si>
  <si>
    <t>PE Ratio</t>
  </si>
  <si>
    <t>PB Ratio</t>
  </si>
  <si>
    <t>Bank Interest 1 Yr</t>
  </si>
  <si>
    <t>Current EPS</t>
  </si>
  <si>
    <t>&gt;=-3%</t>
  </si>
  <si>
    <t>Debt/PAT</t>
  </si>
  <si>
    <t>Distance Covered</t>
  </si>
  <si>
    <t>Assets</t>
  </si>
  <si>
    <t xml:space="preserve">Shareholder funds </t>
  </si>
  <si>
    <t>List of mistakes made in the market made over and over again -</t>
  </si>
  <si>
    <t>Do not be taken in by the new highs. Once the past peak of the index has been crossed, every new level is a new high &amp; there is nothing extraordinary about it.</t>
  </si>
  <si>
    <t>These are journeys of an index which will go up as the market prices of stocks go up. They are not urgent reminders that tell you about loss opportunities.</t>
  </si>
  <si>
    <t>Do not treat them like immediate calls for actions. Do not check the index everyday, and do not make generalizations based on the index.</t>
  </si>
  <si>
    <t xml:space="preserve">Explanations about why the market is up or down is equally useless. Discount them. How you will do is a function of what you are buying, holding and selling. </t>
  </si>
  <si>
    <t>Stay focussed on that micro reality, not on the macro nartatives floating around.</t>
  </si>
  <si>
    <t>Do not sacrifice quality for anything. The rising tide allows lightweights to also soar. Do not use price as an indicator of how good the stock is.</t>
  </si>
  <si>
    <t>What you see as the rise in the price of the stock in the past is history. What will matter to you is how the stock stock will behave in the future.</t>
  </si>
  <si>
    <t>Make sure your holdings are worth your hard earned money. Do not take chances with unknown stocks and overhyped IPO when there are enough of others with well established track record &amp; performance numbers</t>
  </si>
  <si>
    <t>Your money deserves better</t>
  </si>
  <si>
    <t>Do not benchmark your returns with what you may have gained in the short-term by participating in the equity markets. It is a good feeling to see the value of investments go up.</t>
  </si>
  <si>
    <t xml:space="preserve">A bull market attracts investors as their confidence moves up when what they have invested in begins to do well, or exceed their expectations </t>
  </si>
  <si>
    <t>Investors who see a 10% return as fantastic will begin to believe that a 40% return is to be normally expected.</t>
  </si>
  <si>
    <t>It does not matter when that would happen, not is it necessary to predict the next fall. Returns will eventually average out overtime and these abnormal gains will bufer you again.</t>
  </si>
  <si>
    <t>Do not quit in great haste. The desire to be right about timing the market is very high with investors. Coming off from a flat into a boom creates anxities.</t>
  </si>
  <si>
    <t xml:space="preserve">Stories about how someone did not make all the money because of not getting out at the right time remain in memory. </t>
  </si>
  <si>
    <t>Tentativeness about how far the markets will run up will increase as naysayers point to the end of the bull market with every rise.</t>
  </si>
  <si>
    <t>Remember that a bull market is not defined by its highs, but by its lows. No one knows how far your stock will run and you may regret quitting too soon.</t>
  </si>
  <si>
    <t>Allow your gains to run. What you have to be hawk-eyed is the loss.</t>
  </si>
  <si>
    <t>Do not hesitate to throw out the bad apples. There is no way you will get each one of the stock picks right - even if you did the best research and analysis.</t>
  </si>
  <si>
    <t>There are too many unknowns and a stock you picked might end up doing worse that you expected. Your portfolio will do well if you focus on selling off what is losing money for you, rather than selling what is making money.</t>
  </si>
  <si>
    <t>If you are unable to see at a loss and move on, you may still not be ready for equity investing.If you do not cut your loss, your profits may get wiped off.</t>
  </si>
  <si>
    <t>Do not indulge in day trading if you not mastered the art of managing your capital. Trading is very different from investing &amp; calls for a different set of skills.</t>
  </si>
  <si>
    <t>Riding the momentum in a stock and booking some quick gains can make you mistakenly believe that it is all easy. Its just that you got lukcy in a gamble ans you may not be able to replicate your gains.</t>
  </si>
  <si>
    <t>Traders are tested when the bets move against them and a good one will bow out and take the loss on the chin. The amateur will hold the position &amp; wish for the markets to oblige &amp; get caught up in steep loss.</t>
  </si>
  <si>
    <t>Trading is about moving the capital quickly across positions, evaluating them as you go along. If you merely buy &amp; sell without that agility it is your broker who will make the money, not you.</t>
  </si>
  <si>
    <t>Particpate in the market with the power of information and preparedness. There are sensible approaches for discerning investor to participate in the value that businesses create</t>
  </si>
  <si>
    <t>RoE</t>
  </si>
  <si>
    <t>NP</t>
  </si>
  <si>
    <t>Tangible assets (Non-current)</t>
  </si>
  <si>
    <t>Investments (Current)</t>
  </si>
  <si>
    <t>Rest</t>
  </si>
  <si>
    <t>Raw Mat + Invt change</t>
  </si>
  <si>
    <t>Inventories (Current)</t>
  </si>
  <si>
    <t>Receivables (Current)</t>
  </si>
  <si>
    <t>Cash (Current)</t>
  </si>
  <si>
    <t>Liabilities</t>
  </si>
  <si>
    <t>Shareholder Funds</t>
  </si>
  <si>
    <r>
      <t>EPS</t>
    </r>
    <r>
      <rPr>
        <vertAlign val="subscript"/>
        <sz val="10"/>
        <color theme="1"/>
        <rFont val="Arial"/>
        <family val="2"/>
      </rPr>
      <t>i</t>
    </r>
  </si>
  <si>
    <r>
      <t>EPS</t>
    </r>
    <r>
      <rPr>
        <vertAlign val="subscript"/>
        <sz val="10"/>
        <color theme="1"/>
        <rFont val="Arial"/>
        <family val="2"/>
      </rPr>
      <t>i-1</t>
    </r>
  </si>
  <si>
    <t>Distance Left (5 Yrs.)</t>
  </si>
  <si>
    <t>Distance Left (1 Yr)</t>
  </si>
  <si>
    <t>P/L - Annual</t>
  </si>
  <si>
    <t>P/L - Quaterly</t>
  </si>
  <si>
    <t>While it is not possible to predict the future with any degee of certainity, you need to have an investment thesis or a basic set of reasons why you bought the stock. Write down your reasons.</t>
  </si>
  <si>
    <t>Do not be taken in by recent  experiences of appreciation in the value of your investments. Learn to see these as the buffer for the inevitable correction that will come in the future.</t>
  </si>
  <si>
    <t xml:space="preserve">Do not hope to recover your loss from the stock you wrongly picked. You can make it in a another stock.By letting your losses to persist, you are allowing your capital to bleed. </t>
  </si>
  <si>
    <t>http://www.bseindia.com/corporates/Sharehold_Searchnew.aspx?expandable=3</t>
  </si>
  <si>
    <t>P/L - Annual - YoY change</t>
  </si>
  <si>
    <t>Philip Fisher on What to Buy</t>
  </si>
  <si>
    <t>1.Does the company have products or services with sufficient market potential to make possible a sizeable increase in sales for atleast several years</t>
  </si>
  <si>
    <t>2.Does the management has determination to continue to develop products or processes that will further increase total sales potential when the growth potential of currently attractive product lines have largely been exploited</t>
  </si>
  <si>
    <t>3.How effective are the company's research and development efforts in relation to its size</t>
  </si>
  <si>
    <t>4.Does the company have an above average sales organization</t>
  </si>
  <si>
    <t>5.Does the company have a worthwhile profit margin</t>
  </si>
  <si>
    <t>6.What is the company doing to maintain or improve its profit margin</t>
  </si>
  <si>
    <t>7.Does the company have outstanding labor and personel relations</t>
  </si>
  <si>
    <t>8.Does the company have outstanding executive relations</t>
  </si>
  <si>
    <t>9.Does the company have depth to its management</t>
  </si>
  <si>
    <t>10.How good are the company's cost analysis and accounting controls</t>
  </si>
  <si>
    <t>11.Are there other aspects of the business, somewhat peculiar to the industry involved, which will give the investor important clues as to how outstanding the company maybe in relation to its competitors</t>
  </si>
  <si>
    <t>12.Does the company have a short-range or a long-range outlook in regard to its profits</t>
  </si>
  <si>
    <t>13.In the foreseeable future will the growth of the company require sufficient equity financing so that the large number of shares then outstanding will largely cancel the existing share holder's benefit from this anticipated growth</t>
  </si>
  <si>
    <t>14.Does the management talk freely to investors about its affairs when things are going well but calm up when trouble and disappointments happen</t>
  </si>
  <si>
    <t>15. Dies the company has management of unquestionable integrity</t>
  </si>
  <si>
    <t>P/L - QoQ - change</t>
  </si>
  <si>
    <t xml:space="preserve">Sales </t>
  </si>
  <si>
    <t>Sales QoQ</t>
  </si>
  <si>
    <t>NP QoQ</t>
  </si>
  <si>
    <t>Sales YoY</t>
  </si>
  <si>
    <t>EPS YoY</t>
  </si>
  <si>
    <r>
      <t xml:space="preserve">EPS - </t>
    </r>
    <r>
      <rPr>
        <b/>
        <i/>
        <sz val="10"/>
        <color theme="1"/>
        <rFont val="Arial"/>
        <family val="2"/>
      </rPr>
      <t>Annl</t>
    </r>
  </si>
  <si>
    <r>
      <t xml:space="preserve">Total Income - </t>
    </r>
    <r>
      <rPr>
        <b/>
        <i/>
        <sz val="12"/>
        <color theme="1"/>
        <rFont val="Calibri"/>
        <family val="2"/>
        <scheme val="minor"/>
      </rPr>
      <t>Annl</t>
    </r>
  </si>
  <si>
    <r>
      <t xml:space="preserve">Income Dist - </t>
    </r>
    <r>
      <rPr>
        <b/>
        <i/>
        <sz val="10"/>
        <color theme="1"/>
        <rFont val="Arial"/>
        <family val="2"/>
      </rPr>
      <t>Annl</t>
    </r>
  </si>
  <si>
    <r>
      <t xml:space="preserve">Income Dist - </t>
    </r>
    <r>
      <rPr>
        <b/>
        <i/>
        <sz val="10"/>
        <color theme="1"/>
        <rFont val="Arial"/>
        <family val="2"/>
      </rPr>
      <t>Qtrly</t>
    </r>
  </si>
  <si>
    <r>
      <t xml:space="preserve">Total Income - </t>
    </r>
    <r>
      <rPr>
        <b/>
        <i/>
        <sz val="12"/>
        <color theme="1"/>
        <rFont val="Calibri"/>
        <family val="2"/>
        <scheme val="minor"/>
      </rPr>
      <t>Qtrly</t>
    </r>
  </si>
  <si>
    <t>YOY</t>
  </si>
  <si>
    <r>
      <t>TTM</t>
    </r>
    <r>
      <rPr>
        <b/>
        <vertAlign val="subscript"/>
        <sz val="11"/>
        <color indexed="9"/>
        <rFont val="Calibri"/>
        <family val="2"/>
      </rPr>
      <t>I</t>
    </r>
  </si>
  <si>
    <r>
      <t>TTM</t>
    </r>
    <r>
      <rPr>
        <b/>
        <vertAlign val="subscript"/>
        <sz val="11"/>
        <color indexed="9"/>
        <rFont val="Calibri"/>
        <family val="2"/>
      </rPr>
      <t>I-1</t>
    </r>
  </si>
  <si>
    <t>Expected Gth</t>
  </si>
  <si>
    <t>Actual Gth</t>
  </si>
  <si>
    <t>Revenue</t>
  </si>
  <si>
    <t>Expected Score</t>
  </si>
  <si>
    <t>Actual Score</t>
  </si>
  <si>
    <t>SSGR</t>
  </si>
  <si>
    <t>Net fixed asset turnover (Sales/average net fixed assets over the year)</t>
  </si>
  <si>
    <t>Net profit margin as % of sales</t>
  </si>
  <si>
    <t>Dividend paid as % of net profit after tax</t>
  </si>
  <si>
    <t>Depreciation rate as a % of net fixed assets</t>
  </si>
  <si>
    <t>Net Profit - Qtr</t>
  </si>
  <si>
    <t>NP Margin</t>
  </si>
  <si>
    <t>Taxes</t>
  </si>
  <si>
    <t>Net Profit</t>
  </si>
  <si>
    <t>Profit Margin</t>
  </si>
  <si>
    <t>5 YR NP 
margin</t>
  </si>
  <si>
    <t>Expected</t>
  </si>
  <si>
    <t>PAT/WC</t>
  </si>
  <si>
    <t>Sales/NFAT</t>
  </si>
  <si>
    <t>Expected Value</t>
  </si>
  <si>
    <t>Actual Value</t>
  </si>
  <si>
    <t>Debt/NP</t>
  </si>
  <si>
    <t>&gt;=1</t>
  </si>
  <si>
    <t xml:space="preserve">5 Yr. CFO/PAT </t>
  </si>
  <si>
    <t>&gt;20%  / &gt;2%</t>
  </si>
  <si>
    <t>&gt;0</t>
  </si>
  <si>
    <t>&gt;=1.25</t>
  </si>
  <si>
    <t>Receivable Days</t>
  </si>
  <si>
    <t>Inventory Turnover ratio</t>
  </si>
  <si>
    <t>SSGR and FCF determine the margin of safety</t>
  </si>
  <si>
    <t>Indicator of asset light business model</t>
  </si>
  <si>
    <t>Accounts receivable days is the number of days that a customer invoice is outstanding before it is collected - indicator of credit terms offered by the company to its customers and subsequent collection practices</t>
  </si>
  <si>
    <t>How effectively inventory is managed by comparing cost of goods sold with average inventory for a period. This measures how many times average inventory is “turned” or sold during a period</t>
  </si>
  <si>
    <r>
      <rPr>
        <sz val="10"/>
        <rFont val="Calibri"/>
        <family val="2"/>
      </rPr>
      <t>∆</t>
    </r>
    <r>
      <rPr>
        <sz val="10"/>
        <rFont val="Calibri"/>
        <family val="2"/>
        <charset val="1"/>
      </rPr>
      <t xml:space="preserve"> WC</t>
    </r>
  </si>
  <si>
    <t>C Liability/C Asset</t>
  </si>
  <si>
    <t>CFO to be higher than PAT. Excess CFO helps to fund its business expansion attempts over and above the SSGR levels.</t>
  </si>
  <si>
    <t>C Liabilty/ C Asset</t>
  </si>
  <si>
    <t>Revenue growth 5 Yr.</t>
  </si>
  <si>
    <t>Profit</t>
  </si>
  <si>
    <t>Efficiency</t>
  </si>
  <si>
    <t>Promoter</t>
  </si>
  <si>
    <t>RoE/RoA</t>
  </si>
  <si>
    <t>C Liabillity/ C Asset</t>
  </si>
  <si>
    <t>Change WC and NP</t>
  </si>
  <si>
    <t xml:space="preserve">Receivable Days
</t>
  </si>
  <si>
    <t xml:space="preserve">Inventory Days
</t>
  </si>
  <si>
    <t>Promoters</t>
  </si>
  <si>
    <t>Others</t>
  </si>
  <si>
    <t>Shareholding Dist.</t>
  </si>
  <si>
    <t>WC if managed well growth funded by profit allows the company to have SSGR &gt;= Sales gth rate. If sales is debt funded then SSGR &lt; Sales gth rate</t>
  </si>
  <si>
    <t>Promoter unpledged</t>
  </si>
  <si>
    <t>Promoter pledged</t>
  </si>
  <si>
    <t>Mutual funds</t>
  </si>
  <si>
    <t>Bodies corporate</t>
  </si>
  <si>
    <t>Individuals &lt;= 2 lakh</t>
  </si>
  <si>
    <t>Individuals &gt; 2 lakh</t>
  </si>
  <si>
    <t>QoQ</t>
  </si>
  <si>
    <t>QoQ NP</t>
  </si>
  <si>
    <t>Fluctuations in Operating Profit margin indicative of lack of pricing power - company not able to pass in higher raw material price to the customer</t>
  </si>
  <si>
    <t>OP Margin</t>
  </si>
  <si>
    <t>5 YR cFCF</t>
  </si>
  <si>
    <t>Are current liabilties able to fund the current asset. Current Liabilities is also called Float (other people's money)</t>
  </si>
  <si>
    <t>Float</t>
  </si>
  <si>
    <t>Debt</t>
  </si>
  <si>
    <t xml:space="preserve">Asset Dist. </t>
  </si>
  <si>
    <t>Liabilty Dist.</t>
  </si>
  <si>
    <t>Liability Dist.</t>
  </si>
  <si>
    <t xml:space="preserve">Indicator in internal accruals are getting tied to WC and that is causing company to borrow money for capex. </t>
  </si>
  <si>
    <t>Source of Cash</t>
  </si>
  <si>
    <t>TTM</t>
  </si>
  <si>
    <t>Cash Sales</t>
  </si>
  <si>
    <t>Credit Sales</t>
  </si>
  <si>
    <t>Sales Type</t>
  </si>
  <si>
    <t>Sales in Cash/Credit</t>
  </si>
  <si>
    <t xml:space="preserve">Inventory/Sales
</t>
  </si>
  <si>
    <t>Qualitative Scorecard</t>
  </si>
  <si>
    <t>&gt;5%</t>
  </si>
  <si>
    <t>Operating Profit Components</t>
  </si>
  <si>
    <t>CY0</t>
  </si>
  <si>
    <t>CY+1</t>
  </si>
  <si>
    <t xml:space="preserve"> &gt;10%</t>
  </si>
  <si>
    <t>EPS Expected Score</t>
  </si>
  <si>
    <t>EPS Actual Score</t>
  </si>
  <si>
    <t>EPS Expected Gth</t>
  </si>
  <si>
    <t>EPS Actual Gth</t>
  </si>
  <si>
    <t>PAT Actual Gth</t>
  </si>
  <si>
    <t>IRB INFRASTRUCTURE DEVELOPERS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</si>
</sst>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gt;9999999]##\,##\,##\,##0.00;[&gt;99999]##\,##\,##0.00;##,##0.00"/>
    <numFmt numFmtId="165" formatCode="_ &quot;₹&quot;\ * #,##0_ ;_ &quot;₹&quot;\ * \-#,##0_ ;_ &quot;₹&quot;\ * &quot;-&quot;??_ ;_ @_ "/>
    <numFmt numFmtId="166" formatCode="_(* #,##0_);_(* \(#,##0\);_(* &quot;-&quot;??_);_(@_)"/>
    <numFmt numFmtId="167" formatCode="0.0"/>
    <numFmt numFmtId="168" formatCode="0.0%"/>
    <numFmt numFmtId="169" formatCode="_(* #,##0.0_);_(* \(#,##0.0\);_(* &quot;-&quot;??_);_(@_)"/>
    <numFmt numFmtId="170" formatCode="_ * #,##0.00_ ;_ * \-#,##0.00_ ;_ * &quot;-&quot;??_ ;_ @_ "/>
    <numFmt numFmtId="171" formatCode="[$-409]mmm\-yy;@"/>
  </numFmts>
  <fonts count="70">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1"/>
      <color theme="1"/>
      <name val="Arial"/>
      <family val="2"/>
    </font>
    <font>
      <sz val="11"/>
      <color theme="1"/>
      <name val="Arial"/>
      <family val="2"/>
    </font>
    <font>
      <sz val="11"/>
      <color theme="0"/>
      <name val="Arial"/>
      <family val="2"/>
    </font>
    <font>
      <sz val="10"/>
      <color theme="0"/>
      <name val="Arial"/>
      <family val="2"/>
    </font>
    <font>
      <u/>
      <sz val="11"/>
      <color theme="10"/>
      <name val="Arial"/>
      <family val="2"/>
    </font>
    <font>
      <b/>
      <sz val="12"/>
      <color theme="3" tint="-0.249977111117893"/>
      <name val="Georgia"/>
      <family val="1"/>
    </font>
    <font>
      <u/>
      <sz val="10"/>
      <color theme="10"/>
      <name val="Arial"/>
      <family val="2"/>
    </font>
    <font>
      <sz val="10"/>
      <color theme="1"/>
      <name val="Arial"/>
      <family val="2"/>
    </font>
    <font>
      <sz val="10"/>
      <color theme="0"/>
      <name val="Calibri"/>
      <family val="2"/>
      <scheme val="minor"/>
    </font>
    <font>
      <b/>
      <sz val="10"/>
      <color theme="1"/>
      <name val="Arial"/>
      <family val="2"/>
    </font>
    <font>
      <b/>
      <sz val="10"/>
      <color theme="0"/>
      <name val="Calibri"/>
      <family val="2"/>
      <scheme val="minor"/>
    </font>
    <font>
      <sz val="11"/>
      <name val="Arial"/>
      <family val="2"/>
    </font>
    <font>
      <sz val="11"/>
      <color rgb="FF3F3F76"/>
      <name val="Calibri"/>
      <family val="2"/>
      <scheme val="minor"/>
    </font>
    <font>
      <sz val="11"/>
      <color rgb="FFFF0000"/>
      <name val="Calibri"/>
      <family val="2"/>
      <scheme val="minor"/>
    </font>
    <font>
      <sz val="10"/>
      <name val="Arial"/>
      <family val="2"/>
    </font>
    <font>
      <sz val="11"/>
      <color theme="1"/>
      <name val="Calibri"/>
      <family val="2"/>
      <scheme val="minor"/>
    </font>
    <font>
      <b/>
      <sz val="11"/>
      <color rgb="FF7030A0"/>
      <name val="Calibri"/>
      <family val="2"/>
      <scheme val="minor"/>
    </font>
    <font>
      <b/>
      <sz val="11"/>
      <color rgb="FF00B050"/>
      <name val="Calibri"/>
      <family val="2"/>
      <scheme val="minor"/>
    </font>
    <font>
      <sz val="9"/>
      <color theme="1"/>
      <name val="Arial"/>
      <family val="2"/>
    </font>
    <font>
      <sz val="9"/>
      <color rgb="FF3F3F76"/>
      <name val="Calibri"/>
      <family val="2"/>
      <scheme val="minor"/>
    </font>
    <font>
      <b/>
      <sz val="11"/>
      <color theme="0"/>
      <name val="Calibri"/>
      <family val="2"/>
      <scheme val="minor"/>
    </font>
    <font>
      <b/>
      <sz val="11"/>
      <color rgb="FFFF0000"/>
      <name val="Calibri"/>
      <family val="2"/>
      <scheme val="minor"/>
    </font>
    <font>
      <sz val="11"/>
      <color rgb="FF00B050"/>
      <name val="Calibri"/>
      <family val="2"/>
      <scheme val="minor"/>
    </font>
    <font>
      <u/>
      <sz val="11"/>
      <color rgb="FF555555"/>
      <name val="Inherit"/>
    </font>
    <font>
      <sz val="26"/>
      <color theme="1"/>
      <name val="Calibri"/>
      <family val="2"/>
    </font>
    <font>
      <vertAlign val="subscript"/>
      <sz val="11"/>
      <color theme="1"/>
      <name val="Calibri"/>
      <family val="2"/>
      <scheme val="minor"/>
    </font>
    <font>
      <sz val="9"/>
      <color theme="1"/>
      <name val="Cambria"/>
      <family val="1"/>
      <scheme val="major"/>
    </font>
    <font>
      <b/>
      <sz val="9"/>
      <color theme="1"/>
      <name val="Cambria"/>
      <family val="1"/>
      <scheme val="major"/>
    </font>
    <font>
      <sz val="9"/>
      <color rgb="FF444444"/>
      <name val="Cambria"/>
      <family val="1"/>
      <scheme val="major"/>
    </font>
    <font>
      <b/>
      <sz val="9"/>
      <color rgb="FF444444"/>
      <name val="Cambria"/>
      <family val="1"/>
      <scheme val="major"/>
    </font>
    <font>
      <b/>
      <sz val="9"/>
      <color theme="1"/>
      <name val="Calibri"/>
      <family val="2"/>
    </font>
    <font>
      <sz val="9"/>
      <color theme="1"/>
      <name val="Calibri"/>
      <family val="2"/>
      <charset val="1"/>
    </font>
    <font>
      <sz val="11"/>
      <color theme="1"/>
      <name val="Calibri"/>
      <family val="2"/>
      <charset val="1"/>
    </font>
    <font>
      <sz val="9"/>
      <color indexed="81"/>
      <name val="Tahoma"/>
      <family val="2"/>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u/>
      <sz val="11"/>
      <color theme="10"/>
      <name val="Calibri"/>
      <family val="2"/>
    </font>
    <font>
      <sz val="8"/>
      <color theme="1"/>
      <name val="Arial"/>
      <family val="2"/>
    </font>
    <font>
      <sz val="10"/>
      <color theme="1"/>
      <name val="Calibri"/>
      <family val="2"/>
      <scheme val="minor"/>
    </font>
    <font>
      <sz val="9"/>
      <color theme="1"/>
      <name val="Calibri"/>
      <family val="2"/>
      <scheme val="minor"/>
    </font>
    <font>
      <sz val="8"/>
      <color rgb="FF000000"/>
      <name val="Segoe UI"/>
      <family val="2"/>
    </font>
    <font>
      <vertAlign val="subscript"/>
      <sz val="10"/>
      <color theme="1"/>
      <name val="Arial"/>
      <family val="2"/>
    </font>
    <font>
      <b/>
      <i/>
      <sz val="10"/>
      <color theme="1"/>
      <name val="Arial"/>
      <family val="2"/>
    </font>
    <font>
      <b/>
      <sz val="12"/>
      <color theme="1"/>
      <name val="Calibri"/>
      <family val="2"/>
      <scheme val="minor"/>
    </font>
    <font>
      <b/>
      <i/>
      <sz val="12"/>
      <color theme="1"/>
      <name val="Calibri"/>
      <family val="2"/>
      <scheme val="minor"/>
    </font>
    <font>
      <b/>
      <vertAlign val="subscript"/>
      <sz val="11"/>
      <color indexed="9"/>
      <name val="Calibri"/>
      <family val="2"/>
    </font>
    <font>
      <b/>
      <sz val="10"/>
      <name val="Calibri"/>
      <family val="2"/>
    </font>
    <font>
      <sz val="10"/>
      <color rgb="FF000000"/>
      <name val="Arial"/>
      <family val="2"/>
    </font>
    <font>
      <b/>
      <sz val="10"/>
      <color theme="1"/>
      <name val="Calibri"/>
      <family val="2"/>
    </font>
    <font>
      <sz val="8"/>
      <color theme="1"/>
      <name val="Calibri"/>
      <family val="2"/>
      <scheme val="minor"/>
    </font>
    <font>
      <b/>
      <sz val="8"/>
      <color theme="1"/>
      <name val="Calibri"/>
      <family val="2"/>
      <scheme val="minor"/>
    </font>
    <font>
      <sz val="10"/>
      <name val="Calibri"/>
      <family val="2"/>
    </font>
    <font>
      <b/>
      <sz val="10"/>
      <color rgb="FF7030A0"/>
      <name val="Calibri"/>
      <family val="2"/>
      <scheme val="minor"/>
    </font>
    <font>
      <sz val="8"/>
      <color rgb="FF444444"/>
      <name val="Cambria"/>
      <family val="1"/>
      <scheme val="major"/>
    </font>
    <font>
      <b/>
      <sz val="10"/>
      <color theme="1"/>
      <name val="Calibri"/>
      <family val="2"/>
      <scheme val="minor"/>
    </font>
    <font>
      <i/>
      <sz val="9"/>
      <color theme="1"/>
      <name val="Calibri"/>
      <family val="2"/>
      <scheme val="minor"/>
    </font>
    <font>
      <i/>
      <sz val="9"/>
      <color rgb="FF444444"/>
      <name val="Calibri"/>
      <family val="2"/>
      <scheme val="minor"/>
    </font>
    <font>
      <i/>
      <sz val="11"/>
      <color theme="1"/>
      <name val="Calibri"/>
      <family val="2"/>
      <scheme val="minor"/>
    </font>
  </fonts>
  <fills count="31">
    <fill>
      <patternFill patternType="none"/>
    </fill>
    <fill>
      <patternFill patternType="gray125"/>
    </fill>
    <fill>
      <patternFill patternType="solid">
        <fgColor theme="4"/>
      </patternFill>
    </fill>
    <fill>
      <patternFill patternType="solid">
        <fgColor theme="7"/>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theme="6"/>
      </patternFill>
    </fill>
    <fill>
      <patternFill patternType="solid">
        <fgColor theme="3" tint="0.79998168889431442"/>
        <bgColor indexed="64"/>
      </patternFill>
    </fill>
    <fill>
      <patternFill patternType="solid">
        <fgColor theme="5"/>
        <bgColor indexed="64"/>
      </patternFill>
    </fill>
    <fill>
      <patternFill patternType="solid">
        <fgColor rgb="FF92D050"/>
        <bgColor indexed="64"/>
      </patternFill>
    </fill>
    <fill>
      <patternFill patternType="solid">
        <fgColor theme="7"/>
        <bgColor indexed="64"/>
      </patternFill>
    </fill>
    <fill>
      <patternFill patternType="solid">
        <fgColor rgb="FFFFCC99"/>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bgColor indexed="64"/>
      </patternFill>
    </fill>
    <fill>
      <patternFill patternType="solid">
        <fgColor theme="7" tint="-0.249977111117893"/>
        <bgColor indexed="64"/>
      </patternFill>
    </fill>
    <fill>
      <patternFill patternType="solid">
        <fgColor theme="9"/>
      </patternFill>
    </fill>
    <fill>
      <patternFill patternType="solid">
        <fgColor theme="0" tint="-4.9989318521683403E-2"/>
        <bgColor indexed="64"/>
      </patternFill>
    </fill>
    <fill>
      <patternFill patternType="solid">
        <fgColor rgb="FFC7E6A4"/>
        <bgColor indexed="64"/>
      </patternFill>
    </fill>
    <fill>
      <patternFill patternType="solid">
        <fgColor rgb="FFF2F2F2"/>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0275D8"/>
        <bgColor indexed="64"/>
      </patternFill>
    </fill>
    <fill>
      <patternFill patternType="solid">
        <fgColor theme="0" tint="-0.34998626667073579"/>
        <bgColor indexed="64"/>
      </patternFill>
    </fill>
    <fill>
      <patternFill patternType="solid">
        <fgColor rgb="FFFFFFC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right/>
      <top style="thin">
        <color rgb="FF7F7F7F"/>
      </top>
      <bottom/>
      <diagonal/>
    </border>
    <border>
      <left/>
      <right style="thin">
        <color indexed="64"/>
      </right>
      <top style="thin">
        <color rgb="FF7F7F7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64"/>
      </left>
      <right/>
      <top style="thin">
        <color indexed="64"/>
      </top>
      <bottom/>
      <diagonal/>
    </border>
    <border>
      <left/>
      <right/>
      <top style="double">
        <color theme="0" tint="-0.499984740745262"/>
      </top>
      <bottom/>
      <diagonal/>
    </border>
    <border>
      <left/>
      <right/>
      <top/>
      <bottom style="double">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diagonal/>
    </border>
  </borders>
  <cellStyleXfs count="12">
    <xf numFmtId="0" fontId="0" fillId="0" borderId="0"/>
    <xf numFmtId="0" fontId="2"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xf numFmtId="0" fontId="2" fillId="7" borderId="0" applyNumberFormat="0" applyBorder="0" applyAlignment="0" applyProtection="0"/>
    <xf numFmtId="0" fontId="17" fillId="12" borderId="8" applyNumberFormat="0" applyAlignment="0" applyProtection="0"/>
    <xf numFmtId="9" fontId="20" fillId="0" borderId="0" applyFont="0" applyFill="0" applyBorder="0" applyAlignment="0" applyProtection="0"/>
    <xf numFmtId="43" fontId="20" fillId="0" borderId="0" applyFont="0" applyFill="0" applyBorder="0" applyAlignment="0" applyProtection="0"/>
    <xf numFmtId="0" fontId="2" fillId="18" borderId="0" applyNumberFormat="0" applyBorder="0" applyAlignment="0" applyProtection="0"/>
    <xf numFmtId="0" fontId="19" fillId="0" borderId="0"/>
    <xf numFmtId="170" fontId="20" fillId="0" borderId="0" applyFont="0" applyFill="0" applyBorder="0" applyAlignment="0" applyProtection="0"/>
    <xf numFmtId="0" fontId="48" fillId="0" borderId="0" applyNumberFormat="0" applyFill="0" applyBorder="0" applyAlignment="0" applyProtection="0">
      <alignment vertical="top"/>
      <protection locked="0"/>
    </xf>
  </cellStyleXfs>
  <cellXfs count="412">
    <xf numFmtId="0" fontId="0" fillId="0" borderId="0" xfId="0"/>
    <xf numFmtId="164" fontId="7" fillId="2" borderId="1" xfId="1" applyNumberFormat="1" applyFont="1" applyBorder="1" applyAlignment="1" applyProtection="1">
      <alignment horizontal="center" vertical="center" wrapText="1"/>
      <protection hidden="1"/>
    </xf>
    <xf numFmtId="0" fontId="0" fillId="0" borderId="0" xfId="0" applyProtection="1">
      <protection locked="0"/>
    </xf>
    <xf numFmtId="0" fontId="7" fillId="2" borderId="1" xfId="1" applyFont="1" applyBorder="1" applyAlignment="1" applyProtection="1">
      <alignment horizontal="center" vertical="center"/>
      <protection locked="0"/>
    </xf>
    <xf numFmtId="0" fontId="7" fillId="9" borderId="0" xfId="0" applyFont="1" applyFill="1" applyProtection="1">
      <protection locked="0"/>
    </xf>
    <xf numFmtId="0" fontId="0" fillId="0" borderId="0" xfId="0" applyAlignment="1" applyProtection="1">
      <alignment wrapText="1"/>
      <protection locked="0"/>
    </xf>
    <xf numFmtId="0" fontId="16" fillId="10" borderId="0" xfId="0" applyFont="1" applyFill="1" applyProtection="1">
      <protection locked="0"/>
    </xf>
    <xf numFmtId="0" fontId="7" fillId="11" borderId="0" xfId="0" applyFont="1" applyFill="1" applyProtection="1">
      <protection locked="0"/>
    </xf>
    <xf numFmtId="0" fontId="12" fillId="0" borderId="0" xfId="0" applyFont="1" applyProtection="1">
      <protection hidden="1"/>
    </xf>
    <xf numFmtId="0" fontId="12" fillId="0" borderId="1" xfId="0" applyFont="1" applyBorder="1" applyProtection="1">
      <protection hidden="1"/>
    </xf>
    <xf numFmtId="2" fontId="12" fillId="0" borderId="1" xfId="0" applyNumberFormat="1" applyFont="1" applyBorder="1" applyProtection="1">
      <protection hidden="1"/>
    </xf>
    <xf numFmtId="10" fontId="12" fillId="0" borderId="1" xfId="0" applyNumberFormat="1" applyFont="1" applyBorder="1" applyProtection="1">
      <protection hidden="1"/>
    </xf>
    <xf numFmtId="0" fontId="12" fillId="0" borderId="2" xfId="0" applyFont="1" applyBorder="1" applyProtection="1">
      <protection hidden="1"/>
    </xf>
    <xf numFmtId="0" fontId="12" fillId="0" borderId="0" xfId="0" applyFont="1" applyBorder="1" applyProtection="1">
      <protection hidden="1"/>
    </xf>
    <xf numFmtId="10" fontId="12" fillId="6" borderId="2" xfId="0" applyNumberFormat="1" applyFont="1" applyFill="1" applyBorder="1" applyProtection="1">
      <protection hidden="1"/>
    </xf>
    <xf numFmtId="1" fontId="12" fillId="0" borderId="1" xfId="0" applyNumberFormat="1" applyFont="1" applyBorder="1" applyAlignment="1" applyProtection="1">
      <alignment horizontal="right"/>
      <protection hidden="1"/>
    </xf>
    <xf numFmtId="2" fontId="12" fillId="0" borderId="2" xfId="0" applyNumberFormat="1" applyFont="1" applyBorder="1" applyProtection="1">
      <protection hidden="1"/>
    </xf>
    <xf numFmtId="0" fontId="17" fillId="12" borderId="8" xfId="5" applyAlignment="1" applyProtection="1">
      <alignment horizontal="center" vertical="center" wrapText="1"/>
      <protection locked="0"/>
    </xf>
    <xf numFmtId="10" fontId="17" fillId="12" borderId="8" xfId="5" applyNumberFormat="1" applyAlignment="1" applyProtection="1">
      <alignment horizontal="center" vertical="center" wrapText="1"/>
      <protection locked="0"/>
    </xf>
    <xf numFmtId="0" fontId="17" fillId="12" borderId="8" xfId="5" applyAlignment="1" applyProtection="1">
      <alignment horizontal="left" vertical="center" wrapText="1"/>
      <protection locked="0"/>
    </xf>
    <xf numFmtId="0" fontId="15" fillId="7" borderId="1" xfId="4" applyFont="1" applyBorder="1" applyProtection="1">
      <protection hidden="1"/>
    </xf>
    <xf numFmtId="14" fontId="15" fillId="7" borderId="1" xfId="4" applyNumberFormat="1" applyFont="1" applyBorder="1" applyAlignment="1" applyProtection="1">
      <alignment horizontal="right" vertical="center" wrapText="1"/>
      <protection hidden="1"/>
    </xf>
    <xf numFmtId="0" fontId="6" fillId="0" borderId="1" xfId="0" applyFont="1" applyBorder="1" applyProtection="1">
      <protection hidden="1"/>
    </xf>
    <xf numFmtId="2" fontId="6" fillId="0" borderId="1" xfId="0" applyNumberFormat="1" applyFont="1" applyBorder="1" applyProtection="1">
      <protection hidden="1"/>
    </xf>
    <xf numFmtId="0" fontId="6" fillId="0" borderId="1" xfId="0" applyFont="1" applyFill="1" applyBorder="1" applyProtection="1">
      <protection hidden="1"/>
    </xf>
    <xf numFmtId="10" fontId="6" fillId="0" borderId="1" xfId="0" applyNumberFormat="1" applyFont="1" applyBorder="1" applyProtection="1">
      <protection hidden="1"/>
    </xf>
    <xf numFmtId="0" fontId="6" fillId="6" borderId="1" xfId="0" applyFont="1" applyFill="1" applyBorder="1" applyProtection="1">
      <protection hidden="1"/>
    </xf>
    <xf numFmtId="3" fontId="6" fillId="0" borderId="1" xfId="0" applyNumberFormat="1" applyFont="1" applyBorder="1" applyProtection="1">
      <protection hidden="1"/>
    </xf>
    <xf numFmtId="0" fontId="6" fillId="0" borderId="0" xfId="0" applyFont="1" applyBorder="1" applyProtection="1">
      <protection hidden="1"/>
    </xf>
    <xf numFmtId="0" fontId="6" fillId="0" borderId="0" xfId="0" applyFont="1" applyProtection="1">
      <protection hidden="1"/>
    </xf>
    <xf numFmtId="0" fontId="7" fillId="7" borderId="1" xfId="4" applyFont="1" applyBorder="1" applyProtection="1">
      <protection hidden="1"/>
    </xf>
    <xf numFmtId="14" fontId="7" fillId="7" borderId="1" xfId="4" applyNumberFormat="1" applyFont="1" applyBorder="1" applyAlignment="1" applyProtection="1">
      <alignment horizontal="center" vertical="center" wrapText="1"/>
      <protection hidden="1"/>
    </xf>
    <xf numFmtId="0" fontId="7" fillId="0" borderId="0" xfId="0" applyFont="1" applyProtection="1">
      <protection hidden="1"/>
    </xf>
    <xf numFmtId="0" fontId="6" fillId="0" borderId="2" xfId="0" applyFont="1" applyBorder="1" applyProtection="1">
      <protection hidden="1"/>
    </xf>
    <xf numFmtId="1" fontId="7" fillId="0" borderId="0" xfId="0" applyNumberFormat="1" applyFont="1" applyProtection="1">
      <protection hidden="1"/>
    </xf>
    <xf numFmtId="0" fontId="6" fillId="0" borderId="1" xfId="0" applyNumberFormat="1" applyFont="1" applyFill="1" applyBorder="1" applyAlignment="1" applyProtection="1">
      <alignment horizontal="right"/>
      <protection hidden="1"/>
    </xf>
    <xf numFmtId="0" fontId="6" fillId="0" borderId="0" xfId="0" applyNumberFormat="1" applyFont="1" applyFill="1" applyBorder="1" applyAlignment="1" applyProtection="1">
      <alignment horizontal="right"/>
      <protection hidden="1"/>
    </xf>
    <xf numFmtId="0" fontId="6" fillId="0" borderId="1" xfId="0" applyNumberFormat="1" applyFont="1" applyBorder="1" applyAlignment="1" applyProtection="1">
      <alignment horizontal="right"/>
      <protection hidden="1"/>
    </xf>
    <xf numFmtId="0" fontId="6" fillId="0" borderId="0" xfId="0" applyNumberFormat="1" applyFont="1" applyBorder="1" applyAlignment="1" applyProtection="1">
      <alignment horizontal="right"/>
      <protection hidden="1"/>
    </xf>
    <xf numFmtId="0" fontId="5" fillId="6" borderId="1" xfId="0" applyFont="1" applyFill="1" applyBorder="1" applyAlignment="1" applyProtection="1">
      <alignment wrapText="1"/>
      <protection hidden="1"/>
    </xf>
    <xf numFmtId="0" fontId="5" fillId="6" borderId="1" xfId="0" applyNumberFormat="1" applyFont="1" applyFill="1" applyBorder="1" applyAlignment="1" applyProtection="1">
      <alignment horizontal="right"/>
      <protection hidden="1"/>
    </xf>
    <xf numFmtId="0" fontId="5" fillId="0" borderId="0" xfId="0" applyNumberFormat="1" applyFont="1" applyBorder="1" applyAlignment="1" applyProtection="1">
      <alignment horizontal="right"/>
      <protection hidden="1"/>
    </xf>
    <xf numFmtId="0" fontId="5" fillId="0" borderId="1" xfId="0" applyFont="1" applyBorder="1" applyAlignment="1" applyProtection="1">
      <alignment horizontal="center"/>
      <protection hidden="1"/>
    </xf>
    <xf numFmtId="0" fontId="16" fillId="0" borderId="0" xfId="0" applyFont="1" applyProtection="1">
      <protection hidden="1"/>
    </xf>
    <xf numFmtId="2" fontId="6" fillId="6" borderId="1" xfId="0" applyNumberFormat="1" applyFont="1" applyFill="1" applyBorder="1" applyProtection="1">
      <protection hidden="1"/>
    </xf>
    <xf numFmtId="0" fontId="2" fillId="7" borderId="0" xfId="4" applyProtection="1">
      <protection hidden="1"/>
    </xf>
    <xf numFmtId="0" fontId="0" fillId="0" borderId="0" xfId="0" applyAlignment="1">
      <alignment horizontal="left" vertical="center" indent="1"/>
    </xf>
    <xf numFmtId="0" fontId="0" fillId="13" borderId="1" xfId="0" applyFill="1" applyBorder="1" applyAlignment="1" applyProtection="1">
      <alignment horizontal="center"/>
      <protection hidden="1"/>
    </xf>
    <xf numFmtId="0" fontId="1" fillId="13" borderId="1" xfId="0" applyFont="1" applyFill="1" applyBorder="1" applyAlignment="1" applyProtection="1">
      <alignment horizontal="center" vertical="center" wrapText="1"/>
      <protection hidden="1"/>
    </xf>
    <xf numFmtId="0" fontId="0" fillId="14" borderId="1" xfId="0" applyFill="1" applyBorder="1" applyAlignment="1" applyProtection="1">
      <alignment horizontal="center"/>
      <protection hidden="1"/>
    </xf>
    <xf numFmtId="9" fontId="0" fillId="14" borderId="1" xfId="6" applyFont="1" applyFill="1" applyBorder="1" applyAlignment="1" applyProtection="1">
      <alignment horizontal="center"/>
      <protection hidden="1"/>
    </xf>
    <xf numFmtId="2" fontId="0" fillId="14" borderId="1" xfId="0" applyNumberFormat="1" applyFill="1" applyBorder="1" applyAlignment="1" applyProtection="1">
      <alignment horizontal="center"/>
      <protection hidden="1"/>
    </xf>
    <xf numFmtId="0" fontId="1" fillId="14" borderId="1" xfId="0" applyFont="1" applyFill="1" applyBorder="1" applyAlignment="1" applyProtection="1">
      <alignment horizontal="center"/>
      <protection hidden="1"/>
    </xf>
    <xf numFmtId="9" fontId="1" fillId="14" borderId="1" xfId="6" applyFont="1" applyFill="1" applyBorder="1" applyAlignment="1" applyProtection="1">
      <alignment horizontal="center"/>
      <protection hidden="1"/>
    </xf>
    <xf numFmtId="165" fontId="0" fillId="0" borderId="0" xfId="0" applyNumberFormat="1"/>
    <xf numFmtId="0" fontId="2" fillId="3" borderId="0" xfId="2" applyAlignment="1">
      <alignment wrapText="1"/>
    </xf>
    <xf numFmtId="0" fontId="24" fillId="12" borderId="8" xfId="5" applyFont="1" applyAlignment="1">
      <alignment wrapText="1"/>
    </xf>
    <xf numFmtId="0" fontId="23" fillId="0" borderId="1" xfId="0" applyFont="1" applyBorder="1" applyAlignment="1" applyProtection="1">
      <alignment wrapText="1"/>
      <protection hidden="1"/>
    </xf>
    <xf numFmtId="1" fontId="23" fillId="0" borderId="1" xfId="0" applyNumberFormat="1" applyFont="1" applyBorder="1" applyAlignment="1" applyProtection="1">
      <alignment wrapText="1"/>
      <protection hidden="1"/>
    </xf>
    <xf numFmtId="2" fontId="23" fillId="0" borderId="1" xfId="0" applyNumberFormat="1" applyFont="1" applyBorder="1" applyAlignment="1" applyProtection="1">
      <alignment wrapText="1"/>
      <protection hidden="1"/>
    </xf>
    <xf numFmtId="0" fontId="23" fillId="0" borderId="1" xfId="0" applyFont="1" applyBorder="1" applyProtection="1">
      <protection hidden="1"/>
    </xf>
    <xf numFmtId="0" fontId="23" fillId="0" borderId="6" xfId="0" applyFont="1" applyBorder="1" applyAlignment="1">
      <alignment wrapText="1"/>
    </xf>
    <xf numFmtId="0" fontId="23" fillId="0" borderId="7" xfId="0" applyFont="1" applyBorder="1" applyAlignment="1">
      <alignment wrapText="1"/>
    </xf>
    <xf numFmtId="0" fontId="24" fillId="15" borderId="8" xfId="5" applyFont="1" applyFill="1" applyAlignment="1" applyProtection="1">
      <alignment wrapText="1"/>
      <protection hidden="1"/>
    </xf>
    <xf numFmtId="0" fontId="17" fillId="15" borderId="8" xfId="5" applyFill="1" applyAlignment="1" applyProtection="1">
      <alignment wrapText="1"/>
      <protection hidden="1"/>
    </xf>
    <xf numFmtId="9" fontId="17" fillId="12" borderId="8" xfId="5" applyNumberFormat="1" applyAlignment="1" applyProtection="1">
      <alignment wrapText="1"/>
      <protection locked="0"/>
    </xf>
    <xf numFmtId="0" fontId="0" fillId="16" borderId="0" xfId="0" applyFill="1"/>
    <xf numFmtId="1" fontId="17" fillId="12" borderId="8" xfId="5" applyNumberFormat="1" applyAlignment="1" applyProtection="1">
      <alignment wrapText="1"/>
      <protection locked="0"/>
    </xf>
    <xf numFmtId="1" fontId="0" fillId="16" borderId="0" xfId="0" applyNumberFormat="1" applyFill="1" applyProtection="1">
      <protection hidden="1"/>
    </xf>
    <xf numFmtId="3" fontId="17" fillId="12" borderId="8" xfId="5" applyNumberFormat="1" applyAlignment="1" applyProtection="1">
      <alignment horizontal="center" vertical="center" wrapText="1"/>
      <protection locked="0"/>
    </xf>
    <xf numFmtId="0" fontId="26" fillId="0" borderId="0" xfId="0" applyFont="1"/>
    <xf numFmtId="0" fontId="0" fillId="0" borderId="0" xfId="0" applyBorder="1"/>
    <xf numFmtId="0" fontId="0" fillId="0" borderId="15" xfId="0" applyBorder="1"/>
    <xf numFmtId="0" fontId="0" fillId="0" borderId="16" xfId="0" applyBorder="1"/>
    <xf numFmtId="0" fontId="0" fillId="0" borderId="17" xfId="0" applyBorder="1"/>
    <xf numFmtId="1" fontId="24" fillId="15" borderId="8" xfId="5" applyNumberFormat="1" applyFont="1" applyFill="1" applyAlignment="1" applyProtection="1">
      <alignment wrapText="1"/>
      <protection hidden="1"/>
    </xf>
    <xf numFmtId="0" fontId="28" fillId="0" borderId="0" xfId="0" applyFont="1"/>
    <xf numFmtId="0" fontId="3" fillId="0" borderId="0" xfId="1" applyFont="1" applyFill="1" applyBorder="1" applyAlignment="1" applyProtection="1">
      <alignment horizontal="left" vertical="top"/>
      <protection locked="0"/>
    </xf>
    <xf numFmtId="0" fontId="15" fillId="3" borderId="2" xfId="2" applyFont="1" applyBorder="1" applyAlignment="1" applyProtection="1">
      <alignment horizontal="center"/>
      <protection hidden="1"/>
    </xf>
    <xf numFmtId="0" fontId="31" fillId="0" borderId="0" xfId="0" applyFont="1" applyAlignment="1">
      <alignment wrapText="1"/>
    </xf>
    <xf numFmtId="0" fontId="31" fillId="0" borderId="0" xfId="0" applyFont="1" applyAlignment="1">
      <alignment horizontal="center" wrapText="1"/>
    </xf>
    <xf numFmtId="0" fontId="33" fillId="15" borderId="1" xfId="0" applyFont="1" applyFill="1" applyBorder="1" applyAlignment="1">
      <alignment horizontal="center" vertical="center" wrapText="1"/>
    </xf>
    <xf numFmtId="0" fontId="34" fillId="15" borderId="1" xfId="0" applyFont="1" applyFill="1" applyBorder="1" applyAlignment="1">
      <alignment vertical="center" wrapText="1"/>
    </xf>
    <xf numFmtId="0" fontId="34" fillId="15" borderId="1" xfId="0" applyFont="1" applyFill="1" applyBorder="1" applyAlignment="1">
      <alignment horizontal="center" vertical="center" wrapText="1"/>
    </xf>
    <xf numFmtId="0" fontId="32" fillId="19" borderId="22" xfId="0" applyFont="1" applyFill="1" applyBorder="1" applyAlignment="1">
      <alignment horizontal="center" vertical="center" wrapText="1"/>
    </xf>
    <xf numFmtId="0" fontId="33" fillId="6" borderId="1" xfId="0" applyFont="1" applyFill="1" applyBorder="1" applyAlignment="1">
      <alignment horizontal="center" wrapText="1"/>
    </xf>
    <xf numFmtId="0" fontId="33" fillId="5" borderId="1" xfId="0" applyFont="1" applyFill="1" applyBorder="1" applyAlignment="1">
      <alignment horizontal="center" wrapText="1"/>
    </xf>
    <xf numFmtId="0" fontId="32" fillId="20" borderId="1" xfId="0" applyFont="1" applyFill="1" applyBorder="1" applyAlignment="1">
      <alignment horizontal="left" vertical="center" wrapText="1"/>
    </xf>
    <xf numFmtId="0" fontId="33" fillId="5" borderId="1" xfId="0" applyFont="1" applyFill="1" applyBorder="1" applyAlignment="1">
      <alignment horizontal="center" vertical="center" wrapText="1"/>
    </xf>
    <xf numFmtId="0" fontId="33" fillId="5" borderId="1" xfId="0" applyFont="1" applyFill="1" applyBorder="1" applyAlignment="1">
      <alignment vertical="center" wrapText="1"/>
    </xf>
    <xf numFmtId="9" fontId="33" fillId="5" borderId="1" xfId="6" applyFont="1" applyFill="1" applyBorder="1" applyAlignment="1">
      <alignment horizontal="center" vertical="center" wrapText="1"/>
    </xf>
    <xf numFmtId="0" fontId="33" fillId="5" borderId="1" xfId="0" applyFont="1" applyFill="1" applyBorder="1" applyAlignment="1">
      <alignment horizontal="left" vertical="center" wrapText="1"/>
    </xf>
    <xf numFmtId="9" fontId="33" fillId="5" borderId="1" xfId="0" applyNumberFormat="1" applyFont="1" applyFill="1" applyBorder="1" applyAlignment="1">
      <alignment horizontal="center" vertical="center" wrapText="1"/>
    </xf>
    <xf numFmtId="167" fontId="33" fillId="5" borderId="1" xfId="6" applyNumberFormat="1" applyFont="1" applyFill="1" applyBorder="1" applyAlignment="1">
      <alignment horizontal="center" vertical="center" wrapText="1"/>
    </xf>
    <xf numFmtId="2" fontId="33" fillId="5" borderId="1" xfId="0" applyNumberFormat="1" applyFont="1" applyFill="1" applyBorder="1" applyAlignment="1">
      <alignment horizontal="center" vertical="center" wrapText="1"/>
    </xf>
    <xf numFmtId="1" fontId="33" fillId="5" borderId="1" xfId="0" applyNumberFormat="1" applyFont="1" applyFill="1" applyBorder="1" applyAlignment="1">
      <alignment horizontal="center" vertical="center" wrapText="1"/>
    </xf>
    <xf numFmtId="9" fontId="33" fillId="6" borderId="1" xfId="0" applyNumberFormat="1" applyFont="1" applyFill="1" applyBorder="1" applyAlignment="1">
      <alignment horizontal="center" vertical="center" wrapText="1"/>
    </xf>
    <xf numFmtId="0" fontId="33" fillId="6" borderId="1" xfId="0" applyFont="1" applyFill="1" applyBorder="1" applyAlignment="1">
      <alignment horizontal="center" vertical="center" wrapText="1"/>
    </xf>
    <xf numFmtId="167" fontId="33" fillId="5" borderId="1" xfId="0" applyNumberFormat="1" applyFont="1" applyFill="1" applyBorder="1" applyAlignment="1">
      <alignment horizontal="center" vertical="center" wrapText="1"/>
    </xf>
    <xf numFmtId="0" fontId="33" fillId="5" borderId="1" xfId="0" applyFont="1" applyFill="1" applyBorder="1" applyAlignment="1">
      <alignment horizontal="center" vertical="top" wrapText="1"/>
    </xf>
    <xf numFmtId="0" fontId="35" fillId="6" borderId="23" xfId="9" applyFont="1" applyFill="1" applyBorder="1" applyAlignment="1">
      <alignment horizontal="center" vertical="center" wrapText="1"/>
    </xf>
    <xf numFmtId="0" fontId="35" fillId="21" borderId="23" xfId="9" applyFont="1" applyFill="1" applyBorder="1" applyAlignment="1">
      <alignment horizontal="center" vertical="center" wrapText="1"/>
    </xf>
    <xf numFmtId="0" fontId="36" fillId="0" borderId="0" xfId="9" applyFont="1" applyFill="1" applyBorder="1" applyAlignment="1">
      <alignment horizontal="center" vertical="center" wrapText="1"/>
    </xf>
    <xf numFmtId="167" fontId="36" fillId="0" borderId="23" xfId="9" applyNumberFormat="1" applyFont="1" applyFill="1" applyBorder="1" applyAlignment="1">
      <alignment horizontal="center" vertical="center" wrapText="1"/>
    </xf>
    <xf numFmtId="9" fontId="36" fillId="0" borderId="23" xfId="6" applyFont="1" applyFill="1" applyBorder="1" applyAlignment="1">
      <alignment horizontal="center" vertical="center" wrapText="1"/>
    </xf>
    <xf numFmtId="9" fontId="36" fillId="0" borderId="23" xfId="9" applyNumberFormat="1" applyFont="1" applyFill="1" applyBorder="1" applyAlignment="1">
      <alignment horizontal="center" vertical="center" wrapText="1"/>
    </xf>
    <xf numFmtId="10" fontId="36" fillId="0" borderId="23" xfId="9" applyNumberFormat="1" applyFont="1" applyFill="1" applyBorder="1" applyAlignment="1">
      <alignment horizontal="center" vertical="center" wrapText="1"/>
    </xf>
    <xf numFmtId="168" fontId="36" fillId="0" borderId="23" xfId="9" applyNumberFormat="1" applyFont="1" applyFill="1" applyBorder="1" applyAlignment="1">
      <alignment horizontal="center" vertical="center" wrapText="1"/>
    </xf>
    <xf numFmtId="168" fontId="35" fillId="0" borderId="23" xfId="9" applyNumberFormat="1" applyFont="1" applyFill="1" applyBorder="1" applyAlignment="1">
      <alignment horizontal="center" vertical="center" wrapText="1"/>
    </xf>
    <xf numFmtId="168" fontId="36" fillId="0" borderId="23" xfId="6" applyNumberFormat="1" applyFont="1" applyFill="1" applyBorder="1" applyAlignment="1">
      <alignment horizontal="center" vertical="center" wrapText="1"/>
    </xf>
    <xf numFmtId="9" fontId="35" fillId="0" borderId="23" xfId="6" applyFont="1" applyFill="1" applyBorder="1" applyAlignment="1">
      <alignment horizontal="center" vertical="center" wrapText="1"/>
    </xf>
    <xf numFmtId="0" fontId="35" fillId="0" borderId="0" xfId="9" applyFont="1" applyFill="1" applyBorder="1" applyAlignment="1">
      <alignment horizontal="center" vertical="center" wrapText="1"/>
    </xf>
    <xf numFmtId="167" fontId="36" fillId="0" borderId="0" xfId="9" applyNumberFormat="1" applyFont="1" applyFill="1" applyBorder="1" applyAlignment="1">
      <alignment horizontal="center" vertical="center" wrapText="1"/>
    </xf>
    <xf numFmtId="9" fontId="36" fillId="0" borderId="0" xfId="6" applyFont="1" applyFill="1" applyBorder="1" applyAlignment="1">
      <alignment horizontal="center" vertical="center" wrapText="1"/>
    </xf>
    <xf numFmtId="168" fontId="36" fillId="0" borderId="0" xfId="6" applyNumberFormat="1" applyFont="1" applyFill="1" applyBorder="1" applyAlignment="1">
      <alignment horizontal="center" vertical="center" wrapText="1"/>
    </xf>
    <xf numFmtId="0" fontId="36" fillId="0" borderId="0" xfId="9" applyFont="1" applyFill="1" applyBorder="1" applyAlignment="1">
      <alignment horizontal="center" vertical="center" wrapText="1"/>
    </xf>
    <xf numFmtId="9" fontId="31" fillId="0" borderId="23" xfId="6" applyFont="1" applyFill="1" applyBorder="1" applyAlignment="1">
      <alignment horizontal="center" vertical="center" wrapText="1"/>
    </xf>
    <xf numFmtId="168" fontId="36" fillId="0" borderId="0" xfId="9" applyNumberFormat="1" applyFont="1" applyFill="1" applyBorder="1" applyAlignment="1">
      <alignment horizontal="center" vertical="center" wrapText="1"/>
    </xf>
    <xf numFmtId="10" fontId="36" fillId="0" borderId="0" xfId="9" applyNumberFormat="1" applyFont="1" applyFill="1" applyBorder="1" applyAlignment="1">
      <alignment horizontal="center" vertical="center" wrapText="1"/>
    </xf>
    <xf numFmtId="9" fontId="36" fillId="0" borderId="0" xfId="9" applyNumberFormat="1" applyFont="1" applyFill="1" applyBorder="1" applyAlignment="1">
      <alignment horizontal="center" vertical="center" wrapText="1"/>
    </xf>
    <xf numFmtId="2" fontId="36" fillId="0" borderId="0" xfId="9" applyNumberFormat="1" applyFont="1" applyFill="1" applyBorder="1" applyAlignment="1">
      <alignment horizontal="center" vertical="center" wrapText="1"/>
    </xf>
    <xf numFmtId="168" fontId="37" fillId="0" borderId="23" xfId="6" applyNumberFormat="1" applyFont="1" applyFill="1" applyBorder="1" applyAlignment="1">
      <alignment horizontal="center" vertical="center"/>
    </xf>
    <xf numFmtId="168" fontId="31" fillId="0" borderId="23" xfId="6" applyNumberFormat="1" applyFont="1" applyFill="1" applyBorder="1" applyAlignment="1">
      <alignment horizontal="center" vertical="center" wrapText="1"/>
    </xf>
    <xf numFmtId="0" fontId="39" fillId="0" borderId="0" xfId="0" applyFont="1" applyBorder="1"/>
    <xf numFmtId="0" fontId="40" fillId="0" borderId="0" xfId="0" applyFont="1" applyBorder="1"/>
    <xf numFmtId="0" fontId="42" fillId="23" borderId="0" xfId="0" applyFont="1" applyFill="1"/>
    <xf numFmtId="0" fontId="42" fillId="0" borderId="0" xfId="0" applyFont="1"/>
    <xf numFmtId="0" fontId="41" fillId="24" borderId="24" xfId="0" applyFont="1" applyFill="1" applyBorder="1" applyAlignment="1">
      <alignment horizontal="center"/>
    </xf>
    <xf numFmtId="0" fontId="43" fillId="0" borderId="24" xfId="0" applyFont="1" applyBorder="1"/>
    <xf numFmtId="0" fontId="42" fillId="0" borderId="24" xfId="0" applyFont="1" applyBorder="1"/>
    <xf numFmtId="0" fontId="42" fillId="0" borderId="24" xfId="0" applyFont="1" applyFill="1" applyBorder="1" applyAlignment="1">
      <alignment horizontal="left" wrapText="1"/>
    </xf>
    <xf numFmtId="4" fontId="44" fillId="0" borderId="1" xfId="0" applyNumberFormat="1" applyFont="1" applyFill="1" applyBorder="1" applyAlignment="1">
      <alignment horizontal="right" vertical="center" wrapText="1"/>
    </xf>
    <xf numFmtId="0" fontId="45" fillId="26" borderId="25" xfId="0" applyFont="1" applyFill="1" applyBorder="1" applyAlignment="1">
      <alignment horizontal="right" vertical="center" wrapText="1"/>
    </xf>
    <xf numFmtId="0" fontId="41" fillId="27" borderId="25" xfId="0" applyFont="1" applyFill="1" applyBorder="1"/>
    <xf numFmtId="0" fontId="42" fillId="0" borderId="25" xfId="0" applyFont="1" applyFill="1" applyBorder="1"/>
    <xf numFmtId="2" fontId="42" fillId="0" borderId="25" xfId="0" applyNumberFormat="1" applyFont="1" applyFill="1" applyBorder="1"/>
    <xf numFmtId="2" fontId="42" fillId="0" borderId="25" xfId="0" applyNumberFormat="1" applyFont="1" applyFill="1" applyBorder="1" applyAlignment="1">
      <alignment horizontal="right"/>
    </xf>
    <xf numFmtId="10" fontId="42" fillId="0" borderId="0" xfId="0" applyNumberFormat="1" applyFont="1" applyFill="1"/>
    <xf numFmtId="0" fontId="42" fillId="13" borderId="25" xfId="0" applyFont="1" applyFill="1" applyBorder="1"/>
    <xf numFmtId="0" fontId="41" fillId="24" borderId="26" xfId="0" applyFont="1" applyFill="1" applyBorder="1" applyAlignment="1">
      <alignment horizontal="center"/>
    </xf>
    <xf numFmtId="0" fontId="42" fillId="0" borderId="1" xfId="0" applyFont="1" applyBorder="1"/>
    <xf numFmtId="0" fontId="42" fillId="23" borderId="27" xfId="0" applyFont="1" applyFill="1" applyBorder="1"/>
    <xf numFmtId="0" fontId="42" fillId="0" borderId="1" xfId="0" applyFont="1" applyFill="1" applyBorder="1"/>
    <xf numFmtId="2" fontId="42" fillId="0" borderId="1" xfId="0" applyNumberFormat="1" applyFont="1" applyBorder="1"/>
    <xf numFmtId="0" fontId="42" fillId="13" borderId="1" xfId="0" applyFont="1" applyFill="1" applyBorder="1"/>
    <xf numFmtId="0" fontId="42" fillId="6" borderId="1" xfId="0" applyFont="1" applyFill="1" applyBorder="1"/>
    <xf numFmtId="0" fontId="40" fillId="0" borderId="1" xfId="0" applyFont="1" applyBorder="1"/>
    <xf numFmtId="167" fontId="42" fillId="0" borderId="1" xfId="0" applyNumberFormat="1" applyFont="1" applyBorder="1"/>
    <xf numFmtId="9" fontId="46" fillId="0" borderId="1" xfId="6" applyFont="1" applyBorder="1"/>
    <xf numFmtId="0" fontId="42" fillId="0" borderId="25" xfId="0" applyFont="1" applyFill="1" applyBorder="1" applyAlignment="1">
      <alignment horizontal="left"/>
    </xf>
    <xf numFmtId="0" fontId="42" fillId="0" borderId="25" xfId="0" applyFont="1" applyBorder="1"/>
    <xf numFmtId="0" fontId="42" fillId="0" borderId="1" xfId="0" applyFont="1" applyFill="1" applyBorder="1" applyAlignment="1"/>
    <xf numFmtId="2" fontId="42" fillId="0" borderId="1" xfId="0" applyNumberFormat="1" applyFont="1" applyFill="1" applyBorder="1" applyAlignment="1">
      <alignment horizontal="center" vertical="center"/>
    </xf>
    <xf numFmtId="2" fontId="42" fillId="0" borderId="1" xfId="0" applyNumberFormat="1" applyFont="1" applyBorder="1" applyAlignment="1">
      <alignment horizontal="center" vertical="center"/>
    </xf>
    <xf numFmtId="10" fontId="42" fillId="0" borderId="1" xfId="0" applyNumberFormat="1" applyFont="1" applyBorder="1"/>
    <xf numFmtId="0" fontId="42" fillId="0" borderId="0" xfId="0" applyFont="1" applyBorder="1"/>
    <xf numFmtId="10" fontId="42" fillId="0" borderId="0" xfId="0" applyNumberFormat="1" applyFont="1" applyBorder="1"/>
    <xf numFmtId="169" fontId="42" fillId="0" borderId="0" xfId="0" applyNumberFormat="1" applyFont="1" applyBorder="1"/>
    <xf numFmtId="170" fontId="1" fillId="0" borderId="0" xfId="10" applyFont="1" applyBorder="1"/>
    <xf numFmtId="170" fontId="0" fillId="0" borderId="0" xfId="10" applyFont="1" applyBorder="1"/>
    <xf numFmtId="171" fontId="25" fillId="28" borderId="0" xfId="10" applyNumberFormat="1" applyFont="1" applyFill="1" applyBorder="1"/>
    <xf numFmtId="171" fontId="25" fillId="28" borderId="0" xfId="0" applyNumberFormat="1" applyFont="1" applyFill="1" applyBorder="1" applyAlignment="1">
      <alignment horizontal="center"/>
    </xf>
    <xf numFmtId="171" fontId="3" fillId="0" borderId="0" xfId="10" applyNumberFormat="1" applyFont="1" applyFill="1" applyBorder="1"/>
    <xf numFmtId="170" fontId="20" fillId="0" borderId="0" xfId="10" applyFont="1" applyBorder="1"/>
    <xf numFmtId="43" fontId="0" fillId="0" borderId="0" xfId="10" applyNumberFormat="1" applyFont="1" applyBorder="1"/>
    <xf numFmtId="9" fontId="6" fillId="0" borderId="1" xfId="6" applyFont="1" applyBorder="1" applyProtection="1">
      <protection hidden="1"/>
    </xf>
    <xf numFmtId="168" fontId="6" fillId="0" borderId="1" xfId="6" applyNumberFormat="1" applyFont="1" applyBorder="1" applyProtection="1">
      <protection hidden="1"/>
    </xf>
    <xf numFmtId="1" fontId="42" fillId="0" borderId="1" xfId="0" applyNumberFormat="1" applyFont="1" applyFill="1" applyBorder="1" applyAlignment="1">
      <alignment horizontal="center" vertical="center"/>
    </xf>
    <xf numFmtId="167" fontId="12" fillId="0" borderId="1" xfId="0" applyNumberFormat="1" applyFont="1" applyBorder="1" applyProtection="1">
      <protection hidden="1"/>
    </xf>
    <xf numFmtId="3" fontId="6" fillId="0" borderId="0" xfId="0" applyNumberFormat="1" applyFont="1" applyBorder="1" applyProtection="1">
      <protection hidden="1"/>
    </xf>
    <xf numFmtId="1" fontId="17" fillId="12" borderId="8" xfId="5" applyNumberFormat="1" applyAlignment="1" applyProtection="1">
      <alignment horizontal="center" vertical="center" wrapText="1"/>
      <protection locked="0"/>
    </xf>
    <xf numFmtId="9" fontId="12" fillId="0" borderId="1" xfId="0" applyNumberFormat="1" applyFont="1" applyBorder="1" applyProtection="1">
      <protection hidden="1"/>
    </xf>
    <xf numFmtId="1" fontId="12" fillId="0" borderId="2" xfId="0" applyNumberFormat="1" applyFont="1" applyBorder="1" applyProtection="1">
      <protection hidden="1"/>
    </xf>
    <xf numFmtId="0" fontId="49" fillId="0" borderId="0" xfId="0" applyFont="1" applyAlignment="1" applyProtection="1">
      <alignment horizontal="left"/>
      <protection hidden="1"/>
    </xf>
    <xf numFmtId="1" fontId="12" fillId="0" borderId="0" xfId="0" applyNumberFormat="1" applyFont="1" applyBorder="1" applyProtection="1">
      <protection hidden="1"/>
    </xf>
    <xf numFmtId="9" fontId="33" fillId="5" borderId="1" xfId="6" applyNumberFormat="1" applyFont="1" applyFill="1" applyBorder="1" applyAlignment="1">
      <alignment horizontal="center" vertical="center" wrapText="1"/>
    </xf>
    <xf numFmtId="9" fontId="12" fillId="0" borderId="0" xfId="0" applyNumberFormat="1" applyFont="1" applyProtection="1">
      <protection hidden="1"/>
    </xf>
    <xf numFmtId="0" fontId="12" fillId="0" borderId="3" xfId="0" applyFont="1" applyBorder="1" applyProtection="1">
      <protection hidden="1"/>
    </xf>
    <xf numFmtId="0" fontId="50" fillId="0" borderId="0" xfId="0" applyFont="1" applyAlignment="1">
      <alignment horizontal="left" vertical="center"/>
    </xf>
    <xf numFmtId="0" fontId="0" fillId="0" borderId="0" xfId="0" applyAlignment="1">
      <alignment horizontal="left" vertical="center"/>
    </xf>
    <xf numFmtId="171" fontId="41" fillId="24" borderId="26" xfId="0" applyNumberFormat="1" applyFont="1" applyFill="1" applyBorder="1" applyAlignment="1">
      <alignment horizontal="center"/>
    </xf>
    <xf numFmtId="0" fontId="50" fillId="0" borderId="23" xfId="0" applyFont="1" applyBorder="1" applyAlignment="1">
      <alignment horizontal="left" vertical="center"/>
    </xf>
    <xf numFmtId="9" fontId="50" fillId="0" borderId="23" xfId="0" applyNumberFormat="1" applyFont="1" applyBorder="1" applyAlignment="1">
      <alignment horizontal="left" vertical="center"/>
    </xf>
    <xf numFmtId="0" fontId="0" fillId="0" borderId="23" xfId="0" applyBorder="1" applyAlignment="1">
      <alignment horizontal="left" vertical="center"/>
    </xf>
    <xf numFmtId="0" fontId="50" fillId="6" borderId="23" xfId="0" applyFont="1" applyFill="1" applyBorder="1" applyAlignment="1">
      <alignment horizontal="left" vertical="center"/>
    </xf>
    <xf numFmtId="9" fontId="50" fillId="0" borderId="23" xfId="6" applyFont="1" applyBorder="1" applyAlignment="1">
      <alignment horizontal="left" vertical="center"/>
    </xf>
    <xf numFmtId="0" fontId="51" fillId="0" borderId="23" xfId="0" applyFont="1" applyBorder="1" applyAlignment="1">
      <alignment horizontal="left" vertical="center" wrapText="1"/>
    </xf>
    <xf numFmtId="10" fontId="12" fillId="0" borderId="2" xfId="0" applyNumberFormat="1" applyFont="1" applyFill="1" applyBorder="1" applyProtection="1">
      <protection hidden="1"/>
    </xf>
    <xf numFmtId="0" fontId="42" fillId="25" borderId="26" xfId="0" applyFont="1" applyFill="1" applyBorder="1" applyAlignment="1"/>
    <xf numFmtId="1" fontId="12" fillId="0" borderId="0" xfId="0" applyNumberFormat="1" applyFont="1" applyProtection="1">
      <protection hidden="1"/>
    </xf>
    <xf numFmtId="9" fontId="36" fillId="0" borderId="23" xfId="6" applyNumberFormat="1" applyFont="1" applyFill="1" applyBorder="1" applyAlignment="1">
      <alignment horizontal="center" vertical="center" wrapText="1"/>
    </xf>
    <xf numFmtId="167" fontId="42" fillId="23" borderId="27" xfId="0" applyNumberFormat="1" applyFont="1" applyFill="1" applyBorder="1"/>
    <xf numFmtId="166" fontId="42" fillId="23" borderId="27" xfId="7" applyNumberFormat="1" applyFont="1" applyFill="1" applyBorder="1"/>
    <xf numFmtId="168" fontId="33" fillId="5" borderId="1" xfId="6" applyNumberFormat="1" applyFont="1" applyFill="1" applyBorder="1" applyAlignment="1">
      <alignment horizontal="center" vertical="center" wrapText="1"/>
    </xf>
    <xf numFmtId="10" fontId="12" fillId="0" borderId="2" xfId="0" applyNumberFormat="1" applyFont="1" applyBorder="1" applyProtection="1">
      <protection hidden="1"/>
    </xf>
    <xf numFmtId="168" fontId="12" fillId="0" borderId="2" xfId="0" applyNumberFormat="1" applyFont="1" applyBorder="1" applyProtection="1">
      <protection hidden="1"/>
    </xf>
    <xf numFmtId="0" fontId="15" fillId="3" borderId="4" xfId="2" applyFont="1" applyBorder="1" applyAlignment="1" applyProtection="1">
      <alignment horizontal="center"/>
      <protection hidden="1"/>
    </xf>
    <xf numFmtId="9" fontId="12" fillId="0" borderId="32" xfId="6" applyFont="1" applyBorder="1" applyProtection="1">
      <protection hidden="1"/>
    </xf>
    <xf numFmtId="0" fontId="15" fillId="7" borderId="3" xfId="4" applyFont="1" applyBorder="1" applyProtection="1">
      <protection hidden="1"/>
    </xf>
    <xf numFmtId="0" fontId="12" fillId="0" borderId="3" xfId="0" applyFont="1" applyFill="1" applyBorder="1" applyProtection="1">
      <protection hidden="1"/>
    </xf>
    <xf numFmtId="0" fontId="14" fillId="0" borderId="3" xfId="0" applyFont="1" applyBorder="1" applyProtection="1">
      <protection hidden="1"/>
    </xf>
    <xf numFmtId="0" fontId="12" fillId="6" borderId="3" xfId="0" applyFont="1" applyFill="1" applyBorder="1" applyProtection="1">
      <protection hidden="1"/>
    </xf>
    <xf numFmtId="0" fontId="0" fillId="0" borderId="0" xfId="0" applyFill="1" applyBorder="1"/>
    <xf numFmtId="0" fontId="15" fillId="0" borderId="0" xfId="4" applyFont="1" applyFill="1" applyBorder="1" applyAlignment="1" applyProtection="1">
      <alignment horizontal="center"/>
      <protection hidden="1"/>
    </xf>
    <xf numFmtId="0" fontId="12" fillId="0" borderId="0" xfId="0" applyFont="1" applyFill="1" applyBorder="1" applyProtection="1">
      <protection hidden="1"/>
    </xf>
    <xf numFmtId="2" fontId="12" fillId="0" borderId="0" xfId="0" applyNumberFormat="1" applyFont="1" applyFill="1" applyBorder="1" applyProtection="1">
      <protection hidden="1"/>
    </xf>
    <xf numFmtId="9" fontId="12" fillId="0" borderId="0" xfId="0" applyNumberFormat="1" applyFont="1" applyFill="1" applyBorder="1" applyProtection="1">
      <protection hidden="1"/>
    </xf>
    <xf numFmtId="10" fontId="12" fillId="0" borderId="0" xfId="0" applyNumberFormat="1" applyFont="1" applyFill="1" applyBorder="1" applyProtection="1">
      <protection hidden="1"/>
    </xf>
    <xf numFmtId="0" fontId="13" fillId="0" borderId="0" xfId="4" applyFont="1" applyFill="1" applyBorder="1" applyAlignment="1" applyProtection="1">
      <alignment horizontal="center"/>
      <protection hidden="1"/>
    </xf>
    <xf numFmtId="168" fontId="12" fillId="0" borderId="0" xfId="0" applyNumberFormat="1" applyFont="1" applyFill="1" applyBorder="1" applyProtection="1">
      <protection hidden="1"/>
    </xf>
    <xf numFmtId="0" fontId="15" fillId="0" borderId="0" xfId="2" applyFont="1" applyFill="1" applyBorder="1" applyAlignment="1" applyProtection="1">
      <alignment horizontal="center"/>
      <protection hidden="1"/>
    </xf>
    <xf numFmtId="9" fontId="12" fillId="0" borderId="0" xfId="6" applyFont="1" applyFill="1" applyBorder="1" applyProtection="1">
      <protection hidden="1"/>
    </xf>
    <xf numFmtId="1" fontId="12" fillId="0" borderId="0" xfId="0" applyNumberFormat="1" applyFont="1" applyFill="1" applyBorder="1" applyProtection="1">
      <protection hidden="1"/>
    </xf>
    <xf numFmtId="0" fontId="42" fillId="25" borderId="26" xfId="0" applyFont="1" applyFill="1" applyBorder="1" applyAlignment="1"/>
    <xf numFmtId="9" fontId="12" fillId="0" borderId="0" xfId="6" applyFont="1" applyBorder="1" applyProtection="1">
      <protection hidden="1"/>
    </xf>
    <xf numFmtId="9" fontId="1" fillId="0" borderId="33" xfId="6" applyFont="1" applyBorder="1" applyAlignment="1" applyProtection="1">
      <protection locked="0"/>
    </xf>
    <xf numFmtId="9" fontId="1" fillId="0" borderId="34" xfId="6" applyFont="1" applyBorder="1" applyAlignment="1" applyProtection="1">
      <protection locked="0"/>
    </xf>
    <xf numFmtId="0" fontId="50" fillId="0" borderId="23" xfId="0" applyFont="1" applyBorder="1" applyAlignment="1">
      <alignment horizontal="left" vertical="center" wrapText="1"/>
    </xf>
    <xf numFmtId="0" fontId="3" fillId="0" borderId="0" xfId="1" applyFont="1" applyFill="1" applyBorder="1" applyAlignment="1" applyProtection="1">
      <alignment horizontal="left" vertical="top"/>
      <protection locked="0"/>
    </xf>
    <xf numFmtId="0" fontId="1" fillId="13" borderId="0" xfId="0" applyFont="1" applyFill="1" applyBorder="1" applyAlignment="1" applyProtection="1">
      <alignment horizontal="center" vertical="center" wrapText="1"/>
      <protection hidden="1"/>
    </xf>
    <xf numFmtId="0" fontId="0" fillId="14" borderId="1" xfId="0" applyFill="1" applyBorder="1" applyAlignment="1" applyProtection="1">
      <alignment horizontal="left"/>
      <protection hidden="1"/>
    </xf>
    <xf numFmtId="168" fontId="0" fillId="14" borderId="1" xfId="6" applyNumberFormat="1" applyFont="1" applyFill="1" applyBorder="1" applyAlignment="1" applyProtection="1">
      <alignment horizontal="center"/>
      <protection hidden="1"/>
    </xf>
    <xf numFmtId="0" fontId="50" fillId="0" borderId="0" xfId="0" applyFont="1"/>
    <xf numFmtId="0" fontId="1" fillId="0" borderId="0" xfId="0" applyFont="1"/>
    <xf numFmtId="1" fontId="42" fillId="0" borderId="1" xfId="0" applyNumberFormat="1" applyFont="1" applyBorder="1"/>
    <xf numFmtId="9" fontId="42" fillId="0" borderId="0" xfId="6" applyFont="1"/>
    <xf numFmtId="1" fontId="42" fillId="0" borderId="1" xfId="0" applyNumberFormat="1" applyFont="1" applyFill="1" applyBorder="1"/>
    <xf numFmtId="1" fontId="42" fillId="0" borderId="0" xfId="0" applyNumberFormat="1" applyFont="1"/>
    <xf numFmtId="1" fontId="40" fillId="0" borderId="1" xfId="0" applyNumberFormat="1" applyFont="1" applyBorder="1"/>
    <xf numFmtId="0" fontId="0" fillId="6" borderId="0" xfId="0" applyFill="1"/>
    <xf numFmtId="1" fontId="0" fillId="0" borderId="0" xfId="0" applyNumberFormat="1"/>
    <xf numFmtId="0" fontId="42" fillId="6" borderId="0" xfId="0" applyFont="1" applyFill="1"/>
    <xf numFmtId="9" fontId="0" fillId="0" borderId="0" xfId="6" applyFont="1"/>
    <xf numFmtId="9" fontId="0" fillId="0" borderId="0" xfId="0" applyNumberFormat="1"/>
    <xf numFmtId="1" fontId="6" fillId="0" borderId="0" xfId="0" applyNumberFormat="1" applyFont="1" applyProtection="1">
      <protection hidden="1"/>
    </xf>
    <xf numFmtId="167" fontId="12" fillId="0" borderId="0" xfId="0" applyNumberFormat="1" applyFont="1" applyProtection="1">
      <protection hidden="1"/>
    </xf>
    <xf numFmtId="9" fontId="12" fillId="0" borderId="0" xfId="6" applyFont="1" applyProtection="1">
      <protection hidden="1"/>
    </xf>
    <xf numFmtId="168" fontId="12" fillId="0" borderId="0" xfId="6" applyNumberFormat="1" applyFont="1" applyProtection="1">
      <protection hidden="1"/>
    </xf>
    <xf numFmtId="10" fontId="12" fillId="0" borderId="0" xfId="6" applyNumberFormat="1" applyFont="1" applyProtection="1">
      <protection hidden="1"/>
    </xf>
    <xf numFmtId="9" fontId="1" fillId="0" borderId="33" xfId="6" applyNumberFormat="1" applyFont="1" applyBorder="1" applyAlignment="1" applyProtection="1">
      <protection locked="0"/>
    </xf>
    <xf numFmtId="0" fontId="1" fillId="0" borderId="0" xfId="0" applyFont="1" applyProtection="1">
      <protection locked="0"/>
    </xf>
    <xf numFmtId="171" fontId="0" fillId="0" borderId="0" xfId="0" applyNumberFormat="1"/>
    <xf numFmtId="171" fontId="42" fillId="0" borderId="0" xfId="0" applyNumberFormat="1" applyFont="1"/>
    <xf numFmtId="0" fontId="4" fillId="0" borderId="0" xfId="3" applyAlignment="1">
      <alignment horizontal="left" vertical="center"/>
    </xf>
    <xf numFmtId="0" fontId="42" fillId="0" borderId="0" xfId="0" applyFont="1" applyFill="1"/>
    <xf numFmtId="9" fontId="42" fillId="0" borderId="0" xfId="6" applyFont="1" applyFill="1"/>
    <xf numFmtId="0" fontId="0" fillId="0" borderId="0" xfId="0" applyFill="1"/>
    <xf numFmtId="170" fontId="0" fillId="0" borderId="0" xfId="10" applyFont="1" applyFill="1" applyBorder="1"/>
    <xf numFmtId="171" fontId="42" fillId="0" borderId="0" xfId="6" applyNumberFormat="1" applyFont="1"/>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1" fontId="42" fillId="0" borderId="0" xfId="6" applyNumberFormat="1" applyFont="1"/>
    <xf numFmtId="169" fontId="42" fillId="0" borderId="0" xfId="7" applyNumberFormat="1" applyFont="1"/>
    <xf numFmtId="166" fontId="42" fillId="0" borderId="0" xfId="7" applyNumberFormat="1" applyFont="1"/>
    <xf numFmtId="0" fontId="55" fillId="29" borderId="0" xfId="0" applyFont="1" applyFill="1" applyBorder="1" applyAlignment="1" applyProtection="1">
      <protection locked="0"/>
    </xf>
    <xf numFmtId="9" fontId="42" fillId="0" borderId="0" xfId="6" applyNumberFormat="1" applyFont="1"/>
    <xf numFmtId="0" fontId="35" fillId="6" borderId="23" xfId="9" applyFont="1" applyFill="1" applyBorder="1" applyAlignment="1">
      <alignment horizontal="left" vertical="center" wrapText="1"/>
    </xf>
    <xf numFmtId="0" fontId="0" fillId="0" borderId="0" xfId="0" applyAlignment="1">
      <alignment horizontal="left"/>
    </xf>
    <xf numFmtId="0" fontId="58" fillId="0" borderId="1" xfId="0" applyFont="1" applyBorder="1"/>
    <xf numFmtId="1" fontId="58" fillId="0" borderId="1" xfId="0" applyNumberFormat="1" applyFont="1" applyBorder="1"/>
    <xf numFmtId="0" fontId="59" fillId="0" borderId="0" xfId="0" applyFont="1" applyAlignment="1">
      <alignment wrapText="1"/>
    </xf>
    <xf numFmtId="2" fontId="42" fillId="0" borderId="0" xfId="6" applyNumberFormat="1" applyFont="1"/>
    <xf numFmtId="0" fontId="59" fillId="0" borderId="0" xfId="0" applyFont="1"/>
    <xf numFmtId="168" fontId="42" fillId="0" borderId="0" xfId="6" applyNumberFormat="1" applyFont="1"/>
    <xf numFmtId="0" fontId="55" fillId="0" borderId="0" xfId="0" applyFont="1" applyFill="1" applyBorder="1" applyAlignment="1" applyProtection="1">
      <alignment horizontal="center"/>
      <protection locked="0"/>
    </xf>
    <xf numFmtId="0" fontId="33" fillId="10" borderId="1" xfId="0" applyFont="1" applyFill="1" applyBorder="1" applyAlignment="1">
      <alignment vertical="center" wrapText="1"/>
    </xf>
    <xf numFmtId="167" fontId="42" fillId="0" borderId="0" xfId="6" applyNumberFormat="1" applyFont="1"/>
    <xf numFmtId="0" fontId="50" fillId="0" borderId="0" xfId="0" applyFont="1" applyAlignment="1">
      <alignment wrapText="1"/>
    </xf>
    <xf numFmtId="0" fontId="61" fillId="0" borderId="0" xfId="0" applyFont="1" applyAlignment="1">
      <alignment horizontal="left"/>
    </xf>
    <xf numFmtId="0" fontId="61" fillId="0" borderId="0" xfId="0" applyFont="1"/>
    <xf numFmtId="0" fontId="62" fillId="0" borderId="0" xfId="0" applyFont="1" applyAlignment="1">
      <alignment horizontal="left"/>
    </xf>
    <xf numFmtId="0" fontId="60" fillId="6" borderId="23" xfId="9" applyFont="1" applyFill="1" applyBorder="1" applyAlignment="1">
      <alignment horizontal="left" vertical="top" wrapText="1"/>
    </xf>
    <xf numFmtId="0" fontId="35" fillId="6" borderId="23" xfId="9" applyFont="1" applyFill="1" applyBorder="1" applyAlignment="1">
      <alignment horizontal="left" vertical="top" wrapText="1"/>
    </xf>
    <xf numFmtId="0" fontId="0" fillId="0" borderId="0" xfId="0" applyAlignment="1">
      <alignment horizontal="left" vertical="top"/>
    </xf>
    <xf numFmtId="0" fontId="50" fillId="0" borderId="0" xfId="0" applyFont="1" applyAlignment="1">
      <alignment horizontal="left" vertical="top" wrapText="1"/>
    </xf>
    <xf numFmtId="3" fontId="44" fillId="0" borderId="1" xfId="0" applyNumberFormat="1" applyFont="1" applyFill="1" applyBorder="1" applyAlignment="1">
      <alignment horizontal="right" vertical="center" wrapText="1"/>
    </xf>
    <xf numFmtId="0" fontId="63" fillId="0" borderId="0" xfId="0" applyFont="1"/>
    <xf numFmtId="0" fontId="34" fillId="6" borderId="2" xfId="0" applyFont="1" applyFill="1" applyBorder="1" applyAlignment="1">
      <alignment vertical="center" wrapText="1"/>
    </xf>
    <xf numFmtId="0" fontId="34" fillId="6" borderId="4" xfId="0" applyFont="1" applyFill="1" applyBorder="1" applyAlignment="1">
      <alignment vertical="center" wrapText="1"/>
    </xf>
    <xf numFmtId="0" fontId="32" fillId="15" borderId="20" xfId="0" applyFont="1" applyFill="1" applyBorder="1" applyAlignment="1">
      <alignment vertical="center" wrapText="1"/>
    </xf>
    <xf numFmtId="0" fontId="32" fillId="15" borderId="21" xfId="0" applyFont="1" applyFill="1" applyBorder="1" applyAlignment="1">
      <alignment vertical="center" wrapText="1"/>
    </xf>
    <xf numFmtId="0" fontId="51" fillId="0" borderId="0" xfId="0" applyFont="1" applyAlignment="1">
      <alignment vertical="center"/>
    </xf>
    <xf numFmtId="0" fontId="31" fillId="0" borderId="0" xfId="0" applyFont="1" applyAlignment="1">
      <alignment horizontal="left" wrapText="1"/>
    </xf>
    <xf numFmtId="0" fontId="33" fillId="15" borderId="1" xfId="0" applyFont="1" applyFill="1" applyBorder="1" applyAlignment="1">
      <alignment horizontal="left" vertical="center" wrapText="1"/>
    </xf>
    <xf numFmtId="0" fontId="33" fillId="6" borderId="2" xfId="0" applyFont="1" applyFill="1" applyBorder="1" applyAlignment="1">
      <alignment horizontal="left" wrapText="1"/>
    </xf>
    <xf numFmtId="0" fontId="33" fillId="10" borderId="1" xfId="0" applyFont="1" applyFill="1" applyBorder="1" applyAlignment="1">
      <alignment horizontal="left" vertical="center" wrapText="1"/>
    </xf>
    <xf numFmtId="0" fontId="34" fillId="6" borderId="4" xfId="0" applyFont="1" applyFill="1" applyBorder="1" applyAlignment="1">
      <alignment horizontal="left" vertical="center" wrapText="1"/>
    </xf>
    <xf numFmtId="0" fontId="65" fillId="5" borderId="1" xfId="0" applyFont="1" applyFill="1" applyBorder="1" applyAlignment="1">
      <alignment horizontal="left" vertical="center" wrapText="1"/>
    </xf>
    <xf numFmtId="0" fontId="65" fillId="5" borderId="3" xfId="0" applyFont="1" applyFill="1" applyBorder="1" applyAlignment="1">
      <alignment horizontal="left" vertical="center" wrapText="1"/>
    </xf>
    <xf numFmtId="0" fontId="65" fillId="5" borderId="1" xfId="0" applyFont="1" applyFill="1" applyBorder="1" applyAlignment="1">
      <alignment horizontal="left" vertical="top" wrapText="1"/>
    </xf>
    <xf numFmtId="0" fontId="33" fillId="10" borderId="36" xfId="0" applyFont="1" applyFill="1" applyBorder="1" applyAlignment="1">
      <alignment horizontal="left" vertical="center" wrapText="1"/>
    </xf>
    <xf numFmtId="0" fontId="33" fillId="5" borderId="1" xfId="0" applyNumberFormat="1" applyFont="1" applyFill="1" applyBorder="1" applyAlignment="1">
      <alignment horizontal="center" vertical="center" wrapText="1"/>
    </xf>
    <xf numFmtId="0" fontId="32" fillId="0" borderId="1" xfId="0" applyNumberFormat="1" applyFont="1" applyBorder="1" applyAlignment="1">
      <alignment horizontal="center" vertical="center" wrapText="1"/>
    </xf>
    <xf numFmtId="0" fontId="31" fillId="0" borderId="1" xfId="6" applyNumberFormat="1" applyFont="1" applyBorder="1" applyAlignment="1">
      <alignment horizontal="center" vertical="center" wrapText="1"/>
    </xf>
    <xf numFmtId="1" fontId="32" fillId="0" borderId="1" xfId="0" applyNumberFormat="1" applyFont="1" applyBorder="1" applyAlignment="1">
      <alignment horizontal="center" vertical="center" wrapText="1"/>
    </xf>
    <xf numFmtId="1" fontId="33" fillId="6" borderId="1" xfId="0" applyNumberFormat="1" applyFont="1" applyFill="1" applyBorder="1" applyAlignment="1">
      <alignment horizontal="center" wrapText="1"/>
    </xf>
    <xf numFmtId="1" fontId="31" fillId="0" borderId="1" xfId="0" applyNumberFormat="1" applyFont="1" applyBorder="1" applyAlignment="1">
      <alignment horizontal="center" vertical="center" wrapText="1"/>
    </xf>
    <xf numFmtId="0" fontId="32" fillId="0" borderId="1" xfId="6" applyNumberFormat="1" applyFont="1" applyBorder="1" applyAlignment="1">
      <alignment horizontal="center" vertical="center" wrapText="1"/>
    </xf>
    <xf numFmtId="0" fontId="0" fillId="0" borderId="23" xfId="0" applyBorder="1"/>
    <xf numFmtId="0" fontId="0" fillId="0" borderId="23" xfId="0" applyNumberFormat="1" applyBorder="1"/>
    <xf numFmtId="0" fontId="66" fillId="0" borderId="23" xfId="0" applyFont="1" applyBorder="1" applyAlignment="1">
      <alignment vertical="center"/>
    </xf>
    <xf numFmtId="9" fontId="50" fillId="0" borderId="23" xfId="6" applyNumberFormat="1" applyFont="1" applyBorder="1"/>
    <xf numFmtId="0" fontId="50" fillId="0" borderId="23" xfId="6" applyNumberFormat="1" applyFont="1" applyBorder="1"/>
    <xf numFmtId="0" fontId="55" fillId="0" borderId="0" xfId="0" applyFont="1" applyFill="1" applyBorder="1" applyAlignment="1" applyProtection="1">
      <protection locked="0"/>
    </xf>
    <xf numFmtId="0" fontId="35" fillId="21" borderId="23" xfId="9" applyFont="1" applyFill="1" applyBorder="1" applyAlignment="1">
      <alignment vertical="center" wrapText="1"/>
    </xf>
    <xf numFmtId="0" fontId="35" fillId="6" borderId="23" xfId="9" applyFont="1" applyFill="1" applyBorder="1" applyAlignment="1">
      <alignment vertical="center" wrapText="1"/>
    </xf>
    <xf numFmtId="9" fontId="50" fillId="0" borderId="23" xfId="6" applyNumberFormat="1" applyFont="1" applyBorder="1" applyAlignment="1">
      <alignment horizontal="left"/>
    </xf>
    <xf numFmtId="2" fontId="50" fillId="0" borderId="23" xfId="6" applyNumberFormat="1" applyFont="1" applyBorder="1" applyAlignment="1">
      <alignment horizontal="left"/>
    </xf>
    <xf numFmtId="167" fontId="50" fillId="0" borderId="23" xfId="6" applyNumberFormat="1" applyFont="1" applyBorder="1" applyAlignment="1">
      <alignment horizontal="left"/>
    </xf>
    <xf numFmtId="1" fontId="50" fillId="0" borderId="23" xfId="6" applyNumberFormat="1" applyFont="1" applyBorder="1" applyAlignment="1">
      <alignment horizontal="left"/>
    </xf>
    <xf numFmtId="0" fontId="51" fillId="0" borderId="23" xfId="0" applyFont="1" applyBorder="1" applyAlignment="1">
      <alignment vertical="center"/>
    </xf>
    <xf numFmtId="0" fontId="51" fillId="0" borderId="23" xfId="0" applyFont="1" applyBorder="1" applyAlignment="1">
      <alignment horizontal="left" vertical="center"/>
    </xf>
    <xf numFmtId="0" fontId="50" fillId="0" borderId="23" xfId="0" applyFont="1" applyBorder="1" applyAlignment="1">
      <alignment horizontal="left"/>
    </xf>
    <xf numFmtId="0" fontId="50" fillId="0" borderId="23" xfId="0" applyFont="1" applyBorder="1" applyAlignment="1">
      <alignment horizontal="left" vertical="top" wrapText="1"/>
    </xf>
    <xf numFmtId="9" fontId="50" fillId="0" borderId="23" xfId="0" applyNumberFormat="1" applyFont="1" applyBorder="1" applyAlignment="1">
      <alignment horizontal="left" vertical="top" wrapText="1"/>
    </xf>
    <xf numFmtId="9" fontId="50" fillId="0" borderId="23" xfId="6" applyFont="1" applyBorder="1" applyAlignment="1">
      <alignment horizontal="left" vertical="top" wrapText="1"/>
    </xf>
    <xf numFmtId="0" fontId="0" fillId="0" borderId="23" xfId="0" applyBorder="1" applyAlignment="1">
      <alignment horizontal="left" vertical="top"/>
    </xf>
    <xf numFmtId="0" fontId="68" fillId="0" borderId="0" xfId="0" applyFont="1" applyAlignment="1">
      <alignment horizontal="left" vertical="top" wrapText="1"/>
    </xf>
    <xf numFmtId="168" fontId="50" fillId="0" borderId="39" xfId="0" applyNumberFormat="1" applyFont="1" applyBorder="1" applyAlignment="1">
      <alignment horizontal="left" vertical="center"/>
    </xf>
    <xf numFmtId="0" fontId="66" fillId="0" borderId="39" xfId="0" applyFont="1" applyBorder="1" applyAlignment="1">
      <alignment horizontal="left" vertical="center"/>
    </xf>
    <xf numFmtId="9" fontId="0" fillId="0" borderId="39" xfId="0" applyNumberFormat="1" applyBorder="1" applyAlignment="1">
      <alignment horizontal="left" vertical="center"/>
    </xf>
    <xf numFmtId="9" fontId="50" fillId="0" borderId="39" xfId="0" applyNumberFormat="1" applyFont="1" applyBorder="1" applyAlignment="1">
      <alignment horizontal="left" vertical="center"/>
    </xf>
    <xf numFmtId="0" fontId="1" fillId="0" borderId="0" xfId="0" applyFont="1" applyAlignment="1">
      <alignment horizontal="right" vertical="center"/>
    </xf>
    <xf numFmtId="171" fontId="66" fillId="0" borderId="39" xfId="0" applyNumberFormat="1" applyFont="1" applyBorder="1" applyAlignment="1">
      <alignment horizontal="left" vertical="center"/>
    </xf>
    <xf numFmtId="0" fontId="1" fillId="6" borderId="39" xfId="0" applyFont="1" applyFill="1" applyBorder="1" applyAlignment="1">
      <alignment horizontal="left" vertical="center"/>
    </xf>
    <xf numFmtId="2" fontId="12" fillId="0" borderId="1" xfId="0" applyNumberFormat="1" applyFont="1" applyFill="1" applyBorder="1" applyProtection="1">
      <protection hidden="1"/>
    </xf>
    <xf numFmtId="0" fontId="55" fillId="29" borderId="0" xfId="0" applyFont="1" applyFill="1" applyBorder="1" applyAlignment="1" applyProtection="1">
      <alignment horizontal="left"/>
      <protection locked="0"/>
    </xf>
    <xf numFmtId="1" fontId="46" fillId="0" borderId="1" xfId="6" applyNumberFormat="1" applyFont="1" applyBorder="1"/>
    <xf numFmtId="1" fontId="42" fillId="0" borderId="25" xfId="0" applyNumberFormat="1" applyFont="1" applyBorder="1"/>
    <xf numFmtId="166" fontId="42" fillId="0" borderId="25" xfId="7" applyNumberFormat="1" applyFont="1" applyBorder="1"/>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0" xfId="7" applyNumberFormat="1" applyFont="1" applyBorder="1" applyAlignment="1">
      <alignment horizontal="center" vertical="center"/>
    </xf>
    <xf numFmtId="1" fontId="42" fillId="6" borderId="1" xfId="0" applyNumberFormat="1" applyFont="1" applyFill="1" applyBorder="1"/>
    <xf numFmtId="1" fontId="0" fillId="0" borderId="0" xfId="0" applyNumberFormat="1" applyFill="1"/>
    <xf numFmtId="0" fontId="42" fillId="6" borderId="24" xfId="0" applyFont="1" applyFill="1" applyBorder="1" applyAlignment="1">
      <alignment horizontal="left" wrapText="1"/>
    </xf>
    <xf numFmtId="4" fontId="44" fillId="6" borderId="1" xfId="0" applyNumberFormat="1" applyFont="1" applyFill="1" applyBorder="1" applyAlignment="1">
      <alignment horizontal="right" vertical="center" wrapText="1"/>
    </xf>
    <xf numFmtId="3" fontId="44" fillId="6" borderId="1" xfId="0" applyNumberFormat="1" applyFont="1" applyFill="1" applyBorder="1" applyAlignment="1">
      <alignment horizontal="right" vertical="center" wrapText="1"/>
    </xf>
    <xf numFmtId="171" fontId="66" fillId="6" borderId="39" xfId="0" applyNumberFormat="1" applyFont="1" applyFill="1" applyBorder="1" applyAlignment="1">
      <alignment horizontal="left" vertical="center"/>
    </xf>
    <xf numFmtId="0" fontId="1" fillId="30" borderId="0" xfId="0" applyFont="1" applyFill="1" applyAlignment="1" applyProtection="1">
      <alignment horizontal="left" vertical="center"/>
      <protection locked="0"/>
    </xf>
    <xf numFmtId="9" fontId="1" fillId="14" borderId="1" xfId="6" applyNumberFormat="1" applyFont="1" applyFill="1" applyBorder="1" applyAlignment="1" applyProtection="1">
      <alignment horizontal="center"/>
      <protection hidden="1"/>
    </xf>
    <xf numFmtId="2" fontId="42" fillId="0" borderId="0" xfId="0" applyNumberFormat="1" applyFont="1"/>
    <xf numFmtId="2" fontId="66" fillId="30" borderId="40" xfId="6" applyNumberFormat="1" applyFont="1" applyFill="1" applyBorder="1" applyAlignment="1">
      <alignment horizontal="left" vertical="center"/>
    </xf>
    <xf numFmtId="2" fontId="66" fillId="30" borderId="0" xfId="6" applyNumberFormat="1" applyFont="1" applyFill="1" applyBorder="1" applyAlignment="1">
      <alignment horizontal="left" vertical="center"/>
    </xf>
    <xf numFmtId="0" fontId="3" fillId="0" borderId="0" xfId="1" applyFont="1" applyFill="1" applyBorder="1" applyAlignment="1" applyProtection="1">
      <alignment horizontal="left" vertical="top"/>
      <protection locked="0"/>
    </xf>
    <xf numFmtId="0" fontId="10" fillId="8" borderId="0" xfId="0" applyFont="1" applyFill="1" applyAlignment="1" applyProtection="1">
      <alignment horizontal="center"/>
      <protection locked="0"/>
    </xf>
    <xf numFmtId="0" fontId="1" fillId="0" borderId="33" xfId="0" applyFont="1" applyBorder="1" applyAlignment="1" applyProtection="1">
      <alignment horizontal="left"/>
      <protection locked="0"/>
    </xf>
    <xf numFmtId="0" fontId="1" fillId="0" borderId="34" xfId="0" applyFont="1" applyBorder="1" applyAlignment="1" applyProtection="1">
      <alignment horizontal="left"/>
      <protection locked="0"/>
    </xf>
    <xf numFmtId="0" fontId="0" fillId="0" borderId="0" xfId="0" applyAlignment="1" applyProtection="1">
      <alignment horizontal="center"/>
      <protection locked="0"/>
    </xf>
    <xf numFmtId="0" fontId="15" fillId="7" borderId="2" xfId="4" applyFont="1" applyBorder="1" applyAlignment="1" applyProtection="1">
      <alignment horizontal="center"/>
      <protection hidden="1"/>
    </xf>
    <xf numFmtId="0" fontId="15" fillId="7" borderId="3" xfId="4" applyFont="1" applyBorder="1" applyAlignment="1" applyProtection="1">
      <alignment horizontal="center"/>
      <protection hidden="1"/>
    </xf>
    <xf numFmtId="0" fontId="13" fillId="7" borderId="2" xfId="4" applyFont="1" applyBorder="1" applyAlignment="1" applyProtection="1">
      <alignment horizontal="center"/>
      <protection hidden="1"/>
    </xf>
    <xf numFmtId="0" fontId="13" fillId="7" borderId="3" xfId="4" applyFont="1" applyBorder="1" applyAlignment="1" applyProtection="1">
      <alignment horizontal="center"/>
      <protection hidden="1"/>
    </xf>
    <xf numFmtId="0" fontId="19" fillId="13" borderId="0" xfId="2" applyFont="1" applyFill="1" applyAlignment="1" applyProtection="1">
      <alignment horizontal="center" vertical="center"/>
      <protection hidden="1"/>
    </xf>
    <xf numFmtId="0" fontId="11" fillId="0" borderId="0" xfId="3" applyFont="1" applyAlignment="1" applyProtection="1">
      <alignment horizontal="center" vertical="center"/>
      <protection hidden="1"/>
    </xf>
    <xf numFmtId="0" fontId="33" fillId="10" borderId="35" xfId="0" applyFont="1" applyFill="1" applyBorder="1" applyAlignment="1">
      <alignment horizontal="left" vertical="center" wrapText="1"/>
    </xf>
    <xf numFmtId="0" fontId="33" fillId="10" borderId="36" xfId="0" applyFont="1" applyFill="1" applyBorder="1" applyAlignment="1">
      <alignment horizontal="left" vertical="center" wrapText="1"/>
    </xf>
    <xf numFmtId="0" fontId="33" fillId="10" borderId="22" xfId="0" applyFont="1" applyFill="1" applyBorder="1" applyAlignment="1">
      <alignment horizontal="left" vertical="center" wrapText="1"/>
    </xf>
    <xf numFmtId="0" fontId="55" fillId="29" borderId="0" xfId="0" applyFont="1" applyFill="1" applyBorder="1" applyAlignment="1" applyProtection="1">
      <alignment horizontal="center"/>
      <protection locked="0"/>
    </xf>
    <xf numFmtId="0" fontId="67" fillId="0" borderId="0" xfId="0" applyFont="1" applyAlignment="1">
      <alignment horizontal="left" wrapText="1"/>
    </xf>
    <xf numFmtId="0" fontId="55" fillId="29" borderId="0" xfId="0" applyFont="1" applyFill="1" applyBorder="1" applyAlignment="1" applyProtection="1">
      <alignment horizontal="left"/>
      <protection locked="0"/>
    </xf>
    <xf numFmtId="0" fontId="64" fillId="0" borderId="0" xfId="0" applyFont="1" applyAlignment="1">
      <alignment horizontal="left" wrapText="1"/>
    </xf>
    <xf numFmtId="0" fontId="35" fillId="21" borderId="37" xfId="9" applyFont="1" applyFill="1" applyBorder="1" applyAlignment="1">
      <alignment horizontal="left" vertical="center"/>
    </xf>
    <xf numFmtId="0" fontId="35" fillId="21" borderId="38" xfId="9" applyFont="1" applyFill="1" applyBorder="1" applyAlignment="1">
      <alignment horizontal="left" vertical="center"/>
    </xf>
    <xf numFmtId="0" fontId="55" fillId="0" borderId="0" xfId="0" applyFont="1" applyFill="1" applyBorder="1" applyAlignment="1" applyProtection="1">
      <alignment horizontal="center"/>
      <protection locked="0"/>
    </xf>
    <xf numFmtId="0" fontId="69" fillId="0" borderId="0" xfId="0" applyFont="1" applyAlignment="1">
      <alignment horizontal="left" vertical="center" wrapText="1"/>
    </xf>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18" xfId="7" applyNumberFormat="1" applyFont="1" applyBorder="1" applyAlignment="1">
      <alignment horizontal="center" vertical="center"/>
    </xf>
    <xf numFmtId="166" fontId="0" fillId="0" borderId="0" xfId="7" applyNumberFormat="1" applyFont="1" applyBorder="1" applyAlignment="1">
      <alignment horizontal="center" vertical="center"/>
    </xf>
    <xf numFmtId="0" fontId="29" fillId="0" borderId="0" xfId="0" applyFont="1" applyAlignment="1">
      <alignment horizontal="center" vertical="center"/>
    </xf>
    <xf numFmtId="9" fontId="0" fillId="0" borderId="0" xfId="6" applyFont="1" applyBorder="1" applyAlignment="1">
      <alignment horizontal="center"/>
    </xf>
    <xf numFmtId="9" fontId="0" fillId="0" borderId="19" xfId="6" applyFont="1" applyBorder="1" applyAlignment="1">
      <alignment horizont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67" fillId="0" borderId="0" xfId="0" applyFont="1" applyAlignment="1">
      <alignment horizontal="left" vertical="center" wrapText="1"/>
    </xf>
    <xf numFmtId="0" fontId="67" fillId="0" borderId="0" xfId="0" applyFont="1" applyAlignment="1">
      <alignment horizontal="left"/>
    </xf>
    <xf numFmtId="0" fontId="55" fillId="29" borderId="0" xfId="0" applyFont="1" applyFill="1" applyBorder="1" applyAlignment="1" applyProtection="1">
      <alignment horizontal="left" vertical="top" wrapText="1"/>
      <protection locked="0"/>
    </xf>
    <xf numFmtId="0" fontId="68" fillId="0" borderId="0" xfId="0" applyFont="1" applyAlignment="1">
      <alignment horizontal="left" vertical="top" wrapText="1"/>
    </xf>
    <xf numFmtId="0" fontId="55" fillId="29" borderId="0" xfId="0" applyFont="1" applyFill="1" applyBorder="1" applyAlignment="1" applyProtection="1">
      <alignment horizontal="left" vertical="top"/>
      <protection locked="0"/>
    </xf>
    <xf numFmtId="0" fontId="9" fillId="0" borderId="0" xfId="3" applyFont="1" applyBorder="1" applyAlignment="1" applyProtection="1">
      <alignment horizontal="center"/>
      <protection hidden="1"/>
    </xf>
    <xf numFmtId="0" fontId="6" fillId="0" borderId="0" xfId="0" applyFont="1" applyBorder="1" applyAlignment="1" applyProtection="1">
      <alignment horizontal="center"/>
      <protection hidden="1"/>
    </xf>
    <xf numFmtId="0" fontId="2" fillId="3" borderId="5" xfId="2" applyBorder="1" applyAlignment="1" applyProtection="1">
      <alignment horizontal="center"/>
      <protection hidden="1"/>
    </xf>
    <xf numFmtId="0" fontId="7" fillId="9" borderId="0" xfId="0" applyFont="1" applyFill="1" applyAlignment="1" applyProtection="1">
      <alignment horizontal="center"/>
      <protection locked="0"/>
    </xf>
    <xf numFmtId="0" fontId="6" fillId="10" borderId="0" xfId="0" applyFont="1" applyFill="1" applyAlignment="1" applyProtection="1">
      <alignment horizontal="center"/>
      <protection locked="0"/>
    </xf>
    <xf numFmtId="0" fontId="7" fillId="11" borderId="0" xfId="0" applyFont="1" applyFill="1" applyAlignment="1" applyProtection="1">
      <alignment horizontal="center"/>
      <protection locked="0"/>
    </xf>
    <xf numFmtId="0" fontId="2" fillId="7" borderId="2" xfId="4" applyBorder="1" applyAlignment="1" applyProtection="1">
      <alignment horizontal="center"/>
      <protection hidden="1"/>
    </xf>
    <xf numFmtId="0" fontId="2" fillId="7" borderId="4" xfId="4" applyBorder="1" applyAlignment="1" applyProtection="1">
      <alignment horizontal="center"/>
      <protection hidden="1"/>
    </xf>
    <xf numFmtId="0" fontId="2" fillId="7" borderId="3" xfId="4" applyBorder="1" applyAlignment="1" applyProtection="1">
      <alignment horizontal="center"/>
      <protection hidden="1"/>
    </xf>
    <xf numFmtId="0" fontId="1" fillId="0" borderId="0" xfId="0" applyFont="1" applyAlignment="1">
      <alignment horizontal="center"/>
    </xf>
    <xf numFmtId="0" fontId="24" fillId="0" borderId="10" xfId="5" applyFont="1" applyFill="1" applyBorder="1" applyAlignment="1">
      <alignment horizontal="center" wrapText="1"/>
    </xf>
    <xf numFmtId="0" fontId="24" fillId="0" borderId="11" xfId="5" applyFont="1" applyFill="1" applyBorder="1" applyAlignment="1">
      <alignment horizontal="center" wrapText="1"/>
    </xf>
    <xf numFmtId="0" fontId="24" fillId="0" borderId="0" xfId="5" applyFont="1" applyFill="1" applyBorder="1" applyAlignment="1">
      <alignment horizontal="center" wrapText="1"/>
    </xf>
    <xf numFmtId="0" fontId="24" fillId="0" borderId="9" xfId="5" applyFont="1" applyFill="1" applyBorder="1" applyAlignment="1">
      <alignment horizontal="center" wrapText="1"/>
    </xf>
    <xf numFmtId="0" fontId="2" fillId="3" borderId="0" xfId="2" applyAlignment="1">
      <alignment horizontal="center" wrapText="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25" fillId="4" borderId="16" xfId="0" applyFont="1" applyFill="1" applyBorder="1" applyAlignment="1">
      <alignment horizontal="center"/>
    </xf>
    <xf numFmtId="0" fontId="42" fillId="25" borderId="27" xfId="0" applyFont="1" applyFill="1" applyBorder="1" applyAlignment="1"/>
    <xf numFmtId="0" fontId="41" fillId="22" borderId="0" xfId="0" applyFont="1" applyFill="1" applyBorder="1" applyAlignment="1">
      <alignment horizontal="center"/>
    </xf>
    <xf numFmtId="0" fontId="42" fillId="25" borderId="24" xfId="0" applyFont="1" applyFill="1" applyBorder="1" applyAlignment="1"/>
    <xf numFmtId="0" fontId="42" fillId="0" borderId="28"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25" borderId="31" xfId="0" applyFont="1" applyFill="1" applyBorder="1" applyAlignment="1"/>
    <xf numFmtId="170" fontId="48" fillId="0" borderId="0" xfId="11" applyNumberFormat="1" applyBorder="1" applyAlignment="1" applyProtection="1">
      <alignment horizontal="center"/>
    </xf>
    <xf numFmtId="170" fontId="25" fillId="18" borderId="0" xfId="8" applyNumberFormat="1" applyFont="1" applyBorder="1" applyAlignment="1">
      <alignment horizontal="center"/>
    </xf>
  </cellXfs>
  <cellStyles count="12">
    <cellStyle name="Accent1" xfId="1" builtinId="29"/>
    <cellStyle name="Accent3" xfId="4" builtinId="37"/>
    <cellStyle name="Accent4" xfId="2" builtinId="41"/>
    <cellStyle name="Accent6" xfId="8" builtinId="49"/>
    <cellStyle name="Comma" xfId="7" builtinId="3"/>
    <cellStyle name="Comma 2" xfId="10"/>
    <cellStyle name="Hyperlink" xfId="3" builtinId="8"/>
    <cellStyle name="Hyperlink 2" xfId="11"/>
    <cellStyle name="Input" xfId="5" builtinId="20"/>
    <cellStyle name="Normal" xfId="0" builtinId="0"/>
    <cellStyle name="Normal 2" xfId="9"/>
    <cellStyle name="Percent" xfId="6" builtinId="5"/>
  </cellStyles>
  <dxfs count="4">
    <dxf>
      <font>
        <b/>
        <i val="0"/>
        <color theme="0"/>
      </font>
      <fill>
        <patternFill>
          <bgColor theme="5"/>
        </patternFill>
      </fill>
    </dxf>
    <dxf>
      <font>
        <b/>
        <i val="0"/>
        <color theme="0"/>
      </font>
      <fill>
        <patternFill>
          <bgColor theme="5"/>
        </patternFill>
      </fill>
    </dxf>
    <dxf>
      <font>
        <b/>
        <i val="0"/>
        <color theme="0"/>
      </font>
      <fill>
        <patternFill>
          <bgColor theme="5"/>
        </patternFill>
      </fill>
    </dxf>
    <dxf>
      <fill>
        <patternFill>
          <bgColor rgb="FF00B05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507367032108087"/>
          <c:y val="0.20476404806845408"/>
          <c:w val="0.73114081377384943"/>
          <c:h val="0.63001023434251691"/>
        </c:manualLayout>
      </c:layout>
      <c:barChart>
        <c:barDir val="bar"/>
        <c:grouping val="clustered"/>
        <c:varyColors val="0"/>
        <c:ser>
          <c:idx val="1"/>
          <c:order val="0"/>
          <c:tx>
            <c:strRef>
              <c:f>Valuation_Table!$A$26</c:f>
              <c:strCache>
                <c:ptCount val="1"/>
                <c:pt idx="0">
                  <c:v>Historical Earnings Growth</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Historical Basis</c:v>
              </c:pt>
            </c:strLit>
          </c:cat>
          <c:val>
            <c:numRef>
              <c:f>Valuation_Table!$B$26</c:f>
              <c:numCache>
                <c:formatCode>0</c:formatCode>
                <c:ptCount val="1"/>
                <c:pt idx="0">
                  <c:v>322.28196574760938</c:v>
                </c:pt>
              </c:numCache>
            </c:numRef>
          </c:val>
        </c:ser>
        <c:ser>
          <c:idx val="2"/>
          <c:order val="1"/>
          <c:tx>
            <c:strRef>
              <c:f>Valuation_Table!$A$25</c:f>
              <c:strCache>
                <c:ptCount val="1"/>
                <c:pt idx="0">
                  <c:v>P E/B Valuation</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Historical Basis</c:v>
              </c:pt>
            </c:strLit>
          </c:cat>
          <c:val>
            <c:numRef>
              <c:f>Valuation_Table!$B$25</c:f>
              <c:numCache>
                <c:formatCode>0</c:formatCode>
                <c:ptCount val="1"/>
                <c:pt idx="0">
                  <c:v>317.6279033884976</c:v>
                </c:pt>
              </c:numCache>
            </c:numRef>
          </c:val>
        </c:ser>
        <c:dLbls>
          <c:dLblPos val="outEnd"/>
          <c:showLegendKey val="0"/>
          <c:showVal val="1"/>
          <c:showCatName val="0"/>
          <c:showSerName val="0"/>
          <c:showPercent val="0"/>
          <c:showBubbleSize val="0"/>
        </c:dLbls>
        <c:gapWidth val="150"/>
        <c:axId val="-2123841808"/>
        <c:axId val="-2123849968"/>
      </c:barChart>
      <c:catAx>
        <c:axId val="-2123841808"/>
        <c:scaling>
          <c:orientation val="minMax"/>
        </c:scaling>
        <c:delete val="0"/>
        <c:axPos val="l"/>
        <c:majorGridlines/>
        <c:numFmt formatCode="General" sourceLinked="0"/>
        <c:majorTickMark val="out"/>
        <c:minorTickMark val="none"/>
        <c:tickLblPos val="nextTo"/>
        <c:crossAx val="-2123849968"/>
        <c:crosses val="autoZero"/>
        <c:auto val="1"/>
        <c:lblAlgn val="ctr"/>
        <c:lblOffset val="100"/>
        <c:noMultiLvlLbl val="0"/>
      </c:catAx>
      <c:valAx>
        <c:axId val="-2123849968"/>
        <c:scaling>
          <c:orientation val="minMax"/>
        </c:scaling>
        <c:delete val="1"/>
        <c:axPos val="b"/>
        <c:numFmt formatCode="0" sourceLinked="1"/>
        <c:majorTickMark val="out"/>
        <c:minorTickMark val="none"/>
        <c:tickLblPos val="nextTo"/>
        <c:crossAx val="-2123841808"/>
        <c:crosses val="autoZero"/>
        <c:crossBetween val="between"/>
      </c:valAx>
      <c:spPr>
        <a:noFill/>
        <a:ln w="25400">
          <a:no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Output.v0'!$A$192</c:f>
              <c:strCache>
                <c:ptCount val="1"/>
                <c:pt idx="0">
                  <c:v>NP</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Output.v0'!$D$189:$L$189</c:f>
              <c:numCache>
                <c:formatCode>[$-409]mmm\-yy;@</c:formatCode>
                <c:ptCount val="9"/>
                <c:pt idx="0">
                  <c:v>42460</c:v>
                </c:pt>
                <c:pt idx="1">
                  <c:v>42551</c:v>
                </c:pt>
                <c:pt idx="2">
                  <c:v>42643</c:v>
                </c:pt>
                <c:pt idx="3">
                  <c:v>42735</c:v>
                </c:pt>
                <c:pt idx="4">
                  <c:v>42825</c:v>
                </c:pt>
                <c:pt idx="5">
                  <c:v>42916</c:v>
                </c:pt>
                <c:pt idx="6">
                  <c:v>43008</c:v>
                </c:pt>
                <c:pt idx="7">
                  <c:v>43100</c:v>
                </c:pt>
                <c:pt idx="8">
                  <c:v>43190</c:v>
                </c:pt>
              </c:numCache>
            </c:numRef>
          </c:cat>
          <c:val>
            <c:numRef>
              <c:f>'Screener Output.v0'!$D$192:$L$192</c:f>
              <c:numCache>
                <c:formatCode>0</c:formatCode>
                <c:ptCount val="9"/>
                <c:pt idx="0">
                  <c:v>156.82</c:v>
                </c:pt>
                <c:pt idx="1">
                  <c:v>181.84</c:v>
                </c:pt>
                <c:pt idx="2">
                  <c:v>142.18</c:v>
                </c:pt>
                <c:pt idx="3">
                  <c:v>184.22</c:v>
                </c:pt>
                <c:pt idx="4">
                  <c:v>207.21</c:v>
                </c:pt>
                <c:pt idx="5">
                  <c:v>237.86</c:v>
                </c:pt>
                <c:pt idx="6">
                  <c:v>234.73</c:v>
                </c:pt>
                <c:pt idx="7">
                  <c:v>207.3</c:v>
                </c:pt>
                <c:pt idx="8">
                  <c:v>239.78</c:v>
                </c:pt>
              </c:numCache>
            </c:numRef>
          </c:val>
        </c:ser>
        <c:dLbls>
          <c:dLblPos val="inEnd"/>
          <c:showLegendKey val="0"/>
          <c:showVal val="1"/>
          <c:showCatName val="0"/>
          <c:showSerName val="0"/>
          <c:showPercent val="0"/>
          <c:showBubbleSize val="0"/>
        </c:dLbls>
        <c:gapWidth val="41"/>
        <c:axId val="-108116976"/>
        <c:axId val="-108108272"/>
      </c:barChart>
      <c:lineChart>
        <c:grouping val="standard"/>
        <c:varyColors val="0"/>
        <c:ser>
          <c:idx val="1"/>
          <c:order val="1"/>
          <c:tx>
            <c:strRef>
              <c:f>'Screener Output.v0'!$A$193</c:f>
              <c:strCache>
                <c:ptCount val="1"/>
                <c:pt idx="0">
                  <c:v>NP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Output.v0'!$D$189:$L$189</c:f>
              <c:numCache>
                <c:formatCode>[$-409]mmm\-yy;@</c:formatCode>
                <c:ptCount val="9"/>
                <c:pt idx="0">
                  <c:v>42460</c:v>
                </c:pt>
                <c:pt idx="1">
                  <c:v>42551</c:v>
                </c:pt>
                <c:pt idx="2">
                  <c:v>42643</c:v>
                </c:pt>
                <c:pt idx="3">
                  <c:v>42735</c:v>
                </c:pt>
                <c:pt idx="4">
                  <c:v>42825</c:v>
                </c:pt>
                <c:pt idx="5">
                  <c:v>42916</c:v>
                </c:pt>
                <c:pt idx="6">
                  <c:v>43008</c:v>
                </c:pt>
                <c:pt idx="7">
                  <c:v>43100</c:v>
                </c:pt>
                <c:pt idx="8">
                  <c:v>43190</c:v>
                </c:pt>
              </c:numCache>
            </c:numRef>
          </c:cat>
          <c:val>
            <c:numRef>
              <c:f>'Screener Output.v0'!$D$193:$L$193</c:f>
              <c:numCache>
                <c:formatCode>0%</c:formatCode>
                <c:ptCount val="9"/>
                <c:pt idx="3">
                  <c:v>9.7200714711137559E-2</c:v>
                </c:pt>
                <c:pt idx="4">
                  <c:v>0.32132381073842642</c:v>
                </c:pt>
                <c:pt idx="5">
                  <c:v>0.30807303123625163</c:v>
                </c:pt>
                <c:pt idx="6">
                  <c:v>0.65093543395695574</c:v>
                </c:pt>
                <c:pt idx="7">
                  <c:v>0.12528498534361088</c:v>
                </c:pt>
                <c:pt idx="8">
                  <c:v>0.15718353361324255</c:v>
                </c:pt>
              </c:numCache>
            </c:numRef>
          </c:val>
          <c:smooth val="0"/>
        </c:ser>
        <c:dLbls>
          <c:showLegendKey val="0"/>
          <c:showVal val="0"/>
          <c:showCatName val="0"/>
          <c:showSerName val="0"/>
          <c:showPercent val="0"/>
          <c:showBubbleSize val="0"/>
        </c:dLbls>
        <c:marker val="1"/>
        <c:smooth val="0"/>
        <c:axId val="-108120240"/>
        <c:axId val="-108114256"/>
      </c:lineChart>
      <c:dateAx>
        <c:axId val="-108116976"/>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108108272"/>
        <c:crosses val="autoZero"/>
        <c:auto val="1"/>
        <c:lblOffset val="100"/>
        <c:baseTimeUnit val="months"/>
        <c:majorUnit val="3"/>
        <c:majorTimeUnit val="months"/>
      </c:dateAx>
      <c:valAx>
        <c:axId val="-10810827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08116976"/>
        <c:crosses val="autoZero"/>
        <c:crossBetween val="between"/>
      </c:valAx>
      <c:valAx>
        <c:axId val="-108114256"/>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08120240"/>
        <c:crosses val="max"/>
        <c:crossBetween val="between"/>
        <c:majorUnit val="0.2"/>
      </c:valAx>
      <c:dateAx>
        <c:axId val="-108120240"/>
        <c:scaling>
          <c:orientation val="minMax"/>
        </c:scaling>
        <c:delete val="1"/>
        <c:axPos val="b"/>
        <c:numFmt formatCode="[$-409]mmm\-yy;@" sourceLinked="1"/>
        <c:majorTickMark val="out"/>
        <c:minorTickMark val="none"/>
        <c:tickLblPos val="nextTo"/>
        <c:crossAx val="-108114256"/>
        <c:crosses val="autoZero"/>
        <c:auto val="1"/>
        <c:lblOffset val="100"/>
        <c:baseTimeUnit val="month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45682556828414E-2"/>
          <c:y val="4.8420618934261125E-2"/>
          <c:w val="0.89940532704170106"/>
          <c:h val="0.80740004883110539"/>
        </c:manualLayout>
      </c:layout>
      <c:barChart>
        <c:barDir val="col"/>
        <c:grouping val="percentStacked"/>
        <c:varyColors val="0"/>
        <c:ser>
          <c:idx val="1"/>
          <c:order val="0"/>
          <c:tx>
            <c:strRef>
              <c:f>'Screener Output.v0'!$A$130</c:f>
              <c:strCache>
                <c:ptCount val="1"/>
                <c:pt idx="0">
                  <c:v>Depreciation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Output.v0'!$B$130:$M$130</c:f>
              <c:numCache>
                <c:formatCode>0%</c:formatCode>
                <c:ptCount val="12"/>
                <c:pt idx="1">
                  <c:v>0.2167633757146514</c:v>
                </c:pt>
                <c:pt idx="2">
                  <c:v>0.23949412676144816</c:v>
                </c:pt>
                <c:pt idx="3">
                  <c:v>0.21452915855887728</c:v>
                </c:pt>
                <c:pt idx="4">
                  <c:v>0.19550639774452394</c:v>
                </c:pt>
                <c:pt idx="5">
                  <c:v>0.1981770989717824</c:v>
                </c:pt>
                <c:pt idx="6">
                  <c:v>0.24917041016727245</c:v>
                </c:pt>
                <c:pt idx="7">
                  <c:v>0.2538417333560361</c:v>
                </c:pt>
                <c:pt idx="8">
                  <c:v>0.30333685122740178</c:v>
                </c:pt>
                <c:pt idx="9">
                  <c:v>0.30545701859574398</c:v>
                </c:pt>
                <c:pt idx="10">
                  <c:v>0.26875878396860881</c:v>
                </c:pt>
                <c:pt idx="11">
                  <c:v>0.18288657159953473</c:v>
                </c:pt>
              </c:numCache>
            </c:numRef>
          </c:val>
        </c:ser>
        <c:ser>
          <c:idx val="2"/>
          <c:order val="1"/>
          <c:tx>
            <c:strRef>
              <c:f>'Screener Output.v0'!$A$131</c:f>
              <c:strCache>
                <c:ptCount val="1"/>
                <c:pt idx="0">
                  <c:v>Interest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Output.v0'!$B$131:$M$131</c:f>
              <c:numCache>
                <c:formatCode>0%</c:formatCode>
                <c:ptCount val="12"/>
                <c:pt idx="1">
                  <c:v>0.42793753733253687</c:v>
                </c:pt>
                <c:pt idx="2">
                  <c:v>0.31043363554513292</c:v>
                </c:pt>
                <c:pt idx="3">
                  <c:v>0.29410932248363697</c:v>
                </c:pt>
                <c:pt idx="4">
                  <c:v>0.30495770982433307</c:v>
                </c:pt>
                <c:pt idx="5">
                  <c:v>0.36731589166683348</c:v>
                </c:pt>
                <c:pt idx="6">
                  <c:v>0.35206776676674428</c:v>
                </c:pt>
                <c:pt idx="7">
                  <c:v>0.40461646517963562</c:v>
                </c:pt>
                <c:pt idx="8">
                  <c:v>0.40216822397830915</c:v>
                </c:pt>
                <c:pt idx="9">
                  <c:v>0.38306516564351306</c:v>
                </c:pt>
                <c:pt idx="10">
                  <c:v>0.4218757369101182</c:v>
                </c:pt>
                <c:pt idx="11">
                  <c:v>0.32495613061981882</c:v>
                </c:pt>
              </c:numCache>
            </c:numRef>
          </c:val>
        </c:ser>
        <c:ser>
          <c:idx val="3"/>
          <c:order val="2"/>
          <c:tx>
            <c:strRef>
              <c:f>'Screener Output.v0'!$A$132</c:f>
              <c:strCache>
                <c:ptCount val="1"/>
                <c:pt idx="0">
                  <c:v>Taxes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Output.v0'!$B$132:$M$132</c:f>
              <c:numCache>
                <c:formatCode>0%</c:formatCode>
                <c:ptCount val="12"/>
                <c:pt idx="1">
                  <c:v>8.5310180049492271E-2</c:v>
                </c:pt>
                <c:pt idx="2">
                  <c:v>7.9105508909315544E-2</c:v>
                </c:pt>
                <c:pt idx="3">
                  <c:v>1.5684887080606169E-2</c:v>
                </c:pt>
                <c:pt idx="4">
                  <c:v>9.6942094990240715E-2</c:v>
                </c:pt>
                <c:pt idx="5">
                  <c:v>0.10354905218487899</c:v>
                </c:pt>
                <c:pt idx="6">
                  <c:v>8.6350707690918543E-2</c:v>
                </c:pt>
                <c:pt idx="7">
                  <c:v>9.6979822918440317E-2</c:v>
                </c:pt>
                <c:pt idx="8">
                  <c:v>6.1811972852154069E-2</c:v>
                </c:pt>
                <c:pt idx="9">
                  <c:v>8.2555080271329628E-2</c:v>
                </c:pt>
                <c:pt idx="10">
                  <c:v>8.4426711439360355E-2</c:v>
                </c:pt>
                <c:pt idx="11">
                  <c:v>0.18299414402603251</c:v>
                </c:pt>
              </c:numCache>
            </c:numRef>
          </c:val>
        </c:ser>
        <c:ser>
          <c:idx val="4"/>
          <c:order val="3"/>
          <c:tx>
            <c:strRef>
              <c:f>'Screener Output.v0'!$A$133</c:f>
              <c:strCache>
                <c:ptCount val="1"/>
                <c:pt idx="0">
                  <c:v>Net Profit</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Output.v0'!$B$133:$M$133</c:f>
              <c:numCache>
                <c:formatCode>0%</c:formatCode>
                <c:ptCount val="12"/>
                <c:pt idx="1">
                  <c:v>0.26998890690331945</c:v>
                </c:pt>
                <c:pt idx="2">
                  <c:v>0.37096672878410336</c:v>
                </c:pt>
                <c:pt idx="3">
                  <c:v>0.47567663187687959</c:v>
                </c:pt>
                <c:pt idx="4">
                  <c:v>0.40259379744090223</c:v>
                </c:pt>
                <c:pt idx="5">
                  <c:v>0.33095795717650517</c:v>
                </c:pt>
                <c:pt idx="6">
                  <c:v>0.31241111537506472</c:v>
                </c:pt>
                <c:pt idx="7">
                  <c:v>0.24456197854588799</c:v>
                </c:pt>
                <c:pt idx="8">
                  <c:v>0.23268295194213498</c:v>
                </c:pt>
                <c:pt idx="9">
                  <c:v>0.2289227354894133</c:v>
                </c:pt>
                <c:pt idx="10">
                  <c:v>0.22493876768191262</c:v>
                </c:pt>
                <c:pt idx="11">
                  <c:v>0.3091597921162858</c:v>
                </c:pt>
              </c:numCache>
            </c:numRef>
          </c:val>
        </c:ser>
        <c:dLbls>
          <c:dLblPos val="ctr"/>
          <c:showLegendKey val="0"/>
          <c:showVal val="1"/>
          <c:showCatName val="0"/>
          <c:showSerName val="0"/>
          <c:showPercent val="0"/>
          <c:showBubbleSize val="0"/>
        </c:dLbls>
        <c:gapWidth val="150"/>
        <c:overlap val="100"/>
        <c:axId val="-108107728"/>
        <c:axId val="-108120784"/>
      </c:barChart>
      <c:catAx>
        <c:axId val="-1081077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120784"/>
        <c:crosses val="autoZero"/>
        <c:auto val="1"/>
        <c:lblAlgn val="ctr"/>
        <c:lblOffset val="100"/>
        <c:noMultiLvlLbl val="1"/>
      </c:catAx>
      <c:valAx>
        <c:axId val="-108120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107728"/>
        <c:crosses val="autoZero"/>
        <c:crossBetween val="between"/>
      </c:valAx>
      <c:spPr>
        <a:noFill/>
        <a:ln>
          <a:noFill/>
        </a:ln>
        <a:effectLst/>
      </c:spPr>
    </c:plotArea>
    <c:legend>
      <c:legendPos val="b"/>
      <c:layout>
        <c:manualLayout>
          <c:xMode val="edge"/>
          <c:yMode val="edge"/>
          <c:x val="0.14127777777777778"/>
          <c:y val="0.92187445319335082"/>
          <c:w val="0.71744422572178479"/>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312228429546864E-2"/>
          <c:y val="5.0925925925925923E-2"/>
          <c:w val="0.94537554314090622"/>
          <c:h val="0.80521580635753864"/>
        </c:manualLayout>
      </c:layout>
      <c:lineChart>
        <c:grouping val="standard"/>
        <c:varyColors val="0"/>
        <c:ser>
          <c:idx val="0"/>
          <c:order val="0"/>
          <c:tx>
            <c:strRef>
              <c:f>'Screener Output.v0'!$A$126</c:f>
              <c:strCache>
                <c:ptCount val="1"/>
                <c:pt idx="0">
                  <c:v>OP Margin</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'Screener Output.v0'!$B$125:$M$125</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Output.v0'!$B$126:$M$126</c:f>
              <c:numCache>
                <c:formatCode>0%</c:formatCode>
                <c:ptCount val="12"/>
                <c:pt idx="1">
                  <c:v>0.63976197950075753</c:v>
                </c:pt>
                <c:pt idx="2">
                  <c:v>0.48149977819897555</c:v>
                </c:pt>
                <c:pt idx="3">
                  <c:v>0.49737513564243196</c:v>
                </c:pt>
                <c:pt idx="4">
                  <c:v>0.47280475450246306</c:v>
                </c:pt>
                <c:pt idx="5">
                  <c:v>0.47835953808146775</c:v>
                </c:pt>
                <c:pt idx="6">
                  <c:v>0.48056540935767667</c:v>
                </c:pt>
                <c:pt idx="7">
                  <c:v>0.50359469330553686</c:v>
                </c:pt>
                <c:pt idx="8">
                  <c:v>0.60561513998877592</c:v>
                </c:pt>
                <c:pt idx="9">
                  <c:v>0.5447888532454489</c:v>
                </c:pt>
                <c:pt idx="10">
                  <c:v>0.54405450620430584</c:v>
                </c:pt>
                <c:pt idx="11">
                  <c:v>0.52242404870998271</c:v>
                </c:pt>
              </c:numCache>
            </c:numRef>
          </c:val>
          <c:smooth val="0"/>
        </c:ser>
        <c:ser>
          <c:idx val="1"/>
          <c:order val="1"/>
          <c:tx>
            <c:strRef>
              <c:f>'Screener Output.v0'!$A$127</c:f>
              <c:strCache>
                <c:ptCount val="1"/>
                <c:pt idx="0">
                  <c:v>NP Margin</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'Screener Output.v0'!$B$125:$M$125</c:f>
              <c:strCache>
                <c:ptCount val="12"/>
                <c:pt idx="1">
                  <c:v>Mar-08</c:v>
                </c:pt>
                <c:pt idx="2">
                  <c:v>Mar-09</c:v>
                </c:pt>
                <c:pt idx="3">
                  <c:v>Mar-10</c:v>
                </c:pt>
                <c:pt idx="4">
                  <c:v>Mar-11</c:v>
                </c:pt>
                <c:pt idx="5">
                  <c:v>Mar-12</c:v>
                </c:pt>
                <c:pt idx="6">
                  <c:v>Mar-13</c:v>
                </c:pt>
                <c:pt idx="7">
                  <c:v>Mar-14</c:v>
                </c:pt>
                <c:pt idx="8">
                  <c:v>Mar-15</c:v>
                </c:pt>
                <c:pt idx="9">
                  <c:v>Mar-16</c:v>
                </c:pt>
                <c:pt idx="10">
                  <c:v>Mar-17</c:v>
                </c:pt>
                <c:pt idx="11">
                  <c:v>TTM</c:v>
                </c:pt>
              </c:strCache>
            </c:strRef>
          </c:cat>
          <c:val>
            <c:numRef>
              <c:f>'Screener Output.v0'!$B$127:$M$127</c:f>
              <c:numCache>
                <c:formatCode>0%</c:formatCode>
                <c:ptCount val="12"/>
                <c:pt idx="1">
                  <c:v>0.16028774791661393</c:v>
                </c:pt>
                <c:pt idx="2">
                  <c:v>0.17190122738077898</c:v>
                </c:pt>
                <c:pt idx="3">
                  <c:v>0.22998631542935347</c:v>
                </c:pt>
                <c:pt idx="4">
                  <c:v>0.18544313913529936</c:v>
                </c:pt>
                <c:pt idx="5">
                  <c:v>0.15223249361618546</c:v>
                </c:pt>
                <c:pt idx="6">
                  <c:v>0.14483926081166282</c:v>
                </c:pt>
                <c:pt idx="7">
                  <c:v>0.11927895944276624</c:v>
                </c:pt>
                <c:pt idx="8">
                  <c:v>0.1368967841106139</c:v>
                </c:pt>
                <c:pt idx="9">
                  <c:v>0.12169678655632317</c:v>
                </c:pt>
                <c:pt idx="10">
                  <c:v>0.11985371353518362</c:v>
                </c:pt>
                <c:pt idx="11">
                  <c:v>0.15354780973942603</c:v>
                </c:pt>
              </c:numCache>
            </c:numRef>
          </c:val>
          <c:smooth val="0"/>
        </c:ser>
        <c:dLbls>
          <c:dLblPos val="ctr"/>
          <c:showLegendKey val="0"/>
          <c:showVal val="1"/>
          <c:showCatName val="0"/>
          <c:showSerName val="0"/>
          <c:showPercent val="0"/>
          <c:showBubbleSize val="0"/>
        </c:dLbls>
        <c:marker val="1"/>
        <c:smooth val="0"/>
        <c:axId val="-108107184"/>
        <c:axId val="-108112624"/>
      </c:lineChart>
      <c:catAx>
        <c:axId val="-108107184"/>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n-US"/>
          </a:p>
        </c:txPr>
        <c:crossAx val="-108112624"/>
        <c:crosses val="autoZero"/>
        <c:auto val="1"/>
        <c:lblAlgn val="ctr"/>
        <c:lblOffset val="100"/>
        <c:noMultiLvlLbl val="1"/>
      </c:catAx>
      <c:valAx>
        <c:axId val="-1081126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8107184"/>
        <c:crosses val="autoZero"/>
        <c:crossBetween val="between"/>
      </c:valAx>
      <c:spPr>
        <a:noFill/>
        <a:ln>
          <a:noFill/>
        </a:ln>
        <a:effectLst/>
      </c:spPr>
    </c:plotArea>
    <c:legend>
      <c:legendPos val="b"/>
      <c:layout>
        <c:manualLayout>
          <c:xMode val="edge"/>
          <c:yMode val="edge"/>
          <c:x val="0.31346696188116152"/>
          <c:y val="0.92187445319335082"/>
          <c:w val="0.37306607623767701"/>
          <c:h val="7.8125546806649168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Dupont!$B$8</c:f>
              <c:strCache>
                <c:ptCount val="1"/>
                <c:pt idx="0">
                  <c:v>Asset Turnover</c:v>
                </c:pt>
              </c:strCache>
            </c:strRef>
          </c:tx>
          <c:spPr>
            <a:solidFill>
              <a:srgbClr val="00B050"/>
            </a:solidFill>
            <a:ln>
              <a:noFill/>
            </a:ln>
            <a:effectLst/>
          </c:spPr>
          <c:invertIfNegative val="0"/>
          <c:cat>
            <c:strRef>
              <c:f>Dupont!$C$6:$G$6</c:f>
              <c:strCache>
                <c:ptCount val="5"/>
                <c:pt idx="0">
                  <c:v>CY-4</c:v>
                </c:pt>
                <c:pt idx="1">
                  <c:v>CY-3</c:v>
                </c:pt>
                <c:pt idx="2">
                  <c:v>CY-2</c:v>
                </c:pt>
                <c:pt idx="3">
                  <c:v>CY-1</c:v>
                </c:pt>
                <c:pt idx="4">
                  <c:v>CY0</c:v>
                </c:pt>
              </c:strCache>
            </c:strRef>
          </c:cat>
          <c:val>
            <c:numRef>
              <c:f>Dupont!$C$8:$G$8</c:f>
              <c:numCache>
                <c:formatCode>0.00</c:formatCode>
                <c:ptCount val="5"/>
                <c:pt idx="0">
                  <c:v>0.2923579069112805</c:v>
                </c:pt>
                <c:pt idx="1">
                  <c:v>0.24520980146846391</c:v>
                </c:pt>
                <c:pt idx="2">
                  <c:v>0.10054728988091084</c:v>
                </c:pt>
                <c:pt idx="3">
                  <c:v>0.12460565093174858</c:v>
                </c:pt>
                <c:pt idx="4">
                  <c:v>0.12786239184163434</c:v>
                </c:pt>
              </c:numCache>
            </c:numRef>
          </c:val>
        </c:ser>
        <c:ser>
          <c:idx val="2"/>
          <c:order val="2"/>
          <c:tx>
            <c:strRef>
              <c:f>Dupont!$B$9</c:f>
              <c:strCache>
                <c:ptCount val="1"/>
                <c:pt idx="0">
                  <c:v>Equity Multiplier</c:v>
                </c:pt>
              </c:strCache>
            </c:strRef>
          </c:tx>
          <c:spPr>
            <a:solidFill>
              <a:schemeClr val="bg1">
                <a:lumMod val="65000"/>
              </a:schemeClr>
            </a:solidFill>
            <a:ln>
              <a:noFill/>
            </a:ln>
            <a:effectLst/>
          </c:spPr>
          <c:invertIfNegative val="0"/>
          <c:cat>
            <c:strRef>
              <c:f>Dupont!$C$6:$G$6</c:f>
              <c:strCache>
                <c:ptCount val="5"/>
                <c:pt idx="0">
                  <c:v>CY-4</c:v>
                </c:pt>
                <c:pt idx="1">
                  <c:v>CY-3</c:v>
                </c:pt>
                <c:pt idx="2">
                  <c:v>CY-2</c:v>
                </c:pt>
                <c:pt idx="3">
                  <c:v>CY-1</c:v>
                </c:pt>
                <c:pt idx="4">
                  <c:v>CY0</c:v>
                </c:pt>
              </c:strCache>
            </c:strRef>
          </c:cat>
          <c:val>
            <c:numRef>
              <c:f>Dupont!$C$9:$G$9</c:f>
              <c:numCache>
                <c:formatCode>0.00</c:formatCode>
                <c:ptCount val="5"/>
                <c:pt idx="0">
                  <c:v>4.0155669751598015</c:v>
                </c:pt>
                <c:pt idx="1">
                  <c:v>4.4132962993127736</c:v>
                </c:pt>
                <c:pt idx="2">
                  <c:v>9.0356603972610916</c:v>
                </c:pt>
                <c:pt idx="3">
                  <c:v>8.7203062678209946</c:v>
                </c:pt>
                <c:pt idx="4">
                  <c:v>8.855728810987177</c:v>
                </c:pt>
              </c:numCache>
            </c:numRef>
          </c:val>
        </c:ser>
        <c:dLbls>
          <c:showLegendKey val="0"/>
          <c:showVal val="0"/>
          <c:showCatName val="0"/>
          <c:showSerName val="0"/>
          <c:showPercent val="0"/>
          <c:showBubbleSize val="0"/>
        </c:dLbls>
        <c:gapWidth val="247"/>
        <c:axId val="-108109360"/>
        <c:axId val="-108112080"/>
      </c:barChart>
      <c:lineChart>
        <c:grouping val="standard"/>
        <c:varyColors val="0"/>
        <c:ser>
          <c:idx val="0"/>
          <c:order val="0"/>
          <c:tx>
            <c:strRef>
              <c:f>Dupont!$B$7</c:f>
              <c:strCache>
                <c:ptCount val="1"/>
                <c:pt idx="0">
                  <c:v>NPM</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cat>
            <c:strRef>
              <c:f>Dupont!$C$6:$G$6</c:f>
              <c:strCache>
                <c:ptCount val="5"/>
                <c:pt idx="0">
                  <c:v>CY-4</c:v>
                </c:pt>
                <c:pt idx="1">
                  <c:v>CY-3</c:v>
                </c:pt>
                <c:pt idx="2">
                  <c:v>CY-2</c:v>
                </c:pt>
                <c:pt idx="3">
                  <c:v>CY-1</c:v>
                </c:pt>
                <c:pt idx="4">
                  <c:v>CY0</c:v>
                </c:pt>
              </c:strCache>
            </c:strRef>
          </c:cat>
          <c:val>
            <c:numRef>
              <c:f>Dupont!$C$7:$G$7</c:f>
              <c:numCache>
                <c:formatCode>0%</c:formatCode>
                <c:ptCount val="5"/>
                <c:pt idx="0">
                  <c:v>0.15013397554810634</c:v>
                </c:pt>
                <c:pt idx="1">
                  <c:v>0.12316011458001175</c:v>
                </c:pt>
                <c:pt idx="2">
                  <c:v>0.14091631851343769</c:v>
                </c:pt>
                <c:pt idx="3">
                  <c:v>0.12471455454908871</c:v>
                </c:pt>
                <c:pt idx="4">
                  <c:v>0.12237895017738805</c:v>
                </c:pt>
              </c:numCache>
            </c:numRef>
          </c:val>
          <c:smooth val="0"/>
        </c:ser>
        <c:ser>
          <c:idx val="3"/>
          <c:order val="3"/>
          <c:tx>
            <c:strRef>
              <c:f>Dupont!$B$10</c:f>
              <c:strCache>
                <c:ptCount val="1"/>
                <c:pt idx="0">
                  <c:v>ROE</c:v>
                </c:pt>
              </c:strCache>
            </c:strRef>
          </c:tx>
          <c:spPr>
            <a:ln w="22225" cap="rnd">
              <a:solidFill>
                <a:schemeClr val="tx1"/>
              </a:solidFill>
              <a:round/>
            </a:ln>
            <a:effectLst/>
          </c:spPr>
          <c:marker>
            <c:symbol val="circle"/>
            <c:size val="6"/>
            <c:spPr>
              <a:solidFill>
                <a:schemeClr val="lt1"/>
              </a:solidFill>
              <a:ln w="15875">
                <a:solidFill>
                  <a:schemeClr val="accent4"/>
                </a:solidFill>
                <a:round/>
              </a:ln>
              <a:effectLst/>
            </c:spPr>
          </c:marker>
          <c:cat>
            <c:strRef>
              <c:f>Dupont!$C$6:$G$6</c:f>
              <c:strCache>
                <c:ptCount val="5"/>
                <c:pt idx="0">
                  <c:v>CY-4</c:v>
                </c:pt>
                <c:pt idx="1">
                  <c:v>CY-3</c:v>
                </c:pt>
                <c:pt idx="2">
                  <c:v>CY-2</c:v>
                </c:pt>
                <c:pt idx="3">
                  <c:v>CY-1</c:v>
                </c:pt>
                <c:pt idx="4">
                  <c:v>CY0</c:v>
                </c:pt>
              </c:strCache>
            </c:strRef>
          </c:cat>
          <c:val>
            <c:numRef>
              <c:f>Dupont!$C$10:$G$10</c:f>
              <c:numCache>
                <c:formatCode>0%</c:formatCode>
                <c:ptCount val="5"/>
                <c:pt idx="0">
                  <c:v>0.17625469837115895</c:v>
                </c:pt>
                <c:pt idx="1">
                  <c:v>0.13328184501134635</c:v>
                </c:pt>
                <c:pt idx="2">
                  <c:v>0.12802404873240686</c:v>
                </c:pt>
                <c:pt idx="3">
                  <c:v>0.1355147649864796</c:v>
                </c:pt>
                <c:pt idx="4">
                  <c:v>0.138571480251413</c:v>
                </c:pt>
              </c:numCache>
            </c:numRef>
          </c:val>
          <c:smooth val="0"/>
        </c:ser>
        <c:dLbls>
          <c:showLegendKey val="0"/>
          <c:showVal val="0"/>
          <c:showCatName val="0"/>
          <c:showSerName val="0"/>
          <c:showPercent val="0"/>
          <c:showBubbleSize val="0"/>
        </c:dLbls>
        <c:marker val="1"/>
        <c:smooth val="0"/>
        <c:axId val="-108116432"/>
        <c:axId val="-108109904"/>
      </c:lineChart>
      <c:catAx>
        <c:axId val="-10810936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108112080"/>
        <c:crosses val="autoZero"/>
        <c:auto val="1"/>
        <c:lblAlgn val="ctr"/>
        <c:lblOffset val="100"/>
        <c:noMultiLvlLbl val="0"/>
      </c:catAx>
      <c:valAx>
        <c:axId val="-108112080"/>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08109360"/>
        <c:crosses val="autoZero"/>
        <c:crossBetween val="between"/>
      </c:valAx>
      <c:valAx>
        <c:axId val="-10810990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08116432"/>
        <c:crosses val="max"/>
        <c:crossBetween val="between"/>
      </c:valAx>
      <c:catAx>
        <c:axId val="-108116432"/>
        <c:scaling>
          <c:orientation val="minMax"/>
        </c:scaling>
        <c:delete val="1"/>
        <c:axPos val="b"/>
        <c:numFmt formatCode="General" sourceLinked="1"/>
        <c:majorTickMark val="out"/>
        <c:minorTickMark val="none"/>
        <c:tickLblPos val="nextTo"/>
        <c:crossAx val="-108109904"/>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'Screener Output.v0'!$A$117:$B$117</c:f>
              <c:strCache>
                <c:ptCount val="2"/>
                <c:pt idx="0">
                  <c:v>Debt/PAT</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'Screener Output.v0'!$C$116:$M$116</c:f>
              <c:strCache>
                <c:ptCount val="11"/>
                <c:pt idx="0">
                  <c:v>Mar-08</c:v>
                </c:pt>
                <c:pt idx="1">
                  <c:v>Mar-09</c:v>
                </c:pt>
                <c:pt idx="2">
                  <c:v>Mar-10</c:v>
                </c:pt>
                <c:pt idx="3">
                  <c:v>Mar-11</c:v>
                </c:pt>
                <c:pt idx="4">
                  <c:v>Mar-12</c:v>
                </c:pt>
                <c:pt idx="5">
                  <c:v>Mar-13</c:v>
                </c:pt>
                <c:pt idx="6">
                  <c:v>Mar-14</c:v>
                </c:pt>
                <c:pt idx="7">
                  <c:v>Mar-15</c:v>
                </c:pt>
                <c:pt idx="8">
                  <c:v>Mar-16</c:v>
                </c:pt>
                <c:pt idx="9">
                  <c:v>Mar-17</c:v>
                </c:pt>
                <c:pt idx="10">
                  <c:v>TTM</c:v>
                </c:pt>
              </c:strCache>
            </c:strRef>
          </c:cat>
          <c:val>
            <c:numRef>
              <c:f>'Screener Output.v0'!$C$117:$M$117</c:f>
              <c:numCache>
                <c:formatCode>0.0</c:formatCode>
                <c:ptCount val="11"/>
                <c:pt idx="0">
                  <c:v>15.970685840707961</c:v>
                </c:pt>
                <c:pt idx="1">
                  <c:v>14.031100073375862</c:v>
                </c:pt>
                <c:pt idx="2">
                  <c:v>7.2275691087145137</c:v>
                </c:pt>
                <c:pt idx="3">
                  <c:v>9.9640586955116444</c:v>
                </c:pt>
                <c:pt idx="4">
                  <c:v>14.258160117739559</c:v>
                </c:pt>
                <c:pt idx="5">
                  <c:v>15.853264207521958</c:v>
                </c:pt>
                <c:pt idx="6">
                  <c:v>24.115769548757669</c:v>
                </c:pt>
                <c:pt idx="7">
                  <c:v>23.187473495952943</c:v>
                </c:pt>
                <c:pt idx="8">
                  <c:v>24.433662220693343</c:v>
                </c:pt>
                <c:pt idx="9">
                  <c:v>19.517332476028074</c:v>
                </c:pt>
                <c:pt idx="10">
                  <c:v>15.182717713962615</c:v>
                </c:pt>
              </c:numCache>
            </c:numRef>
          </c:val>
          <c:smooth val="0"/>
        </c:ser>
        <c:dLbls>
          <c:dLblPos val="ctr"/>
          <c:showLegendKey val="0"/>
          <c:showVal val="1"/>
          <c:showCatName val="0"/>
          <c:showSerName val="0"/>
          <c:showPercent val="0"/>
          <c:showBubbleSize val="0"/>
        </c:dLbls>
        <c:marker val="1"/>
        <c:smooth val="0"/>
        <c:axId val="-108115888"/>
        <c:axId val="-108111536"/>
      </c:lineChart>
      <c:catAx>
        <c:axId val="-108115888"/>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08111536"/>
        <c:crosses val="autoZero"/>
        <c:auto val="1"/>
        <c:lblAlgn val="ctr"/>
        <c:lblOffset val="100"/>
        <c:noMultiLvlLbl val="1"/>
      </c:catAx>
      <c:valAx>
        <c:axId val="-1081115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081158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Output.v0'!$A$118:$B$118</c:f>
              <c:strCache>
                <c:ptCount val="2"/>
                <c:pt idx="0">
                  <c:v>CFO/PAT</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'Screener Output.v0'!$C$116:$M$116</c:f>
              <c:strCache>
                <c:ptCount val="11"/>
                <c:pt idx="0">
                  <c:v>Mar-08</c:v>
                </c:pt>
                <c:pt idx="1">
                  <c:v>Mar-09</c:v>
                </c:pt>
                <c:pt idx="2">
                  <c:v>Mar-10</c:v>
                </c:pt>
                <c:pt idx="3">
                  <c:v>Mar-11</c:v>
                </c:pt>
                <c:pt idx="4">
                  <c:v>Mar-12</c:v>
                </c:pt>
                <c:pt idx="5">
                  <c:v>Mar-13</c:v>
                </c:pt>
                <c:pt idx="6">
                  <c:v>Mar-14</c:v>
                </c:pt>
                <c:pt idx="7">
                  <c:v>Mar-15</c:v>
                </c:pt>
                <c:pt idx="8">
                  <c:v>Mar-16</c:v>
                </c:pt>
                <c:pt idx="9">
                  <c:v>Mar-17</c:v>
                </c:pt>
                <c:pt idx="10">
                  <c:v>TTM</c:v>
                </c:pt>
              </c:strCache>
            </c:strRef>
          </c:cat>
          <c:val>
            <c:numRef>
              <c:f>'Screener Output.v0'!$C$118:$M$118</c:f>
              <c:numCache>
                <c:formatCode>0.0</c:formatCode>
                <c:ptCount val="11"/>
                <c:pt idx="0">
                  <c:v>1.6741466498103661</c:v>
                </c:pt>
                <c:pt idx="1">
                  <c:v>1.476152847547554</c:v>
                </c:pt>
                <c:pt idx="2">
                  <c:v>2.239419858683525</c:v>
                </c:pt>
                <c:pt idx="3">
                  <c:v>2.3032816910513043</c:v>
                </c:pt>
                <c:pt idx="4">
                  <c:v>2.2384427733311827</c:v>
                </c:pt>
                <c:pt idx="5">
                  <c:v>2.6108602189385475</c:v>
                </c:pt>
                <c:pt idx="6">
                  <c:v>3.6018014881858926</c:v>
                </c:pt>
                <c:pt idx="7">
                  <c:v>3.3620591109390263</c:v>
                </c:pt>
                <c:pt idx="8">
                  <c:v>3.658733757603243</c:v>
                </c:pt>
                <c:pt idx="9">
                  <c:v>4.4858824187190747</c:v>
                </c:pt>
                <c:pt idx="10">
                  <c:v>3.4896104037317732</c:v>
                </c:pt>
              </c:numCache>
            </c:numRef>
          </c:val>
        </c:ser>
        <c:dLbls>
          <c:dLblPos val="inEnd"/>
          <c:showLegendKey val="0"/>
          <c:showVal val="1"/>
          <c:showCatName val="0"/>
          <c:showSerName val="0"/>
          <c:showPercent val="0"/>
          <c:showBubbleSize val="0"/>
        </c:dLbls>
        <c:gapWidth val="65"/>
        <c:axId val="-108119696"/>
        <c:axId val="-108115344"/>
      </c:barChart>
      <c:catAx>
        <c:axId val="-108119696"/>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08115344"/>
        <c:crosses val="autoZero"/>
        <c:auto val="1"/>
        <c:lblAlgn val="ctr"/>
        <c:lblOffset val="100"/>
        <c:noMultiLvlLbl val="1"/>
      </c:catAx>
      <c:valAx>
        <c:axId val="-1081153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081196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'Screener Output.v0'!$A$119:$B$119</c:f>
              <c:strCache>
                <c:ptCount val="2"/>
                <c:pt idx="0">
                  <c:v>PAT/WC</c:v>
                </c:pt>
              </c:strCache>
            </c:strRef>
          </c:tx>
          <c:spPr>
            <a:ln w="2222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'Screener Output.v0'!$C$116:$M$116</c:f>
              <c:strCache>
                <c:ptCount val="11"/>
                <c:pt idx="0">
                  <c:v>Mar-08</c:v>
                </c:pt>
                <c:pt idx="1">
                  <c:v>Mar-09</c:v>
                </c:pt>
                <c:pt idx="2">
                  <c:v>Mar-10</c:v>
                </c:pt>
                <c:pt idx="3">
                  <c:v>Mar-11</c:v>
                </c:pt>
                <c:pt idx="4">
                  <c:v>Mar-12</c:v>
                </c:pt>
                <c:pt idx="5">
                  <c:v>Mar-13</c:v>
                </c:pt>
                <c:pt idx="6">
                  <c:v>Mar-14</c:v>
                </c:pt>
                <c:pt idx="7">
                  <c:v>Mar-15</c:v>
                </c:pt>
                <c:pt idx="8">
                  <c:v>Mar-16</c:v>
                </c:pt>
                <c:pt idx="9">
                  <c:v>Mar-17</c:v>
                </c:pt>
                <c:pt idx="10">
                  <c:v>TTM</c:v>
                </c:pt>
              </c:strCache>
            </c:strRef>
          </c:cat>
          <c:val>
            <c:numRef>
              <c:f>'Screener Output.v0'!$C$119:$M$119</c:f>
              <c:numCache>
                <c:formatCode>0%</c:formatCode>
                <c:ptCount val="11"/>
                <c:pt idx="0">
                  <c:v>0.188954747010257</c:v>
                </c:pt>
                <c:pt idx="1">
                  <c:v>0.2792453424959806</c:v>
                </c:pt>
                <c:pt idx="2">
                  <c:v>0.7171941678520628</c:v>
                </c:pt>
                <c:pt idx="3">
                  <c:v>0.40991193901975864</c:v>
                </c:pt>
                <c:pt idx="4">
                  <c:v>0.25895626024579471</c:v>
                </c:pt>
                <c:pt idx="5">
                  <c:v>0.35833899731365482</c:v>
                </c:pt>
                <c:pt idx="6">
                  <c:v>0.28922743891311598</c:v>
                </c:pt>
                <c:pt idx="7">
                  <c:v>-2.7572312694641103E-2</c:v>
                </c:pt>
                <c:pt idx="8">
                  <c:v>-3.4121787993855665E-2</c:v>
                </c:pt>
                <c:pt idx="9">
                  <c:v>-5.909944024795627E-2</c:v>
                </c:pt>
                <c:pt idx="10">
                  <c:v>-7.5972131353383973E-2</c:v>
                </c:pt>
              </c:numCache>
            </c:numRef>
          </c:val>
          <c:smooth val="0"/>
        </c:ser>
        <c:dLbls>
          <c:dLblPos val="ctr"/>
          <c:showLegendKey val="0"/>
          <c:showVal val="1"/>
          <c:showCatName val="0"/>
          <c:showSerName val="0"/>
          <c:showPercent val="0"/>
          <c:showBubbleSize val="0"/>
        </c:dLbls>
        <c:smooth val="0"/>
        <c:axId val="-108106640"/>
        <c:axId val="-108108816"/>
      </c:lineChart>
      <c:catAx>
        <c:axId val="-108106640"/>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08108816"/>
        <c:crosses val="autoZero"/>
        <c:auto val="1"/>
        <c:lblAlgn val="ctr"/>
        <c:lblOffset val="100"/>
        <c:noMultiLvlLbl val="1"/>
      </c:catAx>
      <c:valAx>
        <c:axId val="-10810881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08106640"/>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0"/>
          <c:tx>
            <c:strRef>
              <c:f>'Screener Output.v0'!$A$121:$B$121</c:f>
              <c:strCache>
                <c:ptCount val="2"/>
                <c:pt idx="0">
                  <c:v>C Liability/C Asset</c:v>
                </c:pt>
              </c:strCache>
            </c:strRef>
          </c:tx>
          <c:spPr>
            <a:gradFill>
              <a:gsLst>
                <a:gs pos="0">
                  <a:schemeClr val="accent5"/>
                </a:gs>
                <a:gs pos="100000">
                  <a:schemeClr val="accent5">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Output.v0'!$C$121:$L$121</c:f>
              <c:numCache>
                <c:formatCode>0.00</c:formatCode>
                <c:ptCount val="10"/>
                <c:pt idx="0">
                  <c:v>0.30327459587658895</c:v>
                </c:pt>
                <c:pt idx="1">
                  <c:v>0.37802307684766734</c:v>
                </c:pt>
                <c:pt idx="2">
                  <c:v>0.51094376375035877</c:v>
                </c:pt>
                <c:pt idx="3">
                  <c:v>0.44970302034626564</c:v>
                </c:pt>
                <c:pt idx="4">
                  <c:v>0.32731148657903147</c:v>
                </c:pt>
                <c:pt idx="5">
                  <c:v>0.40268181308505169</c:v>
                </c:pt>
                <c:pt idx="6">
                  <c:v>0.40229733745058727</c:v>
                </c:pt>
                <c:pt idx="7">
                  <c:v>8.0369037483275978</c:v>
                </c:pt>
                <c:pt idx="8">
                  <c:v>7.3127338742543815</c:v>
                </c:pt>
                <c:pt idx="9">
                  <c:v>1.7889409475221603</c:v>
                </c:pt>
              </c:numCache>
            </c:numRef>
          </c:val>
        </c:ser>
        <c:dLbls>
          <c:dLblPos val="inEnd"/>
          <c:showLegendKey val="0"/>
          <c:showVal val="1"/>
          <c:showCatName val="0"/>
          <c:showSerName val="0"/>
          <c:showPercent val="0"/>
          <c:showBubbleSize val="0"/>
        </c:dLbls>
        <c:gapWidth val="41"/>
        <c:axId val="-108121872"/>
        <c:axId val="-108119152"/>
      </c:barChart>
      <c:dateAx>
        <c:axId val="-108121872"/>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08119152"/>
        <c:crosses val="autoZero"/>
        <c:auto val="1"/>
        <c:lblOffset val="100"/>
        <c:baseTimeUnit val="years"/>
      </c:dateAx>
      <c:valAx>
        <c:axId val="-108119152"/>
        <c:scaling>
          <c:orientation val="minMax"/>
        </c:scaling>
        <c:delete val="1"/>
        <c:axPos val="l"/>
        <c:numFmt formatCode="0.00" sourceLinked="1"/>
        <c:majorTickMark val="none"/>
        <c:minorTickMark val="none"/>
        <c:tickLblPos val="nextTo"/>
        <c:crossAx val="-10812187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Output.v0'!$A$106:$C$106</c:f>
              <c:strCache>
                <c:ptCount val="3"/>
                <c:pt idx="0">
                  <c:v>∆ WC</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Output.v0'!$D$105:$L$105</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Output.v0'!$D$106:$L$106</c:f>
              <c:numCache>
                <c:formatCode>0</c:formatCode>
                <c:ptCount val="9"/>
                <c:pt idx="0">
                  <c:v>-35.329999999999927</c:v>
                </c:pt>
                <c:pt idx="1">
                  <c:v>-72.060000000000059</c:v>
                </c:pt>
                <c:pt idx="2">
                  <c:v>569.7700000000001</c:v>
                </c:pt>
                <c:pt idx="3">
                  <c:v>783.24999999999977</c:v>
                </c:pt>
                <c:pt idx="4">
                  <c:v>-370.56999999999994</c:v>
                </c:pt>
                <c:pt idx="5">
                  <c:v>44.2800000000002</c:v>
                </c:pt>
                <c:pt idx="6">
                  <c:v>-21259.95</c:v>
                </c:pt>
                <c:pt idx="7">
                  <c:v>928.25</c:v>
                </c:pt>
                <c:pt idx="8">
                  <c:v>6637.2100000000009</c:v>
                </c:pt>
              </c:numCache>
            </c:numRef>
          </c:val>
        </c:ser>
        <c:ser>
          <c:idx val="1"/>
          <c:order val="1"/>
          <c:tx>
            <c:strRef>
              <c:f>'Screener Output.v0'!$A$107:$C$107</c:f>
              <c:strCache>
                <c:ptCount val="3"/>
                <c:pt idx="0">
                  <c:v>NP</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Output.v0'!$D$105:$L$105</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Output.v0'!$D$107:$L$107</c:f>
              <c:numCache>
                <c:formatCode>0</c:formatCode>
                <c:ptCount val="9"/>
                <c:pt idx="0">
                  <c:v>126.56000000000003</c:v>
                </c:pt>
                <c:pt idx="1">
                  <c:v>177.16999999999987</c:v>
                </c:pt>
                <c:pt idx="2">
                  <c:v>403.35000000000008</c:v>
                </c:pt>
                <c:pt idx="3">
                  <c:v>464.09000000000015</c:v>
                </c:pt>
                <c:pt idx="4">
                  <c:v>496.01000000000005</c:v>
                </c:pt>
                <c:pt idx="5">
                  <c:v>553.57999999999959</c:v>
                </c:pt>
                <c:pt idx="6">
                  <c:v>459.62</c:v>
                </c:pt>
                <c:pt idx="7">
                  <c:v>542.37000000000012</c:v>
                </c:pt>
                <c:pt idx="8">
                  <c:v>639.5299999999994</c:v>
                </c:pt>
              </c:numCache>
            </c:numRef>
          </c:val>
        </c:ser>
        <c:dLbls>
          <c:dLblPos val="inEnd"/>
          <c:showLegendKey val="0"/>
          <c:showVal val="1"/>
          <c:showCatName val="0"/>
          <c:showSerName val="0"/>
          <c:showPercent val="0"/>
          <c:showBubbleSize val="0"/>
        </c:dLbls>
        <c:gapWidth val="65"/>
        <c:axId val="-108113712"/>
        <c:axId val="-108118064"/>
      </c:barChart>
      <c:dateAx>
        <c:axId val="-108113712"/>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08118064"/>
        <c:crosses val="autoZero"/>
        <c:auto val="1"/>
        <c:lblOffset val="100"/>
        <c:baseTimeUnit val="years"/>
      </c:dateAx>
      <c:valAx>
        <c:axId val="-1081180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811371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Output.v0'!$A$62</c:f>
              <c:strCache>
                <c:ptCount val="1"/>
                <c:pt idx="0">
                  <c:v>Operating Cash Flow</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Output.v0'!$B$62:$L$62</c:f>
              <c:numCache>
                <c:formatCode>0</c:formatCode>
                <c:ptCount val="11"/>
                <c:pt idx="1">
                  <c:v>211.88</c:v>
                </c:pt>
                <c:pt idx="2">
                  <c:v>261.52999999999997</c:v>
                </c:pt>
                <c:pt idx="3">
                  <c:v>903.27</c:v>
                </c:pt>
                <c:pt idx="4">
                  <c:v>1068.93</c:v>
                </c:pt>
                <c:pt idx="5">
                  <c:v>1110.29</c:v>
                </c:pt>
                <c:pt idx="6">
                  <c:v>1445.32</c:v>
                </c:pt>
                <c:pt idx="7">
                  <c:v>1655.46</c:v>
                </c:pt>
                <c:pt idx="8">
                  <c:v>1823.48</c:v>
                </c:pt>
                <c:pt idx="9">
                  <c:v>2339.87</c:v>
                </c:pt>
                <c:pt idx="10">
                  <c:v>3209.29</c:v>
                </c:pt>
              </c:numCache>
            </c:numRef>
          </c:val>
        </c:ser>
        <c:ser>
          <c:idx val="1"/>
          <c:order val="1"/>
          <c:tx>
            <c:strRef>
              <c:f>'Screener Output.v0'!$A$64</c:f>
              <c:strCache>
                <c:ptCount val="1"/>
                <c:pt idx="0">
                  <c:v>Cash from Investing Activity</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Output.v0'!$B$64:$L$64</c:f>
              <c:numCache>
                <c:formatCode>0</c:formatCode>
                <c:ptCount val="11"/>
                <c:pt idx="1">
                  <c:v>-528.77</c:v>
                </c:pt>
                <c:pt idx="2">
                  <c:v>-604.66</c:v>
                </c:pt>
                <c:pt idx="3">
                  <c:v>-1022.31</c:v>
                </c:pt>
                <c:pt idx="4">
                  <c:v>-2372.8000000000002</c:v>
                </c:pt>
                <c:pt idx="5">
                  <c:v>-2672.9</c:v>
                </c:pt>
                <c:pt idx="6">
                  <c:v>-2243.31</c:v>
                </c:pt>
                <c:pt idx="7">
                  <c:v>-2394.48</c:v>
                </c:pt>
                <c:pt idx="8">
                  <c:v>-2297.0100000000002</c:v>
                </c:pt>
                <c:pt idx="9">
                  <c:v>-3143.98</c:v>
                </c:pt>
                <c:pt idx="10">
                  <c:v>-2998.22</c:v>
                </c:pt>
              </c:numCache>
            </c:numRef>
          </c:val>
        </c:ser>
        <c:ser>
          <c:idx val="2"/>
          <c:order val="2"/>
          <c:tx>
            <c:strRef>
              <c:f>'Screener Output.v0'!$A$65</c:f>
              <c:strCache>
                <c:ptCount val="1"/>
                <c:pt idx="0">
                  <c:v>Cash from Financing Activity</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Output.v0'!$B$65:$L$65</c:f>
              <c:numCache>
                <c:formatCode>0</c:formatCode>
                <c:ptCount val="11"/>
                <c:pt idx="1">
                  <c:v>407.65</c:v>
                </c:pt>
                <c:pt idx="2">
                  <c:v>330.79</c:v>
                </c:pt>
                <c:pt idx="3">
                  <c:v>143.1</c:v>
                </c:pt>
                <c:pt idx="4">
                  <c:v>1341.08</c:v>
                </c:pt>
                <c:pt idx="5">
                  <c:v>1757.88</c:v>
                </c:pt>
                <c:pt idx="6">
                  <c:v>699.36</c:v>
                </c:pt>
                <c:pt idx="7">
                  <c:v>925.45</c:v>
                </c:pt>
                <c:pt idx="8">
                  <c:v>475.09</c:v>
                </c:pt>
                <c:pt idx="9">
                  <c:v>670.89</c:v>
                </c:pt>
                <c:pt idx="10">
                  <c:v>-201.63</c:v>
                </c:pt>
              </c:numCache>
            </c:numRef>
          </c:val>
        </c:ser>
        <c:dLbls>
          <c:dLblPos val="inEnd"/>
          <c:showLegendKey val="0"/>
          <c:showVal val="1"/>
          <c:showCatName val="0"/>
          <c:showSerName val="0"/>
          <c:showPercent val="0"/>
          <c:showBubbleSize val="0"/>
        </c:dLbls>
        <c:gapWidth val="65"/>
        <c:axId val="-108117520"/>
        <c:axId val="-108114800"/>
      </c:barChart>
      <c:dateAx>
        <c:axId val="-108117520"/>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500" b="0" i="0" u="none" strike="noStrike" kern="1200" cap="all" baseline="0">
                <a:solidFill>
                  <a:schemeClr val="dk1">
                    <a:lumMod val="75000"/>
                    <a:lumOff val="25000"/>
                  </a:schemeClr>
                </a:solidFill>
                <a:latin typeface="+mn-lt"/>
                <a:ea typeface="+mn-ea"/>
                <a:cs typeface="+mn-cs"/>
              </a:defRPr>
            </a:pPr>
            <a:endParaRPr lang="en-US"/>
          </a:p>
        </c:txPr>
        <c:crossAx val="-108114800"/>
        <c:crosses val="autoZero"/>
        <c:auto val="1"/>
        <c:lblOffset val="100"/>
        <c:baseTimeUnit val="years"/>
      </c:dateAx>
      <c:valAx>
        <c:axId val="-1081148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811752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74999448598337"/>
          <c:y val="0.13704496788008566"/>
        </c:manualLayout>
      </c:layout>
      <c:overlay val="0"/>
    </c:title>
    <c:autoTitleDeleted val="0"/>
    <c:plotArea>
      <c:layout/>
      <c:barChart>
        <c:barDir val="bar"/>
        <c:grouping val="clustered"/>
        <c:varyColors val="0"/>
        <c:ser>
          <c:idx val="0"/>
          <c:order val="0"/>
          <c:tx>
            <c:strRef>
              <c:f>Valuation_Table!$A$27</c:f>
              <c:strCache>
                <c:ptCount val="1"/>
                <c:pt idx="0">
                  <c:v>Sustainable Earnings Growth</c:v>
                </c:pt>
              </c:strCache>
            </c:strRef>
          </c:tx>
          <c:spPr>
            <a:solidFill>
              <a:schemeClr val="accent6">
                <a:lumMod val="7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Growth Basis</c:v>
              </c:pt>
            </c:strLit>
          </c:cat>
          <c:val>
            <c:numRef>
              <c:f>Valuation_Table!$B$27</c:f>
              <c:numCache>
                <c:formatCode>0</c:formatCode>
                <c:ptCount val="1"/>
                <c:pt idx="0">
                  <c:v>402.33741643042373</c:v>
                </c:pt>
              </c:numCache>
            </c:numRef>
          </c:val>
        </c:ser>
        <c:dLbls>
          <c:dLblPos val="outEnd"/>
          <c:showLegendKey val="0"/>
          <c:showVal val="1"/>
          <c:showCatName val="0"/>
          <c:showSerName val="0"/>
          <c:showPercent val="0"/>
          <c:showBubbleSize val="0"/>
        </c:dLbls>
        <c:gapWidth val="150"/>
        <c:axId val="-2123841264"/>
        <c:axId val="-2123838544"/>
      </c:barChart>
      <c:catAx>
        <c:axId val="-2123841264"/>
        <c:scaling>
          <c:orientation val="minMax"/>
        </c:scaling>
        <c:delete val="0"/>
        <c:axPos val="l"/>
        <c:numFmt formatCode="General" sourceLinked="0"/>
        <c:majorTickMark val="out"/>
        <c:minorTickMark val="none"/>
        <c:tickLblPos val="nextTo"/>
        <c:crossAx val="-2123838544"/>
        <c:crosses val="autoZero"/>
        <c:auto val="1"/>
        <c:lblAlgn val="ctr"/>
        <c:lblOffset val="100"/>
        <c:noMultiLvlLbl val="0"/>
      </c:catAx>
      <c:valAx>
        <c:axId val="-2123838544"/>
        <c:scaling>
          <c:orientation val="minMax"/>
        </c:scaling>
        <c:delete val="1"/>
        <c:axPos val="b"/>
        <c:numFmt formatCode="0" sourceLinked="1"/>
        <c:majorTickMark val="out"/>
        <c:minorTickMark val="none"/>
        <c:tickLblPos val="nextTo"/>
        <c:crossAx val="-2123841264"/>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543866995422149E-2"/>
          <c:y val="5.4502818311879121E-2"/>
          <c:w val="0.89784315299318185"/>
          <c:h val="0.74558580189085655"/>
        </c:manualLayout>
      </c:layout>
      <c:areaChart>
        <c:grouping val="percentStacked"/>
        <c:varyColors val="0"/>
        <c:ser>
          <c:idx val="0"/>
          <c:order val="0"/>
          <c:tx>
            <c:strRef>
              <c:f>'Screener Output.v0'!$A$157</c:f>
              <c:strCache>
                <c:ptCount val="1"/>
                <c:pt idx="0">
                  <c:v>Tangible assets (Non-current)</c:v>
                </c:pt>
              </c:strCache>
            </c:strRef>
          </c:tx>
          <c:spPr>
            <a:solidFill>
              <a:schemeClr val="accent1">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Output.v0'!$C$157:$L$157</c:f>
              <c:numCache>
                <c:formatCode>0%</c:formatCode>
                <c:ptCount val="10"/>
                <c:pt idx="0">
                  <c:v>0.47916989747018551</c:v>
                </c:pt>
                <c:pt idx="1">
                  <c:v>0.43813959148725329</c:v>
                </c:pt>
                <c:pt idx="2">
                  <c:v>0.6255831995236979</c:v>
                </c:pt>
                <c:pt idx="3">
                  <c:v>0.42121846502322097</c:v>
                </c:pt>
                <c:pt idx="4">
                  <c:v>0.51140200408625136</c:v>
                </c:pt>
                <c:pt idx="5">
                  <c:v>0.42138525462934628</c:v>
                </c:pt>
                <c:pt idx="6">
                  <c:v>0.54436764288505179</c:v>
                </c:pt>
                <c:pt idx="7">
                  <c:v>0.8061203073350548</c:v>
                </c:pt>
                <c:pt idx="8">
                  <c:v>0.83342529377745922</c:v>
                </c:pt>
                <c:pt idx="9">
                  <c:v>0.52240238917690174</c:v>
                </c:pt>
              </c:numCache>
            </c:numRef>
          </c:val>
        </c:ser>
        <c:ser>
          <c:idx val="2"/>
          <c:order val="1"/>
          <c:tx>
            <c:strRef>
              <c:f>'Screener Output.v0'!$A$158</c:f>
              <c:strCache>
                <c:ptCount val="1"/>
                <c:pt idx="0">
                  <c:v>Investments (Current)</c:v>
                </c:pt>
              </c:strCache>
            </c:strRef>
          </c:tx>
          <c:spPr>
            <a:solidFill>
              <a:schemeClr val="accent3">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Output.v0'!$C$158:$L$158</c:f>
              <c:numCache>
                <c:formatCode>0%</c:formatCode>
                <c:ptCount val="10"/>
                <c:pt idx="0">
                  <c:v>5.0461549412862378E-2</c:v>
                </c:pt>
                <c:pt idx="1">
                  <c:v>2.4085257857644239E-2</c:v>
                </c:pt>
                <c:pt idx="2">
                  <c:v>8.1296119219874795E-3</c:v>
                </c:pt>
                <c:pt idx="3">
                  <c:v>6.8980119042697267E-3</c:v>
                </c:pt>
                <c:pt idx="4">
                  <c:v>1.2844345863706299E-3</c:v>
                </c:pt>
                <c:pt idx="5">
                  <c:v>4.7448505024049346E-3</c:v>
                </c:pt>
                <c:pt idx="6">
                  <c:v>9.2399445603326381E-4</c:v>
                </c:pt>
                <c:pt idx="7">
                  <c:v>2.2282425942022547E-4</c:v>
                </c:pt>
                <c:pt idx="8">
                  <c:v>8.5953573688769336E-4</c:v>
                </c:pt>
                <c:pt idx="9">
                  <c:v>3.1250629232458496E-3</c:v>
                </c:pt>
              </c:numCache>
            </c:numRef>
          </c:val>
        </c:ser>
        <c:ser>
          <c:idx val="3"/>
          <c:order val="2"/>
          <c:tx>
            <c:strRef>
              <c:f>'Screener Output.v0'!$A$159</c:f>
              <c:strCache>
                <c:ptCount val="1"/>
                <c:pt idx="0">
                  <c:v>Inventories (Current)</c:v>
                </c:pt>
              </c:strCache>
            </c:strRef>
          </c:tx>
          <c:spPr>
            <a:solidFill>
              <a:schemeClr val="accent4">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Output.v0'!$C$159:$L$159</c:f>
              <c:numCache>
                <c:formatCode>0%</c:formatCode>
                <c:ptCount val="10"/>
                <c:pt idx="0">
                  <c:v>1.2764745810971936E-2</c:v>
                </c:pt>
                <c:pt idx="1">
                  <c:v>4.4636939131644203E-2</c:v>
                </c:pt>
                <c:pt idx="2">
                  <c:v>3.0629476608872934E-2</c:v>
                </c:pt>
                <c:pt idx="3">
                  <c:v>2.0526158198248309E-2</c:v>
                </c:pt>
                <c:pt idx="4">
                  <c:v>1.4954685700237827E-2</c:v>
                </c:pt>
                <c:pt idx="5">
                  <c:v>1.9035241778550184E-2</c:v>
                </c:pt>
                <c:pt idx="6">
                  <c:v>1.7076079361705646E-2</c:v>
                </c:pt>
                <c:pt idx="7">
                  <c:v>6.5946336913833255E-3</c:v>
                </c:pt>
                <c:pt idx="8">
                  <c:v>7.32300736497642E-3</c:v>
                </c:pt>
                <c:pt idx="9">
                  <c:v>7.5552878446640869E-3</c:v>
                </c:pt>
              </c:numCache>
            </c:numRef>
          </c:val>
        </c:ser>
        <c:ser>
          <c:idx val="4"/>
          <c:order val="3"/>
          <c:tx>
            <c:strRef>
              <c:f>'Screener Output.v0'!$A$160</c:f>
              <c:strCache>
                <c:ptCount val="1"/>
                <c:pt idx="0">
                  <c:v>Receivables (Current)</c:v>
                </c:pt>
              </c:strCache>
            </c:strRef>
          </c:tx>
          <c:spPr>
            <a:solidFill>
              <a:schemeClr val="accent5">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Output.v0'!$C$160:$L$160</c:f>
              <c:numCache>
                <c:formatCode>0%</c:formatCode>
                <c:ptCount val="10"/>
                <c:pt idx="0">
                  <c:v>2.9897114267482569E-3</c:v>
                </c:pt>
                <c:pt idx="1">
                  <c:v>2.82077638718959E-3</c:v>
                </c:pt>
                <c:pt idx="2">
                  <c:v>5.3620076857849065E-3</c:v>
                </c:pt>
                <c:pt idx="3">
                  <c:v>4.9674204868197357E-3</c:v>
                </c:pt>
                <c:pt idx="4">
                  <c:v>1.2954834860383342E-3</c:v>
                </c:pt>
                <c:pt idx="5">
                  <c:v>6.119426732103736E-4</c:v>
                </c:pt>
                <c:pt idx="6">
                  <c:v>3.5127061964900939E-4</c:v>
                </c:pt>
                <c:pt idx="7">
                  <c:v>1.2460901067805322E-4</c:v>
                </c:pt>
                <c:pt idx="8">
                  <c:v>2.0534012362613587E-4</c:v>
                </c:pt>
                <c:pt idx="9">
                  <c:v>1.5095152800132636E-3</c:v>
                </c:pt>
              </c:numCache>
            </c:numRef>
          </c:val>
        </c:ser>
        <c:ser>
          <c:idx val="5"/>
          <c:order val="4"/>
          <c:tx>
            <c:strRef>
              <c:f>'Screener Output.v0'!$A$161</c:f>
              <c:strCache>
                <c:ptCount val="1"/>
                <c:pt idx="0">
                  <c:v>Cash (Current)</c:v>
                </c:pt>
              </c:strCache>
            </c:strRef>
          </c:tx>
          <c:spPr>
            <a:solidFill>
              <a:schemeClr val="accent6">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Output.v0'!$C$161:$L$161</c:f>
              <c:numCache>
                <c:formatCode>0%</c:formatCode>
                <c:ptCount val="10"/>
                <c:pt idx="0">
                  <c:v>0.13274471271059543</c:v>
                </c:pt>
                <c:pt idx="1">
                  <c:v>9.0127934596235637E-2</c:v>
                </c:pt>
                <c:pt idx="2">
                  <c:v>9.2050805564075272E-2</c:v>
                </c:pt>
                <c:pt idx="3">
                  <c:v>0.15033306147198514</c:v>
                </c:pt>
                <c:pt idx="4">
                  <c:v>0.16764495465807799</c:v>
                </c:pt>
                <c:pt idx="5">
                  <c:v>0.11252095903655746</c:v>
                </c:pt>
                <c:pt idx="6">
                  <c:v>9.433079765157773E-2</c:v>
                </c:pt>
                <c:pt idx="7">
                  <c:v>3.9989087194584202E-2</c:v>
                </c:pt>
                <c:pt idx="8">
                  <c:v>3.5585490847070689E-2</c:v>
                </c:pt>
                <c:pt idx="9">
                  <c:v>2.8010965674218027E-2</c:v>
                </c:pt>
              </c:numCache>
            </c:numRef>
          </c:val>
        </c:ser>
        <c:ser>
          <c:idx val="1"/>
          <c:order val="5"/>
          <c:tx>
            <c:strRef>
              <c:f>'Screener Output.v0'!$A$162</c:f>
              <c:strCache>
                <c:ptCount val="1"/>
                <c:pt idx="0">
                  <c:v>Rest</c:v>
                </c:pt>
              </c:strCache>
            </c:strRef>
          </c:tx>
          <c:spPr>
            <a:solidFill>
              <a:schemeClr val="accent2">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Output.v0'!$C$162:$L$162</c:f>
              <c:numCache>
                <c:formatCode>0%</c:formatCode>
                <c:ptCount val="10"/>
                <c:pt idx="0">
                  <c:v>0.32186938316863645</c:v>
                </c:pt>
                <c:pt idx="1">
                  <c:v>0.40018950054003299</c:v>
                </c:pt>
                <c:pt idx="2">
                  <c:v>0.23824489869558155</c:v>
                </c:pt>
                <c:pt idx="3">
                  <c:v>0.3960568829154561</c:v>
                </c:pt>
                <c:pt idx="4">
                  <c:v>0.30341843748302383</c:v>
                </c:pt>
                <c:pt idx="5">
                  <c:v>0.44170175137993078</c:v>
                </c:pt>
                <c:pt idx="6">
                  <c:v>0.3429502150259825</c:v>
                </c:pt>
                <c:pt idx="7">
                  <c:v>0.1469485385088794</c:v>
                </c:pt>
                <c:pt idx="8">
                  <c:v>0.12260133214997988</c:v>
                </c:pt>
                <c:pt idx="9">
                  <c:v>0.43739677910095698</c:v>
                </c:pt>
              </c:numCache>
            </c:numRef>
          </c:val>
        </c:ser>
        <c:dLbls>
          <c:showLegendKey val="0"/>
          <c:showVal val="1"/>
          <c:showCatName val="0"/>
          <c:showSerName val="0"/>
          <c:showPercent val="0"/>
          <c:showBubbleSize val="0"/>
        </c:dLbls>
        <c:axId val="-101069120"/>
        <c:axId val="-101068576"/>
      </c:areaChart>
      <c:dateAx>
        <c:axId val="-101069120"/>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01068576"/>
        <c:crosses val="autoZero"/>
        <c:auto val="1"/>
        <c:lblOffset val="100"/>
        <c:baseTimeUnit val="years"/>
      </c:dateAx>
      <c:valAx>
        <c:axId val="-10106857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1069120"/>
        <c:crosses val="autoZero"/>
        <c:crossBetween val="midCat"/>
      </c:valAx>
      <c:spPr>
        <a:noFill/>
        <a:ln>
          <a:noFill/>
        </a:ln>
        <a:effectLst/>
      </c:spPr>
    </c:plotArea>
    <c:legend>
      <c:legendPos val="b"/>
      <c:layout>
        <c:manualLayout>
          <c:xMode val="edge"/>
          <c:yMode val="edge"/>
          <c:x val="9.7819076446525929E-3"/>
          <c:y val="0.87919392601082591"/>
          <c:w val="0.96365902350050647"/>
          <c:h val="0.102962059180397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'Screener Output.v0'!$A$112:$B$112</c:f>
              <c:strCache>
                <c:ptCount val="2"/>
                <c:pt idx="0">
                  <c:v>Receivable Days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Output.v0'!$C$112:$L$112</c:f>
              <c:numCache>
                <c:formatCode>0</c:formatCode>
                <c:ptCount val="10"/>
                <c:pt idx="0">
                  <c:v>5.8582522416781533</c:v>
                </c:pt>
                <c:pt idx="1">
                  <c:v>4.7764850586764531</c:v>
                </c:pt>
                <c:pt idx="2">
                  <c:v>6.3629058274921553</c:v>
                </c:pt>
                <c:pt idx="3">
                  <c:v>5.9358478493587246</c:v>
                </c:pt>
                <c:pt idx="4">
                  <c:v>1.6391692360725436</c:v>
                </c:pt>
                <c:pt idx="5">
                  <c:v>0.79192024386804227</c:v>
                </c:pt>
                <c:pt idx="6">
                  <c:v>0.53988729571343197</c:v>
                </c:pt>
                <c:pt idx="7">
                  <c:v>0.46562896219159861</c:v>
                </c:pt>
                <c:pt idx="8">
                  <c:v>0.6164061662067688</c:v>
                </c:pt>
                <c:pt idx="9">
                  <c:v>4.3998997594912028</c:v>
                </c:pt>
              </c:numCache>
            </c:numRef>
          </c:val>
        </c:ser>
        <c:dLbls>
          <c:dLblPos val="inEnd"/>
          <c:showLegendKey val="0"/>
          <c:showVal val="1"/>
          <c:showCatName val="0"/>
          <c:showSerName val="0"/>
          <c:showPercent val="0"/>
          <c:showBubbleSize val="0"/>
        </c:dLbls>
        <c:gapWidth val="65"/>
        <c:axId val="-101071296"/>
        <c:axId val="-101072384"/>
      </c:barChart>
      <c:dateAx>
        <c:axId val="-101071296"/>
        <c:scaling>
          <c:orientation val="minMax"/>
        </c:scaling>
        <c:delete val="0"/>
        <c:axPos val="l"/>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01072384"/>
        <c:crosses val="autoZero"/>
        <c:auto val="1"/>
        <c:lblOffset val="100"/>
        <c:baseTimeUnit val="years"/>
      </c:dateAx>
      <c:valAx>
        <c:axId val="-10107238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10712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Output.v0'!$A$113:$B$113</c:f>
              <c:strCache>
                <c:ptCount val="2"/>
                <c:pt idx="0">
                  <c:v>Inventory Turnover ratio</c:v>
                </c:pt>
              </c:strCache>
            </c:strRef>
          </c:tx>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Output.v0'!$C$113:$L$113</c:f>
              <c:numCache>
                <c:formatCode>0.0</c:formatCode>
                <c:ptCount val="10"/>
                <c:pt idx="0">
                  <c:v>0</c:v>
                </c:pt>
                <c:pt idx="1">
                  <c:v>0</c:v>
                </c:pt>
                <c:pt idx="2">
                  <c:v>0</c:v>
                </c:pt>
                <c:pt idx="3">
                  <c:v>0</c:v>
                </c:pt>
                <c:pt idx="4">
                  <c:v>0</c:v>
                </c:pt>
                <c:pt idx="5">
                  <c:v>2.2842414958543054</c:v>
                </c:pt>
                <c:pt idx="6">
                  <c:v>1.9437730814594252</c:v>
                </c:pt>
                <c:pt idx="7">
                  <c:v>1.6451655654215338</c:v>
                </c:pt>
                <c:pt idx="8">
                  <c:v>1.3058080852485536</c:v>
                </c:pt>
                <c:pt idx="9">
                  <c:v>0.81109515531705856</c:v>
                </c:pt>
              </c:numCache>
            </c:numRef>
          </c:val>
        </c:ser>
        <c:dLbls>
          <c:dLblPos val="inEnd"/>
          <c:showLegendKey val="0"/>
          <c:showVal val="1"/>
          <c:showCatName val="0"/>
          <c:showSerName val="0"/>
          <c:showPercent val="0"/>
          <c:showBubbleSize val="0"/>
        </c:dLbls>
        <c:gapWidth val="41"/>
        <c:axId val="-101071840"/>
        <c:axId val="-101069664"/>
      </c:barChart>
      <c:dateAx>
        <c:axId val="-101071840"/>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01069664"/>
        <c:crosses val="autoZero"/>
        <c:auto val="1"/>
        <c:lblOffset val="100"/>
        <c:baseTimeUnit val="years"/>
      </c:dateAx>
      <c:valAx>
        <c:axId val="-101069664"/>
        <c:scaling>
          <c:orientation val="minMax"/>
        </c:scaling>
        <c:delete val="1"/>
        <c:axPos val="l"/>
        <c:numFmt formatCode="0.0" sourceLinked="1"/>
        <c:majorTickMark val="none"/>
        <c:minorTickMark val="none"/>
        <c:tickLblPos val="nextTo"/>
        <c:crossAx val="-101071840"/>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Output.v0'!$A$100:$B$100</c:f>
              <c:strCache>
                <c:ptCount val="2"/>
                <c:pt idx="0">
                  <c:v>Equity</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Output.v0'!$C$100:$L$100</c:f>
              <c:numCache>
                <c:formatCode>0%</c:formatCode>
                <c:ptCount val="10"/>
                <c:pt idx="0">
                  <c:v>0.41202341940617621</c:v>
                </c:pt>
                <c:pt idx="1">
                  <c:v>0.3759738524025496</c:v>
                </c:pt>
                <c:pt idx="2">
                  <c:v>0.36803182564454145</c:v>
                </c:pt>
                <c:pt idx="3">
                  <c:v>0.3047578241570732</c:v>
                </c:pt>
                <c:pt idx="4">
                  <c:v>0.26302181881461884</c:v>
                </c:pt>
                <c:pt idx="5">
                  <c:v>0.24903083579130311</c:v>
                </c:pt>
                <c:pt idx="6">
                  <c:v>0.22658800410833899</c:v>
                </c:pt>
                <c:pt idx="7">
                  <c:v>0.11067259680356314</c:v>
                </c:pt>
                <c:pt idx="8">
                  <c:v>0.1146748714193816</c:v>
                </c:pt>
                <c:pt idx="9">
                  <c:v>0.11292125372666269</c:v>
                </c:pt>
              </c:numCache>
            </c:numRef>
          </c:val>
        </c:ser>
        <c:ser>
          <c:idx val="1"/>
          <c:order val="1"/>
          <c:tx>
            <c:strRef>
              <c:f>'Screener Output.v0'!$A$101:$B$101</c:f>
              <c:strCache>
                <c:ptCount val="2"/>
                <c:pt idx="0">
                  <c:v>Float</c:v>
                </c:pt>
              </c:strCache>
            </c:strRef>
          </c:tx>
          <c:spPr>
            <a:solidFill>
              <a:schemeClr val="accent6">
                <a:lumMod val="60000"/>
                <a:lumOff val="4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Output.v0'!$C$101:$L$101</c:f>
              <c:numCache>
                <c:formatCode>0%</c:formatCode>
                <c:ptCount val="10"/>
                <c:pt idx="0">
                  <c:v>7.4119929121467198E-2</c:v>
                </c:pt>
                <c:pt idx="1">
                  <c:v>8.3799659681369626E-2</c:v>
                </c:pt>
                <c:pt idx="2">
                  <c:v>0.10600790228588956</c:v>
                </c:pt>
                <c:pt idx="3">
                  <c:v>0.11591190690064282</c:v>
                </c:pt>
                <c:pt idx="4">
                  <c:v>8.5812200010864759E-2</c:v>
                </c:pt>
                <c:pt idx="5">
                  <c:v>7.966422705520948E-2</c:v>
                </c:pt>
                <c:pt idx="6">
                  <c:v>6.8065046155177611E-2</c:v>
                </c:pt>
                <c:pt idx="7">
                  <c:v>0.57016109077296928</c:v>
                </c:pt>
                <c:pt idx="8">
                  <c:v>0.51481045280816851</c:v>
                </c:pt>
                <c:pt idx="9">
                  <c:v>0.58797987141594543</c:v>
                </c:pt>
              </c:numCache>
            </c:numRef>
          </c:val>
        </c:ser>
        <c:ser>
          <c:idx val="2"/>
          <c:order val="2"/>
          <c:tx>
            <c:strRef>
              <c:f>'Screener Output.v0'!$A$102:$B$102</c:f>
              <c:strCache>
                <c:ptCount val="2"/>
                <c:pt idx="0">
                  <c:v>Debt</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Output.v0'!$C$102:$L$102</c:f>
              <c:numCache>
                <c:formatCode>0%</c:formatCode>
                <c:ptCount val="10"/>
                <c:pt idx="0">
                  <c:v>0.5138566514723566</c:v>
                </c:pt>
                <c:pt idx="1">
                  <c:v>0.54022648791608086</c:v>
                </c:pt>
                <c:pt idx="2">
                  <c:v>0.52596027206956897</c:v>
                </c:pt>
                <c:pt idx="3">
                  <c:v>0.57933026894228401</c:v>
                </c:pt>
                <c:pt idx="4">
                  <c:v>0.65116598117451641</c:v>
                </c:pt>
                <c:pt idx="5">
                  <c:v>0.67130493715348749</c:v>
                </c:pt>
                <c:pt idx="6">
                  <c:v>0.70534694973648338</c:v>
                </c:pt>
                <c:pt idx="7">
                  <c:v>0.3191663124234676</c:v>
                </c:pt>
                <c:pt idx="8">
                  <c:v>0.37051467577244995</c:v>
                </c:pt>
                <c:pt idx="9">
                  <c:v>0.29909887485739184</c:v>
                </c:pt>
              </c:numCache>
            </c:numRef>
          </c:val>
        </c:ser>
        <c:dLbls>
          <c:dLblPos val="ctr"/>
          <c:showLegendKey val="0"/>
          <c:showVal val="1"/>
          <c:showCatName val="0"/>
          <c:showSerName val="0"/>
          <c:showPercent val="0"/>
          <c:showBubbleSize val="0"/>
        </c:dLbls>
        <c:gapWidth val="150"/>
        <c:overlap val="100"/>
        <c:axId val="-101070752"/>
        <c:axId val="-101067488"/>
      </c:barChart>
      <c:dateAx>
        <c:axId val="-101070752"/>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01067488"/>
        <c:crosses val="autoZero"/>
        <c:auto val="1"/>
        <c:lblOffset val="100"/>
        <c:baseTimeUnit val="years"/>
      </c:dateAx>
      <c:valAx>
        <c:axId val="-1010674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10707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Output.v0'!$C$114:$L$114</c:f>
              <c:numCache>
                <c:formatCode>0%</c:formatCode>
                <c:ptCount val="10"/>
                <c:pt idx="0">
                  <c:v>6.8526429283072426E-2</c:v>
                </c:pt>
                <c:pt idx="1">
                  <c:v>0.20708150179457194</c:v>
                </c:pt>
                <c:pt idx="2">
                  <c:v>9.9580608264656728E-2</c:v>
                </c:pt>
                <c:pt idx="3">
                  <c:v>6.7199593127463486E-2</c:v>
                </c:pt>
                <c:pt idx="4">
                  <c:v>5.1841354348200773E-2</c:v>
                </c:pt>
                <c:pt idx="5">
                  <c:v>6.7489504344713125E-2</c:v>
                </c:pt>
                <c:pt idx="6">
                  <c:v>7.1904584540273153E-2</c:v>
                </c:pt>
                <c:pt idx="7">
                  <c:v>6.7513146681632066E-2</c:v>
                </c:pt>
                <c:pt idx="8">
                  <c:v>6.0226796283115079E-2</c:v>
                </c:pt>
                <c:pt idx="9">
                  <c:v>6.0334180645028858E-2</c:v>
                </c:pt>
              </c:numCache>
            </c:numRef>
          </c:val>
          <c:smooth val="0"/>
        </c:ser>
        <c:dLbls>
          <c:dLblPos val="ctr"/>
          <c:showLegendKey val="0"/>
          <c:showVal val="1"/>
          <c:showCatName val="0"/>
          <c:showSerName val="0"/>
          <c:showPercent val="0"/>
          <c:showBubbleSize val="0"/>
        </c:dLbls>
        <c:marker val="1"/>
        <c:smooth val="0"/>
        <c:axId val="-101068032"/>
        <c:axId val="-101066944"/>
      </c:lineChart>
      <c:dateAx>
        <c:axId val="-101068032"/>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01066944"/>
        <c:crosses val="autoZero"/>
        <c:auto val="1"/>
        <c:lblOffset val="100"/>
        <c:baseTimeUnit val="years"/>
      </c:dateAx>
      <c:valAx>
        <c:axId val="-1010669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106803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'Shareholding input'!$B$6</c:f>
              <c:strCache>
                <c:ptCount val="1"/>
                <c:pt idx="0">
                  <c:v>Promoter unpledged</c:v>
                </c:pt>
              </c:strCache>
            </c:strRef>
          </c:tx>
          <c:spPr>
            <a:solidFill>
              <a:srgbClr val="00B050">
                <a:alpha val="85000"/>
              </a:srgb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input'!$C$6:$H$6</c:f>
              <c:numCache>
                <c:formatCode>0%</c:formatCode>
                <c:ptCount val="6"/>
                <c:pt idx="0">
                  <c:v>0.57230000000000003</c:v>
                </c:pt>
                <c:pt idx="1">
                  <c:v>0.57230000000000003</c:v>
                </c:pt>
                <c:pt idx="2">
                  <c:v>0.57230000000000003</c:v>
                </c:pt>
                <c:pt idx="3">
                  <c:v>0.5736</c:v>
                </c:pt>
                <c:pt idx="4">
                  <c:v>0.56489999999999996</c:v>
                </c:pt>
                <c:pt idx="5">
                  <c:v>0.52400000000000002</c:v>
                </c:pt>
              </c:numCache>
            </c:numRef>
          </c:val>
        </c:ser>
        <c:ser>
          <c:idx val="1"/>
          <c:order val="1"/>
          <c:tx>
            <c:strRef>
              <c:f>'Shareholding input'!$B$7</c:f>
              <c:strCache>
                <c:ptCount val="1"/>
                <c:pt idx="0">
                  <c:v>Promoter pledged</c:v>
                </c:pt>
              </c:strCache>
            </c:strRef>
          </c:tx>
          <c:spPr>
            <a:solidFill>
              <a:schemeClr val="accent2">
                <a:alpha val="85000"/>
              </a:schemeClr>
            </a:solidFill>
            <a:ln w="9525" cap="flat" cmpd="sng" algn="ctr">
              <a:solidFill>
                <a:schemeClr val="lt1">
                  <a:alpha val="50000"/>
                </a:schemeClr>
              </a:solidFill>
              <a:round/>
            </a:ln>
            <a:effectLst/>
          </c:spPr>
          <c:invertIfNegative val="0"/>
          <c:dLbls>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input'!$C$7:$H$7</c:f>
              <c:numCache>
                <c:formatCode>0%</c:formatCode>
                <c:ptCount val="6"/>
                <c:pt idx="0">
                  <c:v>1.4E-3</c:v>
                </c:pt>
                <c:pt idx="1">
                  <c:v>1.4E-3</c:v>
                </c:pt>
                <c:pt idx="2">
                  <c:v>3.0999999999999999E-3</c:v>
                </c:pt>
                <c:pt idx="3">
                  <c:v>4.3E-3</c:v>
                </c:pt>
                <c:pt idx="4">
                  <c:v>5.2200000000000003E-2</c:v>
                </c:pt>
                <c:pt idx="5">
                  <c:v>0.1048</c:v>
                </c:pt>
              </c:numCache>
            </c:numRef>
          </c:val>
        </c:ser>
        <c:ser>
          <c:idx val="2"/>
          <c:order val="2"/>
          <c:tx>
            <c:strRef>
              <c:f>'Shareholding input'!$B$8</c:f>
              <c:strCache>
                <c:ptCount val="1"/>
                <c:pt idx="0">
                  <c:v>FII</c:v>
                </c:pt>
              </c:strCache>
            </c:strRef>
          </c:tx>
          <c:spPr>
            <a:solidFill>
              <a:schemeClr val="accent3">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input'!$C$8:$H$8</c:f>
              <c:numCache>
                <c:formatCode>0%</c:formatCode>
                <c:ptCount val="6"/>
                <c:pt idx="0">
                  <c:v>0.2387</c:v>
                </c:pt>
                <c:pt idx="1">
                  <c:v>0.2792</c:v>
                </c:pt>
                <c:pt idx="2">
                  <c:v>0.28689999999999999</c:v>
                </c:pt>
                <c:pt idx="3">
                  <c:v>0.26939999999999997</c:v>
                </c:pt>
                <c:pt idx="4">
                  <c:v>0.25679999999999997</c:v>
                </c:pt>
                <c:pt idx="5">
                  <c:v>0.22289999999999999</c:v>
                </c:pt>
              </c:numCache>
            </c:numRef>
          </c:val>
        </c:ser>
        <c:ser>
          <c:idx val="3"/>
          <c:order val="3"/>
          <c:tx>
            <c:strRef>
              <c:f>'Shareholding input'!$B$9</c:f>
              <c:strCache>
                <c:ptCount val="1"/>
                <c:pt idx="0">
                  <c:v>Mutual funds</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input'!$C$9:$H$9</c:f>
              <c:numCache>
                <c:formatCode>0%</c:formatCode>
                <c:ptCount val="6"/>
                <c:pt idx="0">
                  <c:v>8.3699999999999997E-2</c:v>
                </c:pt>
                <c:pt idx="1">
                  <c:v>6.9400000000000003E-2</c:v>
                </c:pt>
                <c:pt idx="2">
                  <c:v>6.5799999999999997E-2</c:v>
                </c:pt>
                <c:pt idx="3">
                  <c:v>7.4200000000000002E-2</c:v>
                </c:pt>
                <c:pt idx="4">
                  <c:v>1.43E-2</c:v>
                </c:pt>
                <c:pt idx="5">
                  <c:v>2.64E-2</c:v>
                </c:pt>
              </c:numCache>
            </c:numRef>
          </c:val>
        </c:ser>
        <c:ser>
          <c:idx val="4"/>
          <c:order val="4"/>
          <c:tx>
            <c:strRef>
              <c:f>'Shareholding input'!$B$10</c:f>
              <c:strCache>
                <c:ptCount val="1"/>
                <c:pt idx="0">
                  <c:v>Bodies corporate</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input'!$C$10:$H$10</c:f>
              <c:numCache>
                <c:formatCode>0%</c:formatCode>
                <c:ptCount val="6"/>
                <c:pt idx="0">
                  <c:v>9.5999999999999992E-3</c:v>
                </c:pt>
                <c:pt idx="1">
                  <c:v>9.4000000000000004E-3</c:v>
                </c:pt>
                <c:pt idx="2">
                  <c:v>1.47E-2</c:v>
                </c:pt>
                <c:pt idx="3">
                  <c:v>2.23E-2</c:v>
                </c:pt>
                <c:pt idx="4">
                  <c:v>1.7399999999999999E-2</c:v>
                </c:pt>
                <c:pt idx="5">
                  <c:v>3.9399999999999998E-2</c:v>
                </c:pt>
              </c:numCache>
            </c:numRef>
          </c:val>
        </c:ser>
        <c:ser>
          <c:idx val="5"/>
          <c:order val="5"/>
          <c:tx>
            <c:strRef>
              <c:f>'Shareholding input'!$B$11</c:f>
              <c:strCache>
                <c:ptCount val="1"/>
                <c:pt idx="0">
                  <c:v>Individuals &lt;= 2 lakh</c:v>
                </c:pt>
              </c:strCache>
            </c:strRef>
          </c:tx>
          <c:spPr>
            <a:solidFill>
              <a:schemeClr val="bg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input'!$C$11:$H$11</c:f>
              <c:numCache>
                <c:formatCode>0%</c:formatCode>
                <c:ptCount val="6"/>
                <c:pt idx="0">
                  <c:v>4.41E-2</c:v>
                </c:pt>
                <c:pt idx="1">
                  <c:v>3.85E-2</c:v>
                </c:pt>
                <c:pt idx="2">
                  <c:v>3.5000000000000003E-2</c:v>
                </c:pt>
                <c:pt idx="3">
                  <c:v>3.7100000000000001E-2</c:v>
                </c:pt>
                <c:pt idx="4">
                  <c:v>5.6000000000000001E-2</c:v>
                </c:pt>
                <c:pt idx="5">
                  <c:v>5.3400000000000003E-2</c:v>
                </c:pt>
              </c:numCache>
            </c:numRef>
          </c:val>
        </c:ser>
        <c:ser>
          <c:idx val="6"/>
          <c:order val="6"/>
          <c:tx>
            <c:strRef>
              <c:f>'Shareholding input'!$B$12</c:f>
              <c:strCache>
                <c:ptCount val="1"/>
                <c:pt idx="0">
                  <c:v>Individuals &gt; 2 lakh</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input'!$C$12:$H$12</c:f>
              <c:numCache>
                <c:formatCode>0%</c:formatCode>
                <c:ptCount val="6"/>
                <c:pt idx="0">
                  <c:v>7.1999999999999998E-3</c:v>
                </c:pt>
                <c:pt idx="1">
                  <c:v>5.4000000000000003E-3</c:v>
                </c:pt>
                <c:pt idx="2">
                  <c:v>5.0000000000000001E-3</c:v>
                </c:pt>
                <c:pt idx="3">
                  <c:v>6.7000000000000002E-3</c:v>
                </c:pt>
                <c:pt idx="4">
                  <c:v>1.1599999999999999E-2</c:v>
                </c:pt>
                <c:pt idx="5">
                  <c:v>8.8999999999999999E-3</c:v>
                </c:pt>
              </c:numCache>
            </c:numRef>
          </c:val>
        </c:ser>
        <c:ser>
          <c:idx val="7"/>
          <c:order val="7"/>
          <c:tx>
            <c:strRef>
              <c:f>'Shareholding input'!$B$13</c:f>
              <c:strCache>
                <c:ptCount val="1"/>
                <c:pt idx="0">
                  <c:v>Others</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43160</c:v>
                </c:pt>
                <c:pt idx="1">
                  <c:v>42795</c:v>
                </c:pt>
                <c:pt idx="2">
                  <c:v>42430</c:v>
                </c:pt>
                <c:pt idx="3">
                  <c:v>42064</c:v>
                </c:pt>
                <c:pt idx="4">
                  <c:v>41699</c:v>
                </c:pt>
                <c:pt idx="5">
                  <c:v>41334</c:v>
                </c:pt>
              </c:numCache>
            </c:numRef>
          </c:cat>
          <c:val>
            <c:numRef>
              <c:f>'Shareholding input'!$C$13:$H$13</c:f>
              <c:numCache>
                <c:formatCode>0%</c:formatCode>
                <c:ptCount val="6"/>
                <c:pt idx="0">
                  <c:v>4.2999999999999927E-2</c:v>
                </c:pt>
                <c:pt idx="1">
                  <c:v>2.4400000000000088E-2</c:v>
                </c:pt>
                <c:pt idx="2">
                  <c:v>1.7199999999999882E-2</c:v>
                </c:pt>
                <c:pt idx="3">
                  <c:v>1.2399999999999967E-2</c:v>
                </c:pt>
                <c:pt idx="4">
                  <c:v>2.6800000000000157E-2</c:v>
                </c:pt>
                <c:pt idx="5">
                  <c:v>2.0199999999999996E-2</c:v>
                </c:pt>
              </c:numCache>
            </c:numRef>
          </c:val>
        </c:ser>
        <c:dLbls>
          <c:dLblPos val="ctr"/>
          <c:showLegendKey val="0"/>
          <c:showVal val="1"/>
          <c:showCatName val="0"/>
          <c:showSerName val="0"/>
          <c:showPercent val="0"/>
          <c:showBubbleSize val="0"/>
        </c:dLbls>
        <c:gapWidth val="150"/>
        <c:overlap val="100"/>
        <c:axId val="-101072928"/>
        <c:axId val="-101074016"/>
      </c:barChart>
      <c:dateAx>
        <c:axId val="-101072928"/>
        <c:scaling>
          <c:orientation val="minMax"/>
        </c:scaling>
        <c:delete val="0"/>
        <c:axPos val="l"/>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01074016"/>
        <c:crosses val="autoZero"/>
        <c:auto val="1"/>
        <c:lblOffset val="100"/>
        <c:baseTimeUnit val="years"/>
      </c:dateAx>
      <c:valAx>
        <c:axId val="-10107401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107292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Piotroski Score</a:t>
            </a:r>
          </a:p>
        </c:rich>
      </c:tx>
      <c:overlay val="0"/>
    </c:title>
    <c:autoTitleDeleted val="0"/>
    <c:plotArea>
      <c:layout/>
      <c:doughnutChart>
        <c:varyColors val="1"/>
        <c:ser>
          <c:idx val="0"/>
          <c:order val="0"/>
          <c:tx>
            <c:strRef>
              <c:f>Piotroski!$F$11</c:f>
              <c:strCache>
                <c:ptCount val="1"/>
                <c:pt idx="0">
                  <c:v>25%</c:v>
                </c:pt>
              </c:strCache>
            </c:strRef>
          </c:tx>
          <c:dPt>
            <c:idx val="4"/>
            <c:bubble3D val="0"/>
            <c:spPr>
              <a:noFill/>
            </c:spPr>
          </c:dPt>
          <c:val>
            <c:numRef>
              <c:f>Piotroski!$I$12:$I$16</c:f>
              <c:numCache>
                <c:formatCode>General</c:formatCode>
                <c:ptCount val="5"/>
                <c:pt idx="0">
                  <c:v>0</c:v>
                </c:pt>
                <c:pt idx="1">
                  <c:v>30</c:v>
                </c:pt>
                <c:pt idx="2">
                  <c:v>40</c:v>
                </c:pt>
                <c:pt idx="3">
                  <c:v>30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Piotroski!$D$11</c:f>
              <c:strCache>
                <c:ptCount val="1"/>
                <c:pt idx="0">
                  <c:v>12%</c:v>
                </c:pt>
              </c:strCache>
            </c:strRef>
          </c:tx>
          <c:explosion val="1"/>
          <c:dPt>
            <c:idx val="0"/>
            <c:bubble3D val="0"/>
            <c:spPr>
              <a:noFill/>
            </c:spPr>
          </c:dPt>
          <c:dPt>
            <c:idx val="1"/>
            <c:bubble3D val="0"/>
            <c:spPr>
              <a:solidFill>
                <a:schemeClr val="tx1"/>
              </a:solidFill>
            </c:spPr>
          </c:dPt>
          <c:dPt>
            <c:idx val="2"/>
            <c:bubble3D val="0"/>
            <c:spPr>
              <a:noFill/>
            </c:spPr>
          </c:dPt>
          <c:val>
            <c:numRef>
              <c:f>Piotroski!$K$12:$K$14</c:f>
              <c:numCache>
                <c:formatCode>General</c:formatCode>
                <c:ptCount val="3"/>
                <c:pt idx="0" formatCode="0">
                  <c:v>77.777777777777786</c:v>
                </c:pt>
                <c:pt idx="1">
                  <c:v>1</c:v>
                </c:pt>
                <c:pt idx="2">
                  <c:v>121.22222222222221</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doughnutChart>
        <c:varyColors val="1"/>
        <c:ser>
          <c:idx val="0"/>
          <c:order val="0"/>
          <c:tx>
            <c:strRef>
              <c:f>Altman!$G$4</c:f>
              <c:strCache>
                <c:ptCount val="1"/>
                <c:pt idx="0">
                  <c:v>Altman Score</c:v>
                </c:pt>
              </c:strCache>
            </c:strRef>
          </c:tx>
          <c:dPt>
            <c:idx val="4"/>
            <c:bubble3D val="0"/>
            <c:spPr>
              <a:noFill/>
            </c:spPr>
          </c:dPt>
          <c:val>
            <c:numRef>
              <c:f>Altman!$H$5:$H$9</c:f>
              <c:numCache>
                <c:formatCode>General</c:formatCode>
                <c:ptCount val="5"/>
                <c:pt idx="0">
                  <c:v>0</c:v>
                </c:pt>
                <c:pt idx="1">
                  <c:v>30</c:v>
                </c:pt>
                <c:pt idx="2">
                  <c:v>20</c:v>
                </c:pt>
                <c:pt idx="3">
                  <c:v>50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Altman!$I$4</c:f>
              <c:strCache>
                <c:ptCount val="1"/>
                <c:pt idx="0">
                  <c:v>Pointer</c:v>
                </c:pt>
              </c:strCache>
            </c:strRef>
          </c:tx>
          <c:dPt>
            <c:idx val="0"/>
            <c:bubble3D val="0"/>
            <c:spPr>
              <a:noFill/>
            </c:spPr>
          </c:dPt>
          <c:dPt>
            <c:idx val="1"/>
            <c:bubble3D val="0"/>
            <c:spPr>
              <a:solidFill>
                <a:schemeClr val="tx1"/>
              </a:solidFill>
            </c:spPr>
          </c:dPt>
          <c:dPt>
            <c:idx val="2"/>
            <c:bubble3D val="0"/>
            <c:spPr>
              <a:noFill/>
            </c:spPr>
          </c:dPt>
          <c:val>
            <c:numRef>
              <c:f>Altman!$J$5:$J$7</c:f>
              <c:numCache>
                <c:formatCode>General</c:formatCode>
                <c:ptCount val="3"/>
                <c:pt idx="0" formatCode="0">
                  <c:v>4.7835601212067722</c:v>
                </c:pt>
                <c:pt idx="1">
                  <c:v>1</c:v>
                </c:pt>
                <c:pt idx="2">
                  <c:v>194.21643987879324</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3.2407407407407406E-2"/>
          <c:w val="0.95018868220539698"/>
          <c:h val="0.76388888888888884"/>
        </c:manualLayout>
      </c:layout>
      <c:barChart>
        <c:barDir val="col"/>
        <c:grouping val="clustered"/>
        <c:varyColors val="0"/>
        <c:ser>
          <c:idx val="0"/>
          <c:order val="0"/>
          <c:tx>
            <c:strRef>
              <c:f>'Screener Output.v0'!$A$184</c:f>
              <c:strCache>
                <c:ptCount val="1"/>
                <c:pt idx="0">
                  <c:v>Sales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Output.v0'!$D$183:$L$183</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Output.v0'!$D$184:$L$184</c:f>
              <c:numCache>
                <c:formatCode>_(* #,##0_);_(* \(#,##0\);_(* "-"??_);_(@_)</c:formatCode>
                <c:ptCount val="9"/>
                <c:pt idx="0">
                  <c:v>1030.6500000000001</c:v>
                </c:pt>
                <c:pt idx="1">
                  <c:v>1753.8</c:v>
                </c:pt>
                <c:pt idx="2">
                  <c:v>2502.6</c:v>
                </c:pt>
                <c:pt idx="3">
                  <c:v>3258.24</c:v>
                </c:pt>
                <c:pt idx="4">
                  <c:v>3822.0299999999997</c:v>
                </c:pt>
                <c:pt idx="5">
                  <c:v>3853.3199999999997</c:v>
                </c:pt>
                <c:pt idx="6">
                  <c:v>3961.8900000000003</c:v>
                </c:pt>
                <c:pt idx="7">
                  <c:v>5255.11</c:v>
                </c:pt>
                <c:pt idx="8">
                  <c:v>5969.11</c:v>
                </c:pt>
              </c:numCache>
            </c:numRef>
          </c:val>
        </c:ser>
        <c:dLbls>
          <c:dLblPos val="inEnd"/>
          <c:showLegendKey val="0"/>
          <c:showVal val="1"/>
          <c:showCatName val="0"/>
          <c:showSerName val="0"/>
          <c:showPercent val="0"/>
          <c:showBubbleSize val="0"/>
        </c:dLbls>
        <c:gapWidth val="41"/>
        <c:axId val="-2123843440"/>
        <c:axId val="-2123848336"/>
      </c:barChart>
      <c:lineChart>
        <c:grouping val="standard"/>
        <c:varyColors val="0"/>
        <c:ser>
          <c:idx val="1"/>
          <c:order val="1"/>
          <c:tx>
            <c:strRef>
              <c:f>'Screener Output.v0'!$A$185</c:f>
              <c:strCache>
                <c:ptCount val="1"/>
                <c:pt idx="0">
                  <c:v>Sales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Output.v0'!$D$183:$L$183</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Output.v0'!$D$185:$L$185</c:f>
              <c:numCache>
                <c:formatCode>0%</c:formatCode>
                <c:ptCount val="9"/>
                <c:pt idx="0">
                  <c:v>0.30531421768535183</c:v>
                </c:pt>
                <c:pt idx="1">
                  <c:v>0.70164459321787209</c:v>
                </c:pt>
                <c:pt idx="2">
                  <c:v>0.42695860417379405</c:v>
                </c:pt>
                <c:pt idx="3">
                  <c:v>0.30194198034044595</c:v>
                </c:pt>
                <c:pt idx="4">
                  <c:v>0.17303513553329397</c:v>
                </c:pt>
                <c:pt idx="5">
                  <c:v>8.1867489266174154E-3</c:v>
                </c:pt>
                <c:pt idx="6">
                  <c:v>2.8175703030114407E-2</c:v>
                </c:pt>
                <c:pt idx="7">
                  <c:v>0.32641491813250734</c:v>
                </c:pt>
                <c:pt idx="8">
                  <c:v>0.13586775538475893</c:v>
                </c:pt>
              </c:numCache>
            </c:numRef>
          </c:val>
          <c:smooth val="0"/>
        </c:ser>
        <c:dLbls>
          <c:showLegendKey val="0"/>
          <c:showVal val="0"/>
          <c:showCatName val="0"/>
          <c:showSerName val="0"/>
          <c:showPercent val="0"/>
          <c:showBubbleSize val="0"/>
        </c:dLbls>
        <c:marker val="1"/>
        <c:smooth val="0"/>
        <c:axId val="-2123853776"/>
        <c:axId val="-2123840720"/>
      </c:lineChart>
      <c:dateAx>
        <c:axId val="-2123843440"/>
        <c:scaling>
          <c:orientation val="minMax"/>
        </c:scaling>
        <c:delete val="0"/>
        <c:axPos val="b"/>
        <c:majorGridlines>
          <c:spPr>
            <a:ln w="9525" cap="flat" cmpd="sng" algn="ctr">
              <a:solidFill>
                <a:schemeClr val="dk1">
                  <a:lumMod val="15000"/>
                  <a:lumOff val="85000"/>
                </a:schemeClr>
              </a:solidFill>
              <a:round/>
            </a:ln>
            <a:effectLst/>
          </c:spPr>
        </c:majorGridlines>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0" baseline="0">
                <a:solidFill>
                  <a:schemeClr val="dk1">
                    <a:lumMod val="65000"/>
                    <a:lumOff val="35000"/>
                  </a:schemeClr>
                </a:solidFill>
                <a:effectLst/>
                <a:latin typeface="+mn-lt"/>
                <a:ea typeface="+mn-ea"/>
                <a:cs typeface="+mn-cs"/>
              </a:defRPr>
            </a:pPr>
            <a:endParaRPr lang="en-US"/>
          </a:p>
        </c:txPr>
        <c:crossAx val="-2123848336"/>
        <c:crosses val="autoZero"/>
        <c:auto val="1"/>
        <c:lblOffset val="100"/>
        <c:baseTimeUnit val="years"/>
      </c:dateAx>
      <c:valAx>
        <c:axId val="-2123848336"/>
        <c:scaling>
          <c:orientation val="minMax"/>
        </c:scaling>
        <c:delete val="0"/>
        <c:axPos val="l"/>
        <c:majorGridlines>
          <c:spPr>
            <a:ln w="9525" cap="flat" cmpd="sng" algn="ctr">
              <a:solidFill>
                <a:schemeClr val="dk1">
                  <a:lumMod val="15000"/>
                  <a:lumOff val="85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123843440"/>
        <c:crosses val="autoZero"/>
        <c:crossBetween val="between"/>
      </c:valAx>
      <c:valAx>
        <c:axId val="-2123840720"/>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123853776"/>
        <c:crosses val="max"/>
        <c:crossBetween val="between"/>
        <c:majorUnit val="0.2"/>
      </c:valAx>
      <c:dateAx>
        <c:axId val="-2123853776"/>
        <c:scaling>
          <c:orientation val="minMax"/>
        </c:scaling>
        <c:delete val="1"/>
        <c:axPos val="b"/>
        <c:numFmt formatCode="[$-409]mmm\-yy;@" sourceLinked="1"/>
        <c:majorTickMark val="out"/>
        <c:minorTickMark val="none"/>
        <c:tickLblPos val="nextTo"/>
        <c:crossAx val="-2123840720"/>
        <c:crosses val="autoZero"/>
        <c:auto val="1"/>
        <c:lblOffset val="100"/>
        <c:baseTimeUnit val="year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2.4675774164750371E-2"/>
          <c:w val="0.7583333333333333"/>
          <c:h val="0.78255128797312179"/>
        </c:manualLayout>
      </c:layout>
      <c:areaChart>
        <c:grouping val="percentStacked"/>
        <c:varyColors val="0"/>
        <c:ser>
          <c:idx val="0"/>
          <c:order val="0"/>
          <c:tx>
            <c:strRef>
              <c:f>'Screener Output.v0'!$A$171</c:f>
              <c:strCache>
                <c:ptCount val="1"/>
                <c:pt idx="0">
                  <c:v>Raw Mat + Invt change</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Output.v0'!$C$171:$L$171</c:f>
              <c:numCache>
                <c:formatCode>0%</c:formatCode>
                <c:ptCount val="10"/>
                <c:pt idx="0">
                  <c:v>0</c:v>
                </c:pt>
                <c:pt idx="1">
                  <c:v>0</c:v>
                </c:pt>
                <c:pt idx="2">
                  <c:v>0</c:v>
                </c:pt>
                <c:pt idx="3">
                  <c:v>0</c:v>
                </c:pt>
                <c:pt idx="4">
                  <c:v>0</c:v>
                </c:pt>
                <c:pt idx="5">
                  <c:v>0.12289804109334569</c:v>
                </c:pt>
                <c:pt idx="6">
                  <c:v>0.13044595310018375</c:v>
                </c:pt>
                <c:pt idx="7">
                  <c:v>0.10966483168386805</c:v>
                </c:pt>
                <c:pt idx="8">
                  <c:v>7.0655038619553162E-2</c:v>
                </c:pt>
                <c:pt idx="9">
                  <c:v>4.4946399044413665E-2</c:v>
                </c:pt>
              </c:numCache>
            </c:numRef>
          </c:val>
        </c:ser>
        <c:ser>
          <c:idx val="1"/>
          <c:order val="1"/>
          <c:tx>
            <c:strRef>
              <c:f>'Screener Output.v0'!$A$172</c:f>
              <c:strCache>
                <c:ptCount val="1"/>
                <c:pt idx="0">
                  <c:v>Power and Fuel</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Output.v0'!$C$172:$L$172</c:f>
              <c:numCache>
                <c:formatCode>0%</c:formatCode>
                <c:ptCount val="10"/>
                <c:pt idx="0">
                  <c:v>1.7224347121254338E-3</c:v>
                </c:pt>
                <c:pt idx="1">
                  <c:v>1.5718236064619414E-3</c:v>
                </c:pt>
                <c:pt idx="2">
                  <c:v>1.3114380202987796E-3</c:v>
                </c:pt>
                <c:pt idx="3">
                  <c:v>1.7701590346040118E-3</c:v>
                </c:pt>
                <c:pt idx="4">
                  <c:v>1.9335592221567473E-3</c:v>
                </c:pt>
                <c:pt idx="5">
                  <c:v>1.6849684591696038E-3</c:v>
                </c:pt>
                <c:pt idx="6">
                  <c:v>2.0008719753355549E-3</c:v>
                </c:pt>
                <c:pt idx="7">
                  <c:v>2.077291393753991E-3</c:v>
                </c:pt>
                <c:pt idx="8">
                  <c:v>2.0342105112928178E-3</c:v>
                </c:pt>
                <c:pt idx="9">
                  <c:v>2.1510744482845854E-3</c:v>
                </c:pt>
              </c:numCache>
            </c:numRef>
          </c:val>
        </c:ser>
        <c:ser>
          <c:idx val="2"/>
          <c:order val="2"/>
          <c:tx>
            <c:strRef>
              <c:f>'Screener Output.v0'!$A$173</c:f>
              <c:strCache>
                <c:ptCount val="1"/>
                <c:pt idx="0">
                  <c:v>Other Mfr. Exp</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Output.v0'!$C$173:$L$173</c:f>
              <c:numCache>
                <c:formatCode>0%</c:formatCode>
                <c:ptCount val="10"/>
                <c:pt idx="0">
                  <c:v>0.3215253679171205</c:v>
                </c:pt>
                <c:pt idx="1">
                  <c:v>0.4510842672100131</c:v>
                </c:pt>
                <c:pt idx="2">
                  <c:v>0.44353974227391951</c:v>
                </c:pt>
                <c:pt idx="3">
                  <c:v>0.46738591864460965</c:v>
                </c:pt>
                <c:pt idx="4">
                  <c:v>0.46359998035749367</c:v>
                </c:pt>
                <c:pt idx="5">
                  <c:v>0.34066189956646076</c:v>
                </c:pt>
                <c:pt idx="6">
                  <c:v>0.3073946622652674</c:v>
                </c:pt>
                <c:pt idx="7">
                  <c:v>0.22318136041131884</c:v>
                </c:pt>
                <c:pt idx="8">
                  <c:v>0.32187147367038943</c:v>
                </c:pt>
                <c:pt idx="9">
                  <c:v>0.34226878043795472</c:v>
                </c:pt>
              </c:numCache>
            </c:numRef>
          </c:val>
        </c:ser>
        <c:ser>
          <c:idx val="3"/>
          <c:order val="3"/>
          <c:tx>
            <c:strRef>
              <c:f>'Screener Output.v0'!$A$174</c:f>
              <c:strCache>
                <c:ptCount val="1"/>
                <c:pt idx="0">
                  <c:v>Employee Cost</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Output.v0'!$C$174:$L$174</c:f>
              <c:numCache>
                <c:formatCode>0%</c:formatCode>
                <c:ptCount val="10"/>
                <c:pt idx="0">
                  <c:v>3.8856100711770813E-2</c:v>
                </c:pt>
                <c:pt idx="1">
                  <c:v>3.7655848251103671E-2</c:v>
                </c:pt>
                <c:pt idx="2">
                  <c:v>3.7849241646709997E-2</c:v>
                </c:pt>
                <c:pt idx="3">
                  <c:v>3.7129385439143292E-2</c:v>
                </c:pt>
                <c:pt idx="4">
                  <c:v>4.2228319583578866E-2</c:v>
                </c:pt>
                <c:pt idx="5">
                  <c:v>4.0734897423620436E-2</c:v>
                </c:pt>
                <c:pt idx="6">
                  <c:v>4.6681822428451314E-2</c:v>
                </c:pt>
                <c:pt idx="7">
                  <c:v>4.7916524688974199E-2</c:v>
                </c:pt>
                <c:pt idx="8">
                  <c:v>4.690862798304888E-2</c:v>
                </c:pt>
                <c:pt idx="9">
                  <c:v>4.5671800318640474E-2</c:v>
                </c:pt>
              </c:numCache>
            </c:numRef>
          </c:val>
        </c:ser>
        <c:ser>
          <c:idx val="4"/>
          <c:order val="4"/>
          <c:tx>
            <c:strRef>
              <c:f>'Screener Output.v0'!$A$175</c:f>
              <c:strCache>
                <c:ptCount val="1"/>
                <c:pt idx="0">
                  <c:v>Selling and admin</c:v>
                </c:pt>
              </c:strCache>
            </c:strRef>
          </c:tx>
          <c:spPr>
            <a:solidFill>
              <a:schemeClr val="accent5">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Output.v0'!$C$175:$L$175</c:f>
              <c:numCache>
                <c:formatCode>0%</c:formatCode>
                <c:ptCount val="10"/>
                <c:pt idx="0">
                  <c:v>3.890676055624509E-2</c:v>
                </c:pt>
                <c:pt idx="1">
                  <c:v>3.1941008101683405E-2</c:v>
                </c:pt>
                <c:pt idx="2">
                  <c:v>2.7870908883567115E-2</c:v>
                </c:pt>
                <c:pt idx="3">
                  <c:v>2.7179733077599296E-2</c:v>
                </c:pt>
                <c:pt idx="4">
                  <c:v>2.8478565114908667E-2</c:v>
                </c:pt>
                <c:pt idx="5">
                  <c:v>2.6449295269791187E-2</c:v>
                </c:pt>
                <c:pt idx="6">
                  <c:v>1.9572732085578151E-2</c:v>
                </c:pt>
                <c:pt idx="7">
                  <c:v>2.019743102408194E-2</c:v>
                </c:pt>
                <c:pt idx="8">
                  <c:v>2.2758800481816745E-2</c:v>
                </c:pt>
                <c:pt idx="9">
                  <c:v>2.3780764636604116E-2</c:v>
                </c:pt>
              </c:numCache>
            </c:numRef>
          </c:val>
        </c:ser>
        <c:ser>
          <c:idx val="5"/>
          <c:order val="5"/>
          <c:tx>
            <c:strRef>
              <c:f>'Screener Output.v0'!$A$176</c:f>
              <c:strCache>
                <c:ptCount val="1"/>
                <c:pt idx="0">
                  <c:v>Other Expenses</c:v>
                </c:pt>
              </c:strCache>
            </c:strRef>
          </c:tx>
          <c:spPr>
            <a:solidFill>
              <a:schemeClr val="accent6">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Output.v0'!$C$176:$L$176</c:f>
              <c:numCache>
                <c:formatCode>0%</c:formatCode>
                <c:ptCount val="10"/>
                <c:pt idx="0">
                  <c:v>5.3066187086805647E-3</c:v>
                </c:pt>
                <c:pt idx="1">
                  <c:v>1.4359869984960947E-2</c:v>
                </c:pt>
                <c:pt idx="2">
                  <c:v>5.935682517960999E-3</c:v>
                </c:pt>
                <c:pt idx="3">
                  <c:v>5.913849596419724E-3</c:v>
                </c:pt>
                <c:pt idx="4">
                  <c:v>3.7842516205067768E-3</c:v>
                </c:pt>
                <c:pt idx="5">
                  <c:v>3.9533964934864458E-3</c:v>
                </c:pt>
                <c:pt idx="6">
                  <c:v>6.179087124868944E-3</c:v>
                </c:pt>
                <c:pt idx="7">
                  <c:v>8.6221475104053865E-3</c:v>
                </c:pt>
                <c:pt idx="8">
                  <c:v>4.1654694192890356E-3</c:v>
                </c:pt>
                <c:pt idx="9">
                  <c:v>8.3530040491798605E-3</c:v>
                </c:pt>
              </c:numCache>
            </c:numRef>
          </c:val>
        </c:ser>
        <c:ser>
          <c:idx val="6"/>
          <c:order val="6"/>
          <c:tx>
            <c:strRef>
              <c:f>'Screener Output.v0'!$A$177</c:f>
              <c:strCache>
                <c:ptCount val="1"/>
                <c:pt idx="0">
                  <c:v>Depreciation</c:v>
                </c:pt>
              </c:strCache>
            </c:strRef>
          </c:tx>
          <c:spPr>
            <a:solidFill>
              <a:schemeClr val="accent1">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Output.v0'!$C$177:$L$177</c:f>
              <c:numCache>
                <c:formatCode>0%</c:formatCode>
                <c:ptCount val="10"/>
                <c:pt idx="0">
                  <c:v>0.12868866992578332</c:v>
                </c:pt>
                <c:pt idx="1">
                  <c:v>0.11097850870809682</c:v>
                </c:pt>
                <c:pt idx="2">
                  <c:v>0.10372334359676132</c:v>
                </c:pt>
                <c:pt idx="3">
                  <c:v>9.005434348277791E-2</c:v>
                </c:pt>
                <c:pt idx="4">
                  <c:v>9.1156575329011988E-2</c:v>
                </c:pt>
                <c:pt idx="5">
                  <c:v>0.11551976305785146</c:v>
                </c:pt>
                <c:pt idx="6">
                  <c:v>0.12380492666064589</c:v>
                </c:pt>
                <c:pt idx="7">
                  <c:v>0.17846532841648807</c:v>
                </c:pt>
                <c:pt idx="8">
                  <c:v>0.16238289969191894</c:v>
                </c:pt>
                <c:pt idx="9">
                  <c:v>0.14320225293217917</c:v>
                </c:pt>
              </c:numCache>
            </c:numRef>
          </c:val>
        </c:ser>
        <c:ser>
          <c:idx val="7"/>
          <c:order val="7"/>
          <c:tx>
            <c:strRef>
              <c:f>'Screener Output.v0'!$A$178</c:f>
              <c:strCache>
                <c:ptCount val="1"/>
                <c:pt idx="0">
                  <c:v>Interest</c:v>
                </c:pt>
              </c:strCache>
            </c:strRef>
          </c:tx>
          <c:spPr>
            <a:solidFill>
              <a:schemeClr val="accent2">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Output.v0'!$C$178:$L$178</c:f>
              <c:numCache>
                <c:formatCode>0%</c:formatCode>
                <c:ptCount val="10"/>
                <c:pt idx="0">
                  <c:v>0.25405912003850145</c:v>
                </c:pt>
                <c:pt idx="1">
                  <c:v>0.14385096783583173</c:v>
                </c:pt>
                <c:pt idx="2">
                  <c:v>0.14219979473144029</c:v>
                </c:pt>
                <c:pt idx="3">
                  <c:v>0.14046991129225606</c:v>
                </c:pt>
                <c:pt idx="4">
                  <c:v>0.16895624631703007</c:v>
                </c:pt>
                <c:pt idx="5">
                  <c:v>0.16322477845542815</c:v>
                </c:pt>
                <c:pt idx="6">
                  <c:v>0.19734151329243355</c:v>
                </c:pt>
                <c:pt idx="7">
                  <c:v>0.2366118191065375</c:v>
                </c:pt>
                <c:pt idx="8">
                  <c:v>0.20363988574929928</c:v>
                </c:pt>
                <c:pt idx="9">
                  <c:v>0.22478727984573915</c:v>
                </c:pt>
              </c:numCache>
            </c:numRef>
          </c:val>
        </c:ser>
        <c:ser>
          <c:idx val="8"/>
          <c:order val="8"/>
          <c:tx>
            <c:strRef>
              <c:f>'Screener Output.v0'!$A$179</c:f>
              <c:strCache>
                <c:ptCount val="1"/>
                <c:pt idx="0">
                  <c:v>Tax</c:v>
                </c:pt>
              </c:strCache>
            </c:strRef>
          </c:tx>
          <c:spPr>
            <a:solidFill>
              <a:schemeClr val="bg1">
                <a:lumMod val="65000"/>
                <a:alpha val="85000"/>
              </a:schemeClr>
            </a:solidFill>
            <a:ln w="9525" cap="flat" cmpd="sng" algn="ctr">
              <a:solidFill>
                <a:schemeClr val="bg1">
                  <a:lumMod val="65000"/>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Output.v0'!$C$179:$L$179</c:f>
              <c:numCache>
                <c:formatCode>0%</c:formatCode>
                <c:ptCount val="10"/>
                <c:pt idx="0">
                  <c:v>5.0647179513158898E-2</c:v>
                </c:pt>
                <c:pt idx="1">
                  <c:v>3.6656478921069227E-2</c:v>
                </c:pt>
                <c:pt idx="2">
                  <c:v>7.5835328999885971E-3</c:v>
                </c:pt>
                <c:pt idx="3">
                  <c:v>4.4653560297290819E-2</c:v>
                </c:pt>
                <c:pt idx="4">
                  <c:v>4.7630008839127873E-2</c:v>
                </c:pt>
                <c:pt idx="5">
                  <c:v>4.0033699369183391E-2</c:v>
                </c:pt>
                <c:pt idx="6">
                  <c:v>4.7299471624469291E-2</c:v>
                </c:pt>
                <c:pt idx="7">
                  <c:v>3.6366481653958088E-2</c:v>
                </c:pt>
                <c:pt idx="8">
                  <c:v>4.3886807317068531E-2</c:v>
                </c:pt>
                <c:pt idx="9">
                  <c:v>4.4984930751820626E-2</c:v>
                </c:pt>
              </c:numCache>
            </c:numRef>
          </c:val>
        </c:ser>
        <c:ser>
          <c:idx val="9"/>
          <c:order val="9"/>
          <c:tx>
            <c:strRef>
              <c:f>'Screener Output.v0'!$A$180</c:f>
              <c:strCache>
                <c:ptCount val="1"/>
                <c:pt idx="0">
                  <c:v>Net profit</c:v>
                </c:pt>
              </c:strCache>
            </c:strRef>
          </c:tx>
          <c:spPr>
            <a:solidFill>
              <a:srgbClr val="00B050">
                <a:alpha val="85000"/>
              </a:srgbClr>
            </a:solidFill>
            <a:ln w="9525" cap="flat" cmpd="sng" algn="ctr">
              <a:solidFill>
                <a:srgbClr val="00B050">
                  <a:alpha val="50000"/>
                </a:srgb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Output.v0'!$C$180:$L$180</c:f>
              <c:numCache>
                <c:formatCode>0%</c:formatCode>
                <c:ptCount val="10"/>
                <c:pt idx="0">
                  <c:v>0.16028774791661404</c:v>
                </c:pt>
                <c:pt idx="1">
                  <c:v>0.17190122738077906</c:v>
                </c:pt>
                <c:pt idx="2">
                  <c:v>0.22998631542935355</c:v>
                </c:pt>
                <c:pt idx="3">
                  <c:v>0.18544313913529931</c:v>
                </c:pt>
                <c:pt idx="4">
                  <c:v>0.15223249361618529</c:v>
                </c:pt>
                <c:pt idx="5">
                  <c:v>0.14483926081166276</c:v>
                </c:pt>
                <c:pt idx="6">
                  <c:v>0.11927895944276612</c:v>
                </c:pt>
                <c:pt idx="7">
                  <c:v>0.1368967841106139</c:v>
                </c:pt>
                <c:pt idx="8">
                  <c:v>0.12169678655632321</c:v>
                </c:pt>
                <c:pt idx="9">
                  <c:v>0.11985371353518359</c:v>
                </c:pt>
              </c:numCache>
            </c:numRef>
          </c:val>
        </c:ser>
        <c:dLbls>
          <c:showLegendKey val="0"/>
          <c:showVal val="1"/>
          <c:showCatName val="0"/>
          <c:showSerName val="0"/>
          <c:showPercent val="0"/>
          <c:showBubbleSize val="0"/>
        </c:dLbls>
        <c:axId val="-2123851600"/>
        <c:axId val="-2123849424"/>
      </c:areaChart>
      <c:dateAx>
        <c:axId val="-2123851600"/>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2123849424"/>
        <c:crosses val="autoZero"/>
        <c:auto val="1"/>
        <c:lblOffset val="100"/>
        <c:baseTimeUnit val="years"/>
      </c:dateAx>
      <c:valAx>
        <c:axId val="-21238494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123851600"/>
        <c:crosses val="autoZero"/>
        <c:crossBetween val="midCat"/>
      </c:valAx>
      <c:spPr>
        <a:noFill/>
        <a:ln>
          <a:noFill/>
        </a:ln>
        <a:effectLst/>
      </c:spPr>
    </c:plotArea>
    <c:legend>
      <c:legendPos val="r"/>
      <c:layout>
        <c:manualLayout>
          <c:xMode val="edge"/>
          <c:yMode val="edge"/>
          <c:x val="0.81952101689421786"/>
          <c:y val="5.9422592973785602E-4"/>
          <c:w val="0.17567055350778257"/>
          <c:h val="0.999405774070262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Output.v0'!$A$190</c:f>
              <c:strCache>
                <c:ptCount val="1"/>
                <c:pt idx="0">
                  <c:v>Sales </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Output.v0'!$D$189:$L$189</c:f>
              <c:numCache>
                <c:formatCode>[$-409]mmm\-yy;@</c:formatCode>
                <c:ptCount val="9"/>
                <c:pt idx="0">
                  <c:v>42460</c:v>
                </c:pt>
                <c:pt idx="1">
                  <c:v>42551</c:v>
                </c:pt>
                <c:pt idx="2">
                  <c:v>42643</c:v>
                </c:pt>
                <c:pt idx="3">
                  <c:v>42735</c:v>
                </c:pt>
                <c:pt idx="4">
                  <c:v>42825</c:v>
                </c:pt>
                <c:pt idx="5">
                  <c:v>42916</c:v>
                </c:pt>
                <c:pt idx="6">
                  <c:v>43008</c:v>
                </c:pt>
                <c:pt idx="7">
                  <c:v>43100</c:v>
                </c:pt>
                <c:pt idx="8">
                  <c:v>43190</c:v>
                </c:pt>
              </c:numCache>
            </c:numRef>
          </c:cat>
          <c:val>
            <c:numRef>
              <c:f>'Screener Output.v0'!$D$190:$L$190</c:f>
              <c:numCache>
                <c:formatCode>0</c:formatCode>
                <c:ptCount val="9"/>
                <c:pt idx="0">
                  <c:v>1573.87</c:v>
                </c:pt>
                <c:pt idx="1">
                  <c:v>1548.08</c:v>
                </c:pt>
                <c:pt idx="2">
                  <c:v>1324.22</c:v>
                </c:pt>
                <c:pt idx="3">
                  <c:v>1440.74</c:v>
                </c:pt>
                <c:pt idx="4">
                  <c:v>1656.06</c:v>
                </c:pt>
                <c:pt idx="5">
                  <c:v>1870.42</c:v>
                </c:pt>
                <c:pt idx="6">
                  <c:v>1345.27</c:v>
                </c:pt>
                <c:pt idx="7">
                  <c:v>1341.67</c:v>
                </c:pt>
                <c:pt idx="8">
                  <c:v>1432.11</c:v>
                </c:pt>
              </c:numCache>
            </c:numRef>
          </c:val>
        </c:ser>
        <c:dLbls>
          <c:dLblPos val="inEnd"/>
          <c:showLegendKey val="0"/>
          <c:showVal val="1"/>
          <c:showCatName val="0"/>
          <c:showSerName val="0"/>
          <c:showPercent val="0"/>
          <c:showBubbleSize val="0"/>
        </c:dLbls>
        <c:gapWidth val="0"/>
        <c:axId val="-2123840176"/>
        <c:axId val="-2123847248"/>
      </c:barChart>
      <c:lineChart>
        <c:grouping val="standard"/>
        <c:varyColors val="0"/>
        <c:ser>
          <c:idx val="1"/>
          <c:order val="1"/>
          <c:tx>
            <c:strRef>
              <c:f>'Screener Output.v0'!$A$191</c:f>
              <c:strCache>
                <c:ptCount val="1"/>
                <c:pt idx="0">
                  <c:v>Sales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Output.v0'!$D$189:$L$189</c:f>
              <c:numCache>
                <c:formatCode>[$-409]mmm\-yy;@</c:formatCode>
                <c:ptCount val="9"/>
                <c:pt idx="0">
                  <c:v>42460</c:v>
                </c:pt>
                <c:pt idx="1">
                  <c:v>42551</c:v>
                </c:pt>
                <c:pt idx="2">
                  <c:v>42643</c:v>
                </c:pt>
                <c:pt idx="3">
                  <c:v>42735</c:v>
                </c:pt>
                <c:pt idx="4">
                  <c:v>42825</c:v>
                </c:pt>
                <c:pt idx="5">
                  <c:v>42916</c:v>
                </c:pt>
                <c:pt idx="6">
                  <c:v>43008</c:v>
                </c:pt>
                <c:pt idx="7">
                  <c:v>43100</c:v>
                </c:pt>
                <c:pt idx="8">
                  <c:v>43190</c:v>
                </c:pt>
              </c:numCache>
            </c:numRef>
          </c:cat>
          <c:val>
            <c:numRef>
              <c:f>'Screener Output.v0'!$D$191:$L$191</c:f>
              <c:numCache>
                <c:formatCode>0%</c:formatCode>
                <c:ptCount val="9"/>
                <c:pt idx="3">
                  <c:v>5.5595445686737133E-2</c:v>
                </c:pt>
                <c:pt idx="4">
                  <c:v>5.2221593905468655E-2</c:v>
                </c:pt>
                <c:pt idx="5">
                  <c:v>0.20821921347733974</c:v>
                </c:pt>
                <c:pt idx="6">
                  <c:v>1.5896150186524904E-2</c:v>
                </c:pt>
                <c:pt idx="7">
                  <c:v>-6.8763274428418675E-2</c:v>
                </c:pt>
                <c:pt idx="8">
                  <c:v>-0.13523060758668171</c:v>
                </c:pt>
              </c:numCache>
            </c:numRef>
          </c:val>
          <c:smooth val="0"/>
        </c:ser>
        <c:dLbls>
          <c:showLegendKey val="0"/>
          <c:showVal val="0"/>
          <c:showCatName val="0"/>
          <c:showSerName val="0"/>
          <c:showPercent val="0"/>
          <c:showBubbleSize val="0"/>
        </c:dLbls>
        <c:marker val="1"/>
        <c:smooth val="0"/>
        <c:axId val="-2123847792"/>
        <c:axId val="-2123848880"/>
      </c:lineChart>
      <c:dateAx>
        <c:axId val="-2123840176"/>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2123847248"/>
        <c:crosses val="autoZero"/>
        <c:auto val="1"/>
        <c:lblOffset val="100"/>
        <c:baseTimeUnit val="months"/>
        <c:majorUnit val="3"/>
        <c:majorTimeUnit val="months"/>
      </c:dateAx>
      <c:valAx>
        <c:axId val="-212384724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123840176"/>
        <c:crosses val="autoZero"/>
        <c:crossBetween val="between"/>
      </c:valAx>
      <c:valAx>
        <c:axId val="-2123848880"/>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123847792"/>
        <c:crosses val="max"/>
        <c:crossBetween val="between"/>
        <c:majorUnit val="0.2"/>
      </c:valAx>
      <c:dateAx>
        <c:axId val="-2123847792"/>
        <c:scaling>
          <c:orientation val="minMax"/>
        </c:scaling>
        <c:delete val="1"/>
        <c:axPos val="b"/>
        <c:numFmt formatCode="[$-409]mmm\-yy;@" sourceLinked="1"/>
        <c:majorTickMark val="out"/>
        <c:minorTickMark val="none"/>
        <c:tickLblPos val="nextTo"/>
        <c:crossAx val="-2123848880"/>
        <c:crosses val="autoZero"/>
        <c:auto val="1"/>
        <c:lblOffset val="100"/>
        <c:baseTimeUnit val="month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120044335545495E-2"/>
          <c:y val="8.5099999999999995E-2"/>
          <c:w val="0.77090653363363681"/>
          <c:h val="0.74193333333333333"/>
        </c:manualLayout>
      </c:layout>
      <c:areaChart>
        <c:grouping val="percentStacked"/>
        <c:varyColors val="0"/>
        <c:ser>
          <c:idx val="0"/>
          <c:order val="0"/>
          <c:tx>
            <c:strRef>
              <c:f>'Screener Output.v0'!$A$196</c:f>
              <c:strCache>
                <c:ptCount val="1"/>
                <c:pt idx="0">
                  <c:v>Expenses</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42369</c:v>
                </c:pt>
                <c:pt idx="1">
                  <c:v>42460</c:v>
                </c:pt>
                <c:pt idx="2">
                  <c:v>42551</c:v>
                </c:pt>
                <c:pt idx="3">
                  <c:v>42643</c:v>
                </c:pt>
                <c:pt idx="4">
                  <c:v>42735</c:v>
                </c:pt>
                <c:pt idx="5">
                  <c:v>42825</c:v>
                </c:pt>
                <c:pt idx="6">
                  <c:v>42916</c:v>
                </c:pt>
                <c:pt idx="7">
                  <c:v>43008</c:v>
                </c:pt>
                <c:pt idx="8">
                  <c:v>43100</c:v>
                </c:pt>
                <c:pt idx="9">
                  <c:v>43190</c:v>
                </c:pt>
              </c:numCache>
            </c:numRef>
          </c:cat>
          <c:val>
            <c:numRef>
              <c:f>'Screener Output.v0'!$C$196:$L$196</c:f>
              <c:numCache>
                <c:formatCode>0%</c:formatCode>
                <c:ptCount val="10"/>
                <c:pt idx="0">
                  <c:v>0.47298624034699527</c:v>
                </c:pt>
                <c:pt idx="1">
                  <c:v>0.50698596453328415</c:v>
                </c:pt>
                <c:pt idx="2">
                  <c:v>0.48018190274404426</c:v>
                </c:pt>
                <c:pt idx="3">
                  <c:v>0.43917929045022736</c:v>
                </c:pt>
                <c:pt idx="4">
                  <c:v>0.46322723045101821</c:v>
                </c:pt>
                <c:pt idx="5">
                  <c:v>0.48629276717027164</c:v>
                </c:pt>
                <c:pt idx="6">
                  <c:v>0.53414206434918365</c:v>
                </c:pt>
                <c:pt idx="7">
                  <c:v>0.46559426732180159</c:v>
                </c:pt>
                <c:pt idx="8">
                  <c:v>0.49632920166657968</c:v>
                </c:pt>
                <c:pt idx="9">
                  <c:v>0.50512879597237648</c:v>
                </c:pt>
              </c:numCache>
            </c:numRef>
          </c:val>
        </c:ser>
        <c:ser>
          <c:idx val="1"/>
          <c:order val="1"/>
          <c:tx>
            <c:strRef>
              <c:f>'Screener Output.v0'!$A$197</c:f>
              <c:strCache>
                <c:ptCount val="1"/>
                <c:pt idx="0">
                  <c:v>Depreciation</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42369</c:v>
                </c:pt>
                <c:pt idx="1">
                  <c:v>42460</c:v>
                </c:pt>
                <c:pt idx="2">
                  <c:v>42551</c:v>
                </c:pt>
                <c:pt idx="3">
                  <c:v>42643</c:v>
                </c:pt>
                <c:pt idx="4">
                  <c:v>42735</c:v>
                </c:pt>
                <c:pt idx="5">
                  <c:v>42825</c:v>
                </c:pt>
                <c:pt idx="6">
                  <c:v>42916</c:v>
                </c:pt>
                <c:pt idx="7">
                  <c:v>43008</c:v>
                </c:pt>
                <c:pt idx="8">
                  <c:v>43100</c:v>
                </c:pt>
                <c:pt idx="9">
                  <c:v>43190</c:v>
                </c:pt>
              </c:numCache>
            </c:numRef>
          </c:cat>
          <c:val>
            <c:numRef>
              <c:f>'Screener Output.v0'!$C$197:$L$197</c:f>
              <c:numCache>
                <c:formatCode>0%</c:formatCode>
                <c:ptCount val="10"/>
                <c:pt idx="0">
                  <c:v>0.16567266972436734</c:v>
                </c:pt>
                <c:pt idx="1">
                  <c:v>0.14128867060176509</c:v>
                </c:pt>
                <c:pt idx="2">
                  <c:v>0.1425895302568343</c:v>
                </c:pt>
                <c:pt idx="3">
                  <c:v>0.17172373170621197</c:v>
                </c:pt>
                <c:pt idx="4">
                  <c:v>0.12513014145508558</c:v>
                </c:pt>
                <c:pt idx="5">
                  <c:v>0.13669190729804476</c:v>
                </c:pt>
                <c:pt idx="6">
                  <c:v>9.7069107473187838E-2</c:v>
                </c:pt>
                <c:pt idx="7">
                  <c:v>9.3676362365919114E-2</c:v>
                </c:pt>
                <c:pt idx="8">
                  <c:v>9.0364992882005252E-2</c:v>
                </c:pt>
                <c:pt idx="9">
                  <c:v>8.0454713674228934E-2</c:v>
                </c:pt>
              </c:numCache>
            </c:numRef>
          </c:val>
        </c:ser>
        <c:ser>
          <c:idx val="2"/>
          <c:order val="2"/>
          <c:tx>
            <c:strRef>
              <c:f>'Screener Output.v0'!$A$198</c:f>
              <c:strCache>
                <c:ptCount val="1"/>
                <c:pt idx="0">
                  <c:v>Interest</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42369</c:v>
                </c:pt>
                <c:pt idx="1">
                  <c:v>42460</c:v>
                </c:pt>
                <c:pt idx="2">
                  <c:v>42551</c:v>
                </c:pt>
                <c:pt idx="3">
                  <c:v>42643</c:v>
                </c:pt>
                <c:pt idx="4">
                  <c:v>42735</c:v>
                </c:pt>
                <c:pt idx="5">
                  <c:v>42825</c:v>
                </c:pt>
                <c:pt idx="6">
                  <c:v>42916</c:v>
                </c:pt>
                <c:pt idx="7">
                  <c:v>43008</c:v>
                </c:pt>
                <c:pt idx="8">
                  <c:v>43100</c:v>
                </c:pt>
                <c:pt idx="9">
                  <c:v>43190</c:v>
                </c:pt>
              </c:numCache>
            </c:numRef>
          </c:cat>
          <c:val>
            <c:numRef>
              <c:f>'Screener Output.v0'!$C$198:$L$198</c:f>
              <c:numCache>
                <c:formatCode>0%</c:formatCode>
                <c:ptCount val="10"/>
                <c:pt idx="0">
                  <c:v>0.19388801781867737</c:v>
                </c:pt>
                <c:pt idx="1">
                  <c:v>0.2062305018838913</c:v>
                </c:pt>
                <c:pt idx="2">
                  <c:v>0.21198516872513051</c:v>
                </c:pt>
                <c:pt idx="3">
                  <c:v>0.25645285526574135</c:v>
                </c:pt>
                <c:pt idx="4">
                  <c:v>0.23524716465149853</c:v>
                </c:pt>
                <c:pt idx="5">
                  <c:v>0.19687088632054392</c:v>
                </c:pt>
                <c:pt idx="6">
                  <c:v>0.15260208937030187</c:v>
                </c:pt>
                <c:pt idx="7">
                  <c:v>0.17514699651371102</c:v>
                </c:pt>
                <c:pt idx="8">
                  <c:v>0.17636229475206272</c:v>
                </c:pt>
                <c:pt idx="9">
                  <c:v>0.14593152760611966</c:v>
                </c:pt>
              </c:numCache>
            </c:numRef>
          </c:val>
        </c:ser>
        <c:ser>
          <c:idx val="3"/>
          <c:order val="3"/>
          <c:tx>
            <c:strRef>
              <c:f>'Screener Output.v0'!$A$199</c:f>
              <c:strCache>
                <c:ptCount val="1"/>
                <c:pt idx="0">
                  <c:v>Tax</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42369</c:v>
                </c:pt>
                <c:pt idx="1">
                  <c:v>42460</c:v>
                </c:pt>
                <c:pt idx="2">
                  <c:v>42551</c:v>
                </c:pt>
                <c:pt idx="3">
                  <c:v>42643</c:v>
                </c:pt>
                <c:pt idx="4">
                  <c:v>42735</c:v>
                </c:pt>
                <c:pt idx="5">
                  <c:v>42825</c:v>
                </c:pt>
                <c:pt idx="6">
                  <c:v>42916</c:v>
                </c:pt>
                <c:pt idx="7">
                  <c:v>43008</c:v>
                </c:pt>
                <c:pt idx="8">
                  <c:v>43100</c:v>
                </c:pt>
                <c:pt idx="9">
                  <c:v>43190</c:v>
                </c:pt>
              </c:numCache>
            </c:numRef>
          </c:cat>
          <c:val>
            <c:numRef>
              <c:f>'Screener Output.v0'!$C$199:$L$199</c:f>
              <c:numCache>
                <c:formatCode>0%</c:formatCode>
                <c:ptCount val="10"/>
                <c:pt idx="0">
                  <c:v>4.4436792051932066E-2</c:v>
                </c:pt>
                <c:pt idx="1">
                  <c:v>4.5562848265739864E-2</c:v>
                </c:pt>
                <c:pt idx="2">
                  <c:v>4.7801147227533466E-2</c:v>
                </c:pt>
                <c:pt idx="3">
                  <c:v>2.5275256377339111E-2</c:v>
                </c:pt>
                <c:pt idx="4">
                  <c:v>4.8537557088718299E-2</c:v>
                </c:pt>
                <c:pt idx="5">
                  <c:v>5.5028199461372169E-2</c:v>
                </c:pt>
                <c:pt idx="6">
                  <c:v>8.9017439933277015E-2</c:v>
                </c:pt>
                <c:pt idx="7">
                  <c:v>9.109695451470709E-2</c:v>
                </c:pt>
                <c:pt idx="8">
                  <c:v>8.2434577802291159E-2</c:v>
                </c:pt>
                <c:pt idx="9">
                  <c:v>0.10104670730600304</c:v>
                </c:pt>
              </c:numCache>
            </c:numRef>
          </c:val>
        </c:ser>
        <c:ser>
          <c:idx val="4"/>
          <c:order val="4"/>
          <c:tx>
            <c:strRef>
              <c:f>'Screener Output.v0'!$A$200</c:f>
              <c:strCache>
                <c:ptCount val="1"/>
                <c:pt idx="0">
                  <c:v>Net profit</c:v>
                </c:pt>
              </c:strCache>
            </c:strRef>
          </c:tx>
          <c:spPr>
            <a:solidFill>
              <a:srgbClr val="00B050">
                <a:alpha val="85000"/>
              </a:srgbClr>
            </a:solidFill>
            <a:ln w="9525" cap="flat" cmpd="sng" algn="ctr">
              <a:solidFill>
                <a:schemeClr val="lt1">
                  <a:alpha val="50000"/>
                </a:scheme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42369</c:v>
                </c:pt>
                <c:pt idx="1">
                  <c:v>42460</c:v>
                </c:pt>
                <c:pt idx="2">
                  <c:v>42551</c:v>
                </c:pt>
                <c:pt idx="3">
                  <c:v>42643</c:v>
                </c:pt>
                <c:pt idx="4">
                  <c:v>42735</c:v>
                </c:pt>
                <c:pt idx="5">
                  <c:v>42825</c:v>
                </c:pt>
                <c:pt idx="6">
                  <c:v>42916</c:v>
                </c:pt>
                <c:pt idx="7">
                  <c:v>43008</c:v>
                </c:pt>
                <c:pt idx="8">
                  <c:v>43100</c:v>
                </c:pt>
                <c:pt idx="9">
                  <c:v>43190</c:v>
                </c:pt>
              </c:numCache>
            </c:numRef>
          </c:cat>
          <c:val>
            <c:numRef>
              <c:f>'Screener Output.v0'!$C$200:$L$200</c:f>
              <c:numCache>
                <c:formatCode>0%</c:formatCode>
                <c:ptCount val="10"/>
                <c:pt idx="0">
                  <c:v>0.12301628005802789</c:v>
                </c:pt>
                <c:pt idx="1">
                  <c:v>9.993201471531965E-2</c:v>
                </c:pt>
                <c:pt idx="2">
                  <c:v>0.11744225104645745</c:v>
                </c:pt>
                <c:pt idx="3">
                  <c:v>0.10736886620048025</c:v>
                </c:pt>
                <c:pt idx="4">
                  <c:v>0.12785790635367933</c:v>
                </c:pt>
                <c:pt idx="5">
                  <c:v>0.12511623974976749</c:v>
                </c:pt>
                <c:pt idx="6">
                  <c:v>0.1271692988740496</c:v>
                </c:pt>
                <c:pt idx="7">
                  <c:v>0.17448541928386119</c:v>
                </c:pt>
                <c:pt idx="8">
                  <c:v>0.15450893289706114</c:v>
                </c:pt>
                <c:pt idx="9">
                  <c:v>0.16743825544127189</c:v>
                </c:pt>
              </c:numCache>
            </c:numRef>
          </c:val>
        </c:ser>
        <c:dLbls>
          <c:showLegendKey val="0"/>
          <c:showVal val="1"/>
          <c:showCatName val="0"/>
          <c:showSerName val="0"/>
          <c:showPercent val="0"/>
          <c:showBubbleSize val="0"/>
        </c:dLbls>
        <c:axId val="-2123839632"/>
        <c:axId val="-2123839088"/>
      </c:areaChart>
      <c:dateAx>
        <c:axId val="-2123839632"/>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2123839088"/>
        <c:crosses val="autoZero"/>
        <c:auto val="1"/>
        <c:lblOffset val="100"/>
        <c:baseTimeUnit val="months"/>
        <c:majorUnit val="3"/>
        <c:majorTimeUnit val="months"/>
      </c:dateAx>
      <c:valAx>
        <c:axId val="-21238390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123839632"/>
        <c:crosses val="autoZero"/>
        <c:crossBetween val="midCat"/>
      </c:valAx>
      <c:spPr>
        <a:noFill/>
        <a:ln>
          <a:noFill/>
        </a:ln>
        <a:effectLst/>
      </c:spPr>
    </c:plotArea>
    <c:legend>
      <c:legendPos val="r"/>
      <c:layout>
        <c:manualLayout>
          <c:xMode val="edge"/>
          <c:yMode val="edge"/>
          <c:x val="0.84500860930348598"/>
          <c:y val="7.9480687536486821E-2"/>
          <c:w val="0.13655561797582291"/>
          <c:h val="0.311528871391076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22807017543858E-2"/>
          <c:y val="7.2351391746976843E-2"/>
          <c:w val="0.95175438596491224"/>
          <c:h val="0.82326483824092522"/>
        </c:manualLayout>
      </c:layout>
      <c:barChart>
        <c:barDir val="col"/>
        <c:grouping val="clustered"/>
        <c:varyColors val="0"/>
        <c:ser>
          <c:idx val="3"/>
          <c:order val="0"/>
          <c:tx>
            <c:strRef>
              <c:f>'Screener Output.v0'!$A$120:$B$120</c:f>
              <c:strCache>
                <c:ptCount val="2"/>
                <c:pt idx="0">
                  <c:v>Sales/NFAT</c:v>
                </c:pt>
              </c:strCache>
            </c:strRef>
          </c:tx>
          <c:spPr>
            <a:gradFill>
              <a:gsLst>
                <a:gs pos="0">
                  <a:schemeClr val="accent4"/>
                </a:gs>
                <a:gs pos="100000">
                  <a:schemeClr val="accent4">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'Screener Output.v0'!$C$116:$M$116</c:f>
              <c:strCache>
                <c:ptCount val="11"/>
                <c:pt idx="0">
                  <c:v>Mar-08</c:v>
                </c:pt>
                <c:pt idx="1">
                  <c:v>Mar-09</c:v>
                </c:pt>
                <c:pt idx="2">
                  <c:v>Mar-10</c:v>
                </c:pt>
                <c:pt idx="3">
                  <c:v>Mar-11</c:v>
                </c:pt>
                <c:pt idx="4">
                  <c:v>Mar-12</c:v>
                </c:pt>
                <c:pt idx="5">
                  <c:v>Mar-13</c:v>
                </c:pt>
                <c:pt idx="6">
                  <c:v>Mar-14</c:v>
                </c:pt>
                <c:pt idx="7">
                  <c:v>Mar-15</c:v>
                </c:pt>
                <c:pt idx="8">
                  <c:v>Mar-16</c:v>
                </c:pt>
                <c:pt idx="9">
                  <c:v>Mar-17</c:v>
                </c:pt>
                <c:pt idx="10">
                  <c:v>TTM</c:v>
                </c:pt>
              </c:strCache>
            </c:strRef>
          </c:cat>
          <c:val>
            <c:numRef>
              <c:f>'Screener Output.v0'!$C$120:$M$120</c:f>
              <c:numCache>
                <c:formatCode>0.00</c:formatCode>
                <c:ptCount val="11"/>
                <c:pt idx="0">
                  <c:v>0.38874475411314674</c:v>
                </c:pt>
                <c:pt idx="1">
                  <c:v>0.50853384056150563</c:v>
                </c:pt>
                <c:pt idx="2">
                  <c:v>0.62180521742301975</c:v>
                </c:pt>
                <c:pt idx="3">
                  <c:v>0.71398429481125514</c:v>
                </c:pt>
                <c:pt idx="4">
                  <c:v>0.70275368674163707</c:v>
                </c:pt>
                <c:pt idx="5">
                  <c:v>0.6665859174586416</c:v>
                </c:pt>
                <c:pt idx="6">
                  <c:v>0.53073051548649597</c:v>
                </c:pt>
                <c:pt idx="7">
                  <c:v>0.19092537953120878</c:v>
                </c:pt>
                <c:pt idx="8">
                  <c:v>0.15327312143695548</c:v>
                </c:pt>
                <c:pt idx="9">
                  <c:v>0.19638145153786124</c:v>
                </c:pt>
                <c:pt idx="10" formatCode="0.0">
                  <c:v>0.19128105779673607</c:v>
                </c:pt>
              </c:numCache>
            </c:numRef>
          </c:val>
        </c:ser>
        <c:dLbls>
          <c:dLblPos val="inEnd"/>
          <c:showLegendKey val="0"/>
          <c:showVal val="1"/>
          <c:showCatName val="0"/>
          <c:showSerName val="0"/>
          <c:showPercent val="0"/>
          <c:showBubbleSize val="0"/>
        </c:dLbls>
        <c:gapWidth val="41"/>
        <c:axId val="-2123851056"/>
        <c:axId val="-2123846704"/>
      </c:barChart>
      <c:catAx>
        <c:axId val="-2123851056"/>
        <c:scaling>
          <c:orientation val="minMax"/>
        </c:scaling>
        <c:delete val="0"/>
        <c:axPos val="b"/>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2123846704"/>
        <c:crosses val="autoZero"/>
        <c:auto val="1"/>
        <c:lblAlgn val="ctr"/>
        <c:lblOffset val="100"/>
        <c:noMultiLvlLbl val="1"/>
      </c:catAx>
      <c:valAx>
        <c:axId val="-2123846704"/>
        <c:scaling>
          <c:orientation val="minMax"/>
        </c:scaling>
        <c:delete val="1"/>
        <c:axPos val="l"/>
        <c:numFmt formatCode="0.00" sourceLinked="1"/>
        <c:majorTickMark val="none"/>
        <c:minorTickMark val="none"/>
        <c:tickLblPos val="nextTo"/>
        <c:crossAx val="-2123851056"/>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Output.v0'!$A$95:$B$95</c:f>
              <c:strCache>
                <c:ptCount val="2"/>
                <c:pt idx="0">
                  <c:v>Cash Sales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Output.v0'!$C$94:$L$94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Output.v0'!$C$95:$L$95</c:f>
              <c:numCache>
                <c:formatCode>0%</c:formatCode>
                <c:ptCount val="10"/>
                <c:pt idx="0">
                  <c:v>0.98394999385841608</c:v>
                </c:pt>
                <c:pt idx="1">
                  <c:v>0.98691373956526995</c:v>
                </c:pt>
                <c:pt idx="2">
                  <c:v>0.98256738129454202</c:v>
                </c:pt>
                <c:pt idx="3">
                  <c:v>0.98373740315244185</c:v>
                </c:pt>
                <c:pt idx="4">
                  <c:v>0.99550912538062308</c:v>
                </c:pt>
                <c:pt idx="5">
                  <c:v>0.99783035549625199</c:v>
                </c:pt>
                <c:pt idx="6">
                  <c:v>0.99852085672407276</c:v>
                </c:pt>
                <c:pt idx="7">
                  <c:v>0.99872430421317371</c:v>
                </c:pt>
                <c:pt idx="8">
                  <c:v>0.99831121598299521</c:v>
                </c:pt>
                <c:pt idx="9">
                  <c:v>0.98794548011098293</c:v>
                </c:pt>
              </c:numCache>
            </c:numRef>
          </c:val>
        </c:ser>
        <c:ser>
          <c:idx val="1"/>
          <c:order val="1"/>
          <c:tx>
            <c:strRef>
              <c:f>'Screener Output.v0'!$A$96:$B$96</c:f>
              <c:strCache>
                <c:ptCount val="2"/>
                <c:pt idx="0">
                  <c:v>Credit Sales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Output.v0'!$C$94:$L$94</c:f>
              <c:numCache>
                <c:formatCode>[$-409]mmm\-yy;@</c:formatCode>
                <c:ptCount val="10"/>
                <c:pt idx="0">
                  <c:v>39508</c:v>
                </c:pt>
                <c:pt idx="1">
                  <c:v>39873</c:v>
                </c:pt>
                <c:pt idx="2">
                  <c:v>40238</c:v>
                </c:pt>
                <c:pt idx="3">
                  <c:v>40603</c:v>
                </c:pt>
                <c:pt idx="4">
                  <c:v>40969</c:v>
                </c:pt>
                <c:pt idx="5">
                  <c:v>41334</c:v>
                </c:pt>
                <c:pt idx="6">
                  <c:v>41699</c:v>
                </c:pt>
                <c:pt idx="7">
                  <c:v>42064</c:v>
                </c:pt>
                <c:pt idx="8">
                  <c:v>42430</c:v>
                </c:pt>
                <c:pt idx="9">
                  <c:v>42795</c:v>
                </c:pt>
              </c:numCache>
            </c:numRef>
          </c:cat>
          <c:val>
            <c:numRef>
              <c:f>'Screener Output.v0'!$C$96:$L$96</c:f>
              <c:numCache>
                <c:formatCode>0%</c:formatCode>
                <c:ptCount val="10"/>
                <c:pt idx="0">
                  <c:v>1.6050006141583917E-2</c:v>
                </c:pt>
                <c:pt idx="1">
                  <c:v>1.3086260434730046E-2</c:v>
                </c:pt>
                <c:pt idx="2">
                  <c:v>1.7432618705457981E-2</c:v>
                </c:pt>
                <c:pt idx="3">
                  <c:v>1.6262596847558153E-2</c:v>
                </c:pt>
                <c:pt idx="4">
                  <c:v>4.4908746193769167E-3</c:v>
                </c:pt>
                <c:pt idx="5">
                  <c:v>2.1696445037480139E-3</c:v>
                </c:pt>
                <c:pt idx="6">
                  <c:v>1.4791432759272416E-3</c:v>
                </c:pt>
                <c:pt idx="7">
                  <c:v>1.2756957868262919E-3</c:v>
                </c:pt>
                <c:pt idx="8">
                  <c:v>1.6887840170047852E-3</c:v>
                </c:pt>
                <c:pt idx="9">
                  <c:v>1.2054519889017068E-2</c:v>
                </c:pt>
              </c:numCache>
            </c:numRef>
          </c:val>
        </c:ser>
        <c:dLbls>
          <c:dLblPos val="ctr"/>
          <c:showLegendKey val="0"/>
          <c:showVal val="1"/>
          <c:showCatName val="0"/>
          <c:showSerName val="0"/>
          <c:showPercent val="0"/>
          <c:showBubbleSize val="0"/>
        </c:dLbls>
        <c:gapWidth val="150"/>
        <c:overlap val="100"/>
        <c:axId val="-2123845616"/>
        <c:axId val="-2123853232"/>
      </c:barChart>
      <c:dateAx>
        <c:axId val="-2123845616"/>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123853232"/>
        <c:crosses val="autoZero"/>
        <c:auto val="1"/>
        <c:lblOffset val="100"/>
        <c:baseTimeUnit val="years"/>
      </c:dateAx>
      <c:valAx>
        <c:axId val="-21238532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12384561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2840186430534E-2"/>
          <c:y val="2.7777777777777776E-2"/>
          <c:w val="0.95018868220539698"/>
          <c:h val="0.77314814814814814"/>
        </c:manualLayout>
      </c:layout>
      <c:barChart>
        <c:barDir val="col"/>
        <c:grouping val="clustered"/>
        <c:varyColors val="0"/>
        <c:ser>
          <c:idx val="0"/>
          <c:order val="0"/>
          <c:tx>
            <c:strRef>
              <c:f>'Screener Output.v0'!$A$186</c:f>
              <c:strCache>
                <c:ptCount val="1"/>
                <c:pt idx="0">
                  <c:v>EPS</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Output.v0'!$D$183:$L$183</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Output.v0'!$D$186:$L$186</c:f>
              <c:numCache>
                <c:formatCode>_(* #,##0.0_);_(* \(#,##0.0\);_(* "-"??_);_(@_)</c:formatCode>
                <c:ptCount val="9"/>
                <c:pt idx="0">
                  <c:v>5.29088414510219</c:v>
                </c:pt>
                <c:pt idx="1">
                  <c:v>11.595716517045117</c:v>
                </c:pt>
                <c:pt idx="2">
                  <c:v>13.610976227246679</c:v>
                </c:pt>
                <c:pt idx="3">
                  <c:v>14.923392300089201</c:v>
                </c:pt>
                <c:pt idx="4">
                  <c:v>16.748799983247288</c:v>
                </c:pt>
                <c:pt idx="5">
                  <c:v>13.814066747459586</c:v>
                </c:pt>
                <c:pt idx="6">
                  <c:v>15.447716602646178</c:v>
                </c:pt>
                <c:pt idx="7">
                  <c:v>18.184379001280409</c:v>
                </c:pt>
                <c:pt idx="8">
                  <c:v>20.357661118224499</c:v>
                </c:pt>
              </c:numCache>
            </c:numRef>
          </c:val>
        </c:ser>
        <c:dLbls>
          <c:dLblPos val="inEnd"/>
          <c:showLegendKey val="0"/>
          <c:showVal val="1"/>
          <c:showCatName val="0"/>
          <c:showSerName val="0"/>
          <c:showPercent val="0"/>
          <c:showBubbleSize val="0"/>
        </c:dLbls>
        <c:gapWidth val="41"/>
        <c:axId val="-2123850512"/>
        <c:axId val="-2123845072"/>
      </c:barChart>
      <c:lineChart>
        <c:grouping val="standard"/>
        <c:varyColors val="0"/>
        <c:ser>
          <c:idx val="1"/>
          <c:order val="1"/>
          <c:tx>
            <c:strRef>
              <c:f>'Screener Output.v0'!$A$187</c:f>
              <c:strCache>
                <c:ptCount val="1"/>
                <c:pt idx="0">
                  <c:v>EPS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Output.v0'!$D$183:$L$183</c:f>
              <c:numCache>
                <c:formatCode>[$-409]mmm\-yy;@</c:formatCode>
                <c:ptCount val="9"/>
                <c:pt idx="0">
                  <c:v>39873</c:v>
                </c:pt>
                <c:pt idx="1">
                  <c:v>40238</c:v>
                </c:pt>
                <c:pt idx="2">
                  <c:v>40603</c:v>
                </c:pt>
                <c:pt idx="3">
                  <c:v>40969</c:v>
                </c:pt>
                <c:pt idx="4">
                  <c:v>41334</c:v>
                </c:pt>
                <c:pt idx="5">
                  <c:v>41699</c:v>
                </c:pt>
                <c:pt idx="6">
                  <c:v>42064</c:v>
                </c:pt>
                <c:pt idx="7">
                  <c:v>42430</c:v>
                </c:pt>
                <c:pt idx="8">
                  <c:v>42795</c:v>
                </c:pt>
              </c:numCache>
            </c:numRef>
          </c:cat>
          <c:val>
            <c:numRef>
              <c:f>'Screener Output.v0'!$D$187:$L$187</c:f>
              <c:numCache>
                <c:formatCode>0%</c:formatCode>
                <c:ptCount val="9"/>
                <c:pt idx="0">
                  <c:v>0.54362710674157322</c:v>
                </c:pt>
                <c:pt idx="1">
                  <c:v>1.1916406027864657</c:v>
                </c:pt>
                <c:pt idx="2">
                  <c:v>0.17379346133886875</c:v>
                </c:pt>
                <c:pt idx="3">
                  <c:v>9.6423360891286114E-2</c:v>
                </c:pt>
                <c:pt idx="4">
                  <c:v>0.12231854838709677</c:v>
                </c:pt>
                <c:pt idx="5">
                  <c:v>-0.17522050766163066</c:v>
                </c:pt>
                <c:pt idx="6">
                  <c:v>0.11825987850297737</c:v>
                </c:pt>
                <c:pt idx="7">
                  <c:v>0.17715643476819376</c:v>
                </c:pt>
                <c:pt idx="8">
                  <c:v>0.11951368351875336</c:v>
                </c:pt>
              </c:numCache>
            </c:numRef>
          </c:val>
          <c:smooth val="0"/>
        </c:ser>
        <c:dLbls>
          <c:showLegendKey val="0"/>
          <c:showVal val="0"/>
          <c:showCatName val="0"/>
          <c:showSerName val="0"/>
          <c:showPercent val="0"/>
          <c:showBubbleSize val="0"/>
        </c:dLbls>
        <c:marker val="1"/>
        <c:smooth val="0"/>
        <c:axId val="-108113168"/>
        <c:axId val="-2123842896"/>
      </c:lineChart>
      <c:dateAx>
        <c:axId val="-2123850512"/>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lgn="ctr">
              <a:defRPr lang="en-US" sz="1000" b="0" i="0" u="none" strike="noStrike" kern="1200" baseline="0">
                <a:solidFill>
                  <a:schemeClr val="dk1">
                    <a:lumMod val="65000"/>
                    <a:lumOff val="35000"/>
                  </a:schemeClr>
                </a:solidFill>
                <a:effectLst/>
                <a:latin typeface="+mn-lt"/>
                <a:ea typeface="+mn-ea"/>
                <a:cs typeface="+mn-cs"/>
              </a:defRPr>
            </a:pPr>
            <a:endParaRPr lang="en-US"/>
          </a:p>
        </c:txPr>
        <c:crossAx val="-2123845072"/>
        <c:crosses val="autoZero"/>
        <c:auto val="1"/>
        <c:lblOffset val="100"/>
        <c:baseTimeUnit val="years"/>
      </c:dateAx>
      <c:valAx>
        <c:axId val="-2123845072"/>
        <c:scaling>
          <c:orientation val="minMax"/>
        </c:scaling>
        <c:delete val="0"/>
        <c:axPos val="l"/>
        <c:majorGridlines>
          <c:spPr>
            <a:ln w="9525" cap="flat" cmpd="sng" algn="ctr">
              <a:solidFill>
                <a:schemeClr val="dk1">
                  <a:lumMod val="15000"/>
                  <a:lumOff val="85000"/>
                </a:schemeClr>
              </a:solidFill>
              <a:round/>
            </a:ln>
            <a:effectLst/>
          </c:spPr>
        </c:majorGridlines>
        <c:numFmt formatCode="_(* #,##0.0_);_(* \(#,##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123850512"/>
        <c:crossesAt val="39875"/>
        <c:crossBetween val="between"/>
      </c:valAx>
      <c:valAx>
        <c:axId val="-2123842896"/>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08113168"/>
        <c:crosses val="max"/>
        <c:crossBetween val="between"/>
        <c:majorUnit val="0.2"/>
      </c:valAx>
      <c:dateAx>
        <c:axId val="-108113168"/>
        <c:scaling>
          <c:orientation val="minMax"/>
        </c:scaling>
        <c:delete val="1"/>
        <c:axPos val="b"/>
        <c:numFmt formatCode="[$-409]mmm\-yy;@" sourceLinked="1"/>
        <c:majorTickMark val="out"/>
        <c:minorTickMark val="none"/>
        <c:tickLblPos val="nextTo"/>
        <c:crossAx val="-2123842896"/>
        <c:crosses val="autoZero"/>
        <c:auto val="1"/>
        <c:lblOffset val="100"/>
        <c:baseTimeUnit val="year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79">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65000"/>
        <a:lumOff val="35000"/>
      </a:schemeClr>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
  <cs:dataPoint3D>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28"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A$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A$3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2</xdr:col>
      <xdr:colOff>66675</xdr:colOff>
      <xdr:row>0</xdr:row>
      <xdr:rowOff>123826</xdr:rowOff>
    </xdr:from>
    <xdr:to>
      <xdr:col>6</xdr:col>
      <xdr:colOff>683448</xdr:colOff>
      <xdr:row>10</xdr:row>
      <xdr:rowOff>423334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21168</xdr:colOff>
      <xdr:row>10</xdr:row>
      <xdr:rowOff>719667</xdr:rowOff>
    </xdr:from>
    <xdr:to>
      <xdr:col>6</xdr:col>
      <xdr:colOff>666750</xdr:colOff>
      <xdr:row>11</xdr:row>
      <xdr:rowOff>123826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332717</xdr:colOff>
      <xdr:row>1</xdr:row>
      <xdr:rowOff>173580</xdr:rowOff>
    </xdr:from>
    <xdr:to>
      <xdr:col>3</xdr:col>
      <xdr:colOff>524325</xdr:colOff>
      <xdr:row>3</xdr:row>
      <xdr:rowOff>13899</xdr:rowOff>
    </xdr:to>
    <xdr:sp macro="" textlink="">
      <xdr:nvSpPr>
        <xdr:cNvPr id="7" name="Flowchart: Process 6"/>
        <xdr:cNvSpPr/>
      </xdr:nvSpPr>
      <xdr:spPr>
        <a:xfrm rot="19947316">
          <a:off x="6904967" y="374663"/>
          <a:ext cx="890108" cy="221319"/>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Earnings</a:t>
          </a:r>
        </a:p>
      </xdr:txBody>
    </xdr:sp>
    <xdr:clientData/>
  </xdr:twoCellAnchor>
  <xdr:twoCellAnchor>
    <xdr:from>
      <xdr:col>2</xdr:col>
      <xdr:colOff>305103</xdr:colOff>
      <xdr:row>10</xdr:row>
      <xdr:rowOff>885252</xdr:rowOff>
    </xdr:from>
    <xdr:to>
      <xdr:col>3</xdr:col>
      <xdr:colOff>646180</xdr:colOff>
      <xdr:row>10</xdr:row>
      <xdr:rowOff>1084752</xdr:rowOff>
    </xdr:to>
    <xdr:sp macro="" textlink="">
      <xdr:nvSpPr>
        <xdr:cNvPr id="9" name="Flowchart: Process 8"/>
        <xdr:cNvSpPr/>
      </xdr:nvSpPr>
      <xdr:spPr>
        <a:xfrm rot="19947316">
          <a:off x="6877353" y="2800835"/>
          <a:ext cx="1039577" cy="199500"/>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Growth</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190500</xdr:colOff>
      <xdr:row>16</xdr:row>
      <xdr:rowOff>66675</xdr:rowOff>
    </xdr:from>
    <xdr:to>
      <xdr:col>7</xdr:col>
      <xdr:colOff>0</xdr:colOff>
      <xdr:row>18</xdr:row>
      <xdr:rowOff>85725</xdr:rowOff>
    </xdr:to>
    <xdr:sp macro="" textlink="">
      <xdr:nvSpPr>
        <xdr:cNvPr id="2" name="Rounded Rectangular Callout 1"/>
        <xdr:cNvSpPr/>
      </xdr:nvSpPr>
      <xdr:spPr>
        <a:xfrm>
          <a:off x="4333875" y="3000375"/>
          <a:ext cx="4972050" cy="381000"/>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rPr>
            <a:t>The output of Altman score test gauges a publicly traded company's likelihood of bankruptcy.</a:t>
          </a:r>
          <a:endParaRPr lang="en-GB" sz="9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152400</xdr:colOff>
      <xdr:row>21</xdr:row>
      <xdr:rowOff>133350</xdr:rowOff>
    </xdr:from>
    <xdr:to>
      <xdr:col>2</xdr:col>
      <xdr:colOff>2867025</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514350</xdr:colOff>
      <xdr:row>23</xdr:row>
      <xdr:rowOff>152400</xdr:rowOff>
    </xdr:from>
    <xdr:to>
      <xdr:col>2</xdr:col>
      <xdr:colOff>2486025</xdr:colOff>
      <xdr:row>35</xdr:row>
      <xdr:rowOff>163830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142874</xdr:colOff>
      <xdr:row>31</xdr:row>
      <xdr:rowOff>133350</xdr:rowOff>
    </xdr:from>
    <xdr:to>
      <xdr:col>11</xdr:col>
      <xdr:colOff>66674</xdr:colOff>
      <xdr:row>33</xdr:row>
      <xdr:rowOff>123825</xdr:rowOff>
    </xdr:to>
    <xdr:sp macro="" textlink="">
      <xdr:nvSpPr>
        <xdr:cNvPr id="4" name="Rounded Rectangular Callout 3"/>
        <xdr:cNvSpPr/>
      </xdr:nvSpPr>
      <xdr:spPr>
        <a:xfrm>
          <a:off x="4981574" y="4343400"/>
          <a:ext cx="3629025" cy="3143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latin typeface="Arial" panose="020B0604020202020204" pitchFamily="34" charset="0"/>
              <a:cs typeface="Arial" panose="020B0604020202020204" pitchFamily="34" charset="0"/>
            </a:rPr>
            <a:t>Return</a:t>
          </a:r>
          <a:r>
            <a:rPr lang="en-GB" sz="900" baseline="0">
              <a:solidFill>
                <a:srgbClr val="FF0000"/>
              </a:solidFill>
              <a:latin typeface="Arial" panose="020B0604020202020204" pitchFamily="34" charset="0"/>
              <a:cs typeface="Arial" panose="020B0604020202020204" pitchFamily="34" charset="0"/>
            </a:rPr>
            <a:t> on stock  when existing  ROE growth rate is extended</a:t>
          </a:r>
          <a:endParaRPr lang="en-GB" sz="900">
            <a:solidFill>
              <a:srgbClr val="FF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361950</xdr:colOff>
          <xdr:row>1</xdr:row>
          <xdr:rowOff>133350</xdr:rowOff>
        </xdr:from>
        <xdr:to>
          <xdr:col>1</xdr:col>
          <xdr:colOff>352425</xdr:colOff>
          <xdr:row>4</xdr:row>
          <xdr:rowOff>114300</xdr:rowOff>
        </xdr:to>
        <xdr:sp macro="" textlink="">
          <xdr:nvSpPr>
            <xdr:cNvPr id="16386" name="Group Box 2" hidden="1">
              <a:extLst>
                <a:ext uri="{63B3BB69-23CF-44E3-9099-C40C66FF867C}">
                  <a14:compatExt spid="_x0000_s16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xdr:row>
          <xdr:rowOff>133350</xdr:rowOff>
        </xdr:from>
        <xdr:to>
          <xdr:col>0</xdr:col>
          <xdr:colOff>1133475</xdr:colOff>
          <xdr:row>4</xdr:row>
          <xdr:rowOff>28575</xdr:rowOff>
        </xdr:to>
        <xdr:sp macro="" textlink="">
          <xdr:nvSpPr>
            <xdr:cNvPr id="16387" name="Option Button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2</xdr:row>
          <xdr:rowOff>133350</xdr:rowOff>
        </xdr:from>
        <xdr:to>
          <xdr:col>0</xdr:col>
          <xdr:colOff>2066925</xdr:colOff>
          <xdr:row>4</xdr:row>
          <xdr:rowOff>28575</xdr:rowOff>
        </xdr:to>
        <xdr:sp macro="" textlink="">
          <xdr:nvSpPr>
            <xdr:cNvPr id="16388" name="Option Button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xdr:row>
          <xdr:rowOff>133350</xdr:rowOff>
        </xdr:from>
        <xdr:to>
          <xdr:col>4</xdr:col>
          <xdr:colOff>771525</xdr:colOff>
          <xdr:row>4</xdr:row>
          <xdr:rowOff>104775</xdr:rowOff>
        </xdr:to>
        <xdr:sp macro="" textlink="">
          <xdr:nvSpPr>
            <xdr:cNvPr id="16389" name="Group Box 5" hidden="1">
              <a:extLst>
                <a:ext uri="{63B3BB69-23CF-44E3-9099-C40C66FF867C}">
                  <a14:compatExt spid="_x0000_s16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Future Growth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xdr:row>
          <xdr:rowOff>142875</xdr:rowOff>
        </xdr:from>
        <xdr:to>
          <xdr:col>3</xdr:col>
          <xdr:colOff>1038225</xdr:colOff>
          <xdr:row>4</xdr:row>
          <xdr:rowOff>38100</xdr:rowOff>
        </xdr:to>
        <xdr:sp macro="" textlink="">
          <xdr:nvSpPr>
            <xdr:cNvPr id="16390" name="Option Button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CAGR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1390650</xdr:colOff>
          <xdr:row>2</xdr:row>
          <xdr:rowOff>152400</xdr:rowOff>
        </xdr:from>
        <xdr:to>
          <xdr:col>4</xdr:col>
          <xdr:colOff>323850</xdr:colOff>
          <xdr:row>4</xdr:row>
          <xdr:rowOff>47625</xdr:rowOff>
        </xdr:to>
        <xdr:sp macro="" textlink="">
          <xdr:nvSpPr>
            <xdr:cNvPr id="16391" name="Option Button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Conservative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xdr:row>
          <xdr:rowOff>152400</xdr:rowOff>
        </xdr:from>
        <xdr:to>
          <xdr:col>7</xdr:col>
          <xdr:colOff>704850</xdr:colOff>
          <xdr:row>4</xdr:row>
          <xdr:rowOff>123825</xdr:rowOff>
        </xdr:to>
        <xdr:sp macro="" textlink="">
          <xdr:nvSpPr>
            <xdr:cNvPr id="16392" name="Group Box 8" hidden="1">
              <a:extLst>
                <a:ext uri="{63B3BB69-23CF-44E3-9099-C40C66FF867C}">
                  <a14:compatExt spid="_x0000_s16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RoE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xdr:row>
          <xdr:rowOff>0</xdr:rowOff>
        </xdr:from>
        <xdr:to>
          <xdr:col>6</xdr:col>
          <xdr:colOff>361950</xdr:colOff>
          <xdr:row>4</xdr:row>
          <xdr:rowOff>57150</xdr:rowOff>
        </xdr:to>
        <xdr:sp macro="" textlink="">
          <xdr:nvSpPr>
            <xdr:cNvPr id="16393" name="Option Button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xdr:row>
          <xdr:rowOff>152400</xdr:rowOff>
        </xdr:from>
        <xdr:to>
          <xdr:col>7</xdr:col>
          <xdr:colOff>485775</xdr:colOff>
          <xdr:row>4</xdr:row>
          <xdr:rowOff>47625</xdr:rowOff>
        </xdr:to>
        <xdr:sp macro="" textlink="">
          <xdr:nvSpPr>
            <xdr:cNvPr id="16394" name="Option Button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Avg.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21166</xdr:colOff>
      <xdr:row>10</xdr:row>
      <xdr:rowOff>10584</xdr:rowOff>
    </xdr:from>
    <xdr:to>
      <xdr:col>9</xdr:col>
      <xdr:colOff>0</xdr:colOff>
      <xdr:row>25</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486834</xdr:colOff>
      <xdr:row>14</xdr:row>
      <xdr:rowOff>52917</xdr:rowOff>
    </xdr:from>
    <xdr:to>
      <xdr:col>8</xdr:col>
      <xdr:colOff>266700</xdr:colOff>
      <xdr:row>14</xdr:row>
      <xdr:rowOff>66515</xdr:rowOff>
    </xdr:to>
    <xdr:cxnSp macro="">
      <xdr:nvCxnSpPr>
        <xdr:cNvPr id="9" name="Straight Connector 8"/>
        <xdr:cNvCxnSpPr/>
      </xdr:nvCxnSpPr>
      <xdr:spPr>
        <a:xfrm>
          <a:off x="867834" y="1205442"/>
          <a:ext cx="4047066" cy="13598"/>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480484</xdr:colOff>
      <xdr:row>16</xdr:row>
      <xdr:rowOff>28575</xdr:rowOff>
    </xdr:from>
    <xdr:to>
      <xdr:col>8</xdr:col>
      <xdr:colOff>295275</xdr:colOff>
      <xdr:row>16</xdr:row>
      <xdr:rowOff>46567</xdr:rowOff>
    </xdr:to>
    <xdr:cxnSp macro="">
      <xdr:nvCxnSpPr>
        <xdr:cNvPr id="10" name="Straight Connector 9"/>
        <xdr:cNvCxnSpPr/>
      </xdr:nvCxnSpPr>
      <xdr:spPr>
        <a:xfrm flipV="1">
          <a:off x="861484" y="1562100"/>
          <a:ext cx="4081991" cy="17992"/>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xdr:row>
      <xdr:rowOff>20110</xdr:rowOff>
    </xdr:from>
    <xdr:to>
      <xdr:col>21</xdr:col>
      <xdr:colOff>1</xdr:colOff>
      <xdr:row>25</xdr:row>
      <xdr:rowOff>9525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10581</xdr:colOff>
      <xdr:row>28</xdr:row>
      <xdr:rowOff>0</xdr:rowOff>
    </xdr:from>
    <xdr:to>
      <xdr:col>8</xdr:col>
      <xdr:colOff>600074</xdr:colOff>
      <xdr:row>43</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465667</xdr:colOff>
      <xdr:row>36</xdr:row>
      <xdr:rowOff>88689</xdr:rowOff>
    </xdr:from>
    <xdr:to>
      <xdr:col>2</xdr:col>
      <xdr:colOff>3591984</xdr:colOff>
      <xdr:row>36</xdr:row>
      <xdr:rowOff>88689</xdr:rowOff>
    </xdr:to>
    <xdr:cxnSp macro="">
      <xdr:nvCxnSpPr>
        <xdr:cNvPr id="13" name="Straight Connector 12"/>
        <xdr:cNvCxnSpPr/>
      </xdr:nvCxnSpPr>
      <xdr:spPr>
        <a:xfrm>
          <a:off x="465667" y="10718589"/>
          <a:ext cx="4993217" cy="0"/>
        </a:xfrm>
        <a:prstGeom prst="line">
          <a:avLst/>
        </a:prstGeom>
        <a:ln>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352426</xdr:colOff>
      <xdr:row>35</xdr:row>
      <xdr:rowOff>8467</xdr:rowOff>
    </xdr:from>
    <xdr:to>
      <xdr:col>8</xdr:col>
      <xdr:colOff>371475</xdr:colOff>
      <xdr:row>35</xdr:row>
      <xdr:rowOff>8467</xdr:rowOff>
    </xdr:to>
    <xdr:cxnSp macro="">
      <xdr:nvCxnSpPr>
        <xdr:cNvPr id="14" name="Straight Connector 13"/>
        <xdr:cNvCxnSpPr/>
      </xdr:nvCxnSpPr>
      <xdr:spPr>
        <a:xfrm>
          <a:off x="733426" y="5171017"/>
          <a:ext cx="4286249"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325967</xdr:colOff>
      <xdr:row>33</xdr:row>
      <xdr:rowOff>31750</xdr:rowOff>
    </xdr:from>
    <xdr:to>
      <xdr:col>8</xdr:col>
      <xdr:colOff>228600</xdr:colOff>
      <xdr:row>33</xdr:row>
      <xdr:rowOff>31750</xdr:rowOff>
    </xdr:to>
    <xdr:cxnSp macro="">
      <xdr:nvCxnSpPr>
        <xdr:cNvPr id="15" name="Straight Connector 14"/>
        <xdr:cNvCxnSpPr/>
      </xdr:nvCxnSpPr>
      <xdr:spPr>
        <a:xfrm>
          <a:off x="706967" y="4813300"/>
          <a:ext cx="4169833"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10587</xdr:colOff>
      <xdr:row>28</xdr:row>
      <xdr:rowOff>10582</xdr:rowOff>
    </xdr:from>
    <xdr:to>
      <xdr:col>21</xdr:col>
      <xdr:colOff>9526</xdr:colOff>
      <xdr:row>43</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371476</xdr:colOff>
      <xdr:row>47</xdr:row>
      <xdr:rowOff>19050</xdr:rowOff>
    </xdr:from>
    <xdr:to>
      <xdr:col>9</xdr:col>
      <xdr:colOff>1</xdr:colOff>
      <xdr:row>59</xdr:row>
      <xdr:rowOff>114301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485774</xdr:colOff>
      <xdr:row>47</xdr:row>
      <xdr:rowOff>9525</xdr:rowOff>
    </xdr:from>
    <xdr:to>
      <xdr:col>20</xdr:col>
      <xdr:colOff>609599</xdr:colOff>
      <xdr:row>59</xdr:row>
      <xdr:rowOff>114300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0.10517</cdr:x>
      <cdr:y>1</cdr:y>
    </cdr:from>
    <cdr:to>
      <cdr:x>1</cdr:x>
      <cdr:y>1</cdr:y>
    </cdr:to>
    <cdr:cxnSp macro="">
      <cdr:nvCxnSpPr>
        <cdr:cNvPr id="2" name="Straight Connector 1"/>
        <cdr:cNvCxnSpPr/>
      </cdr:nvCxnSpPr>
      <cdr:spPr>
        <a:xfrm xmlns:a="http://schemas.openxmlformats.org/drawingml/2006/main">
          <a:off x="6675966" y="6718089"/>
          <a:ext cx="5132918" cy="0"/>
        </a:xfrm>
        <a:prstGeom xmlns:a="http://schemas.openxmlformats.org/drawingml/2006/main" prst="line">
          <a:avLst/>
        </a:prstGeom>
        <a:ln xmlns:a="http://schemas.openxmlformats.org/drawingml/2006/mai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1</xdr:col>
      <xdr:colOff>10583</xdr:colOff>
      <xdr:row>10</xdr:row>
      <xdr:rowOff>10582</xdr:rowOff>
    </xdr:from>
    <xdr:to>
      <xdr:col>9</xdr:col>
      <xdr:colOff>0</xdr:colOff>
      <xdr:row>25</xdr:row>
      <xdr:rowOff>19050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16</xdr:row>
      <xdr:rowOff>40217</xdr:rowOff>
    </xdr:from>
    <xdr:to>
      <xdr:col>8</xdr:col>
      <xdr:colOff>247650</xdr:colOff>
      <xdr:row>16</xdr:row>
      <xdr:rowOff>40217</xdr:rowOff>
    </xdr:to>
    <xdr:cxnSp macro="">
      <xdr:nvCxnSpPr>
        <xdr:cNvPr id="12" name="Straight Connector 11"/>
        <xdr:cNvCxnSpPr/>
      </xdr:nvCxnSpPr>
      <xdr:spPr>
        <a:xfrm>
          <a:off x="431800" y="3212042"/>
          <a:ext cx="467360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12</xdr:row>
      <xdr:rowOff>0</xdr:rowOff>
    </xdr:from>
    <xdr:to>
      <xdr:col>8</xdr:col>
      <xdr:colOff>161925</xdr:colOff>
      <xdr:row>12</xdr:row>
      <xdr:rowOff>0</xdr:rowOff>
    </xdr:to>
    <xdr:cxnSp macro="">
      <xdr:nvCxnSpPr>
        <xdr:cNvPr id="13" name="Straight Connector 12"/>
        <xdr:cNvCxnSpPr/>
      </xdr:nvCxnSpPr>
      <xdr:spPr>
        <a:xfrm>
          <a:off x="466725" y="2409825"/>
          <a:ext cx="455295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10583</xdr:colOff>
      <xdr:row>32</xdr:row>
      <xdr:rowOff>10583</xdr:rowOff>
    </xdr:from>
    <xdr:to>
      <xdr:col>8</xdr:col>
      <xdr:colOff>590550</xdr:colOff>
      <xdr:row>46</xdr:row>
      <xdr:rowOff>152401</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343958</xdr:colOff>
      <xdr:row>35</xdr:row>
      <xdr:rowOff>43392</xdr:rowOff>
    </xdr:from>
    <xdr:to>
      <xdr:col>8</xdr:col>
      <xdr:colOff>228600</xdr:colOff>
      <xdr:row>35</xdr:row>
      <xdr:rowOff>43392</xdr:rowOff>
    </xdr:to>
    <xdr:cxnSp macro="">
      <xdr:nvCxnSpPr>
        <xdr:cNvPr id="19" name="Straight Connector 18"/>
        <xdr:cNvCxnSpPr/>
      </xdr:nvCxnSpPr>
      <xdr:spPr>
        <a:xfrm>
          <a:off x="724958" y="6082242"/>
          <a:ext cx="4361392"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39</xdr:row>
      <xdr:rowOff>28575</xdr:rowOff>
    </xdr:from>
    <xdr:to>
      <xdr:col>8</xdr:col>
      <xdr:colOff>247650</xdr:colOff>
      <xdr:row>39</xdr:row>
      <xdr:rowOff>28575</xdr:rowOff>
    </xdr:to>
    <xdr:cxnSp macro="">
      <xdr:nvCxnSpPr>
        <xdr:cNvPr id="20" name="Straight Connector 19"/>
        <xdr:cNvCxnSpPr/>
      </xdr:nvCxnSpPr>
      <xdr:spPr>
        <a:xfrm>
          <a:off x="676275" y="6829425"/>
          <a:ext cx="4429125"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485774</xdr:colOff>
      <xdr:row>32</xdr:row>
      <xdr:rowOff>9525</xdr:rowOff>
    </xdr:from>
    <xdr:to>
      <xdr:col>17</xdr:col>
      <xdr:colOff>590549</xdr:colOff>
      <xdr:row>46</xdr:row>
      <xdr:rowOff>114300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9524</xdr:colOff>
      <xdr:row>10</xdr:row>
      <xdr:rowOff>19049</xdr:rowOff>
    </xdr:from>
    <xdr:to>
      <xdr:col>17</xdr:col>
      <xdr:colOff>600074</xdr:colOff>
      <xdr:row>25</xdr:row>
      <xdr:rowOff>28574</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17</xdr:row>
      <xdr:rowOff>152400</xdr:rowOff>
    </xdr:from>
    <xdr:to>
      <xdr:col>4</xdr:col>
      <xdr:colOff>352425</xdr:colOff>
      <xdr:row>21</xdr:row>
      <xdr:rowOff>57150</xdr:rowOff>
    </xdr:to>
    <xdr:pic>
      <xdr:nvPicPr>
        <xdr:cNvPr id="2" name="Picture 1" descr="capital allocation -10"/>
        <xdr:cNvPicPr>
          <a:picLocks noChangeAspect="1" noChangeArrowheads="1"/>
        </xdr:cNvPicPr>
      </xdr:nvPicPr>
      <xdr:blipFill>
        <a:blip xmlns:r="http://schemas.openxmlformats.org/officeDocument/2006/relationships" r:embed="rId1">
          <a:duotone>
            <a:prstClr val="black"/>
            <a:schemeClr val="accent6">
              <a:tint val="45000"/>
              <a:satMod val="400000"/>
            </a:schemeClr>
          </a:duotone>
          <a:extLst>
            <a:ext uri="{28A0092B-C50C-407E-A947-70E740481C1C}">
              <a14:useLocalDpi xmlns:a14="http://schemas.microsoft.com/office/drawing/2010/main" val="0"/>
            </a:ext>
          </a:extLst>
        </a:blip>
        <a:srcRect/>
        <a:stretch>
          <a:fillRect/>
        </a:stretch>
      </xdr:blipFill>
      <xdr:spPr bwMode="auto">
        <a:xfrm>
          <a:off x="276225" y="3657600"/>
          <a:ext cx="25527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28573</xdr:colOff>
      <xdr:row>7</xdr:row>
      <xdr:rowOff>0</xdr:rowOff>
    </xdr:from>
    <xdr:to>
      <xdr:col>19</xdr:col>
      <xdr:colOff>561974</xdr:colOff>
      <xdr:row>19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8</xdr:row>
      <xdr:rowOff>9525</xdr:rowOff>
    </xdr:from>
    <xdr:to>
      <xdr:col>8</xdr:col>
      <xdr:colOff>0</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38</xdr:row>
      <xdr:rowOff>19050</xdr:rowOff>
    </xdr:from>
    <xdr:to>
      <xdr:col>17</xdr:col>
      <xdr:colOff>1</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24</xdr:row>
      <xdr:rowOff>19050</xdr:rowOff>
    </xdr:from>
    <xdr:to>
      <xdr:col>8</xdr:col>
      <xdr:colOff>0</xdr:colOff>
      <xdr:row>34</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9524</xdr:colOff>
      <xdr:row>8</xdr:row>
      <xdr:rowOff>19050</xdr:rowOff>
    </xdr:from>
    <xdr:to>
      <xdr:col>16</xdr:col>
      <xdr:colOff>609599</xdr:colOff>
      <xdr:row>20</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9524</xdr:colOff>
      <xdr:row>24</xdr:row>
      <xdr:rowOff>1</xdr:rowOff>
    </xdr:from>
    <xdr:to>
      <xdr:col>16</xdr:col>
      <xdr:colOff>609599</xdr:colOff>
      <xdr:row>33</xdr:row>
      <xdr:rowOff>190501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152399</xdr:colOff>
      <xdr:row>38</xdr:row>
      <xdr:rowOff>19050</xdr:rowOff>
    </xdr:from>
    <xdr:to>
      <xdr:col>7</xdr:col>
      <xdr:colOff>895349</xdr:colOff>
      <xdr:row>50</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1060</xdr:colOff>
      <xdr:row>21</xdr:row>
      <xdr:rowOff>10583</xdr:rowOff>
    </xdr:from>
    <xdr:to>
      <xdr:col>14</xdr:col>
      <xdr:colOff>0</xdr:colOff>
      <xdr:row>34</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9526</xdr:colOff>
      <xdr:row>51</xdr:row>
      <xdr:rowOff>9525</xdr:rowOff>
    </xdr:from>
    <xdr:to>
      <xdr:col>6</xdr:col>
      <xdr:colOff>9526</xdr:colOff>
      <xdr:row>62</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xdr:row>
      <xdr:rowOff>9525</xdr:rowOff>
    </xdr:from>
    <xdr:to>
      <xdr:col>6</xdr:col>
      <xdr:colOff>609599</xdr:colOff>
      <xdr:row>17</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21</xdr:row>
      <xdr:rowOff>0</xdr:rowOff>
    </xdr:from>
    <xdr:to>
      <xdr:col>6</xdr:col>
      <xdr:colOff>0</xdr:colOff>
      <xdr:row>34</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609599</xdr:colOff>
      <xdr:row>6</xdr:row>
      <xdr:rowOff>0</xdr:rowOff>
    </xdr:from>
    <xdr:to>
      <xdr:col>13</xdr:col>
      <xdr:colOff>590549</xdr:colOff>
      <xdr:row>17</xdr:row>
      <xdr:rowOff>19050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600075</xdr:colOff>
      <xdr:row>36</xdr:row>
      <xdr:rowOff>9525</xdr:rowOff>
    </xdr:from>
    <xdr:to>
      <xdr:col>14</xdr:col>
      <xdr:colOff>95250</xdr:colOff>
      <xdr:row>48</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47625</xdr:colOff>
      <xdr:row>16</xdr:row>
      <xdr:rowOff>38100</xdr:rowOff>
    </xdr:from>
    <xdr:to>
      <xdr:col>9</xdr:col>
      <xdr:colOff>76200</xdr:colOff>
      <xdr:row>18</xdr:row>
      <xdr:rowOff>142875</xdr:rowOff>
    </xdr:to>
    <xdr:sp macro="" textlink="">
      <xdr:nvSpPr>
        <xdr:cNvPr id="2" name="Rounded Rectangular Callout 1"/>
        <xdr:cNvSpPr/>
      </xdr:nvSpPr>
      <xdr:spPr>
        <a:xfrm>
          <a:off x="2828925" y="2762250"/>
          <a:ext cx="4333875" cy="4667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rgbClr val="FF0000"/>
              </a:solidFill>
            </a:rPr>
            <a:t>A discrete score between 0-9 which reflects nine criteria used to determine the strength of a firm's financial position.</a:t>
          </a:r>
          <a:endParaRPr lang="en-GB" sz="10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200025</xdr:colOff>
      <xdr:row>24</xdr:row>
      <xdr:rowOff>123825</xdr:rowOff>
    </xdr:from>
    <xdr:to>
      <xdr:col>8</xdr:col>
      <xdr:colOff>504825</xdr:colOff>
      <xdr:row>39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600075</xdr:colOff>
      <xdr:row>27</xdr:row>
      <xdr:rowOff>28575</xdr:rowOff>
    </xdr:from>
    <xdr:to>
      <xdr:col>8</xdr:col>
      <xdr:colOff>85725</xdr:colOff>
      <xdr:row>39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screener.in/exce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bseindia.com/corporates/Sharehold_Searchnew.aspx?expandable=3"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13"/>
  <sheetViews>
    <sheetView showGridLines="0" zoomScale="90" zoomScaleNormal="90" workbookViewId="0">
      <selection activeCell="A11" sqref="A11"/>
    </sheetView>
  </sheetViews>
  <sheetFormatPr defaultColWidth="9.140625" defaultRowHeight="15"/>
  <cols>
    <col min="1" max="1" width="28" style="2" customWidth="1"/>
    <col min="2" max="2" width="58.42578125" style="5" customWidth="1"/>
    <col min="3" max="9" width="9.140625" style="2"/>
    <col min="10" max="10" width="10.5703125" style="2" customWidth="1"/>
    <col min="11" max="11" width="9.140625" style="2"/>
    <col min="12" max="12" width="10.140625" style="2" customWidth="1"/>
    <col min="13" max="16384" width="9.140625" style="2"/>
  </cols>
  <sheetData>
    <row r="1" spans="1:14" ht="15.75">
      <c r="A1" s="345" t="s">
        <v>71</v>
      </c>
      <c r="B1" s="345"/>
      <c r="C1" s="345" t="s">
        <v>74</v>
      </c>
      <c r="D1" s="345"/>
      <c r="E1" s="345"/>
      <c r="F1" s="345"/>
      <c r="G1" s="345"/>
      <c r="H1" s="345"/>
      <c r="I1" s="345"/>
      <c r="J1" s="345"/>
      <c r="K1" s="345"/>
      <c r="L1" s="345"/>
      <c r="M1" s="345"/>
    </row>
    <row r="3" spans="1:14">
      <c r="A3" s="3" t="s">
        <v>0</v>
      </c>
      <c r="B3" s="17" t="str">
        <f>'Annual Report input'!D2</f>
        <v>IRB INFRASTRUCTURE DEVELOPERS LTD</v>
      </c>
    </row>
    <row r="4" spans="1:14">
      <c r="A4" s="3" t="s">
        <v>1</v>
      </c>
      <c r="B4" s="17">
        <f>'Annual Report input'!D3</f>
        <v>0</v>
      </c>
    </row>
    <row r="5" spans="1:14" ht="15.75" thickBot="1">
      <c r="A5" s="3" t="s">
        <v>70</v>
      </c>
      <c r="B5" s="170">
        <f>'Annual Report input'!D5</f>
        <v>222.95</v>
      </c>
      <c r="K5" s="348"/>
      <c r="L5" s="348"/>
    </row>
    <row r="6" spans="1:14" ht="16.5" thickTop="1" thickBot="1">
      <c r="A6" s="3" t="s">
        <v>3</v>
      </c>
      <c r="B6" s="69">
        <f>'Screener Output.v0'!L40</f>
        <v>351.45</v>
      </c>
      <c r="I6" s="346" t="s">
        <v>364</v>
      </c>
      <c r="J6" s="346"/>
      <c r="K6" s="215">
        <f>(Valuation_Table!B8-Valuation_Table!B25)/Valuation_Table!B25</f>
        <v>-0.29807804156518014</v>
      </c>
      <c r="L6" s="215"/>
      <c r="N6" s="339" t="s">
        <v>276</v>
      </c>
    </row>
    <row r="7" spans="1:14" ht="15.75" thickTop="1">
      <c r="A7" s="3" t="s">
        <v>4</v>
      </c>
      <c r="B7" s="1">
        <f>'Screener Output.v0'!B38</f>
        <v>7835.58</v>
      </c>
      <c r="I7" s="240" t="s">
        <v>408</v>
      </c>
      <c r="K7" s="239">
        <f>IF(Valuation_Table!A28=2, (Valuation_Table!B9*(Valuation_Table!B9/Valuation_Table!B10)*Valuation_Table!B21)/Valuation_Table!B8-1, (Valuation_Table!B11*(Valuation_Table!E12/Valuation_Table!F12)*Valuation_Table!B22)/Valuation_Table!B8-1)</f>
        <v>0.83131858592816843</v>
      </c>
      <c r="N7" s="342">
        <f>Valuation_Table!B17</f>
        <v>1.3296988455165075</v>
      </c>
    </row>
    <row r="8" spans="1:14" ht="15.75" thickBot="1">
      <c r="A8" s="3" t="s">
        <v>5</v>
      </c>
      <c r="B8" s="18">
        <f>SUM('Shareholding input'!C6:C7)</f>
        <v>0.57369999999999999</v>
      </c>
      <c r="I8" s="347" t="s">
        <v>407</v>
      </c>
      <c r="J8" s="347"/>
      <c r="K8" s="216">
        <f>POWER(Valuation_Table!E24/Valuation_Table!B8, 1/5)-1</f>
        <v>0.16259770400080553</v>
      </c>
      <c r="L8" s="216"/>
      <c r="N8" s="343"/>
    </row>
    <row r="9" spans="1:14" ht="15.75" thickTop="1"/>
    <row r="11" spans="1:14" ht="185.25" customHeight="1">
      <c r="A11" s="3" t="s">
        <v>6</v>
      </c>
      <c r="B11" s="19">
        <f>'Annual Report input'!D4</f>
        <v>0</v>
      </c>
    </row>
    <row r="12" spans="1:14">
      <c r="A12" s="344"/>
      <c r="B12" s="344"/>
    </row>
    <row r="13" spans="1:14">
      <c r="A13" s="77"/>
      <c r="B13" s="77"/>
    </row>
  </sheetData>
  <mergeCells count="7">
    <mergeCell ref="N7:N8"/>
    <mergeCell ref="A12:B12"/>
    <mergeCell ref="A1:B1"/>
    <mergeCell ref="I6:J6"/>
    <mergeCell ref="I8:J8"/>
    <mergeCell ref="C1:M1"/>
    <mergeCell ref="K5:L5"/>
  </mergeCells>
  <conditionalFormatting sqref="K6:L6">
    <cfRule type="dataBar" priority="3">
      <dataBar>
        <cfvo type="min"/>
        <cfvo type="num" val="1"/>
        <color rgb="FFFF0000"/>
      </dataBar>
      <extLst>
        <ext xmlns:x14="http://schemas.microsoft.com/office/spreadsheetml/2009/9/main" uri="{B025F937-C7B1-47D3-B67F-A62EFF666E3E}">
          <x14:id>{7F8777E6-534C-4D31-907C-2BBD50CE4320}</x14:id>
        </ext>
      </extLst>
    </cfRule>
  </conditionalFormatting>
  <conditionalFormatting sqref="K8:L8">
    <cfRule type="dataBar" priority="2">
      <dataBar>
        <cfvo type="min"/>
        <cfvo type="num" val="1"/>
        <color rgb="FF00B050"/>
      </dataBar>
      <extLst>
        <ext xmlns:x14="http://schemas.microsoft.com/office/spreadsheetml/2009/9/main" uri="{B025F937-C7B1-47D3-B67F-A62EFF666E3E}">
          <x14:id>{F742FF4B-F066-472D-BEF6-96B2E6E9AEEA}</x14:id>
        </ext>
      </extLst>
    </cfRule>
  </conditionalFormatting>
  <conditionalFormatting sqref="K7">
    <cfRule type="dataBar" priority="1">
      <dataBar>
        <cfvo type="min"/>
        <cfvo type="num" val="1"/>
        <color rgb="FFFF0000"/>
      </dataBar>
      <extLst>
        <ext xmlns:x14="http://schemas.microsoft.com/office/spreadsheetml/2009/9/main" uri="{B025F937-C7B1-47D3-B67F-A62EFF666E3E}">
          <x14:id>{49351161-47A0-46A1-A074-ECA749E7B241}</x14:id>
        </ext>
      </extLst>
    </cfRule>
  </conditionalFormatting>
  <pageMargins left="0.70866141732283472" right="0.70866141732283472" top="0.74803149606299213" bottom="0.74803149606299213" header="0.31496062992125984" footer="0.31496062992125984"/>
  <pageSetup paperSize="9" scale="56" orientation="landscape" r:id="rId1"/>
  <headerFooter>
    <oddHeader xml:space="preserve">&amp;C
</oddHeader>
  </headerFooter>
  <ignoredErrors>
    <ignoredError sqref="B5:B6 B3:B4 B11 K6:L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7F8777E6-534C-4D31-907C-2BBD50CE4320}">
            <x14:dataBar minLength="0" maxLength="100" gradient="0">
              <x14:cfvo type="autoMin"/>
              <x14:cfvo type="num">
                <xm:f>1</xm:f>
              </x14:cfvo>
              <x14:negativeFillColor rgb="FFFF0000"/>
              <x14:axisColor rgb="FF000000"/>
            </x14:dataBar>
          </x14:cfRule>
          <xm:sqref>K6:L6</xm:sqref>
        </x14:conditionalFormatting>
        <x14:conditionalFormatting xmlns:xm="http://schemas.microsoft.com/office/excel/2006/main">
          <x14:cfRule type="dataBar" id="{F742FF4B-F066-472D-BEF6-96B2E6E9AEEA}">
            <x14:dataBar minLength="0" maxLength="100" gradient="0">
              <x14:cfvo type="autoMin"/>
              <x14:cfvo type="num">
                <xm:f>1</xm:f>
              </x14:cfvo>
              <x14:negativeFillColor rgb="FFFF0000"/>
              <x14:axisColor rgb="FF000000"/>
            </x14:dataBar>
          </x14:cfRule>
          <xm:sqref>K8:L8</xm:sqref>
        </x14:conditionalFormatting>
        <x14:conditionalFormatting xmlns:xm="http://schemas.microsoft.com/office/excel/2006/main">
          <x14:cfRule type="dataBar" id="{49351161-47A0-46A1-A074-ECA749E7B241}">
            <x14:dataBar minLength="0" maxLength="100" gradient="0">
              <x14:cfvo type="autoMin"/>
              <x14:cfvo type="num">
                <xm:f>1</xm:f>
              </x14:cfvo>
              <x14:negativeFillColor rgb="FFFF0000"/>
              <x14:axisColor rgb="FF000000"/>
            </x14:dataBar>
          </x14:cfRule>
          <xm:sqref>K7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38"/>
  <sheetViews>
    <sheetView showGridLines="0" workbookViewId="0">
      <selection activeCell="O64" sqref="O64"/>
    </sheetView>
  </sheetViews>
  <sheetFormatPr defaultColWidth="9.140625" defaultRowHeight="14.25"/>
  <cols>
    <col min="1" max="1" width="6" style="29" customWidth="1"/>
    <col min="2" max="2" width="56.42578125" style="29" customWidth="1"/>
    <col min="3" max="7" width="11.5703125" style="29" bestFit="1" customWidth="1"/>
    <col min="8" max="16384" width="9.140625" style="29"/>
  </cols>
  <sheetData>
    <row r="1" spans="2:12">
      <c r="B1" s="382"/>
      <c r="C1" s="383"/>
      <c r="D1" s="383"/>
      <c r="E1" s="383"/>
      <c r="F1" s="383"/>
      <c r="G1" s="383"/>
    </row>
    <row r="2" spans="2:12" ht="15">
      <c r="B2" s="384" t="s">
        <v>95</v>
      </c>
      <c r="C2" s="384"/>
      <c r="D2" s="384"/>
      <c r="E2" s="384"/>
      <c r="F2" s="384"/>
      <c r="G2" s="384"/>
    </row>
    <row r="3" spans="2:12">
      <c r="B3" s="30" t="s">
        <v>91</v>
      </c>
      <c r="C3" s="31" t="s">
        <v>97</v>
      </c>
      <c r="D3" s="31" t="s">
        <v>98</v>
      </c>
      <c r="E3" s="31" t="s">
        <v>99</v>
      </c>
      <c r="F3" s="31" t="s">
        <v>100</v>
      </c>
      <c r="G3" s="31" t="s">
        <v>101</v>
      </c>
    </row>
    <row r="4" spans="2:12">
      <c r="B4" s="22" t="s">
        <v>57</v>
      </c>
      <c r="C4" s="166">
        <f>SUM('Screener Output.v0'!L35:L35)/SUM('Screener Output.v0'!L60:L60)</f>
        <v>1.5324782483710641E-2</v>
      </c>
      <c r="D4" s="166">
        <f>SUM('Screener Output.v0'!K35:K35)/SUM('Screener Output.v0'!K60:K60)</f>
        <v>1.5164107305152719E-2</v>
      </c>
      <c r="E4" s="166">
        <f>SUM('Screener Output.v0'!J35:J35)/SUM('Screener Output.v0'!J60:J60)</f>
        <v>1.3764600635734365E-2</v>
      </c>
      <c r="F4" s="166">
        <f>SUM('Screener Output.v0'!I35:I35)/SUM('Screener Output.v0'!I60:I60)</f>
        <v>2.9248369964325671E-2</v>
      </c>
      <c r="G4" s="166">
        <f>SUM('Screener Output.v0'!H35:H35)/SUM('Screener Output.v0'!H60:H60)</f>
        <v>4.2344903129474795E-2</v>
      </c>
    </row>
    <row r="5" spans="2:12">
      <c r="B5" s="22" t="s">
        <v>328</v>
      </c>
      <c r="C5" s="23">
        <f>'Screener Output.v0'!L45/'Screener Output.v0'!L60</f>
        <v>0.29909887485739184</v>
      </c>
      <c r="D5" s="23">
        <f>'Screener Output.v0'!K45/'Screener Output.v0'!K60</f>
        <v>0.37051467577244995</v>
      </c>
      <c r="E5" s="23">
        <f>'Screener Output.v0'!J45/'Screener Output.v0'!J60</f>
        <v>0.3191663124234676</v>
      </c>
      <c r="F5" s="23">
        <f>'Screener Output.v0'!I45/'Screener Output.v0'!I60</f>
        <v>0.70534694973648349</v>
      </c>
      <c r="G5" s="23">
        <f>'Screener Output.v0'!H45/'Screener Output.v0'!H60</f>
        <v>0.67130493715348738</v>
      </c>
    </row>
    <row r="6" spans="2:12">
      <c r="B6" s="22" t="s">
        <v>58</v>
      </c>
      <c r="C6" s="23">
        <f>SUM('Screener Output.v0'!L9:L9)/SUM('Screener Output.v0'!L10:L10)</f>
        <v>0.55898994395823265</v>
      </c>
      <c r="D6" s="23">
        <f>SUM('Screener Output.v0'!K9:K9)/SUM('Screener Output.v0'!K10:K10)</f>
        <v>0.13674776317522722</v>
      </c>
      <c r="E6" s="23">
        <f>SUM('Screener Output.v0'!J9:J9)/SUM('Screener Output.v0'!J10:J10)</f>
        <v>0.12442602665337263</v>
      </c>
      <c r="F6" s="23">
        <f>SUM('Screener Output.v0'!I9:I9)/SUM('Screener Output.v0'!I10:I10)</f>
        <v>2.4857236350037399</v>
      </c>
      <c r="G6" s="23">
        <f>SUM('Screener Output.v0'!H9:H9)/SUM('Screener Output.v0'!H10:H10)</f>
        <v>2.4833502966988648</v>
      </c>
    </row>
    <row r="7" spans="2:12">
      <c r="B7" s="22" t="s">
        <v>59</v>
      </c>
      <c r="C7" s="25">
        <f>'Screener Output.v0'!L29/'Screener Output.v0'!L26</f>
        <v>0.54405450620430584</v>
      </c>
      <c r="D7" s="25">
        <f>'Screener Output.v0'!K29/'Screener Output.v0'!K26</f>
        <v>0.5447888532454489</v>
      </c>
      <c r="E7" s="25">
        <f>'Screener Output.v0'!J29/'Screener Output.v0'!J26</f>
        <v>0.60561513998877592</v>
      </c>
      <c r="F7" s="25">
        <f>'Screener Output.v0'!I29/'Screener Output.v0'!I26</f>
        <v>0.50359469330553686</v>
      </c>
      <c r="G7" s="25">
        <f>'Screener Output.v0'!H29/'Screener Output.v0'!H26</f>
        <v>0.48056540935767667</v>
      </c>
    </row>
    <row r="8" spans="2:12">
      <c r="B8" s="22" t="s">
        <v>235</v>
      </c>
      <c r="C8" s="22">
        <f>'Screener Output.v0'!L35</f>
        <v>715.41999999999985</v>
      </c>
      <c r="D8" s="22">
        <f>'Screener Output.v0'!K35</f>
        <v>639.5299999999994</v>
      </c>
      <c r="E8" s="22">
        <f>'Screener Output.v0'!J35</f>
        <v>542.37000000000012</v>
      </c>
      <c r="F8" s="22">
        <f>'Screener Output.v0'!I35</f>
        <v>459.62</v>
      </c>
      <c r="G8" s="22">
        <f>'Screener Output.v0'!H35</f>
        <v>553.57999999999959</v>
      </c>
    </row>
    <row r="9" spans="2:12">
      <c r="B9" s="22" t="s">
        <v>61</v>
      </c>
      <c r="C9" s="22">
        <f>'Screener Output.v0'!L62</f>
        <v>3209.29</v>
      </c>
      <c r="D9" s="22">
        <f>'Screener Output.v0'!K62</f>
        <v>2339.87</v>
      </c>
      <c r="E9" s="22">
        <f>'Screener Output.v0'!J62</f>
        <v>1823.48</v>
      </c>
      <c r="F9" s="22">
        <f>'Screener Output.v0'!I62</f>
        <v>1655.46</v>
      </c>
      <c r="G9" s="22">
        <f>'Screener Output.v0'!H62</f>
        <v>1445.32</v>
      </c>
    </row>
    <row r="10" spans="2:12">
      <c r="B10" s="22" t="s">
        <v>30</v>
      </c>
      <c r="C10" s="27">
        <f>'Screener Output.v0'!L40</f>
        <v>351.45</v>
      </c>
      <c r="D10" s="27">
        <f>'Screener Output.v0'!K40</f>
        <v>351.45</v>
      </c>
      <c r="E10" s="27">
        <f>'Screener Output.v0'!J40</f>
        <v>351.45</v>
      </c>
      <c r="F10" s="27">
        <f>'Screener Output.v0'!I40</f>
        <v>332.36</v>
      </c>
      <c r="G10" s="27">
        <f>'Screener Output.v0'!H40</f>
        <v>332.36</v>
      </c>
      <c r="L10" s="169"/>
    </row>
    <row r="11" spans="2:12">
      <c r="B11" s="22" t="s">
        <v>62</v>
      </c>
      <c r="C11" s="165">
        <f>'Screener Output.v0'!L25/'Screener Output.v0'!L49</f>
        <v>0.12786239184163434</v>
      </c>
      <c r="D11" s="165">
        <f>'Screener Output.v0'!K25/'Screener Output.v0'!K49</f>
        <v>0.12460565093174858</v>
      </c>
      <c r="E11" s="165">
        <f>'Screener Output.v0'!J25/'Screener Output.v0'!J49</f>
        <v>0.10054728988091084</v>
      </c>
      <c r="F11" s="165">
        <f>'Screener Output.v0'!I25/'Screener Output.v0'!I49</f>
        <v>0.24520980146846391</v>
      </c>
      <c r="G11" s="165">
        <f>'Screener Output.v0'!H25/'Screener Output.v0'!H49</f>
        <v>0.2923579069112805</v>
      </c>
    </row>
    <row r="12" spans="2:12">
      <c r="B12" s="22"/>
      <c r="C12" s="33"/>
      <c r="D12" s="28"/>
      <c r="E12" s="28"/>
      <c r="F12" s="28"/>
      <c r="G12" s="28"/>
      <c r="H12" s="32" t="s">
        <v>77</v>
      </c>
      <c r="I12" s="32">
        <v>0</v>
      </c>
      <c r="J12" s="32" t="s">
        <v>72</v>
      </c>
      <c r="K12" s="34">
        <f>(C23/9)*100</f>
        <v>77.777777777777786</v>
      </c>
    </row>
    <row r="13" spans="2:12">
      <c r="B13" s="22"/>
      <c r="C13" s="22"/>
      <c r="D13" s="28"/>
      <c r="E13" s="28"/>
      <c r="F13" s="28"/>
      <c r="G13" s="28"/>
      <c r="H13" s="32" t="s">
        <v>78</v>
      </c>
      <c r="I13" s="32">
        <v>30</v>
      </c>
      <c r="J13" s="32" t="s">
        <v>82</v>
      </c>
      <c r="K13" s="32">
        <v>1</v>
      </c>
    </row>
    <row r="14" spans="2:12">
      <c r="B14" s="24" t="s">
        <v>325</v>
      </c>
      <c r="C14" s="35">
        <f>--(C8&gt;0)</f>
        <v>1</v>
      </c>
      <c r="D14" s="36"/>
      <c r="E14" s="36"/>
      <c r="F14" s="36"/>
      <c r="G14" s="36"/>
      <c r="H14" s="32" t="s">
        <v>79</v>
      </c>
      <c r="I14" s="32">
        <v>40</v>
      </c>
      <c r="J14" s="32" t="s">
        <v>80</v>
      </c>
      <c r="K14" s="32">
        <f>SUM(I12:I16) - SUM(K12:K13)</f>
        <v>121.22222222222221</v>
      </c>
    </row>
    <row r="15" spans="2:12">
      <c r="B15" s="24" t="s">
        <v>130</v>
      </c>
      <c r="C15" s="35">
        <f>--(C9&gt;0)</f>
        <v>1</v>
      </c>
      <c r="D15" s="36"/>
      <c r="E15" s="36"/>
      <c r="F15" s="36"/>
      <c r="G15" s="36"/>
      <c r="H15" s="32" t="s">
        <v>80</v>
      </c>
      <c r="I15" s="32">
        <v>30</v>
      </c>
      <c r="J15" s="32"/>
      <c r="K15" s="32"/>
    </row>
    <row r="16" spans="2:12">
      <c r="B16" s="24" t="s">
        <v>131</v>
      </c>
      <c r="C16" s="37">
        <f>--(C4&gt;D4)</f>
        <v>1</v>
      </c>
      <c r="D16" s="38"/>
      <c r="E16" s="38"/>
      <c r="F16" s="38"/>
      <c r="G16" s="28"/>
      <c r="H16" s="32" t="s">
        <v>81</v>
      </c>
      <c r="I16" s="32">
        <v>100</v>
      </c>
      <c r="J16" s="32"/>
      <c r="K16" s="32"/>
    </row>
    <row r="17" spans="2:8">
      <c r="B17" s="24" t="s">
        <v>326</v>
      </c>
      <c r="C17" s="37">
        <f>--(C9&gt;C8)</f>
        <v>1</v>
      </c>
      <c r="D17" s="38"/>
      <c r="E17" s="38"/>
      <c r="F17" s="38"/>
      <c r="G17" s="28"/>
    </row>
    <row r="18" spans="2:8">
      <c r="B18" s="24" t="s">
        <v>329</v>
      </c>
      <c r="C18" s="37">
        <f>--(C5&lt;D5)</f>
        <v>1</v>
      </c>
      <c r="D18" s="38"/>
      <c r="E18" s="38"/>
      <c r="F18" s="38"/>
      <c r="G18" s="28"/>
    </row>
    <row r="19" spans="2:8">
      <c r="B19" s="24" t="s">
        <v>330</v>
      </c>
      <c r="C19" s="37">
        <f>--(C6&gt;D6)</f>
        <v>1</v>
      </c>
      <c r="D19" s="38"/>
      <c r="E19" s="38"/>
      <c r="F19" s="38"/>
      <c r="G19" s="28"/>
    </row>
    <row r="20" spans="2:8">
      <c r="B20" s="22" t="s">
        <v>132</v>
      </c>
      <c r="C20" s="37">
        <f>--(C10&lt;D10)</f>
        <v>0</v>
      </c>
      <c r="D20" s="38"/>
      <c r="E20" s="38"/>
      <c r="F20" s="38"/>
      <c r="G20" s="28"/>
    </row>
    <row r="21" spans="2:8">
      <c r="B21" s="22" t="s">
        <v>133</v>
      </c>
      <c r="C21" s="37">
        <f>--(C7&gt;D7)</f>
        <v>0</v>
      </c>
      <c r="D21" s="38"/>
      <c r="E21" s="38"/>
      <c r="F21" s="38"/>
      <c r="G21" s="28"/>
    </row>
    <row r="22" spans="2:8">
      <c r="B22" s="22" t="s">
        <v>134</v>
      </c>
      <c r="C22" s="37">
        <f>--(C11&gt;D11)</f>
        <v>1</v>
      </c>
      <c r="D22" s="38"/>
      <c r="E22" s="38"/>
      <c r="F22" s="38"/>
      <c r="G22" s="28"/>
    </row>
    <row r="23" spans="2:8" ht="15">
      <c r="B23" s="39" t="s">
        <v>56</v>
      </c>
      <c r="C23" s="40">
        <f>SUM(C14:C22)</f>
        <v>7</v>
      </c>
      <c r="D23" s="41"/>
      <c r="E23" s="41"/>
      <c r="F23" s="41"/>
      <c r="G23" s="28"/>
    </row>
    <row r="26" spans="2:8" ht="15">
      <c r="B26" s="2"/>
      <c r="C26" s="2"/>
      <c r="D26" s="2"/>
      <c r="E26" s="2"/>
      <c r="F26" s="2"/>
      <c r="G26" s="2"/>
      <c r="H26" s="2"/>
    </row>
    <row r="27" spans="2:8" ht="15">
      <c r="B27" s="2"/>
      <c r="C27" s="2"/>
      <c r="D27" s="2"/>
      <c r="E27" s="2"/>
      <c r="F27" s="2"/>
      <c r="G27" s="2"/>
      <c r="H27" s="2"/>
    </row>
    <row r="28" spans="2:8" ht="15">
      <c r="B28" s="2"/>
      <c r="C28" s="2"/>
      <c r="D28" s="2"/>
      <c r="E28" s="2"/>
      <c r="F28" s="2"/>
      <c r="G28" s="2"/>
      <c r="H28" s="2"/>
    </row>
    <row r="29" spans="2:8" ht="15">
      <c r="B29" s="2"/>
      <c r="C29" s="2"/>
      <c r="D29" s="2"/>
      <c r="E29" s="2"/>
      <c r="F29" s="2"/>
      <c r="G29" s="2"/>
      <c r="H29" s="2"/>
    </row>
    <row r="30" spans="2:8" ht="15">
      <c r="B30" s="2"/>
      <c r="C30" s="2"/>
      <c r="D30" s="2"/>
      <c r="E30" s="2"/>
      <c r="F30" s="2"/>
      <c r="G30" s="2"/>
      <c r="H30" s="2"/>
    </row>
    <row r="31" spans="2:8" ht="15">
      <c r="B31" s="2"/>
      <c r="C31" s="2"/>
      <c r="D31" s="2"/>
      <c r="E31" s="2"/>
      <c r="F31" s="2"/>
      <c r="G31" s="2"/>
      <c r="H31" s="2"/>
    </row>
    <row r="32" spans="2:8" ht="15">
      <c r="B32" s="2"/>
      <c r="C32" s="2"/>
      <c r="D32" s="2"/>
      <c r="E32" s="2"/>
      <c r="F32" s="2"/>
      <c r="G32" s="2"/>
      <c r="H32" s="2"/>
    </row>
    <row r="33" spans="2:8" ht="15">
      <c r="B33" s="2"/>
      <c r="C33" s="2"/>
      <c r="D33" s="2"/>
      <c r="E33" s="2"/>
      <c r="F33" s="2"/>
      <c r="G33" s="2"/>
      <c r="H33" s="2"/>
    </row>
    <row r="34" spans="2:8" ht="15">
      <c r="B34" s="2"/>
      <c r="C34" s="2"/>
      <c r="D34" s="2"/>
      <c r="E34" s="2"/>
      <c r="F34" s="2"/>
      <c r="G34" s="2"/>
      <c r="H34" s="2"/>
    </row>
    <row r="35" spans="2:8" ht="15">
      <c r="B35" s="385" t="s">
        <v>92</v>
      </c>
      <c r="C35" s="385"/>
      <c r="D35" s="385"/>
      <c r="E35" s="2"/>
      <c r="F35" s="2"/>
      <c r="G35" s="2"/>
      <c r="H35" s="2"/>
    </row>
    <row r="36" spans="2:8" ht="15">
      <c r="B36" s="386" t="s">
        <v>93</v>
      </c>
      <c r="C36" s="386"/>
      <c r="D36" s="386"/>
      <c r="E36" s="2"/>
      <c r="F36" s="2"/>
      <c r="G36" s="2"/>
      <c r="H36" s="2"/>
    </row>
    <row r="37" spans="2:8" ht="15">
      <c r="B37" s="387" t="s">
        <v>94</v>
      </c>
      <c r="C37" s="387"/>
      <c r="D37" s="387"/>
      <c r="E37" s="2"/>
      <c r="F37" s="2"/>
      <c r="G37" s="2"/>
      <c r="H37" s="2"/>
    </row>
    <row r="38" spans="2:8" ht="15">
      <c r="B38" s="2"/>
      <c r="C38" s="2"/>
      <c r="D38" s="2"/>
      <c r="E38" s="2"/>
      <c r="F38" s="2"/>
      <c r="G38" s="2"/>
      <c r="H38" s="2"/>
    </row>
  </sheetData>
  <mergeCells count="5">
    <mergeCell ref="B1:G1"/>
    <mergeCell ref="B2:G2"/>
    <mergeCell ref="B35:D35"/>
    <mergeCell ref="B36:D36"/>
    <mergeCell ref="B37:D37"/>
  </mergeCells>
  <pageMargins left="0.70866141732283472" right="0.70866141732283472" top="0.74803149606299213" bottom="0.74803149606299213" header="0.31496062992125984" footer="0.31496062992125984"/>
  <pageSetup paperSize="9" orientation="landscape" r:id="rId1"/>
  <ignoredErrors>
    <ignoredError sqref="K12:K14"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36"/>
  <sheetViews>
    <sheetView showGridLines="0" workbookViewId="0">
      <selection activeCell="O64" sqref="O64"/>
    </sheetView>
  </sheetViews>
  <sheetFormatPr defaultColWidth="9.140625" defaultRowHeight="14.25"/>
  <cols>
    <col min="1" max="1" width="9.140625" style="29"/>
    <col min="2" max="2" width="36.140625" style="29" bestFit="1" customWidth="1"/>
    <col min="3" max="4" width="9.140625" style="29"/>
    <col min="5" max="5" width="40.42578125" style="29" bestFit="1" customWidth="1"/>
    <col min="6" max="6" width="9.140625" style="29"/>
    <col min="7" max="7" width="9.140625" style="29" customWidth="1"/>
    <col min="8" max="16384" width="9.140625" style="29"/>
  </cols>
  <sheetData>
    <row r="1" spans="2:11">
      <c r="B1" s="382"/>
      <c r="C1" s="383"/>
      <c r="D1" s="383"/>
      <c r="E1" s="383"/>
      <c r="F1" s="383"/>
    </row>
    <row r="2" spans="2:11" ht="15">
      <c r="B2" s="384" t="s">
        <v>96</v>
      </c>
      <c r="C2" s="384"/>
      <c r="D2" s="384"/>
      <c r="E2" s="384"/>
      <c r="F2" s="384"/>
    </row>
    <row r="3" spans="2:11" ht="15">
      <c r="B3" s="388" t="s">
        <v>73</v>
      </c>
      <c r="C3" s="389"/>
      <c r="D3" s="389"/>
      <c r="E3" s="389"/>
      <c r="F3" s="390"/>
    </row>
    <row r="4" spans="2:11" ht="15">
      <c r="B4" s="22" t="s">
        <v>34</v>
      </c>
      <c r="C4" s="42" t="s">
        <v>97</v>
      </c>
      <c r="D4" s="22"/>
      <c r="E4" s="22" t="s">
        <v>67</v>
      </c>
      <c r="F4" s="23">
        <f>C5/C6</f>
        <v>-0.25930503604457728</v>
      </c>
      <c r="G4" s="32" t="s">
        <v>83</v>
      </c>
      <c r="I4" s="29" t="s">
        <v>82</v>
      </c>
    </row>
    <row r="5" spans="2:11">
      <c r="B5" s="22" t="s">
        <v>63</v>
      </c>
      <c r="C5" s="22">
        <f>'Screener Output.v0'!L52</f>
        <v>-12105.359999999999</v>
      </c>
      <c r="D5" s="22"/>
      <c r="E5" s="22" t="s">
        <v>327</v>
      </c>
      <c r="F5" s="23">
        <f>C8/C6</f>
        <v>0.1053929559380908</v>
      </c>
      <c r="G5" s="32" t="s">
        <v>77</v>
      </c>
      <c r="H5" s="29">
        <v>0</v>
      </c>
      <c r="I5" s="29" t="s">
        <v>72</v>
      </c>
      <c r="J5" s="234">
        <f>(C14/6)*100</f>
        <v>4.7835601212067722</v>
      </c>
    </row>
    <row r="6" spans="2:11">
      <c r="B6" s="22" t="s">
        <v>17</v>
      </c>
      <c r="C6" s="22">
        <f>'Screener Output.v0'!L60</f>
        <v>46683.86</v>
      </c>
      <c r="D6" s="22"/>
      <c r="E6" s="22" t="s">
        <v>68</v>
      </c>
      <c r="F6" s="23">
        <f>C9/C6</f>
        <v>6.8128685160138855E-2</v>
      </c>
      <c r="G6" s="32" t="s">
        <v>78</v>
      </c>
      <c r="H6" s="29">
        <v>30</v>
      </c>
      <c r="I6" s="29" t="s">
        <v>82</v>
      </c>
      <c r="J6" s="29">
        <v>1</v>
      </c>
    </row>
    <row r="7" spans="2:11">
      <c r="B7" s="22" t="s">
        <v>12</v>
      </c>
      <c r="C7" s="22">
        <f>'Screener Output.v0'!L60</f>
        <v>46683.86</v>
      </c>
      <c r="D7" s="22"/>
      <c r="E7" s="22" t="s">
        <v>331</v>
      </c>
      <c r="F7" s="23">
        <f>'Screener Output.v0'!B38/'Screener Output.v0'!L60</f>
        <v>0.16784344739273915</v>
      </c>
      <c r="G7" s="32" t="s">
        <v>79</v>
      </c>
      <c r="H7" s="29">
        <v>20</v>
      </c>
      <c r="I7" s="29" t="s">
        <v>80</v>
      </c>
      <c r="J7" s="29">
        <f>SUM(H5:H9) - SUM(J5:J6)</f>
        <v>194.21643987879324</v>
      </c>
    </row>
    <row r="8" spans="2:11">
      <c r="B8" s="22" t="s">
        <v>260</v>
      </c>
      <c r="C8" s="22">
        <f>'Screener Output.v0'!L41</f>
        <v>4920.1499999999996</v>
      </c>
      <c r="D8" s="22"/>
      <c r="E8" s="22" t="s">
        <v>69</v>
      </c>
      <c r="F8" s="23">
        <f>C11/C6</f>
        <v>0.12522400675522546</v>
      </c>
      <c r="G8" s="32" t="s">
        <v>80</v>
      </c>
      <c r="H8" s="29">
        <v>50</v>
      </c>
    </row>
    <row r="9" spans="2:11">
      <c r="B9" s="22" t="s">
        <v>64</v>
      </c>
      <c r="C9" s="22">
        <f>'Screener Output.v0'!L29</f>
        <v>3180.5099999999998</v>
      </c>
      <c r="D9" s="22"/>
      <c r="E9" s="22"/>
      <c r="F9" s="22"/>
      <c r="G9" s="32" t="s">
        <v>81</v>
      </c>
      <c r="H9" s="29">
        <v>100</v>
      </c>
    </row>
    <row r="10" spans="2:11">
      <c r="B10" s="22" t="s">
        <v>65</v>
      </c>
      <c r="C10" s="23">
        <f>'Screener Output.v0'!B38</f>
        <v>7835.58</v>
      </c>
      <c r="D10" s="22"/>
      <c r="E10" s="22"/>
      <c r="F10" s="22"/>
      <c r="G10" s="32">
        <f>IF(SUM(C1:D1)&gt;=20,20,SUM(C1:D1))</f>
        <v>0</v>
      </c>
    </row>
    <row r="11" spans="2:11">
      <c r="B11" s="22" t="s">
        <v>18</v>
      </c>
      <c r="C11" s="22">
        <f>'Screener Output.v0'!L26</f>
        <v>5845.94</v>
      </c>
      <c r="D11" s="22"/>
      <c r="E11" s="22"/>
      <c r="F11" s="22"/>
      <c r="G11" s="43"/>
    </row>
    <row r="12" spans="2:11">
      <c r="B12" s="22"/>
      <c r="C12" s="22"/>
      <c r="D12" s="22"/>
      <c r="E12" s="22"/>
      <c r="F12" s="22"/>
      <c r="G12" s="43"/>
    </row>
    <row r="13" spans="2:11">
      <c r="B13" s="22"/>
      <c r="C13" s="22"/>
      <c r="D13" s="22"/>
      <c r="E13" s="22"/>
      <c r="F13" s="22"/>
      <c r="G13" s="43"/>
    </row>
    <row r="14" spans="2:11">
      <c r="B14" s="26" t="s">
        <v>66</v>
      </c>
      <c r="C14" s="44">
        <f>IF((1.2*F4+1.4*F5+3.3*F6+0.6*F7+0.999*F8)&gt;=6,6,(1.2*F4+1.4*F5+3.3*F6+0.6*F7+0.999*F8))</f>
        <v>0.28701360727240632</v>
      </c>
      <c r="D14" s="22"/>
      <c r="E14" s="22"/>
      <c r="F14" s="22"/>
      <c r="G14" s="43"/>
      <c r="H14" s="43"/>
      <c r="I14" s="43"/>
      <c r="J14" s="43"/>
      <c r="K14" s="43"/>
    </row>
    <row r="16" spans="2:11" ht="15">
      <c r="B16" s="45" t="s">
        <v>88</v>
      </c>
    </row>
    <row r="17" spans="2:3">
      <c r="B17" s="29" t="s">
        <v>86</v>
      </c>
      <c r="C17" s="29" t="s">
        <v>85</v>
      </c>
    </row>
    <row r="18" spans="2:3">
      <c r="B18" s="29" t="s">
        <v>89</v>
      </c>
      <c r="C18" s="29" t="s">
        <v>87</v>
      </c>
    </row>
    <row r="19" spans="2:3">
      <c r="B19" s="29" t="s">
        <v>90</v>
      </c>
      <c r="C19" s="29" t="s">
        <v>84</v>
      </c>
    </row>
    <row r="23" spans="2:3" ht="15">
      <c r="B23" s="2"/>
      <c r="C23" s="5"/>
    </row>
    <row r="24" spans="2:3" ht="15">
      <c r="B24" s="2"/>
      <c r="C24" s="5"/>
    </row>
    <row r="25" spans="2:3" ht="15">
      <c r="B25" s="2"/>
      <c r="C25" s="5"/>
    </row>
    <row r="26" spans="2:3" ht="15">
      <c r="B26" s="2"/>
      <c r="C26" s="5"/>
    </row>
    <row r="27" spans="2:3" ht="15">
      <c r="B27" s="2"/>
      <c r="C27" s="5"/>
    </row>
    <row r="28" spans="2:3" ht="15">
      <c r="B28" s="2"/>
      <c r="C28" s="5"/>
    </row>
    <row r="29" spans="2:3" ht="15">
      <c r="B29" s="2"/>
      <c r="C29" s="5"/>
    </row>
    <row r="30" spans="2:3" ht="15">
      <c r="B30" s="2"/>
      <c r="C30" s="5"/>
    </row>
    <row r="31" spans="2:3" ht="15">
      <c r="B31" s="2"/>
      <c r="C31" s="5"/>
    </row>
    <row r="32" spans="2:3" ht="15">
      <c r="B32" s="4" t="s">
        <v>90</v>
      </c>
      <c r="C32" s="5"/>
    </row>
    <row r="33" spans="2:3" ht="15">
      <c r="B33" s="6" t="s">
        <v>86</v>
      </c>
      <c r="C33" s="5"/>
    </row>
    <row r="34" spans="2:3" ht="15">
      <c r="B34" s="7" t="s">
        <v>89</v>
      </c>
      <c r="C34" s="5"/>
    </row>
    <row r="35" spans="2:3" ht="15">
      <c r="B35" s="2"/>
      <c r="C35" s="5"/>
    </row>
    <row r="36" spans="2:3" ht="15">
      <c r="B36" s="2"/>
      <c r="C36" s="5"/>
    </row>
  </sheetData>
  <mergeCells count="3">
    <mergeCell ref="B3:F3"/>
    <mergeCell ref="B1:F1"/>
    <mergeCell ref="B2:F2"/>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10" sqref="G10"/>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A17"/>
  <sheetViews>
    <sheetView showGridLines="0" zoomScaleNormal="100" workbookViewId="0">
      <selection activeCell="H13" sqref="H13"/>
    </sheetView>
  </sheetViews>
  <sheetFormatPr defaultColWidth="14.42578125" defaultRowHeight="15" customHeight="1"/>
  <cols>
    <col min="1" max="1" width="3" style="115" customWidth="1"/>
    <col min="2" max="2" width="10.5703125" style="115" customWidth="1"/>
    <col min="3" max="3" width="10.5703125" style="102" customWidth="1"/>
    <col min="4" max="4" width="17.28515625" style="102" customWidth="1"/>
    <col min="5" max="6" width="10.5703125" style="102" customWidth="1"/>
    <col min="7" max="7" width="12.140625" style="102" customWidth="1"/>
    <col min="8" max="15" width="10.5703125" style="102" customWidth="1"/>
    <col min="16" max="16" width="12" style="102" customWidth="1"/>
    <col min="17" max="17" width="15.28515625" style="102" customWidth="1"/>
    <col min="18" max="19" width="14.42578125" style="102"/>
    <col min="20" max="20" width="15.85546875" style="102" customWidth="1"/>
    <col min="21" max="16384" width="14.42578125" style="102"/>
  </cols>
  <sheetData>
    <row r="1" spans="2:27" ht="15" customHeight="1">
      <c r="D1" s="111"/>
      <c r="E1" s="112"/>
      <c r="F1" s="113"/>
      <c r="G1" s="113"/>
      <c r="H1" s="114"/>
      <c r="I1" s="114"/>
      <c r="J1" s="113"/>
    </row>
    <row r="2" spans="2:27" ht="36">
      <c r="B2" s="101" t="s">
        <v>342</v>
      </c>
      <c r="C2" s="101" t="s">
        <v>343</v>
      </c>
      <c r="D2" s="100" t="s">
        <v>223</v>
      </c>
      <c r="E2" s="101" t="s">
        <v>224</v>
      </c>
      <c r="F2" s="101" t="s">
        <v>225</v>
      </c>
      <c r="G2" s="101" t="s">
        <v>226</v>
      </c>
      <c r="H2" s="101" t="s">
        <v>341</v>
      </c>
      <c r="I2" s="101" t="s">
        <v>227</v>
      </c>
      <c r="J2" s="101" t="s">
        <v>228</v>
      </c>
      <c r="K2" s="101" t="s">
        <v>229</v>
      </c>
      <c r="L2" s="101" t="s">
        <v>363</v>
      </c>
      <c r="M2" s="101" t="s">
        <v>42</v>
      </c>
      <c r="N2" s="101" t="s">
        <v>230</v>
      </c>
      <c r="O2" s="101" t="s">
        <v>57</v>
      </c>
    </row>
    <row r="3" spans="2:27" ht="15" customHeight="1">
      <c r="B3" s="103">
        <f>AVERAGE('Screener Output.v0'!H76:L76)</f>
        <v>11.059485753614513</v>
      </c>
      <c r="C3" s="103">
        <f>AVERAGE('Screener Output.v0'!H78:L78)</f>
        <v>1.494590146277798</v>
      </c>
      <c r="D3" s="101" t="s">
        <v>221</v>
      </c>
      <c r="E3" s="109">
        <f>SUM('Screener Output.v0'!H29:L29)/SUM('Screener Output.v0'!H26:L26)</f>
        <v>0.53756288806262065</v>
      </c>
      <c r="F3" s="106">
        <f>SUM('Screener Output.v0'!H35:M35)/SUM('Screener Output.v0'!H26:M26)</f>
        <v>0.13710583580117558</v>
      </c>
      <c r="G3" s="109">
        <f>SUM('Screener Output.v0'!H6:L6)/SUM('Screener Output.v0'!H26:L26)</f>
        <v>6.4679276500658675E-2</v>
      </c>
      <c r="H3" s="109">
        <f>SUM('Screener Output.v0'!H7:L7)/SUM('Screener Output.v0'!H26:L26)</f>
        <v>4.3863159172552709E-3</v>
      </c>
      <c r="I3" s="104">
        <f>SUM('Screener Output.v0'!H55:L55)/SUM('Screener Output.v0'!H60:L60)</f>
        <v>4.672116022218354E-2</v>
      </c>
      <c r="J3" s="104">
        <f>SUM('Screener Output.v0'!H9:L9)/SUM('Screener Output.v0'!H10:L10)</f>
        <v>0.3573901709579631</v>
      </c>
      <c r="K3" s="103">
        <f>SUM('Screener Input'!G66:K66)/SUM('Screener Input'!G57:K58)</f>
        <v>7.3783495927893048</v>
      </c>
      <c r="L3" s="103">
        <f>SUM('Screener Output.v0'!H45:L45)/SUM('Screener Output.v0'!H35:L35)</f>
        <v>21.310789824498723</v>
      </c>
      <c r="M3" s="190">
        <f>SUM('Screener Output.v0'!H35:L35)/SUM('Screener Output.v0'!H40:L41)</f>
        <v>0.13674010631875419</v>
      </c>
      <c r="N3" s="104">
        <f>SUM('Screener Output.v0'!H35:L35)/SUM('Screener Output.v0'!H42:L45)</f>
        <v>3.4935799832266086E-2</v>
      </c>
      <c r="O3" s="104">
        <f>SUM('Screener Output.v0'!H35:L35)/SUM('Screener Output.v0'!H60:L60)</f>
        <v>1.8532614184124215E-2</v>
      </c>
    </row>
    <row r="4" spans="2:27" ht="15" customHeight="1">
      <c r="B4" s="103">
        <f>'Screener Output.v0'!L76</f>
        <v>12.032325254727661</v>
      </c>
      <c r="C4" s="103">
        <f>'Screener Output.v0'!L78</f>
        <v>1.6330464659685868</v>
      </c>
      <c r="D4" s="101" t="s">
        <v>222</v>
      </c>
      <c r="E4" s="107">
        <f>'Screener Output.v0'!L29/'Screener Output.v0'!L26</f>
        <v>0.54405450620430584</v>
      </c>
      <c r="F4" s="106">
        <f>'Screener Output.v0'!M35/'Screener Output.v0'!M26</f>
        <v>0.16151251029572664</v>
      </c>
      <c r="G4" s="109">
        <f>SUM('Screener Output.v0'!L6:L6)/SUM('Screener Output.v0'!L26:L26)</f>
        <v>6.0334180645028858E-2</v>
      </c>
      <c r="H4" s="109">
        <f>SUM('Screener Output.v0'!L7:L7)/SUM('Screener Output.v0'!L26:L26)</f>
        <v>1.2054519889016993E-2</v>
      </c>
      <c r="I4" s="116">
        <f>'Screener Output.v0'!L55/'Screener Output.v0'!L60</f>
        <v>2.8010965674218027E-2</v>
      </c>
      <c r="J4" s="104">
        <f>SUM('Screener Output.v0'!L9:L9)/SUM('Screener Output.v0'!L10:L10)</f>
        <v>0.55898994395823265</v>
      </c>
      <c r="K4" s="103">
        <f>SUM('Screener Input'!K66:K66)/SUM('Screener Input'!K57:K58)</f>
        <v>8.855728810987177</v>
      </c>
      <c r="L4" s="103">
        <f>SUM('Screener Output.v0'!L45:L45)/SUM('Screener Output.v0'!M35:M35)</f>
        <v>15.182717713962615</v>
      </c>
      <c r="M4" s="190">
        <f>Dupont!H10</f>
        <v>0.17445747021777072</v>
      </c>
      <c r="N4" s="104">
        <f>SUM('Screener Output.v0'!L35:L35)/SUM('Screener Output.v0'!L42:L45)</f>
        <v>3.7194256834916492E-2</v>
      </c>
      <c r="O4" s="104">
        <f>SUM('Screener Output.v0'!L35:L35)/SUM('Screener Output.v0'!L60:L60)</f>
        <v>1.5324782483710641E-2</v>
      </c>
    </row>
    <row r="5" spans="2:27" ht="12.95" customHeight="1">
      <c r="B5" s="103">
        <f>MAX('Screener Output.v0'!H76:L76)</f>
        <v>15.837939437475827</v>
      </c>
      <c r="C5" s="103">
        <f>MAX('Screener Output.v0'!H78:L78)</f>
        <v>1.9717614644817769</v>
      </c>
      <c r="D5" s="101" t="s">
        <v>339</v>
      </c>
      <c r="E5" s="107"/>
      <c r="F5" s="106"/>
      <c r="G5" s="109"/>
      <c r="H5" s="109"/>
      <c r="I5" s="116"/>
      <c r="J5" s="104"/>
      <c r="K5" s="103"/>
      <c r="L5" s="103"/>
      <c r="M5" s="104"/>
      <c r="N5" s="104"/>
      <c r="O5" s="104"/>
    </row>
    <row r="6" spans="2:27" ht="15" customHeight="1">
      <c r="D6" s="102" t="s">
        <v>340</v>
      </c>
      <c r="O6" s="117"/>
      <c r="S6" s="117"/>
      <c r="Z6" s="119"/>
    </row>
    <row r="7" spans="2:27" ht="26.25" customHeight="1">
      <c r="D7" s="100" t="s">
        <v>212</v>
      </c>
      <c r="E7" s="101" t="s">
        <v>102</v>
      </c>
      <c r="F7" s="101" t="s">
        <v>213</v>
      </c>
      <c r="G7" s="101" t="s">
        <v>214</v>
      </c>
      <c r="H7" s="101" t="s">
        <v>215</v>
      </c>
      <c r="I7" s="101" t="s">
        <v>216</v>
      </c>
      <c r="J7" s="101" t="s">
        <v>217</v>
      </c>
      <c r="K7" s="101" t="s">
        <v>218</v>
      </c>
      <c r="L7" s="101" t="s">
        <v>219</v>
      </c>
      <c r="M7" s="101" t="s">
        <v>345</v>
      </c>
      <c r="N7" s="101" t="s">
        <v>220</v>
      </c>
      <c r="S7" s="117"/>
      <c r="Z7" s="120"/>
      <c r="AA7" s="119"/>
    </row>
    <row r="8" spans="2:27" s="115" customFormat="1" ht="26.25" customHeight="1">
      <c r="D8" s="101" t="s">
        <v>221</v>
      </c>
      <c r="E8" s="103">
        <f>AVERAGE('Screener Output.v0'!H62:L62)</f>
        <v>2094.6840000000002</v>
      </c>
      <c r="F8" s="104">
        <f>SUM('Screener Output.v0'!H65:L65)/SUM('Screener Output.v0'!H62:L62)</f>
        <v>0.24530287145937046</v>
      </c>
      <c r="G8" s="105">
        <f>SUM('Screener Output.v0'!H23:L23)/SUM('Screener Output.v0'!H62:L62)</f>
        <v>2.5329338458688753</v>
      </c>
      <c r="H8" s="104">
        <f>SUM('Screener Output.v0'!H62:L62)/SUM('Screener Output.v0'!H35:L35)</f>
        <v>3.5984703764275818</v>
      </c>
      <c r="I8" s="106">
        <f>SUM('Screener Output.v0'!H62:L62)/SUM('Screener Output.v0'!H26:L26)</f>
        <v>0.47088692962381817</v>
      </c>
      <c r="J8" s="107">
        <f>SUM('Screener Output.v0'!H62:L62)/SUM('Screener Output.v0'!H60:L60)</f>
        <v>6.6689063139332594E-2</v>
      </c>
      <c r="K8" s="108">
        <f>SUM('Screener Output.v0'!H62:L62)/SUM('Screener Output.v0'!H48:L48)</f>
        <v>0.14203556618899804</v>
      </c>
      <c r="L8" s="108">
        <f>SUM('Screener Output.v0'!H62:L62)/SUM('Screener Output.v0'!H45:L45)</f>
        <v>0.16885673436142695</v>
      </c>
      <c r="M8" s="109">
        <f>SUM('Screener Output.v0'!H63:L63)/SUM('Screener Output.v0'!H62:L62)</f>
        <v>-1.5329338458688757</v>
      </c>
      <c r="N8" s="104">
        <f>SUM('Screener Output.v0'!H23:L23)/SUM('Screener Output.v0'!H63:L63)</f>
        <v>-1.6523438716516783</v>
      </c>
      <c r="S8" s="117"/>
      <c r="Z8" s="120"/>
      <c r="AA8" s="119"/>
    </row>
    <row r="9" spans="2:27" s="115" customFormat="1" ht="26.25" customHeight="1">
      <c r="D9" s="101" t="s">
        <v>222</v>
      </c>
      <c r="E9" s="103">
        <f>'Screener Output.v0'!L62</f>
        <v>3209.29</v>
      </c>
      <c r="F9" s="110">
        <f>SUM('Screener Output.v0'!L65:L65)/SUM('Screener Output.v0'!L62:L62)</f>
        <v>-6.2826980422461043E-2</v>
      </c>
      <c r="G9" s="104">
        <f>SUM('Screener Output.v0'!L23:L23)/SUM('Screener Output.v0'!L62:L62)</f>
        <v>-2.2184719984794152</v>
      </c>
      <c r="H9" s="104">
        <f>SUM('Screener Output.v0'!L62:L62)/SUM('Screener Output.v0'!L35:L35)</f>
        <v>4.4858824187190747</v>
      </c>
      <c r="I9" s="109">
        <f>SUM('Screener Output.v0'!L62:L62)/SUM('Screener Output.v0'!L26:L26)</f>
        <v>0.54897758102204264</v>
      </c>
      <c r="J9" s="109">
        <f>SUM('Screener Output.v0'!L62:L62)/SUM('Screener Output.v0'!L60:L60)</f>
        <v>6.8745172314371605E-2</v>
      </c>
      <c r="K9" s="109">
        <f>SUM('Screener Output.v0'!L62:L62)/SUM('Screener Output.v0'!L48:L48)</f>
        <v>0.11691756071312903</v>
      </c>
      <c r="L9" s="109">
        <f>SUM('Screener Output.v0'!L62:L62)/SUM('Screener Output.v0'!L45:L45)</f>
        <v>0.22984095927190901</v>
      </c>
      <c r="M9" s="109">
        <f>SUM('Screener Output.v0'!L63:L63)/SUM('Screener Output.v0'!L62:L62)</f>
        <v>3.2184719984794152</v>
      </c>
      <c r="N9" s="104">
        <f>SUM('Screener Output.v0'!L23:L23)/SUM('Screener Output.v0'!L63:L63)</f>
        <v>-0.68929355281871163</v>
      </c>
      <c r="S9" s="117"/>
      <c r="Z9" s="120"/>
      <c r="AA9" s="119"/>
    </row>
    <row r="10" spans="2:27" s="115" customFormat="1" ht="26.25" customHeight="1">
      <c r="S10" s="117"/>
      <c r="Z10" s="120"/>
      <c r="AA10" s="119"/>
    </row>
    <row r="11" spans="2:27" ht="12">
      <c r="D11" s="100" t="s">
        <v>231</v>
      </c>
      <c r="E11" s="101" t="s">
        <v>232</v>
      </c>
      <c r="F11" s="101" t="s">
        <v>233</v>
      </c>
      <c r="G11" s="101" t="s">
        <v>234</v>
      </c>
      <c r="H11" s="101" t="s">
        <v>235</v>
      </c>
      <c r="I11" s="101" t="s">
        <v>35</v>
      </c>
      <c r="J11" s="101" t="s">
        <v>37</v>
      </c>
      <c r="K11" s="101" t="s">
        <v>102</v>
      </c>
      <c r="L11" s="101" t="s">
        <v>32</v>
      </c>
      <c r="M11" s="101" t="s">
        <v>9</v>
      </c>
      <c r="N11" s="101"/>
      <c r="AA11" s="120"/>
    </row>
    <row r="12" spans="2:27" ht="12.95" customHeight="1">
      <c r="D12" s="101" t="s">
        <v>236</v>
      </c>
      <c r="E12" s="107">
        <f>POWER('Screener Output.v0'!M25/'Screener Output.v0'!C25,1/9)-1</f>
        <v>0.25249764280886988</v>
      </c>
      <c r="F12" s="104">
        <f>('Screener Output.v0'!L6/'Screener Output.v0'!C6)^(1/9)-1</f>
        <v>0.24185167650747053</v>
      </c>
      <c r="G12" s="104">
        <f>('Screener Output.v0'!L7/'Screener Output.v0'!C7)^(1/9)-1</f>
        <v>0.22011189487742322</v>
      </c>
      <c r="H12" s="107">
        <f>POWER('Screener Output.v0'!M35/'Screener Output.v0'!C35,1/9)-1</f>
        <v>0.24653348839137923</v>
      </c>
      <c r="I12" s="107">
        <f>('Screener Output.v0'!M74/'Screener Output.v0'!C74)^(1/9)-1</f>
        <v>0.25339211256134564</v>
      </c>
      <c r="J12" s="107">
        <f>('Screener Output.v0'!L73/'Screener Output.v0'!C73)^(1/9)-1</f>
        <v>0.13297793568095995</v>
      </c>
      <c r="K12" s="107">
        <f>('Screener Output.v0'!L62/'Screener Output.v0'!C62)^(1/9)-1</f>
        <v>0.35252890556857608</v>
      </c>
      <c r="L12" s="107">
        <f>('Screener Output.v0'!L63/'Screener Output.v0'!C62)^(1/9)-1</f>
        <v>0.5401112083815891</v>
      </c>
      <c r="M12" s="107">
        <f>('Screener Output.v0'!L42/'Screener Output.v0'!C42)^(1/9)-1</f>
        <v>0.14002882661224514</v>
      </c>
      <c r="N12" s="121"/>
      <c r="AA12" s="120"/>
    </row>
    <row r="13" spans="2:27" ht="12.95" customHeight="1">
      <c r="D13" s="101" t="s">
        <v>237</v>
      </c>
      <c r="E13" s="107">
        <f>POWER('Screener Output.v0'!M25/'Screener Output.v0'!G25,1/5)-1</f>
        <v>0.12948655236374007</v>
      </c>
      <c r="F13" s="104">
        <f>('Screener Output.v0'!L6/'Screener Output.v0'!G6)^(1/5)-1</f>
        <v>0.16776553460989962</v>
      </c>
      <c r="G13" s="104">
        <f>('Screener Output.v0'!L7/'Screener Output.v0'!G7)^(1/5)-1</f>
        <v>0.38020003731807206</v>
      </c>
      <c r="H13" s="107">
        <f>POWER('Screener Output.v0'!M35/'Screener Output.v0'!G35,1/5)-1</f>
        <v>0.13143163497405563</v>
      </c>
      <c r="I13" s="107">
        <f>('Screener Output.v0'!M74/'Screener Output.v0'!G74)^(1/5)-1</f>
        <v>0.11887142709812282</v>
      </c>
      <c r="J13" s="107">
        <f>('Screener Output.v0'!L73/'Screener Output.v0'!G73)^(1/5)-1</f>
        <v>0.11780952489064034</v>
      </c>
      <c r="K13" s="107">
        <f>('Screener Output.v0'!L62/'Screener Output.v0'!G62)^(1/5)-1</f>
        <v>0.23650109962418364</v>
      </c>
      <c r="L13" s="107">
        <f>('Screener Output.v0'!L63/'Screener Output.v0'!G63)^(1/5)-1</f>
        <v>-2.509805382900558</v>
      </c>
      <c r="M13" s="107">
        <f>('Screener Output.v0'!L42/'Screener Output.v0'!G42)^(1/5)-1</f>
        <v>0.13036236994044281</v>
      </c>
      <c r="N13" s="122"/>
      <c r="P13" s="120"/>
    </row>
    <row r="14" spans="2:27" ht="23.25" customHeight="1"/>
    <row r="15" spans="2:27" ht="12.95" customHeight="1"/>
    <row r="16" spans="2:27" ht="12.95" customHeight="1">
      <c r="D16" s="111"/>
      <c r="E16" s="117"/>
      <c r="F16" s="113"/>
      <c r="G16" s="113"/>
      <c r="H16" s="117"/>
      <c r="I16" s="114"/>
      <c r="J16" s="114"/>
      <c r="K16" s="113"/>
      <c r="L16" s="118"/>
      <c r="M16" s="118"/>
      <c r="N16" s="118"/>
    </row>
    <row r="17" spans="6:11" ht="15" customHeight="1">
      <c r="F17" s="118"/>
      <c r="G17" s="118"/>
      <c r="H17" s="118"/>
      <c r="I17" s="118"/>
      <c r="J17" s="118"/>
      <c r="K17" s="118"/>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ignoredErrors>
    <ignoredError sqref="K3" formulaRange="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showGridLines="0" workbookViewId="0">
      <selection activeCell="D15" sqref="D15"/>
    </sheetView>
  </sheetViews>
  <sheetFormatPr defaultRowHeight="15"/>
  <cols>
    <col min="1" max="1" width="25.5703125" customWidth="1"/>
    <col min="2" max="2" width="5.5703125" bestFit="1" customWidth="1"/>
    <col min="3" max="3" width="24.5703125" bestFit="1" customWidth="1"/>
    <col min="4" max="4" width="5" bestFit="1" customWidth="1"/>
    <col min="5" max="24" width="5.140625" bestFit="1" customWidth="1"/>
  </cols>
  <sheetData>
    <row r="1" spans="1:24">
      <c r="A1" s="396" t="s">
        <v>34</v>
      </c>
      <c r="B1" s="396"/>
      <c r="C1" s="55" t="s">
        <v>28</v>
      </c>
      <c r="D1" s="55">
        <v>0</v>
      </c>
      <c r="E1" s="55">
        <v>1</v>
      </c>
      <c r="F1" s="55">
        <v>2</v>
      </c>
      <c r="G1" s="55">
        <v>3</v>
      </c>
      <c r="H1" s="55">
        <v>4</v>
      </c>
      <c r="I1" s="55">
        <v>5</v>
      </c>
      <c r="J1" s="55">
        <v>6</v>
      </c>
      <c r="K1" s="55">
        <v>7</v>
      </c>
      <c r="L1" s="55">
        <v>8</v>
      </c>
      <c r="M1" s="55">
        <v>9</v>
      </c>
      <c r="N1" s="55">
        <v>10</v>
      </c>
      <c r="O1" s="55">
        <v>11</v>
      </c>
      <c r="P1" s="55">
        <v>12</v>
      </c>
      <c r="Q1" s="55">
        <v>13</v>
      </c>
      <c r="R1" s="55">
        <v>14</v>
      </c>
      <c r="S1" s="55">
        <v>15</v>
      </c>
      <c r="T1" s="55">
        <v>16</v>
      </c>
      <c r="U1" s="55">
        <v>17</v>
      </c>
      <c r="V1" s="55">
        <v>18</v>
      </c>
      <c r="W1" s="55">
        <v>19</v>
      </c>
      <c r="X1" s="55">
        <v>20</v>
      </c>
    </row>
    <row r="2" spans="1:24">
      <c r="A2" s="56" t="s">
        <v>116</v>
      </c>
      <c r="B2" s="65">
        <v>0.25</v>
      </c>
      <c r="C2" s="57" t="s">
        <v>110</v>
      </c>
      <c r="D2" s="57">
        <v>1</v>
      </c>
      <c r="E2" s="57">
        <f>D2+B2</f>
        <v>1.25</v>
      </c>
      <c r="F2" s="57">
        <f>E2</f>
        <v>1.25</v>
      </c>
      <c r="G2" s="57">
        <f t="shared" ref="G2:X2" si="0">F2</f>
        <v>1.25</v>
      </c>
      <c r="H2" s="57">
        <f t="shared" si="0"/>
        <v>1.25</v>
      </c>
      <c r="I2" s="57">
        <f t="shared" si="0"/>
        <v>1.25</v>
      </c>
      <c r="J2" s="57">
        <f t="shared" si="0"/>
        <v>1.25</v>
      </c>
      <c r="K2" s="57">
        <f t="shared" si="0"/>
        <v>1.25</v>
      </c>
      <c r="L2" s="57">
        <f t="shared" si="0"/>
        <v>1.25</v>
      </c>
      <c r="M2" s="57">
        <f t="shared" si="0"/>
        <v>1.25</v>
      </c>
      <c r="N2" s="57">
        <f t="shared" si="0"/>
        <v>1.25</v>
      </c>
      <c r="O2" s="57">
        <f t="shared" si="0"/>
        <v>1.25</v>
      </c>
      <c r="P2" s="57">
        <f t="shared" si="0"/>
        <v>1.25</v>
      </c>
      <c r="Q2" s="57">
        <f t="shared" si="0"/>
        <v>1.25</v>
      </c>
      <c r="R2" s="57">
        <f t="shared" si="0"/>
        <v>1.25</v>
      </c>
      <c r="S2" s="57">
        <f t="shared" si="0"/>
        <v>1.25</v>
      </c>
      <c r="T2" s="57">
        <f t="shared" si="0"/>
        <v>1.25</v>
      </c>
      <c r="U2" s="57">
        <f t="shared" si="0"/>
        <v>1.25</v>
      </c>
      <c r="V2" s="57">
        <f t="shared" si="0"/>
        <v>1.25</v>
      </c>
      <c r="W2" s="57">
        <f t="shared" si="0"/>
        <v>1.25</v>
      </c>
      <c r="X2" s="57">
        <f t="shared" si="0"/>
        <v>1.25</v>
      </c>
    </row>
    <row r="3" spans="1:24">
      <c r="A3" s="56" t="s">
        <v>117</v>
      </c>
      <c r="B3" s="67">
        <v>25</v>
      </c>
      <c r="C3" s="57" t="s">
        <v>32</v>
      </c>
      <c r="D3" s="58">
        <f>B3</f>
        <v>25</v>
      </c>
      <c r="E3" s="58">
        <f>D3*E2</f>
        <v>31.25</v>
      </c>
      <c r="F3" s="58">
        <f>E3*F2</f>
        <v>39.0625</v>
      </c>
      <c r="G3" s="58">
        <f t="shared" ref="G3:X3" si="1">F3*G2</f>
        <v>48.828125</v>
      </c>
      <c r="H3" s="58">
        <f t="shared" si="1"/>
        <v>61.03515625</v>
      </c>
      <c r="I3" s="58">
        <f t="shared" si="1"/>
        <v>76.2939453125</v>
      </c>
      <c r="J3" s="58">
        <f t="shared" si="1"/>
        <v>95.367431640625</v>
      </c>
      <c r="K3" s="58">
        <f t="shared" si="1"/>
        <v>119.20928955078125</v>
      </c>
      <c r="L3" s="58">
        <f t="shared" si="1"/>
        <v>149.01161193847656</v>
      </c>
      <c r="M3" s="58">
        <f t="shared" si="1"/>
        <v>186.2645149230957</v>
      </c>
      <c r="N3" s="58">
        <f t="shared" si="1"/>
        <v>232.83064365386963</v>
      </c>
      <c r="O3" s="58">
        <f t="shared" si="1"/>
        <v>291.03830456733704</v>
      </c>
      <c r="P3" s="58">
        <f t="shared" si="1"/>
        <v>363.7978807091713</v>
      </c>
      <c r="Q3" s="58">
        <f t="shared" si="1"/>
        <v>454.74735088646412</v>
      </c>
      <c r="R3" s="58">
        <f t="shared" si="1"/>
        <v>568.43418860808015</v>
      </c>
      <c r="S3" s="58">
        <f>R3*S2</f>
        <v>710.54273576010019</v>
      </c>
      <c r="T3" s="58">
        <f t="shared" si="1"/>
        <v>888.17841970012523</v>
      </c>
      <c r="U3" s="58">
        <f t="shared" si="1"/>
        <v>1110.2230246251565</v>
      </c>
      <c r="V3" s="58">
        <f t="shared" si="1"/>
        <v>1387.7787807814457</v>
      </c>
      <c r="W3" s="58">
        <f t="shared" si="1"/>
        <v>1734.7234759768071</v>
      </c>
      <c r="X3" s="58">
        <f t="shared" si="1"/>
        <v>2168.4043449710089</v>
      </c>
    </row>
    <row r="4" spans="1:24">
      <c r="A4" s="63" t="s">
        <v>36</v>
      </c>
      <c r="B4" s="64">
        <f>Valuation_Chart!B5</f>
        <v>222.95</v>
      </c>
      <c r="C4" s="57" t="s">
        <v>41</v>
      </c>
      <c r="D4" s="59">
        <f>1+B5</f>
        <v>1.0900000000000001</v>
      </c>
      <c r="E4" s="59">
        <f>D4</f>
        <v>1.0900000000000001</v>
      </c>
      <c r="F4" s="59">
        <f t="shared" ref="F4:X4" si="2">E4</f>
        <v>1.0900000000000001</v>
      </c>
      <c r="G4" s="59">
        <f t="shared" si="2"/>
        <v>1.0900000000000001</v>
      </c>
      <c r="H4" s="59">
        <f t="shared" si="2"/>
        <v>1.0900000000000001</v>
      </c>
      <c r="I4" s="59">
        <f t="shared" si="2"/>
        <v>1.0900000000000001</v>
      </c>
      <c r="J4" s="59">
        <f t="shared" si="2"/>
        <v>1.0900000000000001</v>
      </c>
      <c r="K4" s="59">
        <f t="shared" si="2"/>
        <v>1.0900000000000001</v>
      </c>
      <c r="L4" s="59">
        <f t="shared" si="2"/>
        <v>1.0900000000000001</v>
      </c>
      <c r="M4" s="59">
        <f t="shared" si="2"/>
        <v>1.0900000000000001</v>
      </c>
      <c r="N4" s="59">
        <f t="shared" si="2"/>
        <v>1.0900000000000001</v>
      </c>
      <c r="O4" s="59">
        <f t="shared" si="2"/>
        <v>1.0900000000000001</v>
      </c>
      <c r="P4" s="59">
        <f t="shared" si="2"/>
        <v>1.0900000000000001</v>
      </c>
      <c r="Q4" s="59">
        <f t="shared" si="2"/>
        <v>1.0900000000000001</v>
      </c>
      <c r="R4" s="59">
        <f t="shared" si="2"/>
        <v>1.0900000000000001</v>
      </c>
      <c r="S4" s="59">
        <f t="shared" si="2"/>
        <v>1.0900000000000001</v>
      </c>
      <c r="T4" s="59">
        <f t="shared" si="2"/>
        <v>1.0900000000000001</v>
      </c>
      <c r="U4" s="59">
        <f t="shared" si="2"/>
        <v>1.0900000000000001</v>
      </c>
      <c r="V4" s="59">
        <f t="shared" si="2"/>
        <v>1.0900000000000001</v>
      </c>
      <c r="W4" s="59">
        <f t="shared" si="2"/>
        <v>1.0900000000000001</v>
      </c>
      <c r="X4" s="59">
        <f t="shared" si="2"/>
        <v>1.0900000000000001</v>
      </c>
    </row>
    <row r="5" spans="1:24">
      <c r="A5" s="56" t="s">
        <v>41</v>
      </c>
      <c r="B5" s="65">
        <v>0.09</v>
      </c>
      <c r="C5" s="57" t="s">
        <v>111</v>
      </c>
      <c r="D5" s="58">
        <f>D3</f>
        <v>25</v>
      </c>
      <c r="E5" s="58">
        <f>E3/E4^E1</f>
        <v>28.669724770642201</v>
      </c>
      <c r="F5" s="58">
        <f t="shared" ref="F5:X5" si="3">F3/F4^F1</f>
        <v>32.878124736974996</v>
      </c>
      <c r="G5" s="58">
        <f t="shared" si="3"/>
        <v>37.70427148735665</v>
      </c>
      <c r="H5" s="58">
        <f t="shared" si="3"/>
        <v>43.238843448803493</v>
      </c>
      <c r="I5" s="58">
        <f t="shared" si="3"/>
        <v>49.585829643123269</v>
      </c>
      <c r="J5" s="58">
        <f t="shared" si="3"/>
        <v>56.864483535691818</v>
      </c>
      <c r="K5" s="58">
        <f t="shared" si="3"/>
        <v>65.211563687719973</v>
      </c>
      <c r="L5" s="58">
        <f t="shared" si="3"/>
        <v>74.783903311605471</v>
      </c>
      <c r="M5" s="58">
        <f t="shared" si="3"/>
        <v>85.761357008721859</v>
      </c>
      <c r="N5" s="58">
        <f t="shared" si="3"/>
        <v>98.350180055873679</v>
      </c>
      <c r="O5" s="58">
        <f t="shared" si="3"/>
        <v>112.7869037338001</v>
      </c>
      <c r="P5" s="58">
        <f t="shared" si="3"/>
        <v>129.34277951123866</v>
      </c>
      <c r="Q5" s="58">
        <f t="shared" si="3"/>
        <v>148.32887558628283</v>
      </c>
      <c r="R5" s="58">
        <f t="shared" si="3"/>
        <v>170.10192154390231</v>
      </c>
      <c r="S5" s="58">
        <f t="shared" si="3"/>
        <v>195.0710109448421</v>
      </c>
      <c r="T5" s="58">
        <f t="shared" si="3"/>
        <v>223.70528778078221</v>
      </c>
      <c r="U5" s="58">
        <f t="shared" si="3"/>
        <v>256.54276121649337</v>
      </c>
      <c r="V5" s="58">
        <f t="shared" si="3"/>
        <v>294.20041423909788</v>
      </c>
      <c r="W5" s="58">
        <f t="shared" si="3"/>
        <v>337.3857961457544</v>
      </c>
      <c r="X5" s="58">
        <f t="shared" si="3"/>
        <v>386.91031668091102</v>
      </c>
    </row>
    <row r="6" spans="1:24">
      <c r="A6" s="63" t="s">
        <v>112</v>
      </c>
      <c r="B6" s="64">
        <f>MIN(D9:X9)</f>
        <v>0</v>
      </c>
      <c r="C6" s="57" t="s">
        <v>113</v>
      </c>
      <c r="D6" s="58">
        <f>SUM($D$5:D5)</f>
        <v>25</v>
      </c>
      <c r="E6" s="58">
        <f>SUM($D$5:E5)</f>
        <v>53.669724770642205</v>
      </c>
      <c r="F6" s="58">
        <f>SUM($D$5:F5)</f>
        <v>86.547849507617201</v>
      </c>
      <c r="G6" s="58">
        <f>SUM($D$5:G5)</f>
        <v>124.25212099497385</v>
      </c>
      <c r="H6" s="58">
        <f>SUM($D$5:H5)</f>
        <v>167.49096444377733</v>
      </c>
      <c r="I6" s="58">
        <f>SUM($D$5:I5)</f>
        <v>217.07679408690061</v>
      </c>
      <c r="J6" s="58">
        <f>SUM($D$5:J5)</f>
        <v>273.94127762259245</v>
      </c>
      <c r="K6" s="58">
        <f>SUM($D$5:K5)</f>
        <v>339.1528413103124</v>
      </c>
      <c r="L6" s="58">
        <f>SUM($D$5:L5)</f>
        <v>413.93674462191785</v>
      </c>
      <c r="M6" s="58">
        <f>SUM($D$5:M5)</f>
        <v>499.69810163063971</v>
      </c>
      <c r="N6" s="58">
        <f>SUM($D$5:N5)</f>
        <v>598.04828168651341</v>
      </c>
      <c r="O6" s="58">
        <f>SUM($D$5:O5)</f>
        <v>710.83518542031356</v>
      </c>
      <c r="P6" s="58">
        <f>SUM($D$5:P5)</f>
        <v>840.1779649315522</v>
      </c>
      <c r="Q6" s="58">
        <f>SUM($D$5:Q5)</f>
        <v>988.50684051783503</v>
      </c>
      <c r="R6" s="58">
        <f>SUM($D$5:R5)</f>
        <v>1158.6087620617373</v>
      </c>
      <c r="S6" s="58">
        <f>SUM($D$5:S5)</f>
        <v>1353.6797730065794</v>
      </c>
      <c r="T6" s="58">
        <f>SUM($D$5:T5)</f>
        <v>1577.3850607873615</v>
      </c>
      <c r="U6" s="58">
        <f>SUM($D$5:U5)</f>
        <v>1833.9278220038548</v>
      </c>
      <c r="V6" s="58">
        <f>SUM($D$5:V5)</f>
        <v>2128.1282362429529</v>
      </c>
      <c r="W6" s="58">
        <f>SUM($D$5:W5)</f>
        <v>2465.5140323887072</v>
      </c>
      <c r="X6" s="58">
        <f>SUM($D$5:X5)</f>
        <v>2852.4243490696181</v>
      </c>
    </row>
    <row r="7" spans="1:24">
      <c r="A7" s="392"/>
      <c r="B7" s="393"/>
      <c r="C7" s="57" t="s">
        <v>114</v>
      </c>
      <c r="D7" s="58">
        <f>B3/B5</f>
        <v>277.77777777777777</v>
      </c>
      <c r="E7" s="58">
        <f>(B3/B5)/(1+B5)^E1</f>
        <v>254.84199796126398</v>
      </c>
      <c r="F7" s="58">
        <f>(B3/B5)/(1+B5)^F1</f>
        <v>233.79999812959997</v>
      </c>
      <c r="G7" s="58">
        <f>(B3/B5)/(1+B5)^G1</f>
        <v>214.49541112807336</v>
      </c>
      <c r="H7" s="58">
        <f>(B3/B5)/(1+B5)^H1</f>
        <v>196.78478085144346</v>
      </c>
      <c r="I7" s="58">
        <f>(B3/B5)/(1+B5)^I1</f>
        <v>180.53649619398479</v>
      </c>
      <c r="J7" s="58">
        <f>(B3/B5)/(1+B5)^J1</f>
        <v>165.62981302200438</v>
      </c>
      <c r="K7" s="58">
        <f>(B3/B5)/(1+B5)^K1</f>
        <v>151.95395690092147</v>
      </c>
      <c r="L7" s="58">
        <f>(B3/B5)/(1+B5)^L1</f>
        <v>139.40729990910225</v>
      </c>
      <c r="M7" s="58">
        <f>(B3/B5)/(1+B5)^M1</f>
        <v>127.89660542119471</v>
      </c>
      <c r="N7" s="58">
        <f>(B3/B5)/(1+B5)^N1</f>
        <v>117.33633524880247</v>
      </c>
      <c r="O7" s="58">
        <f>(B3/B5)/(1+B5)^O1</f>
        <v>107.64801398972705</v>
      </c>
      <c r="P7" s="58">
        <f>(B3/B5)/(1+B5)^P1</f>
        <v>98.759645862134903</v>
      </c>
      <c r="Q7" s="58">
        <f>(B3/B5)/(1+B5)^Q1</f>
        <v>90.605179690032003</v>
      </c>
      <c r="R7" s="58">
        <f>(B3/B5)/(1+B5)^R1</f>
        <v>83.12401806424954</v>
      </c>
      <c r="S7" s="58">
        <f>(B3/B5)/(1+B5)^S1</f>
        <v>76.260567031421601</v>
      </c>
      <c r="T7" s="58">
        <f>(B3/B5)/(1+B5)^T1</f>
        <v>69.963822964606962</v>
      </c>
      <c r="U7" s="58">
        <f>(B3/B5)/(1+B5)^U1</f>
        <v>64.186993545510987</v>
      </c>
      <c r="V7" s="58">
        <f>(B3/B5)/(1+B5)^V1</f>
        <v>58.887150041753188</v>
      </c>
      <c r="W7" s="58">
        <f>(B3/B5)/(1+B5)^W1</f>
        <v>54.024908295186407</v>
      </c>
      <c r="X7" s="58">
        <f>(B3/B5)/(1+B5)^X1</f>
        <v>49.564136050629735</v>
      </c>
    </row>
    <row r="8" spans="1:24">
      <c r="A8" s="394"/>
      <c r="B8" s="395"/>
      <c r="C8" s="57" t="s">
        <v>115</v>
      </c>
      <c r="D8" s="58">
        <f t="shared" ref="D8:X8" si="4">D7+D6</f>
        <v>302.77777777777777</v>
      </c>
      <c r="E8" s="58">
        <f t="shared" si="4"/>
        <v>308.51172273190616</v>
      </c>
      <c r="F8" s="58">
        <f t="shared" si="4"/>
        <v>320.34784763721717</v>
      </c>
      <c r="G8" s="58">
        <f t="shared" si="4"/>
        <v>338.74753212304722</v>
      </c>
      <c r="H8" s="58">
        <f t="shared" si="4"/>
        <v>364.27574529522076</v>
      </c>
      <c r="I8" s="58">
        <f t="shared" si="4"/>
        <v>397.61329028088539</v>
      </c>
      <c r="J8" s="58">
        <f t="shared" si="4"/>
        <v>439.57109064459684</v>
      </c>
      <c r="K8" s="58">
        <f t="shared" si="4"/>
        <v>491.10679821123387</v>
      </c>
      <c r="L8" s="58">
        <f t="shared" si="4"/>
        <v>553.34404453102013</v>
      </c>
      <c r="M8" s="58">
        <f t="shared" si="4"/>
        <v>627.59470705183446</v>
      </c>
      <c r="N8" s="58">
        <f t="shared" si="4"/>
        <v>715.38461693531588</v>
      </c>
      <c r="O8" s="58">
        <f t="shared" si="4"/>
        <v>818.48319941004058</v>
      </c>
      <c r="P8" s="58">
        <f t="shared" si="4"/>
        <v>938.9376107936871</v>
      </c>
      <c r="Q8" s="58">
        <f t="shared" si="4"/>
        <v>1079.1120202078671</v>
      </c>
      <c r="R8" s="58">
        <f t="shared" si="4"/>
        <v>1241.7327801259869</v>
      </c>
      <c r="S8" s="58">
        <f t="shared" si="4"/>
        <v>1429.9403400380011</v>
      </c>
      <c r="T8" s="58">
        <f t="shared" si="4"/>
        <v>1647.3488837519685</v>
      </c>
      <c r="U8" s="58">
        <f t="shared" si="4"/>
        <v>1898.1148155493659</v>
      </c>
      <c r="V8" s="58">
        <f t="shared" si="4"/>
        <v>2187.015386284706</v>
      </c>
      <c r="W8" s="58">
        <f t="shared" si="4"/>
        <v>2519.5389406838935</v>
      </c>
      <c r="X8" s="58">
        <f t="shared" si="4"/>
        <v>2901.9884851202478</v>
      </c>
    </row>
    <row r="9" spans="1:24" ht="15" customHeight="1">
      <c r="A9" s="61"/>
      <c r="B9" s="62"/>
      <c r="C9" s="60"/>
      <c r="D9" s="57">
        <f>IF(D8&gt;B4,1*D1,"No")</f>
        <v>0</v>
      </c>
      <c r="E9" s="57">
        <f>IF(E8&gt;B4,E1*1,"No")</f>
        <v>1</v>
      </c>
      <c r="F9" s="57">
        <f>IF(F8&gt;B4,F1*1,"No")</f>
        <v>2</v>
      </c>
      <c r="G9" s="57">
        <f>IF(G8&gt;B4,G1*1,"No")</f>
        <v>3</v>
      </c>
      <c r="H9" s="57">
        <f>IF(H8&gt;B4,H1*1,"No")</f>
        <v>4</v>
      </c>
      <c r="I9" s="57">
        <f>IF(I8&gt;B4,I1*1,"No")</f>
        <v>5</v>
      </c>
      <c r="J9" s="57">
        <f>IF(J8&gt;B4,J1*1,"No")</f>
        <v>6</v>
      </c>
      <c r="K9" s="57">
        <f>IF(K8&gt;B4,1*K1,"No")</f>
        <v>7</v>
      </c>
      <c r="L9" s="57">
        <f>IF(L8&gt;B4,L1*1,"No")</f>
        <v>8</v>
      </c>
      <c r="M9" s="57">
        <f>IF(M8&gt;B4,M1*1,"No")</f>
        <v>9</v>
      </c>
      <c r="N9" s="57">
        <f>IF(N8&gt;B4,N1*1,"No")</f>
        <v>10</v>
      </c>
      <c r="O9" s="57">
        <f>IF(O8&gt;B4,O1*1,"No")</f>
        <v>11</v>
      </c>
      <c r="P9" s="57">
        <f>IF(P8&gt;B4,P1*1,"No")</f>
        <v>12</v>
      </c>
      <c r="Q9" s="57">
        <f>IF(Q8&gt;B4,Q1*1,"No")</f>
        <v>13</v>
      </c>
      <c r="R9" s="57">
        <f>IF(R8&gt;B4,1*R1,"No")</f>
        <v>14</v>
      </c>
      <c r="S9" s="57">
        <f>IF(S8&gt;B4,S1*1,"No")</f>
        <v>15</v>
      </c>
      <c r="T9" s="57">
        <f>IF(T8&gt;B4,T1*1,"No")</f>
        <v>16</v>
      </c>
      <c r="U9" s="57">
        <f>IF(U8&gt;B4,U1*1,"No")</f>
        <v>17</v>
      </c>
      <c r="V9" s="57">
        <f>IF(V8&gt;B4,V1*1,"No")</f>
        <v>18</v>
      </c>
      <c r="W9" s="57">
        <f>IF(W8&gt;B4,W1*1,"No")</f>
        <v>19</v>
      </c>
      <c r="X9" s="57">
        <f>IF(X8&gt;B4,X1*1,"No")</f>
        <v>20</v>
      </c>
    </row>
    <row r="10" spans="1:24">
      <c r="C10" s="54"/>
    </row>
    <row r="11" spans="1:24">
      <c r="A11" s="391" t="s">
        <v>118</v>
      </c>
      <c r="B11" s="391"/>
      <c r="C11" s="391"/>
      <c r="D11" s="391"/>
      <c r="E11" s="391"/>
      <c r="F11" s="391"/>
    </row>
    <row r="12" spans="1:24">
      <c r="A12" s="66" t="s">
        <v>119</v>
      </c>
      <c r="B12" s="68" t="e">
        <f>(#REF!/Valuation_Chart!B6)*10^7</f>
        <v>#REF!</v>
      </c>
      <c r="C12" s="70" t="s">
        <v>126</v>
      </c>
    </row>
    <row r="13" spans="1:24" ht="15.75" thickBot="1">
      <c r="A13" s="402" t="s">
        <v>124</v>
      </c>
      <c r="B13" s="402"/>
      <c r="C13" s="402"/>
    </row>
    <row r="14" spans="1:24">
      <c r="A14" s="397" t="s">
        <v>125</v>
      </c>
      <c r="B14" s="398"/>
      <c r="C14" s="398"/>
      <c r="D14" s="398"/>
      <c r="E14" s="398"/>
      <c r="F14" s="398"/>
      <c r="G14" s="398"/>
      <c r="H14" s="398"/>
      <c r="I14" s="398"/>
      <c r="J14" s="398"/>
      <c r="K14" s="398"/>
      <c r="L14" s="398"/>
      <c r="M14" s="398"/>
      <c r="N14" s="398"/>
      <c r="O14" s="398"/>
      <c r="P14" s="398"/>
      <c r="Q14" s="398"/>
      <c r="R14" s="398"/>
      <c r="S14" s="398"/>
      <c r="T14" s="398"/>
      <c r="U14" s="398"/>
      <c r="V14" s="398"/>
      <c r="W14" s="398"/>
      <c r="X14" s="399"/>
    </row>
    <row r="15" spans="1:24">
      <c r="A15" s="63" t="s">
        <v>60</v>
      </c>
      <c r="B15" s="75" t="e">
        <f>#REF!</f>
        <v>#REF!</v>
      </c>
      <c r="C15" s="71"/>
      <c r="D15" s="71"/>
      <c r="E15" s="71"/>
      <c r="F15" s="71"/>
      <c r="G15" s="71"/>
      <c r="H15" s="71"/>
      <c r="I15" s="71"/>
      <c r="J15" s="71"/>
      <c r="K15" s="71"/>
      <c r="L15" s="71"/>
      <c r="M15" s="71"/>
      <c r="N15" s="71"/>
      <c r="O15" s="71"/>
      <c r="P15" s="71"/>
      <c r="Q15" s="71"/>
      <c r="R15" s="71"/>
      <c r="S15" s="71"/>
      <c r="T15" s="71"/>
      <c r="U15" s="71"/>
      <c r="V15" s="71"/>
      <c r="W15" s="71"/>
      <c r="X15" s="72"/>
    </row>
    <row r="16" spans="1:24">
      <c r="A16" s="63" t="s">
        <v>122</v>
      </c>
      <c r="B16" s="75" t="e">
        <f>#REF!</f>
        <v>#REF!</v>
      </c>
      <c r="C16" s="71"/>
      <c r="D16" s="71"/>
      <c r="E16" s="71"/>
      <c r="F16" s="71"/>
      <c r="G16" s="71"/>
      <c r="H16" s="71"/>
      <c r="I16" s="71"/>
      <c r="J16" s="71"/>
      <c r="K16" s="71"/>
      <c r="L16" s="71"/>
      <c r="M16" s="71"/>
      <c r="N16" s="71"/>
      <c r="O16" s="71"/>
      <c r="P16" s="71"/>
      <c r="Q16" s="71"/>
      <c r="R16" s="71"/>
      <c r="S16" s="71"/>
      <c r="T16" s="71"/>
      <c r="U16" s="71"/>
      <c r="V16" s="71"/>
      <c r="W16" s="71"/>
      <c r="X16" s="72"/>
    </row>
    <row r="17" spans="1:24">
      <c r="A17" s="63" t="s">
        <v>123</v>
      </c>
      <c r="B17" s="75" t="e">
        <f>MAX(#REF!,#REF!)</f>
        <v>#REF!</v>
      </c>
      <c r="C17" s="400"/>
      <c r="D17" s="400"/>
      <c r="E17" s="400"/>
      <c r="F17" s="400"/>
      <c r="G17" s="400"/>
      <c r="H17" s="400"/>
      <c r="I17" s="400"/>
      <c r="J17" s="400"/>
      <c r="K17" s="400"/>
      <c r="L17" s="400"/>
      <c r="M17" s="400"/>
      <c r="N17" s="400"/>
      <c r="O17" s="400"/>
      <c r="P17" s="400"/>
      <c r="Q17" s="400"/>
      <c r="R17" s="400"/>
      <c r="S17" s="400"/>
      <c r="T17" s="400"/>
      <c r="U17" s="400"/>
      <c r="V17" s="400"/>
      <c r="W17" s="400"/>
      <c r="X17" s="401"/>
    </row>
    <row r="18" spans="1:24" ht="15.75" thickBot="1">
      <c r="A18" s="63" t="s">
        <v>121</v>
      </c>
      <c r="B18" s="75" t="e">
        <f>B15+B16+B17</f>
        <v>#REF!</v>
      </c>
      <c r="C18" s="73"/>
      <c r="D18" s="73"/>
      <c r="E18" s="73"/>
      <c r="F18" s="73"/>
      <c r="G18" s="73"/>
      <c r="H18" s="73"/>
      <c r="I18" s="73"/>
      <c r="J18" s="73"/>
      <c r="K18" s="73"/>
      <c r="L18" s="73"/>
      <c r="M18" s="73"/>
      <c r="N18" s="73"/>
      <c r="O18" s="73"/>
      <c r="P18" s="73"/>
      <c r="Q18" s="73"/>
      <c r="R18" s="73"/>
      <c r="S18" s="73"/>
      <c r="T18" s="73"/>
      <c r="U18" s="73"/>
      <c r="V18" s="73"/>
      <c r="W18" s="73"/>
      <c r="X18" s="74"/>
    </row>
  </sheetData>
  <mergeCells count="6">
    <mergeCell ref="A11:F11"/>
    <mergeCell ref="A7:B8"/>
    <mergeCell ref="A1:B1"/>
    <mergeCell ref="A14:X14"/>
    <mergeCell ref="C17:X17"/>
    <mergeCell ref="A13:C13"/>
  </mergeCells>
  <conditionalFormatting sqref="D8:X8">
    <cfRule type="cellIs" dxfId="3" priority="1" operator="greaterThan">
      <formula>$B$4</formula>
    </cfRule>
  </conditionalFormatting>
  <pageMargins left="0.7" right="0.7" top="0.75" bottom="0.75" header="0.3" footer="0.3"/>
  <pageSetup scale="55" fitToHeight="0" orientation="portrait" r:id="rId1"/>
  <ignoredErrors>
    <ignoredError sqref="F3:X3" 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O205"/>
  <sheetViews>
    <sheetView topLeftCell="A19" workbookViewId="0">
      <selection activeCell="M35" sqref="M35"/>
    </sheetView>
  </sheetViews>
  <sheetFormatPr defaultRowHeight="15"/>
  <cols>
    <col min="1" max="1" width="30" bestFit="1" customWidth="1"/>
    <col min="12" max="12" width="11" customWidth="1"/>
  </cols>
  <sheetData>
    <row r="1" spans="1:14">
      <c r="A1" s="123" t="str">
        <f>'Annual Report input'!D2</f>
        <v>IRB INFRASTRUCTURE DEVELOPERS LTD</v>
      </c>
      <c r="B1" s="124"/>
      <c r="C1" s="124"/>
      <c r="D1" s="124"/>
      <c r="E1" s="124"/>
      <c r="F1" s="124"/>
      <c r="G1" s="124"/>
      <c r="H1" s="124"/>
      <c r="I1" s="124"/>
      <c r="J1" s="124"/>
      <c r="K1" s="124"/>
      <c r="L1" s="124"/>
      <c r="M1" s="124"/>
      <c r="N1" s="124"/>
    </row>
    <row r="2" spans="1:14">
      <c r="A2" s="123"/>
      <c r="B2" s="124"/>
      <c r="C2" s="124"/>
      <c r="D2" s="124"/>
      <c r="E2" s="124"/>
      <c r="F2" s="124"/>
      <c r="G2" s="124"/>
      <c r="H2" s="124"/>
      <c r="I2" s="124"/>
      <c r="J2" s="124"/>
      <c r="K2" s="124"/>
      <c r="L2" s="124"/>
      <c r="M2" s="124"/>
      <c r="N2" s="124"/>
    </row>
    <row r="3" spans="1:14">
      <c r="A3" s="404" t="s">
        <v>239</v>
      </c>
      <c r="B3" s="404"/>
      <c r="C3" s="404"/>
      <c r="D3" s="404"/>
      <c r="E3" s="404"/>
      <c r="F3" s="404"/>
      <c r="G3" s="404"/>
      <c r="H3" s="404"/>
      <c r="I3" s="404"/>
      <c r="J3" s="404"/>
      <c r="K3" s="125"/>
      <c r="L3" s="126"/>
      <c r="M3" s="126"/>
      <c r="N3" s="126"/>
    </row>
    <row r="4" spans="1:14">
      <c r="A4" s="127" t="str">
        <f>'Screener Input'!A1</f>
        <v>COMPANY NAME</v>
      </c>
      <c r="B4" s="180"/>
      <c r="C4" s="180">
        <f>EOMONTH('Screener Input'!B$16,-1)+1</f>
        <v>39508</v>
      </c>
      <c r="D4" s="180">
        <f>EOMONTH('Screener Input'!C$16,-1)+1</f>
        <v>39873</v>
      </c>
      <c r="E4" s="180">
        <f>EOMONTH('Screener Input'!D$16,-1)+1</f>
        <v>40238</v>
      </c>
      <c r="F4" s="180">
        <f>EOMONTH('Screener Input'!E$16,-1)+1</f>
        <v>40603</v>
      </c>
      <c r="G4" s="180">
        <f>EOMONTH('Screener Input'!F$16,-1)+1</f>
        <v>40969</v>
      </c>
      <c r="H4" s="180">
        <f>EOMONTH('Screener Input'!G$16,-1)+1</f>
        <v>41334</v>
      </c>
      <c r="I4" s="180">
        <f>EOMONTH('Screener Input'!H$16,-1)+1</f>
        <v>41699</v>
      </c>
      <c r="J4" s="180">
        <f>EOMONTH('Screener Input'!I$16,-1)+1</f>
        <v>42064</v>
      </c>
      <c r="K4" s="180">
        <f>EOMONTH('Screener Input'!J$16,-1)+1</f>
        <v>42430</v>
      </c>
      <c r="L4" s="180">
        <f>EOMONTH('Screener Input'!K$16,-1)+1</f>
        <v>42795</v>
      </c>
      <c r="M4" s="180"/>
      <c r="N4" s="180"/>
    </row>
    <row r="5" spans="1:14">
      <c r="A5" s="128" t="s">
        <v>240</v>
      </c>
      <c r="B5" s="129"/>
      <c r="C5" s="129"/>
      <c r="D5" s="129"/>
      <c r="E5" s="129"/>
      <c r="F5" s="129"/>
      <c r="G5" s="129"/>
      <c r="H5" s="129"/>
      <c r="I5" s="129"/>
      <c r="J5" s="129"/>
      <c r="K5" s="129"/>
      <c r="L5" s="126"/>
      <c r="M5" s="126"/>
      <c r="N5" s="126"/>
    </row>
    <row r="6" spans="1:14" s="229" customFormat="1">
      <c r="A6" s="335" t="s">
        <v>241</v>
      </c>
      <c r="B6" s="336"/>
      <c r="C6" s="337">
        <f>'Screener Output.v0'!C54</f>
        <v>50.21</v>
      </c>
      <c r="D6" s="337">
        <f>'Screener Output.v0'!D54</f>
        <v>205.4</v>
      </c>
      <c r="E6" s="337">
        <f>'Screener Output.v0'!E54</f>
        <v>169.77</v>
      </c>
      <c r="F6" s="337">
        <f>'Screener Output.v0'!F54</f>
        <v>163.84</v>
      </c>
      <c r="G6" s="337">
        <f>'Screener Output.v0'!G54</f>
        <v>162.41999999999999</v>
      </c>
      <c r="H6" s="337">
        <f>'Screener Output.v0'!H54</f>
        <v>248.85</v>
      </c>
      <c r="I6" s="337">
        <f>'Screener Output.v0'!I54</f>
        <v>268.33999999999997</v>
      </c>
      <c r="J6" s="337">
        <f>'Screener Output.v0'!J54</f>
        <v>259.85000000000002</v>
      </c>
      <c r="K6" s="337">
        <f>'Screener Output.v0'!K54</f>
        <v>308.83999999999997</v>
      </c>
      <c r="L6" s="337">
        <f>'Screener Output.v0'!L54</f>
        <v>352.71</v>
      </c>
      <c r="M6" s="336"/>
      <c r="N6" s="336"/>
    </row>
    <row r="7" spans="1:14" s="246" customFormat="1">
      <c r="A7" s="130" t="s">
        <v>242</v>
      </c>
      <c r="B7" s="131"/>
      <c r="C7" s="275">
        <f t="shared" ref="C7:L7" si="0">C53</f>
        <v>11.76</v>
      </c>
      <c r="D7" s="275">
        <f t="shared" si="0"/>
        <v>12.98</v>
      </c>
      <c r="E7" s="275">
        <f t="shared" si="0"/>
        <v>29.72</v>
      </c>
      <c r="F7" s="275">
        <f t="shared" si="0"/>
        <v>39.65</v>
      </c>
      <c r="G7" s="275">
        <f t="shared" si="0"/>
        <v>14.07</v>
      </c>
      <c r="H7" s="275">
        <f t="shared" si="0"/>
        <v>8</v>
      </c>
      <c r="I7" s="275">
        <f t="shared" si="0"/>
        <v>5.52</v>
      </c>
      <c r="J7" s="275">
        <f t="shared" si="0"/>
        <v>4.91</v>
      </c>
      <c r="K7" s="275">
        <f t="shared" si="0"/>
        <v>8.66</v>
      </c>
      <c r="L7" s="275">
        <f t="shared" si="0"/>
        <v>70.47</v>
      </c>
      <c r="M7" s="131"/>
      <c r="N7" s="131"/>
    </row>
    <row r="8" spans="1:14">
      <c r="A8" s="130" t="s">
        <v>265</v>
      </c>
      <c r="B8" s="131"/>
      <c r="C8" s="275">
        <f t="shared" ref="C8:L8" si="1">C55</f>
        <v>522.15</v>
      </c>
      <c r="D8" s="275">
        <f t="shared" si="1"/>
        <v>414.73</v>
      </c>
      <c r="E8" s="275">
        <f t="shared" si="1"/>
        <v>510.21</v>
      </c>
      <c r="F8" s="275">
        <f t="shared" si="1"/>
        <v>1199.96</v>
      </c>
      <c r="G8" s="275">
        <f t="shared" si="1"/>
        <v>1820.76</v>
      </c>
      <c r="H8" s="275">
        <f t="shared" si="1"/>
        <v>1471</v>
      </c>
      <c r="I8" s="275">
        <f t="shared" si="1"/>
        <v>1482.35</v>
      </c>
      <c r="J8" s="275">
        <f t="shared" si="1"/>
        <v>1575.7</v>
      </c>
      <c r="K8" s="275">
        <f t="shared" si="1"/>
        <v>1500.78</v>
      </c>
      <c r="L8" s="275">
        <f t="shared" si="1"/>
        <v>1307.6600000000001</v>
      </c>
      <c r="M8" s="131"/>
      <c r="N8" s="131"/>
    </row>
    <row r="9" spans="1:14">
      <c r="A9" s="130" t="s">
        <v>27</v>
      </c>
      <c r="B9" s="131"/>
      <c r="C9" s="275">
        <f t="shared" ref="C9:L10" si="2">C47</f>
        <v>961.34</v>
      </c>
      <c r="D9" s="275">
        <f t="shared" si="2"/>
        <v>1020.07</v>
      </c>
      <c r="E9" s="275">
        <f t="shared" si="2"/>
        <v>1149.97</v>
      </c>
      <c r="F9" s="275">
        <f t="shared" si="2"/>
        <v>2057.38</v>
      </c>
      <c r="G9" s="275">
        <f t="shared" si="2"/>
        <v>2847.41</v>
      </c>
      <c r="H9" s="275">
        <f t="shared" si="2"/>
        <v>2586.31</v>
      </c>
      <c r="I9" s="275">
        <f t="shared" si="2"/>
        <v>2658.73</v>
      </c>
      <c r="J9" s="275">
        <f t="shared" si="2"/>
        <v>2795.38</v>
      </c>
      <c r="K9" s="275">
        <f t="shared" si="2"/>
        <v>2969.01</v>
      </c>
      <c r="L9" s="275">
        <f t="shared" si="2"/>
        <v>15343.81</v>
      </c>
      <c r="M9" s="131"/>
      <c r="N9" s="131"/>
    </row>
    <row r="10" spans="1:14">
      <c r="A10" s="130" t="s">
        <v>16</v>
      </c>
      <c r="B10" s="131"/>
      <c r="C10" s="275">
        <f t="shared" si="2"/>
        <v>291.55</v>
      </c>
      <c r="D10" s="275">
        <f t="shared" si="2"/>
        <v>385.61</v>
      </c>
      <c r="E10" s="275">
        <f t="shared" si="2"/>
        <v>587.57000000000005</v>
      </c>
      <c r="F10" s="275">
        <f t="shared" si="2"/>
        <v>925.21</v>
      </c>
      <c r="G10" s="275">
        <f t="shared" si="2"/>
        <v>931.99</v>
      </c>
      <c r="H10" s="275">
        <f t="shared" si="2"/>
        <v>1041.46</v>
      </c>
      <c r="I10" s="275">
        <f t="shared" si="2"/>
        <v>1069.5999999999999</v>
      </c>
      <c r="J10" s="275">
        <f t="shared" si="2"/>
        <v>22466.2</v>
      </c>
      <c r="K10" s="275">
        <f t="shared" si="2"/>
        <v>21711.58</v>
      </c>
      <c r="L10" s="275">
        <f t="shared" si="2"/>
        <v>27449.17</v>
      </c>
      <c r="M10" s="131"/>
      <c r="N10" s="131"/>
    </row>
    <row r="11" spans="1:14">
      <c r="A11" s="130" t="s">
        <v>243</v>
      </c>
      <c r="B11" s="131"/>
      <c r="C11" s="275">
        <f t="shared" ref="C11:L11" si="3">C9-C10</f>
        <v>669.79</v>
      </c>
      <c r="D11" s="275">
        <f t="shared" si="3"/>
        <v>634.46</v>
      </c>
      <c r="E11" s="275">
        <f t="shared" si="3"/>
        <v>562.4</v>
      </c>
      <c r="F11" s="275">
        <f t="shared" si="3"/>
        <v>1132.17</v>
      </c>
      <c r="G11" s="275">
        <f t="shared" si="3"/>
        <v>1915.4199999999998</v>
      </c>
      <c r="H11" s="275">
        <f t="shared" si="3"/>
        <v>1544.85</v>
      </c>
      <c r="I11" s="275">
        <f t="shared" si="3"/>
        <v>1589.13</v>
      </c>
      <c r="J11" s="275">
        <f t="shared" si="3"/>
        <v>-19670.82</v>
      </c>
      <c r="K11" s="275">
        <f t="shared" si="3"/>
        <v>-18742.57</v>
      </c>
      <c r="L11" s="275">
        <f t="shared" si="3"/>
        <v>-12105.359999999999</v>
      </c>
      <c r="M11" s="131"/>
      <c r="N11" s="131"/>
    </row>
    <row r="12" spans="1:14">
      <c r="A12" s="405"/>
      <c r="B12" s="405"/>
      <c r="C12" s="405"/>
      <c r="D12" s="405"/>
      <c r="E12" s="405"/>
      <c r="F12" s="405"/>
      <c r="G12" s="405"/>
      <c r="H12" s="405"/>
      <c r="I12" s="405"/>
      <c r="J12" s="405"/>
      <c r="K12" s="405"/>
      <c r="L12" s="126"/>
      <c r="M12" s="126"/>
      <c r="N12" s="126"/>
    </row>
    <row r="13" spans="1:14">
      <c r="A13" s="404" t="s">
        <v>244</v>
      </c>
      <c r="B13" s="404"/>
      <c r="C13" s="404"/>
      <c r="D13" s="404"/>
      <c r="E13" s="404"/>
      <c r="F13" s="404"/>
      <c r="G13" s="404"/>
      <c r="H13" s="404"/>
      <c r="I13" s="404"/>
      <c r="J13" s="404"/>
      <c r="K13" s="132"/>
      <c r="L13" s="126"/>
      <c r="M13" s="126"/>
      <c r="N13" s="126"/>
    </row>
    <row r="14" spans="1:14">
      <c r="A14" s="133" t="s">
        <v>245</v>
      </c>
      <c r="B14" s="180"/>
      <c r="C14" s="180">
        <f t="shared" ref="C14:L14" si="4">C4</f>
        <v>39508</v>
      </c>
      <c r="D14" s="180">
        <f t="shared" si="4"/>
        <v>39873</v>
      </c>
      <c r="E14" s="180">
        <f t="shared" si="4"/>
        <v>40238</v>
      </c>
      <c r="F14" s="180">
        <f t="shared" si="4"/>
        <v>40603</v>
      </c>
      <c r="G14" s="180">
        <f t="shared" si="4"/>
        <v>40969</v>
      </c>
      <c r="H14" s="180">
        <f t="shared" si="4"/>
        <v>41334</v>
      </c>
      <c r="I14" s="180">
        <f t="shared" si="4"/>
        <v>41699</v>
      </c>
      <c r="J14" s="180">
        <f t="shared" si="4"/>
        <v>42064</v>
      </c>
      <c r="K14" s="180">
        <f t="shared" si="4"/>
        <v>42430</v>
      </c>
      <c r="L14" s="180">
        <f t="shared" si="4"/>
        <v>42795</v>
      </c>
      <c r="M14" s="180"/>
      <c r="N14" s="180"/>
    </row>
    <row r="15" spans="1:14">
      <c r="A15" s="134" t="s">
        <v>21</v>
      </c>
      <c r="B15" s="135"/>
      <c r="C15" s="135">
        <f>'Screener Input'!B18</f>
        <v>0</v>
      </c>
      <c r="D15" s="135">
        <f>'Screener Input'!C18</f>
        <v>0</v>
      </c>
      <c r="E15" s="135">
        <f>'Screener Input'!D18</f>
        <v>0</v>
      </c>
      <c r="F15" s="135">
        <f>'Screener Input'!E18</f>
        <v>0</v>
      </c>
      <c r="G15" s="135">
        <f>'Screener Input'!F18</f>
        <v>0</v>
      </c>
      <c r="H15" s="135">
        <f>'Screener Input'!G18</f>
        <v>469.72</v>
      </c>
      <c r="I15" s="135">
        <f>'Screener Input'!H18</f>
        <v>502.65</v>
      </c>
      <c r="J15" s="135">
        <f>'Screener Input'!I18</f>
        <v>434.48</v>
      </c>
      <c r="K15" s="135">
        <f>'Screener Input'!J18</f>
        <v>371.3</v>
      </c>
      <c r="L15" s="135">
        <f>'Screener Input'!K18</f>
        <v>268.29000000000002</v>
      </c>
      <c r="M15" s="135"/>
      <c r="N15" s="135"/>
    </row>
    <row r="16" spans="1:14">
      <c r="A16" s="134" t="s">
        <v>246</v>
      </c>
      <c r="B16" s="135"/>
      <c r="C16" s="135">
        <f>'Screener Input'!B22</f>
        <v>30.68</v>
      </c>
      <c r="D16" s="135">
        <f>'Screener Input'!C22</f>
        <v>38.81</v>
      </c>
      <c r="E16" s="135">
        <f>'Screener Input'!D22</f>
        <v>66.38</v>
      </c>
      <c r="F16" s="135">
        <f>'Screener Input'!E22</f>
        <v>92.92</v>
      </c>
      <c r="G16" s="135">
        <f>'Screener Input'!F22</f>
        <v>137.59</v>
      </c>
      <c r="H16" s="135">
        <f>'Screener Input'!G22</f>
        <v>155.69</v>
      </c>
      <c r="I16" s="135">
        <f>'Screener Input'!H22</f>
        <v>179.88</v>
      </c>
      <c r="J16" s="135">
        <f>'Screener Input'!I22</f>
        <v>189.84</v>
      </c>
      <c r="K16" s="135">
        <f>'Screener Input'!J22</f>
        <v>246.51</v>
      </c>
      <c r="L16" s="135">
        <f>'Screener Input'!K22</f>
        <v>272.62</v>
      </c>
      <c r="M16" s="135"/>
      <c r="N16" s="135"/>
    </row>
    <row r="17" spans="1:15">
      <c r="A17" s="134" t="s">
        <v>247</v>
      </c>
      <c r="B17" s="135"/>
      <c r="C17" s="135">
        <f>'Screener Input'!B23</f>
        <v>30.72</v>
      </c>
      <c r="D17" s="135">
        <f>'Screener Input'!C23</f>
        <v>32.92</v>
      </c>
      <c r="E17" s="135">
        <f>'Screener Input'!D23</f>
        <v>48.88</v>
      </c>
      <c r="F17" s="135">
        <f>'Screener Input'!E23</f>
        <v>68.02</v>
      </c>
      <c r="G17" s="135">
        <f>'Screener Input'!F23</f>
        <v>92.79</v>
      </c>
      <c r="H17" s="135">
        <f>'Screener Input'!G23</f>
        <v>101.09</v>
      </c>
      <c r="I17" s="135">
        <f>'Screener Input'!H23</f>
        <v>75.42</v>
      </c>
      <c r="J17" s="135">
        <f>'Screener Input'!I23</f>
        <v>80.02</v>
      </c>
      <c r="K17" s="135">
        <f>'Screener Input'!J23</f>
        <v>119.6</v>
      </c>
      <c r="L17" s="135">
        <f>'Screener Input'!K23</f>
        <v>141.94999999999999</v>
      </c>
      <c r="M17" s="135"/>
      <c r="N17" s="135"/>
    </row>
    <row r="18" spans="1:15">
      <c r="A18" s="134" t="s">
        <v>248</v>
      </c>
      <c r="B18" s="135"/>
      <c r="C18" s="135"/>
      <c r="D18" s="135"/>
      <c r="E18" s="135"/>
      <c r="F18" s="135"/>
      <c r="G18" s="135"/>
      <c r="H18" s="135"/>
      <c r="I18" s="135"/>
      <c r="J18" s="135"/>
      <c r="K18" s="135"/>
      <c r="L18" s="135"/>
      <c r="M18" s="135"/>
      <c r="N18" s="135"/>
    </row>
    <row r="19" spans="1:15">
      <c r="A19" s="134" t="s">
        <v>249</v>
      </c>
      <c r="B19" s="135"/>
      <c r="C19" s="135"/>
      <c r="D19" s="135"/>
      <c r="E19" s="135"/>
      <c r="F19" s="135"/>
      <c r="G19" s="135"/>
      <c r="H19" s="135"/>
      <c r="I19" s="135"/>
      <c r="J19" s="135"/>
      <c r="K19" s="135"/>
      <c r="L19" s="135"/>
      <c r="M19" s="135"/>
      <c r="N19" s="135"/>
    </row>
    <row r="20" spans="1:15">
      <c r="A20" s="134" t="s">
        <v>250</v>
      </c>
      <c r="B20" s="135"/>
      <c r="C20" s="135">
        <f>'Screener Input'!B20</f>
        <v>1.36</v>
      </c>
      <c r="D20" s="135">
        <f>'Screener Input'!C20</f>
        <v>1.62</v>
      </c>
      <c r="E20" s="135">
        <f>'Screener Input'!D20</f>
        <v>2.2999999999999998</v>
      </c>
      <c r="F20" s="135">
        <f>'Screener Input'!E20</f>
        <v>4.43</v>
      </c>
      <c r="G20" s="135">
        <f>'Screener Input'!F20</f>
        <v>6.3</v>
      </c>
      <c r="H20" s="135">
        <f>'Screener Input'!G20</f>
        <v>6.44</v>
      </c>
      <c r="I20" s="135">
        <f>'Screener Input'!H20</f>
        <v>7.71</v>
      </c>
      <c r="J20" s="135">
        <f>'Screener Input'!I20</f>
        <v>8.23</v>
      </c>
      <c r="K20" s="135">
        <f>'Screener Input'!J20</f>
        <v>10.69</v>
      </c>
      <c r="L20" s="135">
        <f>'Screener Input'!K20</f>
        <v>12.84</v>
      </c>
      <c r="M20" s="135"/>
      <c r="N20" s="135"/>
    </row>
    <row r="21" spans="1:15">
      <c r="A21" s="134" t="s">
        <v>251</v>
      </c>
      <c r="B21" s="135"/>
      <c r="C21" s="135">
        <f>'Screener Input'!B24</f>
        <v>4.1900000000000004</v>
      </c>
      <c r="D21" s="135">
        <f>'Screener Input'!C24</f>
        <v>14.8</v>
      </c>
      <c r="E21" s="135">
        <f>'Screener Input'!D24</f>
        <v>10.41</v>
      </c>
      <c r="F21" s="135">
        <f>'Screener Input'!E24</f>
        <v>14.8</v>
      </c>
      <c r="G21" s="135">
        <f>'Screener Input'!F24</f>
        <v>12.33</v>
      </c>
      <c r="H21" s="135">
        <f>'Screener Input'!G24</f>
        <v>15.11</v>
      </c>
      <c r="I21" s="135">
        <f>'Screener Input'!H24</f>
        <v>23.81</v>
      </c>
      <c r="J21" s="135">
        <f>'Screener Input'!I24</f>
        <v>34.159999999999997</v>
      </c>
      <c r="K21" s="135">
        <f>'Screener Input'!J24</f>
        <v>21.89</v>
      </c>
      <c r="L21" s="135">
        <f>'Screener Input'!K24</f>
        <v>49.86</v>
      </c>
      <c r="M21" s="135"/>
      <c r="N21" s="135"/>
    </row>
    <row r="22" spans="1:15">
      <c r="A22" s="134" t="s">
        <v>252</v>
      </c>
      <c r="B22" s="135"/>
      <c r="C22" s="135">
        <f>'Screener Output.v0'!L8</f>
        <v>1307.6600000000001</v>
      </c>
      <c r="D22" s="135"/>
      <c r="E22" s="135"/>
      <c r="F22" s="135"/>
      <c r="G22" s="136"/>
      <c r="H22" s="136"/>
      <c r="I22" s="136"/>
      <c r="J22" s="136"/>
      <c r="K22" s="134"/>
      <c r="L22" s="137"/>
      <c r="M22" s="137"/>
      <c r="N22" s="137"/>
    </row>
    <row r="23" spans="1:15">
      <c r="A23" s="138" t="s">
        <v>120</v>
      </c>
      <c r="B23" s="135"/>
      <c r="C23" s="135"/>
      <c r="D23" s="135">
        <f t="shared" ref="D23:L23" si="5">(D50-C50)+(D51-C51)+D30</f>
        <v>811.3900000000001</v>
      </c>
      <c r="E23" s="135">
        <f t="shared" si="5"/>
        <v>1058.9100000000001</v>
      </c>
      <c r="F23" s="135">
        <f t="shared" si="5"/>
        <v>1747.27</v>
      </c>
      <c r="G23" s="135">
        <f t="shared" si="5"/>
        <v>2426.8899999999994</v>
      </c>
      <c r="H23" s="135">
        <f t="shared" si="5"/>
        <v>2866.85</v>
      </c>
      <c r="I23" s="135">
        <f t="shared" si="5"/>
        <v>3093.4099999999994</v>
      </c>
      <c r="J23" s="135">
        <f t="shared" si="5"/>
        <v>24265.02</v>
      </c>
      <c r="K23" s="135">
        <f t="shared" si="5"/>
        <v>3422.9200000000014</v>
      </c>
      <c r="L23" s="135">
        <f t="shared" si="5"/>
        <v>-7119.7200000000021</v>
      </c>
      <c r="M23" s="135"/>
      <c r="N23" s="135"/>
    </row>
    <row r="24" spans="1:15" ht="18">
      <c r="A24" s="139" t="str">
        <f>'Screener Input'!A1</f>
        <v>COMPANY NAME</v>
      </c>
      <c r="B24" s="180"/>
      <c r="C24" s="180">
        <f t="shared" ref="C24:L24" si="6">C14</f>
        <v>39508</v>
      </c>
      <c r="D24" s="180">
        <f t="shared" si="6"/>
        <v>39873</v>
      </c>
      <c r="E24" s="180">
        <f t="shared" si="6"/>
        <v>40238</v>
      </c>
      <c r="F24" s="180">
        <f t="shared" si="6"/>
        <v>40603</v>
      </c>
      <c r="G24" s="180">
        <f t="shared" si="6"/>
        <v>40969</v>
      </c>
      <c r="H24" s="180">
        <f t="shared" si="6"/>
        <v>41334</v>
      </c>
      <c r="I24" s="180">
        <f t="shared" si="6"/>
        <v>41699</v>
      </c>
      <c r="J24" s="180">
        <f t="shared" si="6"/>
        <v>42064</v>
      </c>
      <c r="K24" s="180">
        <f t="shared" si="6"/>
        <v>42430</v>
      </c>
      <c r="L24" s="180">
        <f t="shared" si="6"/>
        <v>42795</v>
      </c>
      <c r="M24" s="180" t="s">
        <v>444</v>
      </c>
      <c r="N24" s="180" t="s">
        <v>445</v>
      </c>
    </row>
    <row r="25" spans="1:15">
      <c r="A25" s="140" t="s">
        <v>20</v>
      </c>
      <c r="B25" s="140"/>
      <c r="C25" s="224">
        <f>'Screener Input'!B17+'Screener Input'!B25</f>
        <v>789.58</v>
      </c>
      <c r="D25" s="224">
        <f>'Screener Input'!C17+'Screener Input'!C25</f>
        <v>1030.6500000000001</v>
      </c>
      <c r="E25" s="224">
        <f>'Screener Input'!D17+'Screener Input'!D25</f>
        <v>1753.8</v>
      </c>
      <c r="F25" s="224">
        <f>'Screener Input'!E17+'Screener Input'!E25</f>
        <v>2502.6</v>
      </c>
      <c r="G25" s="224">
        <f>'Screener Input'!F17+'Screener Input'!F25</f>
        <v>3258.24</v>
      </c>
      <c r="H25" s="224">
        <f>'Screener Input'!G17+'Screener Input'!G25</f>
        <v>3822.0299999999997</v>
      </c>
      <c r="I25" s="224">
        <f>'Screener Input'!H17+'Screener Input'!H25</f>
        <v>3853.3199999999997</v>
      </c>
      <c r="J25" s="224">
        <f>'Screener Input'!I17+'Screener Input'!I25</f>
        <v>3961.8900000000003</v>
      </c>
      <c r="K25" s="224">
        <f>'Screener Input'!J17+'Screener Input'!J25</f>
        <v>5255.11</v>
      </c>
      <c r="L25" s="224">
        <f>'Screener Input'!K17+'Screener Input'!K25</f>
        <v>5969.11</v>
      </c>
      <c r="M25" s="224">
        <f>SUM('Screener Input'!H42:K42)+SUM('Screener Input'!H44:K44)</f>
        <v>5989.47</v>
      </c>
      <c r="N25" s="224">
        <f>SUM('Screener Input'!D42:G42)+SUM('Screener Input'!D44:G44)</f>
        <v>5969.1</v>
      </c>
    </row>
    <row r="26" spans="1:15" s="229" customFormat="1" ht="14.25" customHeight="1">
      <c r="A26" s="145" t="s">
        <v>232</v>
      </c>
      <c r="B26" s="145"/>
      <c r="C26" s="333">
        <f>'Screener Input'!B17</f>
        <v>732.71</v>
      </c>
      <c r="D26" s="333">
        <f>'Screener Input'!C17</f>
        <v>991.88</v>
      </c>
      <c r="E26" s="333">
        <f>'Screener Input'!D17</f>
        <v>1704.85</v>
      </c>
      <c r="F26" s="333">
        <f>'Screener Input'!E17</f>
        <v>2438.11</v>
      </c>
      <c r="G26" s="333">
        <f>'Screener Input'!F17</f>
        <v>3133.02</v>
      </c>
      <c r="H26" s="333">
        <f>'Screener Input'!G17</f>
        <v>3687.24</v>
      </c>
      <c r="I26" s="333">
        <f>'Screener Input'!H17</f>
        <v>3731.89</v>
      </c>
      <c r="J26" s="333">
        <f>'Screener Input'!I17</f>
        <v>3848.88</v>
      </c>
      <c r="K26" s="333">
        <f>'Screener Input'!J17</f>
        <v>5127.95</v>
      </c>
      <c r="L26" s="333">
        <f>'Screener Input'!K17</f>
        <v>5845.94</v>
      </c>
      <c r="M26" s="333">
        <f>SUM('Screener Input'!H42:K42)</f>
        <v>5694.1100000000006</v>
      </c>
      <c r="N26" s="333">
        <f>SUM('Screener Input'!D42:G42)</f>
        <v>5845.93</v>
      </c>
    </row>
    <row r="27" spans="1:15">
      <c r="A27" s="140" t="str">
        <f t="shared" ref="A27:L27" si="7">A15</f>
        <v>Raw Materials</v>
      </c>
      <c r="B27" s="140"/>
      <c r="C27" s="224">
        <f t="shared" si="7"/>
        <v>0</v>
      </c>
      <c r="D27" s="224">
        <f t="shared" si="7"/>
        <v>0</v>
      </c>
      <c r="E27" s="224">
        <f t="shared" si="7"/>
        <v>0</v>
      </c>
      <c r="F27" s="224">
        <f t="shared" si="7"/>
        <v>0</v>
      </c>
      <c r="G27" s="224">
        <f t="shared" si="7"/>
        <v>0</v>
      </c>
      <c r="H27" s="224">
        <f t="shared" si="7"/>
        <v>469.72</v>
      </c>
      <c r="I27" s="224">
        <f t="shared" si="7"/>
        <v>502.65</v>
      </c>
      <c r="J27" s="224">
        <f t="shared" si="7"/>
        <v>434.48</v>
      </c>
      <c r="K27" s="224">
        <f t="shared" si="7"/>
        <v>371.3</v>
      </c>
      <c r="L27" s="224">
        <f t="shared" si="7"/>
        <v>268.29000000000002</v>
      </c>
      <c r="M27" s="224"/>
      <c r="N27" s="224"/>
    </row>
    <row r="28" spans="1:15">
      <c r="A28" s="140" t="s">
        <v>253</v>
      </c>
      <c r="B28" s="140"/>
      <c r="C28" s="224">
        <f t="shared" ref="C28:L28" si="8">C26-C27</f>
        <v>732.71</v>
      </c>
      <c r="D28" s="224">
        <f t="shared" si="8"/>
        <v>991.88</v>
      </c>
      <c r="E28" s="224">
        <f t="shared" si="8"/>
        <v>1704.85</v>
      </c>
      <c r="F28" s="224">
        <f t="shared" si="8"/>
        <v>2438.11</v>
      </c>
      <c r="G28" s="224">
        <f t="shared" si="8"/>
        <v>3133.02</v>
      </c>
      <c r="H28" s="224">
        <f t="shared" si="8"/>
        <v>3217.5199999999995</v>
      </c>
      <c r="I28" s="224">
        <f t="shared" si="8"/>
        <v>3229.24</v>
      </c>
      <c r="J28" s="224">
        <f t="shared" si="8"/>
        <v>3414.4</v>
      </c>
      <c r="K28" s="224">
        <f t="shared" si="8"/>
        <v>4756.6499999999996</v>
      </c>
      <c r="L28" s="224">
        <f t="shared" si="8"/>
        <v>5577.65</v>
      </c>
      <c r="M28" s="224"/>
      <c r="N28" s="224"/>
    </row>
    <row r="29" spans="1:15" s="246" customFormat="1">
      <c r="A29" s="142" t="s">
        <v>64</v>
      </c>
      <c r="B29" s="142"/>
      <c r="C29" s="226">
        <f>'Screener Input'!B17-'Screener Input'!B18-'Screener Input'!B20-'Screener Input'!B21-'Screener Input'!B22-'Screener Input'!B23-'Screener Input'!B24+'Screener Input'!B25+'Screener Input'!B19</f>
        <v>468.76000000000005</v>
      </c>
      <c r="D29" s="226">
        <f>'Screener Input'!C17-'Screener Input'!C18-'Screener Input'!C20-'Screener Input'!C21-'Screener Input'!C22-'Screener Input'!C23-'Screener Input'!C24+'Screener Input'!C25+'Screener Input'!C19</f>
        <v>477.58999999999986</v>
      </c>
      <c r="E29" s="226">
        <f>'Screener Input'!D17-'Screener Input'!D18-'Screener Input'!D20-'Screener Input'!D21-'Screener Input'!D22-'Screener Input'!D23-'Screener Input'!D24+'Screener Input'!D25+'Screener Input'!D19</f>
        <v>847.95</v>
      </c>
      <c r="F29" s="226">
        <f>'Screener Input'!E17-'Screener Input'!E18-'Screener Input'!E20-'Screener Input'!E21-'Screener Input'!E22-'Screener Input'!E23-'Screener Input'!E24+'Screener Input'!E25+'Screener Input'!E19</f>
        <v>1152.7500000000002</v>
      </c>
      <c r="G29" s="226">
        <f>'Screener Input'!F17-'Screener Input'!F18-'Screener Input'!F20-'Screener Input'!F21-'Screener Input'!F22-'Screener Input'!F23-'Screener Input'!F24+'Screener Input'!F25+'Screener Input'!F19</f>
        <v>1498.71</v>
      </c>
      <c r="H29" s="226">
        <f>'Screener Input'!G17-'Screener Input'!G18-'Screener Input'!G20-'Screener Input'!G21-'Screener Input'!G22-'Screener Input'!G23-'Screener Input'!G24+'Screener Input'!G25+'Screener Input'!G19</f>
        <v>1771.9599999999996</v>
      </c>
      <c r="I29" s="226">
        <f>'Screener Input'!H17-'Screener Input'!H18-'Screener Input'!H20-'Screener Input'!H21-'Screener Input'!H22-'Screener Input'!H23-'Screener Input'!H24+'Screener Input'!H25+'Screener Input'!H19</f>
        <v>1879.36</v>
      </c>
      <c r="J29" s="226">
        <f>'Screener Input'!I17-'Screener Input'!I18-'Screener Input'!I20-'Screener Input'!I21-'Screener Input'!I22-'Screener Input'!I23-'Screener Input'!I24+'Screener Input'!I25+'Screener Input'!I19</f>
        <v>2330.94</v>
      </c>
      <c r="K29" s="226">
        <f>'Screener Input'!J17-'Screener Input'!J18-'Screener Input'!J20-'Screener Input'!J21-'Screener Input'!J22-'Screener Input'!J23-'Screener Input'!J24+'Screener Input'!J25+'Screener Input'!J19</f>
        <v>2793.6499999999996</v>
      </c>
      <c r="L29" s="226">
        <f>'Screener Input'!K17-'Screener Input'!K18-'Screener Input'!K20-'Screener Input'!K21-'Screener Input'!K22-'Screener Input'!K23-'Screener Input'!K24+'Screener Input'!K25+'Screener Input'!K19</f>
        <v>3180.5099999999998</v>
      </c>
      <c r="M29" s="226">
        <f>SUM('Screener Input'!H50:K50)+SUM('Screener Input'!H44:K44)</f>
        <v>2974.7400000000002</v>
      </c>
      <c r="N29" s="226">
        <f>SUM('Screener Input'!D50:G50)</f>
        <v>3048.2799999999997</v>
      </c>
      <c r="O29" s="334"/>
    </row>
    <row r="30" spans="1:15">
      <c r="A30" s="140" t="s">
        <v>254</v>
      </c>
      <c r="B30" s="140"/>
      <c r="C30" s="224">
        <f>'Screener Input'!B26</f>
        <v>101.61</v>
      </c>
      <c r="D30" s="224">
        <f>'Screener Input'!C26</f>
        <v>114.38</v>
      </c>
      <c r="E30" s="224">
        <f>'Screener Input'!D26</f>
        <v>181.91</v>
      </c>
      <c r="F30" s="224">
        <f>'Screener Input'!E26</f>
        <v>225.37</v>
      </c>
      <c r="G30" s="224">
        <f>'Screener Input'!F26</f>
        <v>297.01</v>
      </c>
      <c r="H30" s="224">
        <f>'Screener Input'!G26</f>
        <v>441.52</v>
      </c>
      <c r="I30" s="224">
        <f>'Screener Input'!H26</f>
        <v>477.06</v>
      </c>
      <c r="J30" s="224">
        <f>'Screener Input'!I26</f>
        <v>707.06</v>
      </c>
      <c r="K30" s="224">
        <f>'Screener Input'!J26</f>
        <v>853.34</v>
      </c>
      <c r="L30" s="224">
        <f>'Screener Input'!K26</f>
        <v>854.79</v>
      </c>
      <c r="M30" s="224">
        <f>SUM('Screener Input'!H45:K45)</f>
        <v>544.04</v>
      </c>
      <c r="N30" s="224"/>
    </row>
    <row r="31" spans="1:15">
      <c r="A31" s="140" t="s">
        <v>255</v>
      </c>
      <c r="B31" s="140"/>
      <c r="C31" s="224">
        <f t="shared" ref="C31:L31" si="9">C29-C30</f>
        <v>367.15000000000003</v>
      </c>
      <c r="D31" s="224">
        <f t="shared" si="9"/>
        <v>363.20999999999987</v>
      </c>
      <c r="E31" s="224">
        <f t="shared" si="9"/>
        <v>666.04000000000008</v>
      </c>
      <c r="F31" s="224">
        <f t="shared" si="9"/>
        <v>927.38000000000022</v>
      </c>
      <c r="G31" s="224">
        <f t="shared" si="9"/>
        <v>1201.7</v>
      </c>
      <c r="H31" s="224">
        <f t="shared" si="9"/>
        <v>1330.4399999999996</v>
      </c>
      <c r="I31" s="224">
        <f t="shared" si="9"/>
        <v>1402.3</v>
      </c>
      <c r="J31" s="224">
        <f t="shared" si="9"/>
        <v>1623.88</v>
      </c>
      <c r="K31" s="224">
        <f t="shared" si="9"/>
        <v>1940.3099999999995</v>
      </c>
      <c r="L31" s="224">
        <f t="shared" si="9"/>
        <v>2325.7199999999998</v>
      </c>
      <c r="M31" s="224"/>
      <c r="N31" s="224"/>
    </row>
    <row r="32" spans="1:15">
      <c r="A32" s="140" t="s">
        <v>24</v>
      </c>
      <c r="B32" s="140"/>
      <c r="C32" s="224">
        <f>'Screener Input'!B27</f>
        <v>200.6</v>
      </c>
      <c r="D32" s="224">
        <f>'Screener Input'!C27</f>
        <v>148.26</v>
      </c>
      <c r="E32" s="224">
        <f>'Screener Input'!D27</f>
        <v>249.39</v>
      </c>
      <c r="F32" s="224">
        <f>'Screener Input'!E27</f>
        <v>351.54</v>
      </c>
      <c r="G32" s="224">
        <f>'Screener Input'!F27</f>
        <v>550.5</v>
      </c>
      <c r="H32" s="224">
        <f>'Screener Input'!G27</f>
        <v>623.85</v>
      </c>
      <c r="I32" s="224">
        <f>'Screener Input'!H27</f>
        <v>760.42</v>
      </c>
      <c r="J32" s="224">
        <f>'Screener Input'!I27</f>
        <v>937.43</v>
      </c>
      <c r="K32" s="224">
        <f>'Screener Input'!J27</f>
        <v>1070.1500000000001</v>
      </c>
      <c r="L32" s="224">
        <f>'Screener Input'!K27</f>
        <v>1341.78</v>
      </c>
      <c r="M32" s="224">
        <f>SUM('Screener Input'!H46:K46)</f>
        <v>966.66</v>
      </c>
      <c r="N32" s="224"/>
    </row>
    <row r="33" spans="1:14">
      <c r="A33" s="140" t="s">
        <v>256</v>
      </c>
      <c r="B33" s="140"/>
      <c r="C33" s="224">
        <f t="shared" ref="C33:L33" si="10">C31-C32</f>
        <v>166.55000000000004</v>
      </c>
      <c r="D33" s="224">
        <f t="shared" si="10"/>
        <v>214.94999999999987</v>
      </c>
      <c r="E33" s="224">
        <f t="shared" si="10"/>
        <v>416.65000000000009</v>
      </c>
      <c r="F33" s="224">
        <f t="shared" si="10"/>
        <v>575.84000000000015</v>
      </c>
      <c r="G33" s="224">
        <f t="shared" si="10"/>
        <v>651.20000000000005</v>
      </c>
      <c r="H33" s="224">
        <f t="shared" si="10"/>
        <v>706.58999999999958</v>
      </c>
      <c r="I33" s="224">
        <f t="shared" si="10"/>
        <v>641.88</v>
      </c>
      <c r="J33" s="224">
        <f t="shared" si="10"/>
        <v>686.45000000000016</v>
      </c>
      <c r="K33" s="224">
        <f t="shared" si="10"/>
        <v>870.1599999999994</v>
      </c>
      <c r="L33" s="224">
        <f t="shared" si="10"/>
        <v>983.93999999999983</v>
      </c>
      <c r="M33" s="224"/>
      <c r="N33" s="224"/>
    </row>
    <row r="34" spans="1:14">
      <c r="A34" s="140" t="s">
        <v>26</v>
      </c>
      <c r="B34" s="140"/>
      <c r="C34" s="224">
        <f>'Screener Input'!B29</f>
        <v>39.99</v>
      </c>
      <c r="D34" s="224">
        <f>'Screener Input'!C29</f>
        <v>37.78</v>
      </c>
      <c r="E34" s="224">
        <f>'Screener Input'!D29</f>
        <v>13.3</v>
      </c>
      <c r="F34" s="224">
        <f>'Screener Input'!E29</f>
        <v>111.75</v>
      </c>
      <c r="G34" s="224">
        <f>'Screener Input'!F29</f>
        <v>155.19</v>
      </c>
      <c r="H34" s="224">
        <f>'Screener Input'!G29</f>
        <v>153.01</v>
      </c>
      <c r="I34" s="224">
        <f>'Screener Input'!H29</f>
        <v>182.26</v>
      </c>
      <c r="J34" s="224">
        <f>'Screener Input'!I29</f>
        <v>144.08000000000001</v>
      </c>
      <c r="K34" s="224">
        <f>'Screener Input'!J29</f>
        <v>230.63</v>
      </c>
      <c r="L34" s="224">
        <f>'Screener Input'!K29</f>
        <v>268.52</v>
      </c>
      <c r="M34" s="224">
        <f>SUM('Screener Input'!H48:K48)</f>
        <v>544.36</v>
      </c>
      <c r="N34" s="224"/>
    </row>
    <row r="35" spans="1:14">
      <c r="A35" s="140" t="s">
        <v>235</v>
      </c>
      <c r="B35" s="140"/>
      <c r="C35" s="224">
        <f t="shared" ref="C35:L35" si="11">C33-C34</f>
        <v>126.56000000000003</v>
      </c>
      <c r="D35" s="224">
        <f t="shared" si="11"/>
        <v>177.16999999999987</v>
      </c>
      <c r="E35" s="224">
        <f t="shared" si="11"/>
        <v>403.35000000000008</v>
      </c>
      <c r="F35" s="224">
        <f t="shared" si="11"/>
        <v>464.09000000000015</v>
      </c>
      <c r="G35" s="224">
        <f t="shared" si="11"/>
        <v>496.01000000000005</v>
      </c>
      <c r="H35" s="224">
        <f t="shared" si="11"/>
        <v>553.57999999999959</v>
      </c>
      <c r="I35" s="224">
        <f t="shared" si="11"/>
        <v>459.62</v>
      </c>
      <c r="J35" s="224">
        <f t="shared" si="11"/>
        <v>542.37000000000012</v>
      </c>
      <c r="K35" s="224">
        <f t="shared" si="11"/>
        <v>639.5299999999994</v>
      </c>
      <c r="L35" s="224">
        <f t="shared" si="11"/>
        <v>715.41999999999985</v>
      </c>
      <c r="M35" s="224">
        <f>SUM('Screener Input'!H49:K49)</f>
        <v>919.67000000000007</v>
      </c>
      <c r="N35" s="224">
        <f>SUM('Screener Input'!D49:G49)</f>
        <v>715.45</v>
      </c>
    </row>
    <row r="36" spans="1:14">
      <c r="A36" s="140" t="s">
        <v>257</v>
      </c>
      <c r="B36" s="140"/>
      <c r="C36" s="224">
        <f>'Screener Input'!B31</f>
        <v>0</v>
      </c>
      <c r="D36" s="224">
        <f>'Screener Input'!C31</f>
        <v>55.7</v>
      </c>
      <c r="E36" s="224">
        <f>'Screener Input'!D31</f>
        <v>64.599999999999994</v>
      </c>
      <c r="F36" s="224">
        <f>'Screener Input'!E31</f>
        <v>49.85</v>
      </c>
      <c r="G36" s="224">
        <f>'Screener Input'!F31</f>
        <v>59.83</v>
      </c>
      <c r="H36" s="224">
        <f>'Screener Input'!G31</f>
        <v>132.94999999999999</v>
      </c>
      <c r="I36" s="224">
        <f>'Screener Input'!H31</f>
        <v>132.94999999999999</v>
      </c>
      <c r="J36" s="224">
        <f>'Screener Input'!I31</f>
        <v>136.76</v>
      </c>
      <c r="K36" s="224">
        <f>'Screener Input'!J31</f>
        <v>210.87</v>
      </c>
      <c r="L36" s="224">
        <f>'Screener Input'!K31</f>
        <v>70.290000000000006</v>
      </c>
      <c r="M36" s="224"/>
      <c r="N36" s="224"/>
    </row>
    <row r="37" spans="1:14">
      <c r="A37" s="140" t="s">
        <v>4</v>
      </c>
      <c r="C37" s="224">
        <f>'Screener Input'!B90*'Screener Input'!B93</f>
        <v>6376.0730862399996</v>
      </c>
      <c r="D37" s="224">
        <f>'Screener Input'!C90*'Screener Input'!C93</f>
        <v>3294.3930583199999</v>
      </c>
      <c r="E37" s="224">
        <f>'Screener Input'!D90*'Screener Input'!D93</f>
        <v>9255.6757352799996</v>
      </c>
      <c r="F37" s="224">
        <f>'Screener Input'!E90*'Screener Input'!E93</f>
        <v>6879.2723487799994</v>
      </c>
      <c r="G37" s="224">
        <f>'Screener Input'!F90*'Screener Input'!F93</f>
        <v>6154.7185889799994</v>
      </c>
      <c r="H37" s="224">
        <f>'Screener Input'!G90*'Screener Input'!G93</f>
        <v>3874.7007943799995</v>
      </c>
      <c r="I37" s="224">
        <f>'Screener Input'!H90*'Screener Input'!H93</f>
        <v>3812.8810699199994</v>
      </c>
      <c r="J37" s="224">
        <f>'Screener Input'!I90*'Screener Input'!I93</f>
        <v>8598.5757000000012</v>
      </c>
      <c r="K37" s="224">
        <f>'Screener Input'!J90*'Screener Input'!J93</f>
        <v>7772.668200000001</v>
      </c>
      <c r="L37" s="224">
        <f>'Screener Input'!K90*'Screener Input'!K93</f>
        <v>8608.7677500000009</v>
      </c>
      <c r="M37" s="224"/>
      <c r="N37" s="224"/>
    </row>
    <row r="38" spans="1:14">
      <c r="A38" s="141" t="s">
        <v>258</v>
      </c>
      <c r="B38" s="192">
        <f>'Screener Input'!B9</f>
        <v>7835.58</v>
      </c>
      <c r="C38" s="406"/>
      <c r="D38" s="407"/>
      <c r="E38" s="407"/>
      <c r="F38" s="407"/>
      <c r="G38" s="407"/>
      <c r="H38" s="407"/>
      <c r="I38" s="407"/>
      <c r="J38" s="407"/>
      <c r="K38" s="408"/>
      <c r="L38" s="227">
        <f>L35+L34+L32+L30</f>
        <v>3180.5099999999998</v>
      </c>
      <c r="M38" s="126"/>
      <c r="N38" s="126"/>
    </row>
    <row r="39" spans="1:14">
      <c r="A39" s="141" t="s">
        <v>361</v>
      </c>
      <c r="C39" s="188"/>
      <c r="D39" s="188"/>
      <c r="E39" s="188"/>
      <c r="F39" s="188"/>
      <c r="G39" s="188"/>
      <c r="H39" s="188"/>
      <c r="I39" s="188"/>
      <c r="J39" s="188"/>
      <c r="K39" s="188"/>
      <c r="L39" s="126"/>
      <c r="N39" s="126"/>
    </row>
    <row r="40" spans="1:14">
      <c r="A40" s="142" t="s">
        <v>259</v>
      </c>
      <c r="B40" s="143"/>
      <c r="C40" s="224">
        <f>'Screener Input'!B57</f>
        <v>332.36</v>
      </c>
      <c r="D40" s="224">
        <f>'Screener Input'!C57</f>
        <v>332.36</v>
      </c>
      <c r="E40" s="224">
        <f>'Screener Input'!D57</f>
        <v>332.36</v>
      </c>
      <c r="F40" s="224">
        <f>'Screener Input'!E57</f>
        <v>332.36</v>
      </c>
      <c r="G40" s="224">
        <f>'Screener Input'!F57</f>
        <v>332.36</v>
      </c>
      <c r="H40" s="224">
        <f>'Screener Input'!G57</f>
        <v>332.36</v>
      </c>
      <c r="I40" s="224">
        <f>'Screener Input'!H57</f>
        <v>332.36</v>
      </c>
      <c r="J40" s="224">
        <f>'Screener Input'!I57</f>
        <v>351.45</v>
      </c>
      <c r="K40" s="224">
        <f>'Screener Input'!J57</f>
        <v>351.45</v>
      </c>
      <c r="L40" s="224">
        <f>'Screener Input'!K57</f>
        <v>351.45</v>
      </c>
      <c r="M40" s="224"/>
      <c r="N40" s="224"/>
    </row>
    <row r="41" spans="1:14">
      <c r="A41" s="142" t="s">
        <v>260</v>
      </c>
      <c r="B41" s="142"/>
      <c r="C41" s="226">
        <f>'Screener Input'!B58</f>
        <v>1288.33</v>
      </c>
      <c r="D41" s="226">
        <f>'Screener Input'!C58</f>
        <v>1397.71</v>
      </c>
      <c r="E41" s="226">
        <f>'Screener Input'!D58</f>
        <v>1707.53</v>
      </c>
      <c r="F41" s="226">
        <f>'Screener Input'!E58</f>
        <v>2100.2199999999998</v>
      </c>
      <c r="G41" s="226">
        <f>'Screener Input'!F58</f>
        <v>2524.27</v>
      </c>
      <c r="H41" s="226">
        <f>'Screener Input'!G58</f>
        <v>2923.25</v>
      </c>
      <c r="I41" s="226">
        <f>'Screener Input'!H58</f>
        <v>3228.33</v>
      </c>
      <c r="J41" s="226">
        <f>'Screener Input'!I58</f>
        <v>4009.41</v>
      </c>
      <c r="K41" s="226">
        <f>'Screener Input'!J58</f>
        <v>4484.84</v>
      </c>
      <c r="L41" s="226">
        <f>'Screener Input'!K58</f>
        <v>4920.1499999999996</v>
      </c>
      <c r="M41" s="226"/>
      <c r="N41" s="226"/>
    </row>
    <row r="42" spans="1:14">
      <c r="A42" s="142" t="s">
        <v>9</v>
      </c>
      <c r="B42" s="140"/>
      <c r="C42" s="224">
        <f t="shared" ref="C42:L42" si="12">C41+C40</f>
        <v>1620.69</v>
      </c>
      <c r="D42" s="224">
        <f t="shared" si="12"/>
        <v>1730.0700000000002</v>
      </c>
      <c r="E42" s="224">
        <f t="shared" si="12"/>
        <v>2039.8899999999999</v>
      </c>
      <c r="F42" s="224">
        <f t="shared" si="12"/>
        <v>2432.58</v>
      </c>
      <c r="G42" s="224">
        <f t="shared" si="12"/>
        <v>2856.63</v>
      </c>
      <c r="H42" s="224">
        <f t="shared" si="12"/>
        <v>3255.61</v>
      </c>
      <c r="I42" s="224">
        <f t="shared" si="12"/>
        <v>3560.69</v>
      </c>
      <c r="J42" s="224">
        <f t="shared" si="12"/>
        <v>4360.8599999999997</v>
      </c>
      <c r="K42" s="224">
        <f t="shared" si="12"/>
        <v>4836.29</v>
      </c>
      <c r="L42" s="224">
        <f t="shared" si="12"/>
        <v>5271.5999999999995</v>
      </c>
      <c r="M42" s="224"/>
      <c r="N42" s="224"/>
    </row>
    <row r="43" spans="1:14">
      <c r="A43" s="144" t="s">
        <v>10</v>
      </c>
      <c r="B43" s="145"/>
      <c r="C43" s="224"/>
      <c r="D43" s="224"/>
      <c r="E43" s="224"/>
      <c r="F43" s="224"/>
      <c r="G43" s="224"/>
      <c r="H43" s="224"/>
      <c r="I43" s="224"/>
      <c r="J43" s="224"/>
      <c r="K43" s="224"/>
      <c r="L43" s="227"/>
      <c r="M43" s="227"/>
      <c r="N43" s="227"/>
    </row>
    <row r="44" spans="1:14">
      <c r="A44" s="144" t="s">
        <v>11</v>
      </c>
      <c r="B44" s="145"/>
      <c r="C44" s="224"/>
      <c r="D44" s="224"/>
      <c r="E44" s="224"/>
      <c r="F44" s="224"/>
      <c r="G44" s="224"/>
      <c r="H44" s="224"/>
      <c r="I44" s="224"/>
      <c r="J44" s="224"/>
      <c r="K44" s="224"/>
      <c r="L44" s="227"/>
      <c r="M44" s="227"/>
      <c r="N44" s="227"/>
    </row>
    <row r="45" spans="1:14">
      <c r="A45" s="144" t="s">
        <v>261</v>
      </c>
      <c r="B45" s="142"/>
      <c r="C45" s="226">
        <f>'Screener Input'!B59</f>
        <v>2021.25</v>
      </c>
      <c r="D45" s="226">
        <f>'Screener Input'!C59</f>
        <v>2485.89</v>
      </c>
      <c r="E45" s="226">
        <f>'Screener Input'!D59</f>
        <v>2915.24</v>
      </c>
      <c r="F45" s="226">
        <f>'Screener Input'!E59</f>
        <v>4624.22</v>
      </c>
      <c r="G45" s="226">
        <f>'Screener Input'!F59</f>
        <v>7072.19</v>
      </c>
      <c r="H45" s="226">
        <f>'Screener Input'!G59</f>
        <v>8776.0499999999993</v>
      </c>
      <c r="I45" s="226">
        <f>'Screener Input'!H59</f>
        <v>11084.09</v>
      </c>
      <c r="J45" s="226">
        <f>'Screener Input'!I59</f>
        <v>12576.19</v>
      </c>
      <c r="K45" s="226">
        <f>'Screener Input'!J59</f>
        <v>15626.06</v>
      </c>
      <c r="L45" s="226">
        <f>'Screener Input'!K59</f>
        <v>13963.09</v>
      </c>
      <c r="M45" s="226"/>
      <c r="N45" s="226"/>
    </row>
    <row r="46" spans="1:14">
      <c r="A46" s="144" t="s">
        <v>262</v>
      </c>
      <c r="B46" s="142"/>
      <c r="C46" s="226">
        <f>'Screener Input'!B60</f>
        <v>291.55</v>
      </c>
      <c r="D46" s="226">
        <f>'Screener Input'!C60</f>
        <v>385.61</v>
      </c>
      <c r="E46" s="226">
        <f>'Screener Input'!D60</f>
        <v>587.57000000000005</v>
      </c>
      <c r="F46" s="226">
        <f>'Screener Input'!E60</f>
        <v>925.21</v>
      </c>
      <c r="G46" s="226">
        <f>'Screener Input'!F60</f>
        <v>931.99</v>
      </c>
      <c r="H46" s="226">
        <f>'Screener Input'!G60</f>
        <v>1041.46</v>
      </c>
      <c r="I46" s="226">
        <f>'Screener Input'!H60</f>
        <v>1069.5999999999999</v>
      </c>
      <c r="J46" s="226">
        <f>'Screener Input'!I60</f>
        <v>22466.2</v>
      </c>
      <c r="K46" s="226">
        <f>'Screener Input'!J60</f>
        <v>21711.58</v>
      </c>
      <c r="L46" s="226">
        <f>'Screener Input'!K60</f>
        <v>27449.17</v>
      </c>
      <c r="M46" s="226"/>
      <c r="N46" s="226"/>
    </row>
    <row r="47" spans="1:14">
      <c r="A47" s="144" t="s">
        <v>263</v>
      </c>
      <c r="B47" s="142"/>
      <c r="C47" s="226">
        <f>'Screener Input'!B65</f>
        <v>961.34</v>
      </c>
      <c r="D47" s="226">
        <f>'Screener Input'!C65</f>
        <v>1020.07</v>
      </c>
      <c r="E47" s="226">
        <f>'Screener Input'!D65</f>
        <v>1149.97</v>
      </c>
      <c r="F47" s="226">
        <f>'Screener Input'!E65</f>
        <v>2057.38</v>
      </c>
      <c r="G47" s="226">
        <f>'Screener Input'!F65</f>
        <v>2847.41</v>
      </c>
      <c r="H47" s="226">
        <f>'Screener Input'!G65</f>
        <v>2586.31</v>
      </c>
      <c r="I47" s="226">
        <f>'Screener Input'!H65</f>
        <v>2658.73</v>
      </c>
      <c r="J47" s="226">
        <f>'Screener Input'!I65</f>
        <v>2795.38</v>
      </c>
      <c r="K47" s="226">
        <f>'Screener Input'!J65</f>
        <v>2969.01</v>
      </c>
      <c r="L47" s="226">
        <f>'Screener Input'!K65</f>
        <v>15343.81</v>
      </c>
      <c r="M47" s="226"/>
      <c r="N47" s="226"/>
    </row>
    <row r="48" spans="1:14">
      <c r="A48" s="144" t="s">
        <v>16</v>
      </c>
      <c r="B48" s="142"/>
      <c r="C48" s="226">
        <f>'Screener Input'!B60</f>
        <v>291.55</v>
      </c>
      <c r="D48" s="226">
        <f>'Screener Input'!C60</f>
        <v>385.61</v>
      </c>
      <c r="E48" s="226">
        <f>'Screener Input'!D60</f>
        <v>587.57000000000005</v>
      </c>
      <c r="F48" s="226">
        <f>'Screener Input'!E60</f>
        <v>925.21</v>
      </c>
      <c r="G48" s="226">
        <f>'Screener Input'!F60</f>
        <v>931.99</v>
      </c>
      <c r="H48" s="226">
        <f>'Screener Input'!G60</f>
        <v>1041.46</v>
      </c>
      <c r="I48" s="226">
        <f>'Screener Input'!H60</f>
        <v>1069.5999999999999</v>
      </c>
      <c r="J48" s="226">
        <f>'Screener Input'!I60</f>
        <v>22466.2</v>
      </c>
      <c r="K48" s="226">
        <f>'Screener Input'!J60</f>
        <v>21711.58</v>
      </c>
      <c r="L48" s="226">
        <f>'Screener Input'!K60</f>
        <v>27449.17</v>
      </c>
      <c r="M48" s="226"/>
      <c r="N48" s="226"/>
    </row>
    <row r="49" spans="1:14">
      <c r="A49" s="144" t="s">
        <v>17</v>
      </c>
      <c r="B49" s="142"/>
      <c r="C49" s="226">
        <f>'Screener Input'!B66</f>
        <v>3933.49</v>
      </c>
      <c r="D49" s="226">
        <f>'Screener Input'!C66</f>
        <v>4601.57</v>
      </c>
      <c r="E49" s="226">
        <f>'Screener Input'!D66</f>
        <v>5542.7</v>
      </c>
      <c r="F49" s="226">
        <f>'Screener Input'!E66</f>
        <v>7982.01</v>
      </c>
      <c r="G49" s="226">
        <f>'Screener Input'!F66</f>
        <v>10860.81</v>
      </c>
      <c r="H49" s="226">
        <f>'Screener Input'!G66</f>
        <v>13073.12</v>
      </c>
      <c r="I49" s="226">
        <f>'Screener Input'!H66</f>
        <v>15714.38</v>
      </c>
      <c r="J49" s="226">
        <f>'Screener Input'!I66</f>
        <v>39403.25</v>
      </c>
      <c r="K49" s="226">
        <f>'Screener Input'!J66</f>
        <v>42173.93</v>
      </c>
      <c r="L49" s="226">
        <f>'Screener Input'!K66</f>
        <v>46683.86</v>
      </c>
      <c r="M49" s="226"/>
      <c r="N49" s="226"/>
    </row>
    <row r="50" spans="1:14">
      <c r="A50" s="258" t="s">
        <v>264</v>
      </c>
      <c r="B50" s="258"/>
      <c r="C50" s="259">
        <f>'Screener Input'!B62</f>
        <v>1884.81</v>
      </c>
      <c r="D50" s="259">
        <f>'Screener Input'!C62</f>
        <v>2016.13</v>
      </c>
      <c r="E50" s="259">
        <f>'Screener Input'!D62</f>
        <v>3467.42</v>
      </c>
      <c r="F50" s="259">
        <f>'Screener Input'!E62</f>
        <v>3362.17</v>
      </c>
      <c r="G50" s="259">
        <f>'Screener Input'!F62</f>
        <v>5554.24</v>
      </c>
      <c r="H50" s="259">
        <f>'Screener Input'!G62</f>
        <v>5508.82</v>
      </c>
      <c r="I50" s="259">
        <f>'Screener Input'!H62</f>
        <v>8554.4</v>
      </c>
      <c r="J50" s="259">
        <f>'Screener Input'!I62</f>
        <v>31763.759999999998</v>
      </c>
      <c r="K50" s="259">
        <f>'Screener Input'!J62</f>
        <v>35148.82</v>
      </c>
      <c r="L50" s="259">
        <f>'Screener Input'!K62</f>
        <v>24387.759999999998</v>
      </c>
      <c r="M50" s="224"/>
      <c r="N50" s="224"/>
    </row>
    <row r="51" spans="1:14">
      <c r="A51" s="140" t="s">
        <v>14</v>
      </c>
      <c r="B51" s="140"/>
      <c r="C51" s="224">
        <f>'Screener Input'!B63</f>
        <v>888.85</v>
      </c>
      <c r="D51" s="224">
        <f>'Screener Input'!C63</f>
        <v>1454.54</v>
      </c>
      <c r="E51" s="224">
        <f>'Screener Input'!D63</f>
        <v>880.25</v>
      </c>
      <c r="F51" s="224">
        <f>'Screener Input'!E63</f>
        <v>2507.4</v>
      </c>
      <c r="G51" s="224">
        <f>'Screener Input'!F63</f>
        <v>2445.21</v>
      </c>
      <c r="H51" s="224">
        <f>'Screener Input'!G63</f>
        <v>4915.96</v>
      </c>
      <c r="I51" s="224">
        <f>'Screener Input'!H63</f>
        <v>4486.7299999999996</v>
      </c>
      <c r="J51" s="224">
        <f>'Screener Input'!I63</f>
        <v>4835.33</v>
      </c>
      <c r="K51" s="224">
        <f>'Screener Input'!J63</f>
        <v>4019.85</v>
      </c>
      <c r="L51" s="224">
        <f>'Screener Input'!K63</f>
        <v>6806.4</v>
      </c>
      <c r="M51" s="224"/>
      <c r="N51" s="224"/>
    </row>
    <row r="52" spans="1:14">
      <c r="A52" s="144" t="s">
        <v>63</v>
      </c>
      <c r="B52" s="142"/>
      <c r="C52" s="226">
        <f>'Screener Input'!B65-'Screener Input'!B60</f>
        <v>669.79</v>
      </c>
      <c r="D52" s="226">
        <f>'Screener Input'!C65-'Screener Input'!C60</f>
        <v>634.46</v>
      </c>
      <c r="E52" s="226">
        <f>'Screener Input'!D65-'Screener Input'!D60</f>
        <v>562.4</v>
      </c>
      <c r="F52" s="226">
        <f>'Screener Input'!E65-'Screener Input'!E60</f>
        <v>1132.17</v>
      </c>
      <c r="G52" s="226">
        <f>'Screener Input'!F65-'Screener Input'!F60</f>
        <v>1915.4199999999998</v>
      </c>
      <c r="H52" s="226">
        <f>'Screener Input'!G65-'Screener Input'!G60</f>
        <v>1544.85</v>
      </c>
      <c r="I52" s="226">
        <f>'Screener Input'!H65-'Screener Input'!H60</f>
        <v>1589.13</v>
      </c>
      <c r="J52" s="226">
        <f>'Screener Input'!I65-'Screener Input'!I60</f>
        <v>-19670.82</v>
      </c>
      <c r="K52" s="226">
        <f>'Screener Input'!J65-'Screener Input'!J60</f>
        <v>-18742.57</v>
      </c>
      <c r="L52" s="226">
        <f>'Screener Input'!K65-'Screener Input'!K60</f>
        <v>-12105.359999999999</v>
      </c>
      <c r="M52" s="226"/>
      <c r="N52" s="226"/>
    </row>
    <row r="53" spans="1:14">
      <c r="A53" s="142" t="s">
        <v>242</v>
      </c>
      <c r="B53" s="142"/>
      <c r="C53" s="226">
        <f>'Screener Input'!B67</f>
        <v>11.76</v>
      </c>
      <c r="D53" s="226">
        <f>'Screener Input'!C67</f>
        <v>12.98</v>
      </c>
      <c r="E53" s="226">
        <f>'Screener Input'!D67</f>
        <v>29.72</v>
      </c>
      <c r="F53" s="226">
        <f>'Screener Input'!E67</f>
        <v>39.65</v>
      </c>
      <c r="G53" s="226">
        <f>'Screener Input'!F67</f>
        <v>14.07</v>
      </c>
      <c r="H53" s="226">
        <f>'Screener Input'!G67</f>
        <v>8</v>
      </c>
      <c r="I53" s="226">
        <f>'Screener Input'!H67</f>
        <v>5.52</v>
      </c>
      <c r="J53" s="226">
        <f>'Screener Input'!I67</f>
        <v>4.91</v>
      </c>
      <c r="K53" s="226">
        <f>'Screener Input'!J67</f>
        <v>8.66</v>
      </c>
      <c r="L53" s="226">
        <f>'Screener Input'!K67</f>
        <v>70.47</v>
      </c>
      <c r="M53" s="226"/>
      <c r="N53" s="226"/>
    </row>
    <row r="54" spans="1:14">
      <c r="A54" s="142" t="s">
        <v>241</v>
      </c>
      <c r="B54" s="142"/>
      <c r="C54" s="226">
        <f>'Screener Input'!B68</f>
        <v>50.21</v>
      </c>
      <c r="D54" s="226">
        <f>'Screener Input'!C68</f>
        <v>205.4</v>
      </c>
      <c r="E54" s="226">
        <f>'Screener Input'!D68</f>
        <v>169.77</v>
      </c>
      <c r="F54" s="226">
        <f>'Screener Input'!E68</f>
        <v>163.84</v>
      </c>
      <c r="G54" s="226">
        <f>'Screener Input'!F68</f>
        <v>162.41999999999999</v>
      </c>
      <c r="H54" s="226">
        <f>'Screener Input'!G68</f>
        <v>248.85</v>
      </c>
      <c r="I54" s="226">
        <f>'Screener Input'!H68</f>
        <v>268.33999999999997</v>
      </c>
      <c r="J54" s="226">
        <f>'Screener Input'!I68</f>
        <v>259.85000000000002</v>
      </c>
      <c r="K54" s="226">
        <f>'Screener Input'!J68</f>
        <v>308.83999999999997</v>
      </c>
      <c r="L54" s="226">
        <f>'Screener Input'!K68</f>
        <v>352.71</v>
      </c>
      <c r="M54" s="226"/>
      <c r="N54" s="226"/>
    </row>
    <row r="55" spans="1:14">
      <c r="A55" s="142" t="s">
        <v>265</v>
      </c>
      <c r="B55" s="142"/>
      <c r="C55" s="226">
        <f>'Screener Input'!B69</f>
        <v>522.15</v>
      </c>
      <c r="D55" s="226">
        <f>'Screener Input'!C69</f>
        <v>414.73</v>
      </c>
      <c r="E55" s="226">
        <f>'Screener Input'!D69</f>
        <v>510.21</v>
      </c>
      <c r="F55" s="226">
        <f>'Screener Input'!E69</f>
        <v>1199.96</v>
      </c>
      <c r="G55" s="226">
        <f>'Screener Input'!F69</f>
        <v>1820.76</v>
      </c>
      <c r="H55" s="226">
        <f>'Screener Input'!G69</f>
        <v>1471</v>
      </c>
      <c r="I55" s="226">
        <f>'Screener Input'!H69</f>
        <v>1482.35</v>
      </c>
      <c r="J55" s="226">
        <f>'Screener Input'!I69</f>
        <v>1575.7</v>
      </c>
      <c r="K55" s="226">
        <f>'Screener Input'!J69</f>
        <v>1500.78</v>
      </c>
      <c r="L55" s="226">
        <f>'Screener Input'!K69</f>
        <v>1307.6600000000001</v>
      </c>
      <c r="M55" s="226"/>
      <c r="N55" s="226"/>
    </row>
    <row r="56" spans="1:14">
      <c r="A56" s="140" t="s">
        <v>266</v>
      </c>
      <c r="B56" s="145"/>
      <c r="C56" s="224"/>
      <c r="D56" s="224"/>
      <c r="E56" s="224"/>
      <c r="F56" s="224"/>
      <c r="G56" s="224"/>
      <c r="H56" s="224"/>
      <c r="I56" s="224"/>
      <c r="J56" s="224"/>
      <c r="K56" s="224"/>
      <c r="L56" s="227"/>
      <c r="M56" s="227"/>
      <c r="N56" s="227"/>
    </row>
    <row r="57" spans="1:14">
      <c r="A57" s="144" t="s">
        <v>267</v>
      </c>
      <c r="B57" s="140"/>
      <c r="C57" s="224">
        <f t="shared" ref="C57:L57" si="13">C42+C45</f>
        <v>3641.94</v>
      </c>
      <c r="D57" s="224">
        <f t="shared" si="13"/>
        <v>4215.96</v>
      </c>
      <c r="E57" s="224">
        <f t="shared" si="13"/>
        <v>4955.1299999999992</v>
      </c>
      <c r="F57" s="224">
        <f t="shared" si="13"/>
        <v>7056.8</v>
      </c>
      <c r="G57" s="224">
        <f t="shared" si="13"/>
        <v>9928.82</v>
      </c>
      <c r="H57" s="224">
        <f t="shared" si="13"/>
        <v>12031.66</v>
      </c>
      <c r="I57" s="224">
        <f t="shared" si="13"/>
        <v>14644.78</v>
      </c>
      <c r="J57" s="224">
        <f t="shared" si="13"/>
        <v>16937.05</v>
      </c>
      <c r="K57" s="224">
        <f t="shared" si="13"/>
        <v>20462.349999999999</v>
      </c>
      <c r="L57" s="224">
        <f t="shared" si="13"/>
        <v>19234.689999999999</v>
      </c>
      <c r="M57" s="224"/>
      <c r="N57" s="224"/>
    </row>
    <row r="58" spans="1:14">
      <c r="A58" s="144" t="s">
        <v>268</v>
      </c>
      <c r="B58" s="140"/>
      <c r="C58" s="224">
        <f t="shared" ref="C58:L58" si="14">C49-C48</f>
        <v>3641.9399999999996</v>
      </c>
      <c r="D58" s="224">
        <f t="shared" si="14"/>
        <v>4215.96</v>
      </c>
      <c r="E58" s="224">
        <f t="shared" si="14"/>
        <v>4955.13</v>
      </c>
      <c r="F58" s="224">
        <f t="shared" si="14"/>
        <v>7056.8</v>
      </c>
      <c r="G58" s="224">
        <f t="shared" si="14"/>
        <v>9928.82</v>
      </c>
      <c r="H58" s="224">
        <f t="shared" si="14"/>
        <v>12031.66</v>
      </c>
      <c r="I58" s="224">
        <f t="shared" si="14"/>
        <v>14644.779999999999</v>
      </c>
      <c r="J58" s="224">
        <f t="shared" si="14"/>
        <v>16937.05</v>
      </c>
      <c r="K58" s="224">
        <f t="shared" si="14"/>
        <v>20462.349999999999</v>
      </c>
      <c r="L58" s="224">
        <f t="shared" si="14"/>
        <v>19234.690000000002</v>
      </c>
      <c r="M58" s="224"/>
      <c r="N58" s="224"/>
    </row>
    <row r="59" spans="1:14">
      <c r="A59" s="144" t="s">
        <v>269</v>
      </c>
      <c r="B59" s="140"/>
      <c r="C59" s="224">
        <f>'Screener Input'!B59+'Screener Input'!B60</f>
        <v>2312.8000000000002</v>
      </c>
      <c r="D59" s="224">
        <f>'Screener Input'!C59+'Screener Input'!C60</f>
        <v>2871.5</v>
      </c>
      <c r="E59" s="224">
        <f>'Screener Input'!D59+'Screener Input'!D60</f>
        <v>3502.81</v>
      </c>
      <c r="F59" s="224">
        <f>'Screener Input'!E59+'Screener Input'!E60</f>
        <v>5549.43</v>
      </c>
      <c r="G59" s="224">
        <f>'Screener Input'!F59+'Screener Input'!F60</f>
        <v>8004.1799999999994</v>
      </c>
      <c r="H59" s="224">
        <f>'Screener Input'!G59+'Screener Input'!G60</f>
        <v>9817.5099999999984</v>
      </c>
      <c r="I59" s="224">
        <f>'Screener Input'!H59+'Screener Input'!H60</f>
        <v>12153.69</v>
      </c>
      <c r="J59" s="224">
        <f>'Screener Input'!I59+'Screener Input'!I60</f>
        <v>35042.39</v>
      </c>
      <c r="K59" s="224">
        <f>'Screener Input'!J59+'Screener Input'!J60</f>
        <v>37337.64</v>
      </c>
      <c r="L59" s="224">
        <f>'Screener Input'!K59+'Screener Input'!K60</f>
        <v>41412.259999999995</v>
      </c>
      <c r="M59" s="224"/>
      <c r="N59" s="224"/>
    </row>
    <row r="60" spans="1:14">
      <c r="A60" s="145" t="s">
        <v>17</v>
      </c>
      <c r="B60" s="146"/>
      <c r="C60" s="228">
        <f>'Screener Input'!B66</f>
        <v>3933.49</v>
      </c>
      <c r="D60" s="228">
        <f>'Screener Input'!C66</f>
        <v>4601.57</v>
      </c>
      <c r="E60" s="228">
        <f>'Screener Input'!D66</f>
        <v>5542.7</v>
      </c>
      <c r="F60" s="228">
        <f>'Screener Input'!E66</f>
        <v>7982.01</v>
      </c>
      <c r="G60" s="228">
        <f>'Screener Input'!F66</f>
        <v>10860.81</v>
      </c>
      <c r="H60" s="228">
        <f>'Screener Input'!G66</f>
        <v>13073.12</v>
      </c>
      <c r="I60" s="228">
        <f>'Screener Input'!H66</f>
        <v>15714.38</v>
      </c>
      <c r="J60" s="228">
        <f>'Screener Input'!I66</f>
        <v>39403.25</v>
      </c>
      <c r="K60" s="228">
        <f>'Screener Input'!J66</f>
        <v>42173.93</v>
      </c>
      <c r="L60" s="228">
        <f>'Screener Input'!K66</f>
        <v>46683.86</v>
      </c>
      <c r="M60" s="228"/>
      <c r="N60" s="228"/>
    </row>
    <row r="61" spans="1:14">
      <c r="A61" s="409"/>
      <c r="B61" s="409"/>
      <c r="C61" s="409"/>
      <c r="D61" s="409"/>
      <c r="E61" s="409"/>
      <c r="F61" s="409"/>
      <c r="G61" s="409"/>
      <c r="H61" s="409"/>
      <c r="I61" s="409"/>
      <c r="J61" s="409"/>
      <c r="K61" s="409"/>
      <c r="L61" s="126"/>
      <c r="M61" s="126"/>
      <c r="N61" s="126"/>
    </row>
    <row r="62" spans="1:14">
      <c r="A62" s="142" t="s">
        <v>61</v>
      </c>
      <c r="B62" s="140"/>
      <c r="C62" s="224">
        <f>'Screener Input'!B82</f>
        <v>211.88</v>
      </c>
      <c r="D62" s="224">
        <f>'Screener Input'!C82</f>
        <v>261.52999999999997</v>
      </c>
      <c r="E62" s="224">
        <f>'Screener Input'!D82</f>
        <v>903.27</v>
      </c>
      <c r="F62" s="224">
        <f>'Screener Input'!E82</f>
        <v>1068.93</v>
      </c>
      <c r="G62" s="224">
        <f>'Screener Input'!F82</f>
        <v>1110.29</v>
      </c>
      <c r="H62" s="224">
        <f>'Screener Input'!G82</f>
        <v>1445.32</v>
      </c>
      <c r="I62" s="224">
        <f>'Screener Input'!H82</f>
        <v>1655.46</v>
      </c>
      <c r="J62" s="224">
        <f>'Screener Input'!I82</f>
        <v>1823.48</v>
      </c>
      <c r="K62" s="224">
        <f>'Screener Input'!J82</f>
        <v>2339.87</v>
      </c>
      <c r="L62" s="224">
        <f>'Screener Input'!K82</f>
        <v>3209.29</v>
      </c>
      <c r="M62" s="140"/>
      <c r="N62" s="140"/>
    </row>
    <row r="63" spans="1:14">
      <c r="A63" s="142" t="s">
        <v>29</v>
      </c>
      <c r="B63" s="143"/>
      <c r="C63" s="224"/>
      <c r="D63" s="224">
        <f t="shared" ref="D63:L63" si="15">D62-D23</f>
        <v>-549.86000000000013</v>
      </c>
      <c r="E63" s="224">
        <f t="shared" si="15"/>
        <v>-155.6400000000001</v>
      </c>
      <c r="F63" s="224">
        <f t="shared" si="15"/>
        <v>-678.33999999999992</v>
      </c>
      <c r="G63" s="224">
        <f t="shared" si="15"/>
        <v>-1316.5999999999995</v>
      </c>
      <c r="H63" s="224">
        <f t="shared" si="15"/>
        <v>-1421.53</v>
      </c>
      <c r="I63" s="224">
        <f t="shared" si="15"/>
        <v>-1437.9499999999994</v>
      </c>
      <c r="J63" s="224">
        <f t="shared" si="15"/>
        <v>-22441.54</v>
      </c>
      <c r="K63" s="224">
        <f t="shared" si="15"/>
        <v>-1083.0500000000015</v>
      </c>
      <c r="L63" s="224">
        <f t="shared" si="15"/>
        <v>10329.010000000002</v>
      </c>
      <c r="M63" s="143"/>
      <c r="N63" s="143"/>
    </row>
    <row r="64" spans="1:14">
      <c r="A64" s="142" t="s">
        <v>270</v>
      </c>
      <c r="B64" s="147"/>
      <c r="C64" s="224">
        <f>'Screener Input'!B83</f>
        <v>-528.77</v>
      </c>
      <c r="D64" s="224">
        <f>'Screener Input'!C83</f>
        <v>-604.66</v>
      </c>
      <c r="E64" s="224">
        <f>'Screener Input'!D83</f>
        <v>-1022.31</v>
      </c>
      <c r="F64" s="224">
        <f>'Screener Input'!E83</f>
        <v>-2372.8000000000002</v>
      </c>
      <c r="G64" s="224">
        <f>'Screener Input'!F83</f>
        <v>-2672.9</v>
      </c>
      <c r="H64" s="224">
        <f>'Screener Input'!G83</f>
        <v>-2243.31</v>
      </c>
      <c r="I64" s="224">
        <f>'Screener Input'!H83</f>
        <v>-2394.48</v>
      </c>
      <c r="J64" s="224">
        <f>'Screener Input'!I83</f>
        <v>-2297.0100000000002</v>
      </c>
      <c r="K64" s="224">
        <f>'Screener Input'!J83</f>
        <v>-3143.98</v>
      </c>
      <c r="L64" s="224">
        <f>'Screener Input'!K83</f>
        <v>-2998.22</v>
      </c>
      <c r="M64" s="147"/>
      <c r="N64" s="147"/>
    </row>
    <row r="65" spans="1:14">
      <c r="A65" s="142" t="s">
        <v>271</v>
      </c>
      <c r="B65" s="147"/>
      <c r="C65" s="224">
        <f>'Screener Input'!B84</f>
        <v>407.65</v>
      </c>
      <c r="D65" s="224">
        <f>'Screener Input'!C84</f>
        <v>330.79</v>
      </c>
      <c r="E65" s="224">
        <f>'Screener Input'!D84</f>
        <v>143.1</v>
      </c>
      <c r="F65" s="224">
        <f>'Screener Input'!E84</f>
        <v>1341.08</v>
      </c>
      <c r="G65" s="224">
        <f>'Screener Input'!F84</f>
        <v>1757.88</v>
      </c>
      <c r="H65" s="224">
        <f>'Screener Input'!G84</f>
        <v>699.36</v>
      </c>
      <c r="I65" s="224">
        <f>'Screener Input'!H84</f>
        <v>925.45</v>
      </c>
      <c r="J65" s="224">
        <f>'Screener Input'!I84</f>
        <v>475.09</v>
      </c>
      <c r="K65" s="224">
        <f>'Screener Input'!J84</f>
        <v>670.89</v>
      </c>
      <c r="L65" s="224">
        <f>'Screener Input'!K84</f>
        <v>-201.63</v>
      </c>
      <c r="M65" s="147"/>
      <c r="N65" s="147"/>
    </row>
    <row r="66" spans="1:14">
      <c r="A66" s="142" t="s">
        <v>272</v>
      </c>
      <c r="B66" s="148"/>
      <c r="C66" s="327">
        <f t="shared" ref="C66:L66" si="16">C34/C33</f>
        <v>0.24010807565295703</v>
      </c>
      <c r="D66" s="327">
        <f t="shared" si="16"/>
        <v>0.17576180507094685</v>
      </c>
      <c r="E66" s="327">
        <f t="shared" si="16"/>
        <v>3.1921276851074036E-2</v>
      </c>
      <c r="F66" s="327">
        <f t="shared" si="16"/>
        <v>0.19406432342317306</v>
      </c>
      <c r="G66" s="327">
        <f t="shared" si="16"/>
        <v>0.23831388206388204</v>
      </c>
      <c r="H66" s="327">
        <f t="shared" si="16"/>
        <v>0.21654707822075048</v>
      </c>
      <c r="I66" s="327">
        <f t="shared" si="16"/>
        <v>0.28394715523150743</v>
      </c>
      <c r="J66" s="327">
        <f t="shared" si="16"/>
        <v>0.20989147060965835</v>
      </c>
      <c r="K66" s="327">
        <f t="shared" si="16"/>
        <v>0.26504321044405643</v>
      </c>
      <c r="L66" s="327">
        <f t="shared" si="16"/>
        <v>0.27290281927759824</v>
      </c>
      <c r="M66" s="148"/>
      <c r="N66" s="148"/>
    </row>
    <row r="67" spans="1:14">
      <c r="A67" s="142" t="s">
        <v>273</v>
      </c>
      <c r="B67" s="143"/>
      <c r="C67" s="224">
        <f t="shared" ref="C67:L67" si="17">C31*(1-C66)</f>
        <v>278.99432002401687</v>
      </c>
      <c r="D67" s="224">
        <f t="shared" si="17"/>
        <v>299.37155478018127</v>
      </c>
      <c r="E67" s="224">
        <f t="shared" si="17"/>
        <v>644.77915276611077</v>
      </c>
      <c r="F67" s="224">
        <f t="shared" si="17"/>
        <v>747.40862774381799</v>
      </c>
      <c r="G67" s="224">
        <f t="shared" si="17"/>
        <v>915.31820792383303</v>
      </c>
      <c r="H67" s="224">
        <f t="shared" si="17"/>
        <v>1042.3371052519844</v>
      </c>
      <c r="I67" s="224">
        <f t="shared" si="17"/>
        <v>1004.1209042188572</v>
      </c>
      <c r="J67" s="224">
        <f t="shared" si="17"/>
        <v>1283.0414387063879</v>
      </c>
      <c r="K67" s="224">
        <f t="shared" si="17"/>
        <v>1426.0440083432925</v>
      </c>
      <c r="L67" s="224">
        <f t="shared" si="17"/>
        <v>1691.0244551497042</v>
      </c>
      <c r="M67" s="143"/>
      <c r="N67" s="143"/>
    </row>
    <row r="68" spans="1:14">
      <c r="A68" s="403"/>
      <c r="B68" s="403"/>
      <c r="C68" s="403"/>
      <c r="D68" s="403"/>
      <c r="E68" s="403"/>
      <c r="F68" s="403"/>
      <c r="G68" s="403"/>
      <c r="H68" s="403"/>
      <c r="I68" s="403"/>
      <c r="J68" s="403"/>
      <c r="K68" s="403"/>
      <c r="L68" s="126"/>
      <c r="M68" s="126"/>
      <c r="N68" s="126"/>
    </row>
    <row r="69" spans="1:14">
      <c r="A69" s="149" t="s">
        <v>274</v>
      </c>
      <c r="C69" s="150"/>
      <c r="D69" s="328">
        <f t="shared" ref="D69:L69" si="18">D37+C36</f>
        <v>3294.3930583199999</v>
      </c>
      <c r="E69" s="328">
        <f t="shared" si="18"/>
        <v>9311.3757352800003</v>
      </c>
      <c r="F69" s="328">
        <f t="shared" si="18"/>
        <v>6943.8723487799998</v>
      </c>
      <c r="G69" s="328">
        <f t="shared" si="18"/>
        <v>6204.5685889799997</v>
      </c>
      <c r="H69" s="328">
        <f t="shared" si="18"/>
        <v>3934.5307943799994</v>
      </c>
      <c r="I69" s="328">
        <f t="shared" si="18"/>
        <v>3945.8310699199992</v>
      </c>
      <c r="J69" s="328">
        <f t="shared" si="18"/>
        <v>8731.525700000002</v>
      </c>
      <c r="K69" s="328">
        <f t="shared" si="18"/>
        <v>7909.4282000000012</v>
      </c>
      <c r="L69" s="328">
        <f t="shared" si="18"/>
        <v>8819.6377500000017</v>
      </c>
      <c r="M69" s="150"/>
      <c r="N69" s="150"/>
    </row>
    <row r="70" spans="1:14">
      <c r="A70" s="134" t="s">
        <v>275</v>
      </c>
      <c r="B70" s="150"/>
      <c r="C70" s="329">
        <f t="shared" ref="C70:L70" si="19">C35-C36</f>
        <v>126.56000000000003</v>
      </c>
      <c r="D70" s="329">
        <f t="shared" si="19"/>
        <v>121.46999999999987</v>
      </c>
      <c r="E70" s="329">
        <f t="shared" si="19"/>
        <v>338.75000000000011</v>
      </c>
      <c r="F70" s="329">
        <f t="shared" si="19"/>
        <v>414.24000000000012</v>
      </c>
      <c r="G70" s="329">
        <f t="shared" si="19"/>
        <v>436.18000000000006</v>
      </c>
      <c r="H70" s="329">
        <f t="shared" si="19"/>
        <v>420.6299999999996</v>
      </c>
      <c r="I70" s="329">
        <f t="shared" si="19"/>
        <v>326.67</v>
      </c>
      <c r="J70" s="329">
        <f t="shared" si="19"/>
        <v>405.61000000000013</v>
      </c>
      <c r="K70" s="329">
        <f t="shared" si="19"/>
        <v>428.6599999999994</v>
      </c>
      <c r="L70" s="329">
        <f t="shared" si="19"/>
        <v>645.12999999999988</v>
      </c>
      <c r="M70" s="150"/>
      <c r="N70" s="150"/>
    </row>
    <row r="71" spans="1:14">
      <c r="A71" s="213"/>
      <c r="B71" s="213"/>
      <c r="C71" s="213"/>
      <c r="D71" s="213"/>
      <c r="E71" s="213"/>
      <c r="F71" s="213"/>
      <c r="G71" s="213"/>
      <c r="H71" s="213"/>
      <c r="I71" s="213"/>
      <c r="J71" s="213"/>
      <c r="K71" s="213"/>
      <c r="L71" s="126"/>
      <c r="M71" s="126"/>
      <c r="N71" s="126"/>
    </row>
    <row r="72" spans="1:14">
      <c r="A72" s="151" t="s">
        <v>332</v>
      </c>
      <c r="B72" s="167"/>
      <c r="C72" s="167">
        <f>'Screener Input'!B90</f>
        <v>191.84</v>
      </c>
      <c r="D72" s="167">
        <f>'Screener Input'!C90</f>
        <v>99.12</v>
      </c>
      <c r="E72" s="167">
        <f>'Screener Input'!D90</f>
        <v>278.48</v>
      </c>
      <c r="F72" s="167">
        <f>'Screener Input'!E90</f>
        <v>206.98</v>
      </c>
      <c r="G72" s="167">
        <f>'Screener Input'!F90</f>
        <v>185.18</v>
      </c>
      <c r="H72" s="167">
        <f>'Screener Input'!G90</f>
        <v>116.58</v>
      </c>
      <c r="I72" s="167">
        <f>'Screener Input'!H90</f>
        <v>114.72</v>
      </c>
      <c r="J72" s="167">
        <f>'Screener Input'!I90</f>
        <v>244.66</v>
      </c>
      <c r="K72" s="167">
        <f>'Screener Input'!J90</f>
        <v>221.16</v>
      </c>
      <c r="L72" s="167">
        <f>'Screener Input'!K90</f>
        <v>244.95</v>
      </c>
      <c r="M72" s="167"/>
      <c r="N72" s="167"/>
    </row>
    <row r="73" spans="1:14">
      <c r="A73" s="151" t="s">
        <v>37</v>
      </c>
      <c r="B73" s="167"/>
      <c r="C73" s="167">
        <f>SUM('Screener Input'!B57:B58)/'Screener Input'!B93</f>
        <v>48.762485215386228</v>
      </c>
      <c r="D73" s="167">
        <f>SUM('Screener Input'!C57:C58)/'Screener Input'!C93</f>
        <v>52.053454267369609</v>
      </c>
      <c r="E73" s="167">
        <f>SUM('Screener Input'!D57:D58)/'Screener Input'!D93</f>
        <v>61.375158707719677</v>
      </c>
      <c r="F73" s="167">
        <f>SUM('Screener Input'!E57:E58)/'Screener Input'!E93</f>
        <v>73.19021298659473</v>
      </c>
      <c r="G73" s="167">
        <f>SUM('Screener Input'!F57:F58)/'Screener Input'!F93</f>
        <v>85.948810778636727</v>
      </c>
      <c r="H73" s="167">
        <f>SUM('Screener Input'!G57:G58)/'Screener Input'!G93</f>
        <v>97.953115334865743</v>
      </c>
      <c r="I73" s="167">
        <f>SUM('Screener Input'!H57:H58)/'Screener Input'!H93</f>
        <v>107.13220509879964</v>
      </c>
      <c r="J73" s="167">
        <f>SUM('Screener Input'!I57:I58)/'Screener Input'!I93</f>
        <v>124.08194622279127</v>
      </c>
      <c r="K73" s="167">
        <f>SUM('Screener Input'!J57:J58)/'Screener Input'!J93</f>
        <v>137.60961729975813</v>
      </c>
      <c r="L73" s="167">
        <f>SUM('Screener Input'!K57:K58)/'Screener Input'!K93</f>
        <v>149.99573196756293</v>
      </c>
      <c r="M73" s="167"/>
      <c r="N73" s="167"/>
    </row>
    <row r="74" spans="1:14">
      <c r="A74" s="151" t="s">
        <v>35</v>
      </c>
      <c r="B74" s="152"/>
      <c r="C74" s="152">
        <f>('Screener Input'!B30/'Screener Input'!B93)</f>
        <v>3.4275662315043585</v>
      </c>
      <c r="D74" s="152">
        <f>('Screener Input'!C30/'Screener Input'!C93)</f>
        <v>5.29088414510219</v>
      </c>
      <c r="E74" s="152">
        <f>('Screener Input'!D30/'Screener Input'!D93)</f>
        <v>11.595716517045117</v>
      </c>
      <c r="F74" s="152">
        <f>('Screener Input'!E30/'Screener Input'!E93)</f>
        <v>13.610976227246679</v>
      </c>
      <c r="G74" s="152">
        <f>('Screener Input'!F30/'Screener Input'!F93)</f>
        <v>14.923392300089201</v>
      </c>
      <c r="H74" s="152">
        <f>('Screener Input'!G30/'Screener Input'!G93)</f>
        <v>16.748799983247288</v>
      </c>
      <c r="I74" s="152">
        <f>('Screener Input'!H30/'Screener Input'!H93)</f>
        <v>13.814066747459586</v>
      </c>
      <c r="J74" s="152">
        <f>('Screener Input'!I30/'Screener Input'!I93)</f>
        <v>15.447716602646178</v>
      </c>
      <c r="K74" s="152">
        <f>('Screener Input'!J30/'Screener Input'!J93)</f>
        <v>18.184379001280409</v>
      </c>
      <c r="L74" s="152">
        <f>('Screener Input'!K30/'Screener Input'!K93)</f>
        <v>20.357661118224499</v>
      </c>
      <c r="M74" s="191">
        <f>SUM('Screener Input'!H49:K49)/'Screener Input'!K93</f>
        <v>26.167875942523828</v>
      </c>
      <c r="N74" s="152">
        <f>SUM('Screener Input'!D49:G49)/'Screener Input'!K93</f>
        <v>20.357092047232893</v>
      </c>
    </row>
    <row r="75" spans="1:14">
      <c r="A75" s="151" t="s">
        <v>33</v>
      </c>
      <c r="B75" s="152"/>
      <c r="C75" s="152">
        <f>'Screener Input'!B31/'Screener Input'!B93</f>
        <v>0</v>
      </c>
      <c r="D75" s="152">
        <f>'Screener Input'!C31/'Screener Input'!C93</f>
        <v>1.6758728853124367</v>
      </c>
      <c r="E75" s="152">
        <f>'Screener Input'!D31/'Screener Input'!D93</f>
        <v>1.9436514971487144</v>
      </c>
      <c r="F75" s="152">
        <f>'Screener Input'!E31/'Screener Input'!E93</f>
        <v>1.4998611011279168</v>
      </c>
      <c r="G75" s="152">
        <f>'Screener Input'!F31/'Screener Input'!F93</f>
        <v>1.80013419619826</v>
      </c>
      <c r="H75" s="152">
        <f>'Screener Input'!G31/'Screener Input'!G93</f>
        <v>4.000131061082377</v>
      </c>
      <c r="I75" s="152">
        <f>'Screener Input'!H31/'Screener Input'!H93</f>
        <v>4.000131061082377</v>
      </c>
      <c r="J75" s="152">
        <f>'Screener Input'!I31/'Screener Input'!I93</f>
        <v>3.8913074406032147</v>
      </c>
      <c r="K75" s="152">
        <f>'Screener Input'!J31/'Screener Input'!J93</f>
        <v>6</v>
      </c>
      <c r="L75" s="152">
        <f>'Screener Input'!K31/'Screener Input'!K93</f>
        <v>2</v>
      </c>
      <c r="M75" s="152"/>
      <c r="N75" s="152"/>
    </row>
    <row r="76" spans="1:14">
      <c r="A76" s="151" t="s">
        <v>38</v>
      </c>
      <c r="B76" s="152"/>
      <c r="C76" s="152">
        <f>'Screener Input'!B90/('Screener Input'!B30/'Screener Input'!B93)</f>
        <v>55.969742681179774</v>
      </c>
      <c r="D76" s="152">
        <f>'Screener Input'!C90/('Screener Input'!C30/'Screener Input'!C93)</f>
        <v>18.734108946943415</v>
      </c>
      <c r="E76" s="152">
        <f>'Screener Input'!D90/('Screener Input'!D30/'Screener Input'!D93)</f>
        <v>24.015764751634666</v>
      </c>
      <c r="F76" s="152">
        <f>'Screener Input'!E90/('Screener Input'!E30/'Screener Input'!E93)</f>
        <v>15.206844574870683</v>
      </c>
      <c r="G76" s="152">
        <f>'Screener Input'!F90/('Screener Input'!F30/'Screener Input'!F93)</f>
        <v>12.408706832620968</v>
      </c>
      <c r="H76" s="152">
        <f>'Screener Input'!G90/('Screener Input'!G30/'Screener Input'!G93)</f>
        <v>6.9604986695528774</v>
      </c>
      <c r="I76" s="152">
        <f>'Screener Input'!H90/('Screener Input'!H30/'Screener Input'!H93)</f>
        <v>8.3045783763204319</v>
      </c>
      <c r="J76" s="152">
        <f>'Screener Input'!I90/('Screener Input'!I30/'Screener Input'!I93)</f>
        <v>15.837939437475827</v>
      </c>
      <c r="K76" s="152">
        <f>'Screener Input'!J90/('Screener Input'!J30/'Screener Input'!J93)</f>
        <v>12.162087029995776</v>
      </c>
      <c r="L76" s="152">
        <f>'Screener Input'!K90/('Screener Input'!K30/'Screener Input'!K93)</f>
        <v>12.032325254727661</v>
      </c>
      <c r="M76" s="152"/>
      <c r="N76" s="152"/>
    </row>
    <row r="77" spans="1:14">
      <c r="A77" s="151" t="s">
        <v>276</v>
      </c>
      <c r="B77" s="151"/>
      <c r="C77" s="152"/>
      <c r="D77" s="152">
        <f>D76/(((('Screener Input'!C30/'Screener Input'!C93) - ('Screener Input'!B30/'Screener Input'!B93))/('Screener Input'!B30/'Screener Input'!B93))*100)</f>
        <v>0.34461322319324939</v>
      </c>
      <c r="E77" s="152">
        <f>E76/(((('Screener Input'!D30/'Screener Input'!D93) - ('Screener Input'!C30/'Screener Input'!C93))/('Screener Input'!C30/'Screener Input'!C93))*100)</f>
        <v>0.20153530095800318</v>
      </c>
      <c r="F77" s="152">
        <f>F76/(((('Screener Input'!E30/'Screener Input'!E93) - ('Screener Input'!D30/'Screener Input'!D93))/('Screener Input'!D30/'Screener Input'!D93))*100)</f>
        <v>0.87499520739850112</v>
      </c>
      <c r="G77" s="152">
        <f>G76/(((('Screener Input'!F30/'Screener Input'!F93) - ('Screener Input'!E30/'Screener Input'!E93))/('Screener Input'!E30/'Screener Input'!E93))*100)</f>
        <v>1.2868983945302783</v>
      </c>
      <c r="H77" s="152">
        <f>H76/(((('Screener Input'!G30/'Screener Input'!G93) - ('Screener Input'!F30/'Screener Input'!F93))/('Screener Input'!F30/'Screener Input'!F93))*100)</f>
        <v>0.56904686667186921</v>
      </c>
      <c r="I77" s="152">
        <f>I76/(((('Screener Input'!H30/'Screener Input'!H93) - ('Screener Input'!G30/'Screener Input'!G93))/('Screener Input'!G30/'Screener Input'!G93))*100)</f>
        <v>-0.47395013786613654</v>
      </c>
      <c r="J77" s="152">
        <f>J76/(((('Screener Input'!I30/'Screener Input'!I93) - ('Screener Input'!H30/'Screener Input'!H93))/('Screener Input'!H30/'Screener Input'!H93))*100)</f>
        <v>1.3392487492769636</v>
      </c>
      <c r="K77" s="152">
        <f>K76/(((('Screener Input'!J30/'Screener Input'!J93) - ('Screener Input'!I30/'Screener Input'!I93))/('Screener Input'!I30/'Screener Input'!I93))*100)</f>
        <v>0.68651680905125845</v>
      </c>
      <c r="L77" s="152">
        <f>L76/(((('Screener Input'!K30/'Screener Input'!K93) - ('Screener Input'!J30/'Screener Input'!J93))/('Screener Input'!J30/'Screener Input'!J93))*100)</f>
        <v>1.0067738605713399</v>
      </c>
      <c r="M77" s="152"/>
      <c r="N77" s="152"/>
    </row>
    <row r="78" spans="1:14">
      <c r="A78" s="142" t="s">
        <v>277</v>
      </c>
      <c r="C78" s="153">
        <f t="shared" ref="C78:L78" si="20">C37/C42</f>
        <v>3.9341719182817192</v>
      </c>
      <c r="D78" s="153">
        <f t="shared" si="20"/>
        <v>1.9041963957065318</v>
      </c>
      <c r="E78" s="153">
        <f t="shared" si="20"/>
        <v>4.5373406091897115</v>
      </c>
      <c r="F78" s="153">
        <f t="shared" si="20"/>
        <v>2.8279737352029533</v>
      </c>
      <c r="G78" s="153">
        <f t="shared" si="20"/>
        <v>2.1545382457581135</v>
      </c>
      <c r="H78" s="153">
        <f t="shared" si="20"/>
        <v>1.1901612276593325</v>
      </c>
      <c r="I78" s="153">
        <f t="shared" si="20"/>
        <v>1.0708264605792697</v>
      </c>
      <c r="J78" s="153">
        <f t="shared" si="20"/>
        <v>1.9717614644817769</v>
      </c>
      <c r="K78" s="153">
        <f t="shared" si="20"/>
        <v>1.6071551127000243</v>
      </c>
      <c r="L78" s="153">
        <f t="shared" si="20"/>
        <v>1.6330464659685868</v>
      </c>
      <c r="M78" s="153"/>
      <c r="N78" s="153"/>
    </row>
    <row r="79" spans="1:14">
      <c r="A79" s="145" t="s">
        <v>278</v>
      </c>
      <c r="B79" s="143"/>
      <c r="C79" s="143">
        <f t="shared" ref="C79:L79" si="21">C37/C62</f>
        <v>30.09285013328299</v>
      </c>
      <c r="D79" s="143">
        <f t="shared" si="21"/>
        <v>12.596616289985853</v>
      </c>
      <c r="E79" s="143">
        <f t="shared" si="21"/>
        <v>10.246853914422044</v>
      </c>
      <c r="F79" s="143">
        <f t="shared" si="21"/>
        <v>6.4356621563432581</v>
      </c>
      <c r="G79" s="143">
        <f t="shared" si="21"/>
        <v>5.543343260751695</v>
      </c>
      <c r="H79" s="143">
        <f t="shared" si="21"/>
        <v>2.6808601516480777</v>
      </c>
      <c r="I79" s="143">
        <f t="shared" si="21"/>
        <v>2.3032154627233514</v>
      </c>
      <c r="J79" s="143">
        <f t="shared" si="21"/>
        <v>4.7154757386974362</v>
      </c>
      <c r="K79" s="143">
        <f t="shared" si="21"/>
        <v>3.3218376234577138</v>
      </c>
      <c r="L79" s="143">
        <f t="shared" si="21"/>
        <v>2.6824524271723655</v>
      </c>
      <c r="M79" s="143"/>
      <c r="N79" s="143"/>
    </row>
    <row r="80" spans="1:14">
      <c r="A80" s="145" t="s">
        <v>279</v>
      </c>
      <c r="B80" s="143"/>
      <c r="C80" s="143"/>
      <c r="D80" s="143">
        <f t="shared" ref="D80:L80" si="22">D37/D63</f>
        <v>-5.9913306265594866</v>
      </c>
      <c r="E80" s="143">
        <f t="shared" si="22"/>
        <v>-59.468489689539922</v>
      </c>
      <c r="F80" s="143">
        <f t="shared" si="22"/>
        <v>-10.141333768876965</v>
      </c>
      <c r="G80" s="143">
        <f t="shared" si="22"/>
        <v>-4.6747065084156176</v>
      </c>
      <c r="H80" s="143">
        <f t="shared" si="22"/>
        <v>-2.7257256578334608</v>
      </c>
      <c r="I80" s="143">
        <f t="shared" si="22"/>
        <v>-2.6516089362773401</v>
      </c>
      <c r="J80" s="143">
        <f t="shared" si="22"/>
        <v>-0.3831544403815425</v>
      </c>
      <c r="K80" s="143">
        <f t="shared" si="22"/>
        <v>-7.1766476155302064</v>
      </c>
      <c r="L80" s="143">
        <f t="shared" si="22"/>
        <v>0.83345526337954934</v>
      </c>
      <c r="M80" s="143"/>
      <c r="N80" s="143"/>
    </row>
    <row r="81" spans="1:14">
      <c r="A81" s="145" t="s">
        <v>280</v>
      </c>
      <c r="B81" s="143"/>
      <c r="C81" s="143">
        <f t="shared" ref="C81:L81" si="23">C37/C26</f>
        <v>8.7020418531751975</v>
      </c>
      <c r="D81" s="143">
        <f t="shared" si="23"/>
        <v>3.3213625219986289</v>
      </c>
      <c r="E81" s="143">
        <f t="shared" si="23"/>
        <v>5.4290264453060386</v>
      </c>
      <c r="F81" s="143">
        <f t="shared" si="23"/>
        <v>2.8215594656434693</v>
      </c>
      <c r="G81" s="143">
        <f t="shared" si="23"/>
        <v>1.9644683369336933</v>
      </c>
      <c r="H81" s="143">
        <f t="shared" si="23"/>
        <v>1.0508404102743514</v>
      </c>
      <c r="I81" s="143">
        <f t="shared" si="23"/>
        <v>1.0217024268989707</v>
      </c>
      <c r="J81" s="143">
        <f t="shared" si="23"/>
        <v>2.2340461900604853</v>
      </c>
      <c r="K81" s="143">
        <f t="shared" si="23"/>
        <v>1.5157457073489409</v>
      </c>
      <c r="L81" s="143">
        <f t="shared" si="23"/>
        <v>1.4726062446757924</v>
      </c>
      <c r="M81" s="143"/>
      <c r="N81" s="143"/>
    </row>
    <row r="82" spans="1:14">
      <c r="A82" s="145" t="s">
        <v>281</v>
      </c>
      <c r="B82" s="143"/>
      <c r="C82" s="143">
        <f t="shared" ref="C82:L82" si="24">(C37-C45+C8)/C29</f>
        <v>10.403987298916286</v>
      </c>
      <c r="D82" s="143">
        <f t="shared" si="24"/>
        <v>2.5612618738248298</v>
      </c>
      <c r="E82" s="143">
        <f t="shared" si="24"/>
        <v>8.079068029105489</v>
      </c>
      <c r="F82" s="143">
        <f t="shared" si="24"/>
        <v>2.9971913674083699</v>
      </c>
      <c r="G82" s="143">
        <f t="shared" si="24"/>
        <v>0.60271072387586644</v>
      </c>
      <c r="H82" s="143">
        <f t="shared" si="24"/>
        <v>-1.9359066827806497</v>
      </c>
      <c r="I82" s="143">
        <f t="shared" si="24"/>
        <v>-3.0802288705091105</v>
      </c>
      <c r="J82" s="143">
        <f t="shared" si="24"/>
        <v>-1.0304487889006149</v>
      </c>
      <c r="K82" s="143">
        <f t="shared" si="24"/>
        <v>-2.273946915325828</v>
      </c>
      <c r="L82" s="143">
        <f t="shared" si="24"/>
        <v>-1.2723312456178411</v>
      </c>
      <c r="M82" s="143"/>
      <c r="N82" s="143"/>
    </row>
    <row r="83" spans="1:14">
      <c r="A83" s="140" t="s">
        <v>282</v>
      </c>
      <c r="B83" s="154"/>
      <c r="C83" s="154">
        <f t="shared" ref="C83:L83" si="25">C36/C37</f>
        <v>0</v>
      </c>
      <c r="D83" s="154">
        <f t="shared" si="25"/>
        <v>1.6907514984992298E-2</v>
      </c>
      <c r="E83" s="154">
        <f t="shared" si="25"/>
        <v>6.9795012106747857E-3</v>
      </c>
      <c r="F83" s="154">
        <f t="shared" si="25"/>
        <v>7.2464059383897808E-3</v>
      </c>
      <c r="G83" s="154">
        <f t="shared" si="25"/>
        <v>9.7209968473823301E-3</v>
      </c>
      <c r="H83" s="154">
        <f t="shared" si="25"/>
        <v>3.431232682348926E-2</v>
      </c>
      <c r="I83" s="154">
        <f t="shared" si="25"/>
        <v>3.4868645929937041E-2</v>
      </c>
      <c r="J83" s="154">
        <f t="shared" si="25"/>
        <v>1.5904959701639885E-2</v>
      </c>
      <c r="K83" s="154">
        <f t="shared" si="25"/>
        <v>2.7129679869777535E-2</v>
      </c>
      <c r="L83" s="154">
        <f t="shared" si="25"/>
        <v>8.164931618697694E-3</v>
      </c>
      <c r="M83" s="154"/>
      <c r="N83" s="154"/>
    </row>
    <row r="84" spans="1:14">
      <c r="A84" s="155" t="s">
        <v>283</v>
      </c>
      <c r="B84" s="156"/>
      <c r="C84" s="157">
        <f t="shared" ref="C84:L84" si="26">C37+C8-C45</f>
        <v>4876.9730862399992</v>
      </c>
      <c r="D84" s="157">
        <f t="shared" si="26"/>
        <v>1223.2330583200001</v>
      </c>
      <c r="E84" s="157">
        <f t="shared" si="26"/>
        <v>6850.6457352799989</v>
      </c>
      <c r="F84" s="157">
        <f t="shared" si="26"/>
        <v>3455.0123487799992</v>
      </c>
      <c r="G84" s="157">
        <f t="shared" si="26"/>
        <v>903.28858897999999</v>
      </c>
      <c r="H84" s="157">
        <f t="shared" si="26"/>
        <v>-3430.3492056199993</v>
      </c>
      <c r="I84" s="157">
        <f t="shared" si="26"/>
        <v>-5788.8589300800013</v>
      </c>
      <c r="J84" s="157">
        <f t="shared" si="26"/>
        <v>-2401.9142999999985</v>
      </c>
      <c r="K84" s="157">
        <f t="shared" si="26"/>
        <v>-6352.6117999999988</v>
      </c>
      <c r="L84" s="157">
        <f t="shared" si="26"/>
        <v>-4046.6622499999994</v>
      </c>
      <c r="M84" s="157"/>
      <c r="N84" s="157"/>
    </row>
    <row r="85" spans="1:14">
      <c r="A85" s="403"/>
      <c r="B85" s="403"/>
      <c r="C85" s="403"/>
      <c r="D85" s="403"/>
      <c r="E85" s="403"/>
      <c r="F85" s="403"/>
      <c r="G85" s="403"/>
      <c r="H85" s="403"/>
      <c r="I85" s="403"/>
      <c r="J85" s="403"/>
      <c r="K85" s="403"/>
      <c r="L85" s="126" t="s">
        <v>284</v>
      </c>
      <c r="M85" s="126"/>
      <c r="N85" s="126"/>
    </row>
    <row r="86" spans="1:14">
      <c r="A86" s="140" t="s">
        <v>285</v>
      </c>
      <c r="B86" s="143"/>
      <c r="C86" s="143">
        <f t="shared" ref="C86:K86" si="27">C52/C60</f>
        <v>0.17027881092871724</v>
      </c>
      <c r="D86" s="143">
        <f t="shared" si="27"/>
        <v>0.1378790282447078</v>
      </c>
      <c r="E86" s="143">
        <f t="shared" si="27"/>
        <v>0.10146679416169015</v>
      </c>
      <c r="F86" s="143">
        <f t="shared" si="27"/>
        <v>0.14184021317938716</v>
      </c>
      <c r="G86" s="143">
        <f t="shared" si="27"/>
        <v>0.17636069501261875</v>
      </c>
      <c r="H86" s="143">
        <f t="shared" si="27"/>
        <v>0.1181699548386307</v>
      </c>
      <c r="I86" s="143">
        <f t="shared" si="27"/>
        <v>0.10112584779036782</v>
      </c>
      <c r="J86" s="143">
        <f t="shared" si="27"/>
        <v>-0.49921821169573577</v>
      </c>
      <c r="K86" s="143">
        <f t="shared" si="27"/>
        <v>-0.44441127492742555</v>
      </c>
      <c r="L86" s="140">
        <v>1.2</v>
      </c>
      <c r="M86" s="140"/>
      <c r="N86" s="140"/>
    </row>
    <row r="87" spans="1:14">
      <c r="A87" s="140" t="s">
        <v>286</v>
      </c>
      <c r="B87" s="143"/>
      <c r="C87" s="143">
        <f t="shared" ref="C87:K87" si="28">C70/C60</f>
        <v>3.2174989640243151E-2</v>
      </c>
      <c r="D87" s="143">
        <f t="shared" si="28"/>
        <v>2.6397512153460641E-2</v>
      </c>
      <c r="E87" s="143">
        <f t="shared" si="28"/>
        <v>6.1116423403756316E-2</v>
      </c>
      <c r="F87" s="143">
        <f t="shared" si="28"/>
        <v>5.1896702710219622E-2</v>
      </c>
      <c r="G87" s="143">
        <f t="shared" si="28"/>
        <v>4.0160908808827341E-2</v>
      </c>
      <c r="H87" s="143">
        <f t="shared" si="28"/>
        <v>3.2175180829059902E-2</v>
      </c>
      <c r="I87" s="143">
        <f t="shared" si="28"/>
        <v>2.0787966181293822E-2</v>
      </c>
      <c r="J87" s="143">
        <f t="shared" si="28"/>
        <v>1.0293820941166024E-2</v>
      </c>
      <c r="K87" s="143">
        <f t="shared" si="28"/>
        <v>1.0164099006186983E-2</v>
      </c>
      <c r="L87" s="140">
        <v>1.4</v>
      </c>
      <c r="M87" s="140"/>
      <c r="N87" s="140"/>
    </row>
    <row r="88" spans="1:14">
      <c r="A88" s="140" t="s">
        <v>287</v>
      </c>
      <c r="B88" s="143"/>
      <c r="C88" s="143">
        <f t="shared" ref="C88:K88" si="29">C31/C60</f>
        <v>9.3339502579134578E-2</v>
      </c>
      <c r="D88" s="143">
        <f t="shared" si="29"/>
        <v>7.8931755900703435E-2</v>
      </c>
      <c r="E88" s="143">
        <f t="shared" si="29"/>
        <v>0.12016526241723349</v>
      </c>
      <c r="F88" s="143">
        <f t="shared" si="29"/>
        <v>0.11618376824884963</v>
      </c>
      <c r="G88" s="143">
        <f t="shared" si="29"/>
        <v>0.11064552275566925</v>
      </c>
      <c r="H88" s="143">
        <f t="shared" si="29"/>
        <v>0.10176912626825116</v>
      </c>
      <c r="I88" s="143">
        <f t="shared" si="29"/>
        <v>8.923673730684889E-2</v>
      </c>
      <c r="J88" s="143">
        <f t="shared" si="29"/>
        <v>4.1211828973498385E-2</v>
      </c>
      <c r="K88" s="143">
        <f t="shared" si="29"/>
        <v>4.600733201767062E-2</v>
      </c>
      <c r="L88" s="140">
        <v>3.3</v>
      </c>
      <c r="M88" s="140"/>
      <c r="N88" s="140"/>
    </row>
    <row r="89" spans="1:14">
      <c r="A89" s="140" t="s">
        <v>288</v>
      </c>
      <c r="B89" s="143"/>
      <c r="C89" s="143">
        <f t="shared" ref="C89:L89" si="30">C37/C59</f>
        <v>2.756863146938775</v>
      </c>
      <c r="D89" s="143">
        <f t="shared" si="30"/>
        <v>1.1472725259690058</v>
      </c>
      <c r="E89" s="143">
        <f t="shared" si="30"/>
        <v>2.6423573460393226</v>
      </c>
      <c r="F89" s="143">
        <f t="shared" si="30"/>
        <v>1.2396358452633873</v>
      </c>
      <c r="G89" s="143">
        <f t="shared" si="30"/>
        <v>0.76893805348955169</v>
      </c>
      <c r="H89" s="143">
        <f t="shared" si="30"/>
        <v>0.3946724571077595</v>
      </c>
      <c r="I89" s="143">
        <f t="shared" si="30"/>
        <v>0.3137220934481626</v>
      </c>
      <c r="J89" s="143">
        <f t="shared" si="30"/>
        <v>0.245376405547681</v>
      </c>
      <c r="K89" s="143">
        <f t="shared" si="30"/>
        <v>0.20817245546317339</v>
      </c>
      <c r="L89" s="143">
        <f t="shared" si="30"/>
        <v>0.20787968949291832</v>
      </c>
      <c r="M89" s="143"/>
      <c r="N89" s="143"/>
    </row>
    <row r="90" spans="1:14">
      <c r="A90" s="140" t="s">
        <v>289</v>
      </c>
      <c r="B90" s="143"/>
      <c r="C90" s="143">
        <f t="shared" ref="C90:K90" si="31">C26/C60</f>
        <v>0.18627478397046898</v>
      </c>
      <c r="D90" s="143">
        <f t="shared" si="31"/>
        <v>0.21555251794496227</v>
      </c>
      <c r="E90" s="143">
        <f t="shared" si="31"/>
        <v>0.30758475111407796</v>
      </c>
      <c r="F90" s="143">
        <f t="shared" si="31"/>
        <v>0.30545063210895501</v>
      </c>
      <c r="G90" s="143">
        <f t="shared" si="31"/>
        <v>0.28847019697425885</v>
      </c>
      <c r="H90" s="143">
        <f t="shared" si="31"/>
        <v>0.28204743779602726</v>
      </c>
      <c r="I90" s="143">
        <f t="shared" si="31"/>
        <v>0.23748248419600393</v>
      </c>
      <c r="J90" s="143">
        <f t="shared" si="31"/>
        <v>9.7679252345935941E-2</v>
      </c>
      <c r="K90" s="143">
        <f t="shared" si="31"/>
        <v>0.12159051812339992</v>
      </c>
      <c r="L90" s="140">
        <v>1</v>
      </c>
      <c r="M90" s="140"/>
      <c r="N90" s="140"/>
    </row>
    <row r="91" spans="1:14">
      <c r="A91" s="142"/>
      <c r="B91" s="143"/>
      <c r="C91" s="143"/>
      <c r="D91" s="143"/>
      <c r="E91" s="143"/>
      <c r="F91" s="143"/>
      <c r="G91" s="143"/>
      <c r="H91" s="143"/>
      <c r="I91" s="143"/>
      <c r="J91" s="143"/>
      <c r="K91" s="143"/>
      <c r="L91" s="143"/>
      <c r="M91" s="143"/>
      <c r="N91" s="143"/>
    </row>
    <row r="92" spans="1:14">
      <c r="A92" s="126" t="s">
        <v>394</v>
      </c>
      <c r="B92" s="126"/>
      <c r="C92" s="225">
        <f>SUM('Screener Output.v0'!C35:C35)/SUM('Screener Output.v0'!C40:C41)</f>
        <v>7.8090196151022112E-2</v>
      </c>
      <c r="D92" s="225">
        <f>SUM('Screener Output.v0'!D35:D35)/SUM('Screener Output.v0'!D40:D41)</f>
        <v>0.10240626101834022</v>
      </c>
      <c r="E92" s="225">
        <f>SUM('Screener Output.v0'!E35:E35)/SUM('Screener Output.v0'!E40:E41)</f>
        <v>0.19773125021447241</v>
      </c>
      <c r="F92" s="225">
        <f>SUM('Screener Output.v0'!F35:F35)/SUM('Screener Output.v0'!F40:F41)</f>
        <v>0.19078098150934406</v>
      </c>
      <c r="G92" s="225">
        <f>SUM('Screener Output.v0'!G35:G35)/SUM('Screener Output.v0'!G40:G41)</f>
        <v>0.1736346674228024</v>
      </c>
      <c r="H92" s="225">
        <f>SUM('Screener Output.v0'!H35:H35)/SUM('Screener Output.v0'!H40:H41)</f>
        <v>0.1700387945730599</v>
      </c>
      <c r="I92" s="225">
        <f>SUM('Screener Output.v0'!I35:I35)/SUM('Screener Output.v0'!I40:I41)</f>
        <v>0.12908172292448936</v>
      </c>
      <c r="J92" s="225">
        <f>SUM('Screener Output.v0'!J35:J35)/SUM('Screener Output.v0'!J40:J41)</f>
        <v>0.12437225684841985</v>
      </c>
      <c r="K92" s="225">
        <f>SUM('Screener Output.v0'!K35:K35)/SUM('Screener Output.v0'!K40:K41)</f>
        <v>0.13223565997903339</v>
      </c>
      <c r="L92" s="225">
        <f>SUM('Screener Output.v0'!L35:L35)/SUM('Screener Output.v0'!L40:L41)</f>
        <v>0.13571211776310796</v>
      </c>
      <c r="M92" s="225"/>
      <c r="N92" s="225"/>
    </row>
    <row r="93" spans="1:14">
      <c r="A93" s="126"/>
      <c r="B93" s="126"/>
      <c r="C93" s="225"/>
      <c r="D93" s="225"/>
      <c r="E93" s="225"/>
      <c r="F93" s="225"/>
      <c r="G93" s="225"/>
      <c r="H93" s="225"/>
      <c r="I93" s="225"/>
      <c r="J93" s="225"/>
      <c r="K93" s="225"/>
      <c r="L93" s="225"/>
      <c r="M93" s="225"/>
      <c r="N93" s="225"/>
    </row>
    <row r="94" spans="1:14">
      <c r="A94" s="229" t="s">
        <v>518</v>
      </c>
      <c r="B94" s="126"/>
      <c r="C94" s="248">
        <f>C4</f>
        <v>39508</v>
      </c>
      <c r="D94" s="248">
        <f t="shared" ref="D94:L94" si="32">D4</f>
        <v>39873</v>
      </c>
      <c r="E94" s="248">
        <f t="shared" si="32"/>
        <v>40238</v>
      </c>
      <c r="F94" s="248">
        <f t="shared" si="32"/>
        <v>40603</v>
      </c>
      <c r="G94" s="248">
        <f t="shared" si="32"/>
        <v>40969</v>
      </c>
      <c r="H94" s="248">
        <f t="shared" si="32"/>
        <v>41334</v>
      </c>
      <c r="I94" s="248">
        <f t="shared" si="32"/>
        <v>41699</v>
      </c>
      <c r="J94" s="248">
        <f t="shared" si="32"/>
        <v>42064</v>
      </c>
      <c r="K94" s="248">
        <f t="shared" si="32"/>
        <v>42430</v>
      </c>
      <c r="L94" s="248">
        <f t="shared" si="32"/>
        <v>42795</v>
      </c>
      <c r="M94" s="225"/>
      <c r="N94" s="225"/>
    </row>
    <row r="95" spans="1:14">
      <c r="A95" s="126" t="s">
        <v>516</v>
      </c>
      <c r="B95" s="126"/>
      <c r="C95" s="225">
        <f>(C26-C7)/C26</f>
        <v>0.98394999385841608</v>
      </c>
      <c r="D95" s="225">
        <f t="shared" ref="D95:L95" si="33">(D26-D7)/D26</f>
        <v>0.98691373956526995</v>
      </c>
      <c r="E95" s="225">
        <f t="shared" si="33"/>
        <v>0.98256738129454202</v>
      </c>
      <c r="F95" s="225">
        <f t="shared" si="33"/>
        <v>0.98373740315244185</v>
      </c>
      <c r="G95" s="225">
        <f t="shared" si="33"/>
        <v>0.99550912538062308</v>
      </c>
      <c r="H95" s="225">
        <f t="shared" si="33"/>
        <v>0.99783035549625199</v>
      </c>
      <c r="I95" s="225">
        <f t="shared" si="33"/>
        <v>0.99852085672407276</v>
      </c>
      <c r="J95" s="225">
        <f t="shared" si="33"/>
        <v>0.99872430421317371</v>
      </c>
      <c r="K95" s="225">
        <f t="shared" si="33"/>
        <v>0.99831121598299521</v>
      </c>
      <c r="L95" s="225">
        <f t="shared" si="33"/>
        <v>0.98794548011098293</v>
      </c>
      <c r="M95" s="225"/>
      <c r="N95" s="225"/>
    </row>
    <row r="96" spans="1:14">
      <c r="A96" s="126" t="s">
        <v>517</v>
      </c>
      <c r="B96" s="126"/>
      <c r="C96" s="225">
        <f>1-C95</f>
        <v>1.6050006141583917E-2</v>
      </c>
      <c r="D96" s="225">
        <f t="shared" ref="D96:L96" si="34">1-D95</f>
        <v>1.3086260434730046E-2</v>
      </c>
      <c r="E96" s="225">
        <f t="shared" si="34"/>
        <v>1.7432618705457981E-2</v>
      </c>
      <c r="F96" s="225">
        <f t="shared" si="34"/>
        <v>1.6262596847558153E-2</v>
      </c>
      <c r="G96" s="225">
        <f t="shared" si="34"/>
        <v>4.4908746193769167E-3</v>
      </c>
      <c r="H96" s="225">
        <f t="shared" si="34"/>
        <v>2.1696445037480139E-3</v>
      </c>
      <c r="I96" s="225">
        <f t="shared" si="34"/>
        <v>1.4791432759272416E-3</v>
      </c>
      <c r="J96" s="225">
        <f t="shared" si="34"/>
        <v>1.2756957868262919E-3</v>
      </c>
      <c r="K96" s="225">
        <f t="shared" si="34"/>
        <v>1.6887840170047852E-3</v>
      </c>
      <c r="L96" s="225">
        <f t="shared" si="34"/>
        <v>1.2054519889017068E-2</v>
      </c>
      <c r="M96" s="225"/>
      <c r="N96" s="225"/>
    </row>
    <row r="97" spans="1:14">
      <c r="A97" s="126"/>
      <c r="B97" s="126"/>
      <c r="C97" s="225"/>
      <c r="D97" s="225"/>
      <c r="E97" s="225"/>
      <c r="F97" s="225"/>
      <c r="G97" s="225"/>
      <c r="H97" s="225"/>
      <c r="I97" s="225"/>
      <c r="J97" s="225"/>
      <c r="K97" s="225"/>
      <c r="L97" s="225"/>
      <c r="M97" s="225"/>
      <c r="N97" s="225"/>
    </row>
    <row r="98" spans="1:14">
      <c r="A98" s="126"/>
      <c r="B98" s="126"/>
      <c r="C98" s="225"/>
      <c r="D98" s="225"/>
      <c r="E98" s="225"/>
      <c r="F98" s="225"/>
      <c r="G98" s="225"/>
      <c r="H98" s="225"/>
      <c r="I98" s="225"/>
      <c r="J98" s="225"/>
      <c r="K98" s="225"/>
      <c r="L98" s="225"/>
      <c r="M98" s="225"/>
      <c r="N98" s="225"/>
    </row>
    <row r="99" spans="1:14">
      <c r="A99" s="229" t="s">
        <v>512</v>
      </c>
      <c r="B99" s="126"/>
      <c r="C99" s="248">
        <f t="shared" ref="C99:L99" si="35">C4</f>
        <v>39508</v>
      </c>
      <c r="D99" s="248">
        <f t="shared" si="35"/>
        <v>39873</v>
      </c>
      <c r="E99" s="248">
        <f t="shared" si="35"/>
        <v>40238</v>
      </c>
      <c r="F99" s="248">
        <f t="shared" si="35"/>
        <v>40603</v>
      </c>
      <c r="G99" s="248">
        <f t="shared" si="35"/>
        <v>40969</v>
      </c>
      <c r="H99" s="248">
        <f t="shared" si="35"/>
        <v>41334</v>
      </c>
      <c r="I99" s="248">
        <f t="shared" si="35"/>
        <v>41699</v>
      </c>
      <c r="J99" s="248">
        <f t="shared" si="35"/>
        <v>42064</v>
      </c>
      <c r="K99" s="248">
        <f t="shared" si="35"/>
        <v>42430</v>
      </c>
      <c r="L99" s="248">
        <f t="shared" si="35"/>
        <v>42795</v>
      </c>
      <c r="M99" s="225"/>
      <c r="N99" s="225"/>
    </row>
    <row r="100" spans="1:14">
      <c r="A100" s="126" t="s">
        <v>259</v>
      </c>
      <c r="B100" s="126"/>
      <c r="C100" s="225">
        <f t="shared" ref="C100:L100" si="36">C42/(C10+C42+C45)</f>
        <v>0.41202341940617621</v>
      </c>
      <c r="D100" s="225">
        <f t="shared" si="36"/>
        <v>0.3759738524025496</v>
      </c>
      <c r="E100" s="225">
        <f t="shared" si="36"/>
        <v>0.36803182564454145</v>
      </c>
      <c r="F100" s="225">
        <f t="shared" si="36"/>
        <v>0.3047578241570732</v>
      </c>
      <c r="G100" s="225">
        <f t="shared" si="36"/>
        <v>0.26302181881461884</v>
      </c>
      <c r="H100" s="225">
        <f t="shared" si="36"/>
        <v>0.24903083579130311</v>
      </c>
      <c r="I100" s="225">
        <f t="shared" si="36"/>
        <v>0.22658800410833899</v>
      </c>
      <c r="J100" s="225">
        <f t="shared" si="36"/>
        <v>0.11067259680356314</v>
      </c>
      <c r="K100" s="225">
        <f t="shared" si="36"/>
        <v>0.1146748714193816</v>
      </c>
      <c r="L100" s="225">
        <f t="shared" si="36"/>
        <v>0.11292125372666269</v>
      </c>
      <c r="M100" s="225"/>
      <c r="N100" s="225"/>
    </row>
    <row r="101" spans="1:14">
      <c r="A101" s="126" t="s">
        <v>508</v>
      </c>
      <c r="B101" s="126"/>
      <c r="C101" s="225">
        <f t="shared" ref="C101:L101" si="37">C10/(C10+C42+C45)</f>
        <v>7.4119929121467198E-2</v>
      </c>
      <c r="D101" s="225">
        <f t="shared" si="37"/>
        <v>8.3799659681369626E-2</v>
      </c>
      <c r="E101" s="225">
        <f t="shared" si="37"/>
        <v>0.10600790228588956</v>
      </c>
      <c r="F101" s="225">
        <f t="shared" si="37"/>
        <v>0.11591190690064282</v>
      </c>
      <c r="G101" s="225">
        <f t="shared" si="37"/>
        <v>8.5812200010864759E-2</v>
      </c>
      <c r="H101" s="225">
        <f t="shared" si="37"/>
        <v>7.966422705520948E-2</v>
      </c>
      <c r="I101" s="225">
        <f t="shared" si="37"/>
        <v>6.8065046155177611E-2</v>
      </c>
      <c r="J101" s="225">
        <f t="shared" si="37"/>
        <v>0.57016109077296928</v>
      </c>
      <c r="K101" s="225">
        <f t="shared" si="37"/>
        <v>0.51481045280816851</v>
      </c>
      <c r="L101" s="225">
        <f t="shared" si="37"/>
        <v>0.58797987141594543</v>
      </c>
      <c r="M101" s="225"/>
      <c r="N101" s="225"/>
    </row>
    <row r="102" spans="1:14">
      <c r="A102" s="126" t="s">
        <v>509</v>
      </c>
      <c r="B102" s="126"/>
      <c r="C102" s="225">
        <f t="shared" ref="C102:L102" si="38">C45/(C10+C42+C45)</f>
        <v>0.5138566514723566</v>
      </c>
      <c r="D102" s="225">
        <f t="shared" si="38"/>
        <v>0.54022648791608086</v>
      </c>
      <c r="E102" s="225">
        <f t="shared" si="38"/>
        <v>0.52596027206956897</v>
      </c>
      <c r="F102" s="225">
        <f t="shared" si="38"/>
        <v>0.57933026894228401</v>
      </c>
      <c r="G102" s="225">
        <f t="shared" si="38"/>
        <v>0.65116598117451641</v>
      </c>
      <c r="H102" s="225">
        <f t="shared" si="38"/>
        <v>0.67130493715348749</v>
      </c>
      <c r="I102" s="225">
        <f t="shared" si="38"/>
        <v>0.70534694973648338</v>
      </c>
      <c r="J102" s="225">
        <f t="shared" si="38"/>
        <v>0.3191663124234676</v>
      </c>
      <c r="K102" s="225">
        <f t="shared" si="38"/>
        <v>0.37051467577244995</v>
      </c>
      <c r="L102" s="225">
        <f t="shared" si="38"/>
        <v>0.29909887485739184</v>
      </c>
      <c r="M102" s="225"/>
      <c r="N102" s="225"/>
    </row>
    <row r="103" spans="1:14">
      <c r="A103" s="126"/>
      <c r="B103" s="126"/>
      <c r="C103" s="225"/>
      <c r="D103" s="225"/>
      <c r="E103" s="225"/>
      <c r="F103" s="225"/>
      <c r="G103" s="225"/>
      <c r="H103" s="225"/>
      <c r="I103" s="225"/>
      <c r="J103" s="225"/>
      <c r="K103" s="225"/>
      <c r="L103" s="225"/>
      <c r="M103" s="225"/>
      <c r="N103" s="225"/>
    </row>
    <row r="104" spans="1:14">
      <c r="A104" s="126"/>
      <c r="B104" s="126"/>
      <c r="C104" s="225"/>
      <c r="D104" s="225"/>
      <c r="E104" s="225"/>
      <c r="F104" s="225"/>
      <c r="G104" s="225"/>
      <c r="H104" s="225"/>
      <c r="I104" s="225"/>
      <c r="J104" s="225"/>
      <c r="K104" s="225"/>
      <c r="L104" s="225"/>
      <c r="M104" s="225"/>
      <c r="N104" s="225"/>
    </row>
    <row r="105" spans="1:14">
      <c r="A105" s="126"/>
      <c r="B105" s="126"/>
      <c r="C105" s="248"/>
      <c r="D105" s="248">
        <f t="shared" ref="D105:L105" si="39">D4</f>
        <v>39873</v>
      </c>
      <c r="E105" s="248">
        <f t="shared" si="39"/>
        <v>40238</v>
      </c>
      <c r="F105" s="248">
        <f t="shared" si="39"/>
        <v>40603</v>
      </c>
      <c r="G105" s="248">
        <f t="shared" si="39"/>
        <v>40969</v>
      </c>
      <c r="H105" s="248">
        <f t="shared" si="39"/>
        <v>41334</v>
      </c>
      <c r="I105" s="248">
        <f t="shared" si="39"/>
        <v>41699</v>
      </c>
      <c r="J105" s="248">
        <f t="shared" si="39"/>
        <v>42064</v>
      </c>
      <c r="K105" s="248">
        <f t="shared" si="39"/>
        <v>42430</v>
      </c>
      <c r="L105" s="248">
        <f t="shared" si="39"/>
        <v>42795</v>
      </c>
      <c r="M105" s="225"/>
      <c r="N105" s="225"/>
    </row>
    <row r="106" spans="1:14">
      <c r="A106" s="276" t="s">
        <v>479</v>
      </c>
      <c r="B106" s="126"/>
      <c r="C106" s="225"/>
      <c r="D106" s="251">
        <f t="shared" ref="D106:L106" si="40">D11-C11</f>
        <v>-35.329999999999927</v>
      </c>
      <c r="E106" s="251">
        <f t="shared" si="40"/>
        <v>-72.060000000000059</v>
      </c>
      <c r="F106" s="251">
        <f t="shared" si="40"/>
        <v>569.7700000000001</v>
      </c>
      <c r="G106" s="251">
        <f t="shared" si="40"/>
        <v>783.24999999999977</v>
      </c>
      <c r="H106" s="251">
        <f t="shared" si="40"/>
        <v>-370.56999999999994</v>
      </c>
      <c r="I106" s="251">
        <f t="shared" si="40"/>
        <v>44.2800000000002</v>
      </c>
      <c r="J106" s="251">
        <f t="shared" si="40"/>
        <v>-21259.95</v>
      </c>
      <c r="K106" s="251">
        <f t="shared" si="40"/>
        <v>928.25</v>
      </c>
      <c r="L106" s="251">
        <f t="shared" si="40"/>
        <v>6637.2100000000009</v>
      </c>
      <c r="M106" s="225"/>
      <c r="N106" s="225"/>
    </row>
    <row r="107" spans="1:14">
      <c r="A107" s="276" t="s">
        <v>395</v>
      </c>
      <c r="B107" s="126"/>
      <c r="C107" s="225"/>
      <c r="D107" s="251">
        <f t="shared" ref="D107:L107" si="41">C35</f>
        <v>126.56000000000003</v>
      </c>
      <c r="E107" s="251">
        <f t="shared" si="41"/>
        <v>177.16999999999987</v>
      </c>
      <c r="F107" s="251">
        <f t="shared" si="41"/>
        <v>403.35000000000008</v>
      </c>
      <c r="G107" s="251">
        <f t="shared" si="41"/>
        <v>464.09000000000015</v>
      </c>
      <c r="H107" s="251">
        <f t="shared" si="41"/>
        <v>496.01000000000005</v>
      </c>
      <c r="I107" s="251">
        <f t="shared" si="41"/>
        <v>553.57999999999959</v>
      </c>
      <c r="J107" s="251">
        <f t="shared" si="41"/>
        <v>459.62</v>
      </c>
      <c r="K107" s="251">
        <f t="shared" si="41"/>
        <v>542.37000000000012</v>
      </c>
      <c r="L107" s="251">
        <f t="shared" si="41"/>
        <v>639.5299999999994</v>
      </c>
      <c r="M107" s="225"/>
      <c r="N107" s="225"/>
    </row>
    <row r="108" spans="1:14">
      <c r="B108" s="126"/>
      <c r="C108" s="225"/>
      <c r="E108" s="251"/>
      <c r="F108" s="251"/>
      <c r="G108" s="251"/>
      <c r="H108" s="251"/>
      <c r="I108" s="251"/>
      <c r="J108" s="251"/>
      <c r="K108" s="251"/>
      <c r="L108" s="251"/>
      <c r="M108" s="225"/>
      <c r="N108" s="225"/>
    </row>
    <row r="109" spans="1:14">
      <c r="A109" s="276"/>
      <c r="B109" s="126"/>
      <c r="C109" s="225"/>
      <c r="D109" s="251"/>
      <c r="E109" s="251"/>
      <c r="F109" s="251"/>
      <c r="G109" s="251"/>
      <c r="H109" s="251"/>
      <c r="I109" s="251"/>
      <c r="J109" s="251"/>
      <c r="K109" s="251"/>
      <c r="L109" s="251"/>
      <c r="M109" s="225"/>
      <c r="N109" s="225"/>
    </row>
    <row r="110" spans="1:14">
      <c r="A110" s="126"/>
      <c r="B110" s="126"/>
      <c r="C110" s="225"/>
      <c r="D110" s="225"/>
      <c r="E110" s="225"/>
      <c r="F110" s="225"/>
      <c r="G110" s="225"/>
      <c r="H110" s="225"/>
      <c r="I110" s="225"/>
      <c r="J110" s="225"/>
      <c r="K110" s="225"/>
      <c r="L110" s="225"/>
      <c r="M110" s="225"/>
      <c r="N110" s="225"/>
    </row>
    <row r="111" spans="1:14">
      <c r="A111" s="126"/>
      <c r="B111" s="126"/>
      <c r="C111" s="248">
        <f t="shared" ref="C111:L111" si="42">C4</f>
        <v>39508</v>
      </c>
      <c r="D111" s="248">
        <f t="shared" si="42"/>
        <v>39873</v>
      </c>
      <c r="E111" s="248">
        <f t="shared" si="42"/>
        <v>40238</v>
      </c>
      <c r="F111" s="248">
        <f t="shared" si="42"/>
        <v>40603</v>
      </c>
      <c r="G111" s="248">
        <f t="shared" si="42"/>
        <v>40969</v>
      </c>
      <c r="H111" s="248">
        <f t="shared" si="42"/>
        <v>41334</v>
      </c>
      <c r="I111" s="248">
        <f t="shared" si="42"/>
        <v>41699</v>
      </c>
      <c r="J111" s="248">
        <f t="shared" si="42"/>
        <v>42064</v>
      </c>
      <c r="K111" s="248">
        <f t="shared" si="42"/>
        <v>42430</v>
      </c>
      <c r="L111" s="248">
        <f t="shared" si="42"/>
        <v>42795</v>
      </c>
      <c r="M111" s="225"/>
      <c r="N111" s="225"/>
    </row>
    <row r="112" spans="1:14">
      <c r="A112" s="126" t="s">
        <v>473</v>
      </c>
      <c r="B112" s="126"/>
      <c r="C112" s="251">
        <f t="shared" ref="C112:L112" si="43">(C7/C26)*365</f>
        <v>5.8582522416781533</v>
      </c>
      <c r="D112" s="251">
        <f t="shared" si="43"/>
        <v>4.7764850586764531</v>
      </c>
      <c r="E112" s="251">
        <f t="shared" si="43"/>
        <v>6.3629058274921553</v>
      </c>
      <c r="F112" s="251">
        <f t="shared" si="43"/>
        <v>5.9358478493587246</v>
      </c>
      <c r="G112" s="251">
        <f t="shared" si="43"/>
        <v>1.6391692360725436</v>
      </c>
      <c r="H112" s="251">
        <f t="shared" si="43"/>
        <v>0.79192024386804227</v>
      </c>
      <c r="I112" s="251">
        <f t="shared" si="43"/>
        <v>0.53988729571343197</v>
      </c>
      <c r="J112" s="251">
        <f t="shared" si="43"/>
        <v>0.46562896219159861</v>
      </c>
      <c r="K112" s="251">
        <f t="shared" si="43"/>
        <v>0.6164061662067688</v>
      </c>
      <c r="L112" s="251">
        <f t="shared" si="43"/>
        <v>4.3998997594912028</v>
      </c>
      <c r="M112" s="225"/>
      <c r="N112" s="225"/>
    </row>
    <row r="113" spans="1:14">
      <c r="A113" s="126" t="s">
        <v>474</v>
      </c>
      <c r="B113" s="126"/>
      <c r="C113" s="266">
        <f>C27/C54</f>
        <v>0</v>
      </c>
      <c r="D113" s="266">
        <f t="shared" ref="D113:L113" si="44">D27/AVERAGE(C54:D54)</f>
        <v>0</v>
      </c>
      <c r="E113" s="266">
        <f t="shared" si="44"/>
        <v>0</v>
      </c>
      <c r="F113" s="266">
        <f t="shared" si="44"/>
        <v>0</v>
      </c>
      <c r="G113" s="266">
        <f t="shared" si="44"/>
        <v>0</v>
      </c>
      <c r="H113" s="266">
        <f t="shared" si="44"/>
        <v>2.2842414958543054</v>
      </c>
      <c r="I113" s="266">
        <f t="shared" si="44"/>
        <v>1.9437730814594252</v>
      </c>
      <c r="J113" s="266">
        <f t="shared" si="44"/>
        <v>1.6451655654215338</v>
      </c>
      <c r="K113" s="266">
        <f t="shared" si="44"/>
        <v>1.3058080852485536</v>
      </c>
      <c r="L113" s="266">
        <f t="shared" si="44"/>
        <v>0.81109515531705856</v>
      </c>
      <c r="M113" s="225"/>
      <c r="N113" s="225"/>
    </row>
    <row r="114" spans="1:14">
      <c r="A114" s="276" t="s">
        <v>226</v>
      </c>
      <c r="B114" s="126"/>
      <c r="C114" s="225">
        <f>C6/C26</f>
        <v>6.8526429283072426E-2</v>
      </c>
      <c r="D114" s="225">
        <f t="shared" ref="D114:L114" si="45">D6/D26</f>
        <v>0.20708150179457194</v>
      </c>
      <c r="E114" s="225">
        <f t="shared" si="45"/>
        <v>9.9580608264656728E-2</v>
      </c>
      <c r="F114" s="225">
        <f t="shared" si="45"/>
        <v>6.7199593127463486E-2</v>
      </c>
      <c r="G114" s="225">
        <f t="shared" si="45"/>
        <v>5.1841354348200773E-2</v>
      </c>
      <c r="H114" s="225">
        <f t="shared" si="45"/>
        <v>6.7489504344713125E-2</v>
      </c>
      <c r="I114" s="225">
        <f t="shared" si="45"/>
        <v>7.1904584540273153E-2</v>
      </c>
      <c r="J114" s="225">
        <f t="shared" si="45"/>
        <v>6.7513146681632066E-2</v>
      </c>
      <c r="K114" s="225">
        <f t="shared" si="45"/>
        <v>6.0226796283115079E-2</v>
      </c>
      <c r="L114" s="225">
        <f t="shared" si="45"/>
        <v>6.0334180645028858E-2</v>
      </c>
      <c r="M114" s="225"/>
      <c r="N114" s="225"/>
    </row>
    <row r="115" spans="1:14">
      <c r="A115" s="126"/>
      <c r="B115" s="126"/>
      <c r="C115" s="225"/>
      <c r="D115" s="225"/>
      <c r="E115" s="225"/>
      <c r="F115" s="225"/>
      <c r="G115" s="225"/>
      <c r="H115" s="225"/>
      <c r="I115" s="225"/>
      <c r="J115" s="225"/>
      <c r="K115" s="225"/>
      <c r="L115" s="225"/>
      <c r="M115" s="225"/>
      <c r="N115" s="225"/>
    </row>
    <row r="116" spans="1:14">
      <c r="A116" s="126"/>
      <c r="B116" s="126"/>
      <c r="C116" s="248">
        <f t="shared" ref="C116:L116" si="46">C4</f>
        <v>39508</v>
      </c>
      <c r="D116" s="248">
        <f t="shared" si="46"/>
        <v>39873</v>
      </c>
      <c r="E116" s="248">
        <f t="shared" si="46"/>
        <v>40238</v>
      </c>
      <c r="F116" s="248">
        <f t="shared" si="46"/>
        <v>40603</v>
      </c>
      <c r="G116" s="248">
        <f t="shared" si="46"/>
        <v>40969</v>
      </c>
      <c r="H116" s="248">
        <f t="shared" si="46"/>
        <v>41334</v>
      </c>
      <c r="I116" s="248">
        <f t="shared" si="46"/>
        <v>41699</v>
      </c>
      <c r="J116" s="248">
        <f t="shared" si="46"/>
        <v>42064</v>
      </c>
      <c r="K116" s="248">
        <f t="shared" si="46"/>
        <v>42430</v>
      </c>
      <c r="L116" s="248">
        <f t="shared" si="46"/>
        <v>42795</v>
      </c>
      <c r="M116" s="225" t="s">
        <v>515</v>
      </c>
      <c r="N116" s="225"/>
    </row>
    <row r="117" spans="1:14">
      <c r="A117" s="126" t="s">
        <v>363</v>
      </c>
      <c r="B117" s="126"/>
      <c r="C117" s="266">
        <f t="shared" ref="C117:L117" si="47">C45/C35</f>
        <v>15.970685840707961</v>
      </c>
      <c r="D117" s="266">
        <f t="shared" si="47"/>
        <v>14.031100073375862</v>
      </c>
      <c r="E117" s="266">
        <f t="shared" si="47"/>
        <v>7.2275691087145137</v>
      </c>
      <c r="F117" s="266">
        <f t="shared" si="47"/>
        <v>9.9640586955116444</v>
      </c>
      <c r="G117" s="266">
        <f t="shared" si="47"/>
        <v>14.258160117739559</v>
      </c>
      <c r="H117" s="266">
        <f t="shared" si="47"/>
        <v>15.853264207521958</v>
      </c>
      <c r="I117" s="266">
        <f t="shared" si="47"/>
        <v>24.115769548757669</v>
      </c>
      <c r="J117" s="266">
        <f t="shared" si="47"/>
        <v>23.187473495952943</v>
      </c>
      <c r="K117" s="266">
        <f t="shared" si="47"/>
        <v>24.433662220693343</v>
      </c>
      <c r="L117" s="266">
        <f t="shared" si="47"/>
        <v>19.517332476028074</v>
      </c>
      <c r="M117" s="266">
        <f>L45/M35</f>
        <v>15.182717713962615</v>
      </c>
      <c r="N117" s="225"/>
    </row>
    <row r="118" spans="1:14">
      <c r="A118" s="126" t="s">
        <v>215</v>
      </c>
      <c r="B118" s="126"/>
      <c r="C118" s="266">
        <f t="shared" ref="C118:L118" si="48">C62/C35</f>
        <v>1.6741466498103661</v>
      </c>
      <c r="D118" s="266">
        <f t="shared" si="48"/>
        <v>1.476152847547554</v>
      </c>
      <c r="E118" s="266">
        <f t="shared" si="48"/>
        <v>2.239419858683525</v>
      </c>
      <c r="F118" s="266">
        <f t="shared" si="48"/>
        <v>2.3032816910513043</v>
      </c>
      <c r="G118" s="266">
        <f t="shared" si="48"/>
        <v>2.2384427733311827</v>
      </c>
      <c r="H118" s="266">
        <f t="shared" si="48"/>
        <v>2.6108602189385475</v>
      </c>
      <c r="I118" s="266">
        <f t="shared" si="48"/>
        <v>3.6018014881858926</v>
      </c>
      <c r="J118" s="266">
        <f t="shared" si="48"/>
        <v>3.3620591109390263</v>
      </c>
      <c r="K118" s="266">
        <f t="shared" si="48"/>
        <v>3.658733757603243</v>
      </c>
      <c r="L118" s="266">
        <f t="shared" si="48"/>
        <v>4.4858824187190747</v>
      </c>
      <c r="M118" s="266">
        <f>L62/M35</f>
        <v>3.4896104037317732</v>
      </c>
      <c r="N118" s="225"/>
    </row>
    <row r="119" spans="1:14">
      <c r="A119" s="126" t="s">
        <v>463</v>
      </c>
      <c r="B119" s="126"/>
      <c r="C119" s="225">
        <f t="shared" ref="C119:L119" si="49">C35/C11</f>
        <v>0.188954747010257</v>
      </c>
      <c r="D119" s="225">
        <f t="shared" si="49"/>
        <v>0.2792453424959806</v>
      </c>
      <c r="E119" s="225">
        <f t="shared" si="49"/>
        <v>0.7171941678520628</v>
      </c>
      <c r="F119" s="225">
        <f t="shared" si="49"/>
        <v>0.40991193901975864</v>
      </c>
      <c r="G119" s="225">
        <f t="shared" si="49"/>
        <v>0.25895626024579471</v>
      </c>
      <c r="H119" s="225">
        <f t="shared" si="49"/>
        <v>0.35833899731365482</v>
      </c>
      <c r="I119" s="225">
        <f t="shared" si="49"/>
        <v>0.28922743891311598</v>
      </c>
      <c r="J119" s="225">
        <f t="shared" si="49"/>
        <v>-2.7572312694641103E-2</v>
      </c>
      <c r="K119" s="225">
        <f t="shared" si="49"/>
        <v>-3.4121787993855665E-2</v>
      </c>
      <c r="L119" s="225">
        <f t="shared" si="49"/>
        <v>-5.909944024795627E-2</v>
      </c>
      <c r="M119" s="225">
        <f>M35/L11</f>
        <v>-7.5972131353383973E-2</v>
      </c>
      <c r="N119" s="225"/>
    </row>
    <row r="120" spans="1:14">
      <c r="A120" s="126" t="s">
        <v>464</v>
      </c>
      <c r="B120" s="126"/>
      <c r="C120" s="261">
        <f>C26/C50</f>
        <v>0.38874475411314674</v>
      </c>
      <c r="D120" s="261">
        <f t="shared" ref="D120:L120" si="50">D26/AVERAGE(C50:D50)</f>
        <v>0.50853384056150563</v>
      </c>
      <c r="E120" s="261">
        <f t="shared" si="50"/>
        <v>0.62180521742301975</v>
      </c>
      <c r="F120" s="261">
        <f t="shared" si="50"/>
        <v>0.71398429481125514</v>
      </c>
      <c r="G120" s="261">
        <f t="shared" si="50"/>
        <v>0.70275368674163707</v>
      </c>
      <c r="H120" s="261">
        <f t="shared" si="50"/>
        <v>0.6665859174586416</v>
      </c>
      <c r="I120" s="261">
        <f t="shared" si="50"/>
        <v>0.53073051548649597</v>
      </c>
      <c r="J120" s="261">
        <f t="shared" si="50"/>
        <v>0.19092537953120878</v>
      </c>
      <c r="K120" s="261">
        <f t="shared" si="50"/>
        <v>0.15327312143695548</v>
      </c>
      <c r="L120" s="261">
        <f t="shared" si="50"/>
        <v>0.19638145153786124</v>
      </c>
      <c r="M120" s="266">
        <f>M26/AVERAGE(K50:L50)</f>
        <v>0.19128105779673607</v>
      </c>
      <c r="N120" s="225"/>
    </row>
    <row r="121" spans="1:14">
      <c r="A121" s="126" t="s">
        <v>480</v>
      </c>
      <c r="B121" s="126"/>
      <c r="C121" s="261">
        <f t="shared" ref="C121:L121" si="51">C10/C9</f>
        <v>0.30327459587658895</v>
      </c>
      <c r="D121" s="261">
        <f t="shared" si="51"/>
        <v>0.37802307684766734</v>
      </c>
      <c r="E121" s="261">
        <f t="shared" si="51"/>
        <v>0.51094376375035877</v>
      </c>
      <c r="F121" s="261">
        <f t="shared" si="51"/>
        <v>0.44970302034626564</v>
      </c>
      <c r="G121" s="261">
        <f t="shared" si="51"/>
        <v>0.32731148657903147</v>
      </c>
      <c r="H121" s="261">
        <f t="shared" si="51"/>
        <v>0.40268181308505169</v>
      </c>
      <c r="I121" s="261">
        <f t="shared" si="51"/>
        <v>0.40229733745058727</v>
      </c>
      <c r="J121" s="261">
        <f t="shared" si="51"/>
        <v>8.0369037483275978</v>
      </c>
      <c r="K121" s="261">
        <f t="shared" si="51"/>
        <v>7.3127338742543815</v>
      </c>
      <c r="L121" s="261">
        <f t="shared" si="51"/>
        <v>1.7889409475221603</v>
      </c>
      <c r="M121" s="225"/>
      <c r="N121" s="225"/>
    </row>
    <row r="122" spans="1:14">
      <c r="A122" s="126"/>
      <c r="B122" s="126"/>
      <c r="C122" s="225"/>
      <c r="D122" s="225"/>
      <c r="E122" s="225"/>
      <c r="F122" s="225"/>
      <c r="G122" s="225"/>
      <c r="H122" s="225"/>
      <c r="I122" s="225"/>
      <c r="J122" s="225"/>
      <c r="K122" s="225"/>
      <c r="L122" s="225"/>
      <c r="M122" s="225"/>
      <c r="N122" s="225"/>
    </row>
    <row r="123" spans="1:14">
      <c r="A123" s="126"/>
      <c r="B123" s="126"/>
      <c r="C123" s="225"/>
      <c r="D123" s="225"/>
      <c r="E123" s="225"/>
      <c r="F123" s="225"/>
      <c r="G123" s="225"/>
      <c r="H123" s="225"/>
      <c r="I123" s="225"/>
      <c r="J123" s="225"/>
      <c r="K123" s="225"/>
      <c r="L123" s="225"/>
      <c r="M123" s="225"/>
      <c r="N123" s="225"/>
    </row>
    <row r="124" spans="1:14">
      <c r="A124" s="126"/>
      <c r="B124" s="126"/>
      <c r="C124" s="225"/>
      <c r="D124" s="225"/>
      <c r="E124" s="225"/>
      <c r="F124" s="225"/>
      <c r="G124" s="225"/>
      <c r="H124" s="225"/>
      <c r="I124" s="225"/>
      <c r="J124" s="225"/>
      <c r="K124" s="225"/>
      <c r="L124" s="225"/>
      <c r="M124" s="225"/>
      <c r="N124" s="225"/>
    </row>
    <row r="125" spans="1:14">
      <c r="A125" s="229" t="s">
        <v>460</v>
      </c>
      <c r="B125" s="126"/>
      <c r="C125" s="242">
        <f t="shared" ref="C125:L125" si="52">C4</f>
        <v>39508</v>
      </c>
      <c r="D125" s="242">
        <f t="shared" si="52"/>
        <v>39873</v>
      </c>
      <c r="E125" s="242">
        <f t="shared" si="52"/>
        <v>40238</v>
      </c>
      <c r="F125" s="242">
        <f t="shared" si="52"/>
        <v>40603</v>
      </c>
      <c r="G125" s="242">
        <f t="shared" si="52"/>
        <v>40969</v>
      </c>
      <c r="H125" s="242">
        <f t="shared" si="52"/>
        <v>41334</v>
      </c>
      <c r="I125" s="242">
        <f t="shared" si="52"/>
        <v>41699</v>
      </c>
      <c r="J125" s="242">
        <f t="shared" si="52"/>
        <v>42064</v>
      </c>
      <c r="K125" s="242">
        <f t="shared" si="52"/>
        <v>42430</v>
      </c>
      <c r="L125" s="242">
        <f t="shared" si="52"/>
        <v>42795</v>
      </c>
      <c r="M125" s="126" t="s">
        <v>515</v>
      </c>
      <c r="N125" s="126"/>
    </row>
    <row r="126" spans="1:14">
      <c r="A126" s="126" t="s">
        <v>505</v>
      </c>
      <c r="B126" s="126"/>
      <c r="C126" s="225">
        <f t="shared" ref="C126:M126" si="53">C29/C26</f>
        <v>0.63976197950075753</v>
      </c>
      <c r="D126" s="225">
        <f t="shared" si="53"/>
        <v>0.48149977819897555</v>
      </c>
      <c r="E126" s="225">
        <f t="shared" si="53"/>
        <v>0.49737513564243196</v>
      </c>
      <c r="F126" s="225">
        <f t="shared" si="53"/>
        <v>0.47280475450246306</v>
      </c>
      <c r="G126" s="225">
        <f t="shared" si="53"/>
        <v>0.47835953808146775</v>
      </c>
      <c r="H126" s="225">
        <f t="shared" si="53"/>
        <v>0.48056540935767667</v>
      </c>
      <c r="I126" s="225">
        <f t="shared" si="53"/>
        <v>0.50359469330553686</v>
      </c>
      <c r="J126" s="225">
        <f t="shared" si="53"/>
        <v>0.60561513998877592</v>
      </c>
      <c r="K126" s="225">
        <f t="shared" si="53"/>
        <v>0.5447888532454489</v>
      </c>
      <c r="L126" s="225">
        <f t="shared" si="53"/>
        <v>0.54405450620430584</v>
      </c>
      <c r="M126" s="225">
        <f t="shared" si="53"/>
        <v>0.52242404870998271</v>
      </c>
      <c r="N126" s="126"/>
    </row>
    <row r="127" spans="1:14">
      <c r="A127" s="126" t="s">
        <v>457</v>
      </c>
      <c r="B127" s="126"/>
      <c r="C127" s="255">
        <f t="shared" ref="C127:M127" si="54">C35/C25</f>
        <v>0.16028774791661393</v>
      </c>
      <c r="D127" s="255">
        <f t="shared" si="54"/>
        <v>0.17190122738077898</v>
      </c>
      <c r="E127" s="255">
        <f t="shared" si="54"/>
        <v>0.22998631542935347</v>
      </c>
      <c r="F127" s="255">
        <f t="shared" si="54"/>
        <v>0.18544313913529936</v>
      </c>
      <c r="G127" s="255">
        <f t="shared" si="54"/>
        <v>0.15223249361618546</v>
      </c>
      <c r="H127" s="255">
        <f t="shared" si="54"/>
        <v>0.14483926081166282</v>
      </c>
      <c r="I127" s="255">
        <f t="shared" si="54"/>
        <v>0.11927895944276624</v>
      </c>
      <c r="J127" s="255">
        <f t="shared" si="54"/>
        <v>0.1368967841106139</v>
      </c>
      <c r="K127" s="255">
        <f t="shared" si="54"/>
        <v>0.12169678655632317</v>
      </c>
      <c r="L127" s="255">
        <f t="shared" si="54"/>
        <v>0.11985371353518362</v>
      </c>
      <c r="M127" s="255">
        <f t="shared" si="54"/>
        <v>0.15354780973942603</v>
      </c>
      <c r="N127" s="126"/>
    </row>
    <row r="128" spans="1:14">
      <c r="A128" s="126"/>
      <c r="B128" s="126"/>
      <c r="C128" s="255"/>
      <c r="D128" s="255"/>
      <c r="E128" s="255"/>
      <c r="F128" s="255"/>
      <c r="G128" s="255"/>
      <c r="H128" s="255"/>
      <c r="I128" s="255"/>
      <c r="J128" s="255"/>
      <c r="K128" s="255"/>
      <c r="L128" s="255"/>
      <c r="M128" s="126"/>
      <c r="N128" s="126"/>
    </row>
    <row r="129" spans="1:14">
      <c r="A129" s="229" t="s">
        <v>253</v>
      </c>
      <c r="B129" s="126"/>
      <c r="C129" s="248">
        <f>C125</f>
        <v>39508</v>
      </c>
      <c r="D129" s="248">
        <f t="shared" ref="D129:L129" si="55">D125</f>
        <v>39873</v>
      </c>
      <c r="E129" s="248">
        <f t="shared" si="55"/>
        <v>40238</v>
      </c>
      <c r="F129" s="248">
        <f t="shared" si="55"/>
        <v>40603</v>
      </c>
      <c r="G129" s="248">
        <f t="shared" si="55"/>
        <v>40969</v>
      </c>
      <c r="H129" s="248">
        <f t="shared" si="55"/>
        <v>41334</v>
      </c>
      <c r="I129" s="248">
        <f t="shared" si="55"/>
        <v>41699</v>
      </c>
      <c r="J129" s="248">
        <f t="shared" si="55"/>
        <v>42064</v>
      </c>
      <c r="K129" s="248">
        <f t="shared" si="55"/>
        <v>42430</v>
      </c>
      <c r="L129" s="248">
        <f t="shared" si="55"/>
        <v>42795</v>
      </c>
      <c r="M129" s="126" t="s">
        <v>515</v>
      </c>
      <c r="N129" s="126"/>
    </row>
    <row r="130" spans="1:14">
      <c r="A130" s="126" t="s">
        <v>25</v>
      </c>
      <c r="B130" s="126"/>
      <c r="C130" s="225">
        <f>C30/C29</f>
        <v>0.2167633757146514</v>
      </c>
      <c r="D130" s="225">
        <f t="shared" ref="D130:L130" si="56">D30/D29</f>
        <v>0.23949412676144816</v>
      </c>
      <c r="E130" s="225">
        <f t="shared" si="56"/>
        <v>0.21452915855887728</v>
      </c>
      <c r="F130" s="225">
        <f t="shared" si="56"/>
        <v>0.19550639774452394</v>
      </c>
      <c r="G130" s="225">
        <f t="shared" si="56"/>
        <v>0.1981770989717824</v>
      </c>
      <c r="H130" s="225">
        <f t="shared" si="56"/>
        <v>0.24917041016727245</v>
      </c>
      <c r="I130" s="225">
        <f t="shared" si="56"/>
        <v>0.2538417333560361</v>
      </c>
      <c r="J130" s="225">
        <f t="shared" si="56"/>
        <v>0.30333685122740178</v>
      </c>
      <c r="K130" s="225">
        <f t="shared" si="56"/>
        <v>0.30545701859574398</v>
      </c>
      <c r="L130" s="225">
        <f t="shared" si="56"/>
        <v>0.26875878396860881</v>
      </c>
      <c r="M130" s="225">
        <f>M30/M29</f>
        <v>0.18288657159953473</v>
      </c>
      <c r="N130" s="126"/>
    </row>
    <row r="131" spans="1:14">
      <c r="A131" s="126" t="s">
        <v>24</v>
      </c>
      <c r="B131" s="126"/>
      <c r="C131" s="225">
        <f>C32/C29</f>
        <v>0.42793753733253687</v>
      </c>
      <c r="D131" s="225">
        <f t="shared" ref="D131:L131" si="57">D32/D29</f>
        <v>0.31043363554513292</v>
      </c>
      <c r="E131" s="225">
        <f t="shared" si="57"/>
        <v>0.29410932248363697</v>
      </c>
      <c r="F131" s="225">
        <f t="shared" si="57"/>
        <v>0.30495770982433307</v>
      </c>
      <c r="G131" s="225">
        <f t="shared" si="57"/>
        <v>0.36731589166683348</v>
      </c>
      <c r="H131" s="225">
        <f t="shared" si="57"/>
        <v>0.35206776676674428</v>
      </c>
      <c r="I131" s="225">
        <f t="shared" si="57"/>
        <v>0.40461646517963562</v>
      </c>
      <c r="J131" s="225">
        <f t="shared" si="57"/>
        <v>0.40216822397830915</v>
      </c>
      <c r="K131" s="225">
        <f t="shared" si="57"/>
        <v>0.38306516564351306</v>
      </c>
      <c r="L131" s="225">
        <f t="shared" si="57"/>
        <v>0.4218757369101182</v>
      </c>
      <c r="M131" s="225">
        <f>M32/M29</f>
        <v>0.32495613061981882</v>
      </c>
      <c r="N131" s="126"/>
    </row>
    <row r="132" spans="1:14">
      <c r="A132" s="126" t="s">
        <v>458</v>
      </c>
      <c r="B132" s="126"/>
      <c r="C132" s="225">
        <f>C34/C29</f>
        <v>8.5310180049492271E-2</v>
      </c>
      <c r="D132" s="225">
        <f t="shared" ref="D132:L132" si="58">D34/D29</f>
        <v>7.9105508909315544E-2</v>
      </c>
      <c r="E132" s="225">
        <f t="shared" si="58"/>
        <v>1.5684887080606169E-2</v>
      </c>
      <c r="F132" s="225">
        <f t="shared" si="58"/>
        <v>9.6942094990240715E-2</v>
      </c>
      <c r="G132" s="225">
        <f t="shared" si="58"/>
        <v>0.10354905218487899</v>
      </c>
      <c r="H132" s="225">
        <f t="shared" si="58"/>
        <v>8.6350707690918543E-2</v>
      </c>
      <c r="I132" s="225">
        <f t="shared" si="58"/>
        <v>9.6979822918440317E-2</v>
      </c>
      <c r="J132" s="225">
        <f t="shared" si="58"/>
        <v>6.1811972852154069E-2</v>
      </c>
      <c r="K132" s="225">
        <f t="shared" si="58"/>
        <v>8.2555080271329628E-2</v>
      </c>
      <c r="L132" s="225">
        <f t="shared" si="58"/>
        <v>8.4426711439360355E-2</v>
      </c>
      <c r="M132" s="225">
        <f>M34/M29</f>
        <v>0.18299414402603251</v>
      </c>
      <c r="N132" s="126"/>
    </row>
    <row r="133" spans="1:14">
      <c r="A133" s="126" t="s">
        <v>459</v>
      </c>
      <c r="B133" s="126"/>
      <c r="C133" s="225">
        <f>C35/C29</f>
        <v>0.26998890690331945</v>
      </c>
      <c r="D133" s="225">
        <f t="shared" ref="D133:L133" si="59">D35/D29</f>
        <v>0.37096672878410336</v>
      </c>
      <c r="E133" s="225">
        <f t="shared" si="59"/>
        <v>0.47567663187687959</v>
      </c>
      <c r="F133" s="225">
        <f t="shared" si="59"/>
        <v>0.40259379744090223</v>
      </c>
      <c r="G133" s="225">
        <f t="shared" si="59"/>
        <v>0.33095795717650517</v>
      </c>
      <c r="H133" s="225">
        <f t="shared" si="59"/>
        <v>0.31241111537506472</v>
      </c>
      <c r="I133" s="225">
        <f t="shared" si="59"/>
        <v>0.24456197854588799</v>
      </c>
      <c r="J133" s="225">
        <f t="shared" si="59"/>
        <v>0.23268295194213498</v>
      </c>
      <c r="K133" s="225">
        <f t="shared" si="59"/>
        <v>0.2289227354894133</v>
      </c>
      <c r="L133" s="225">
        <f t="shared" si="59"/>
        <v>0.22493876768191262</v>
      </c>
      <c r="M133" s="225">
        <f>M35/M29</f>
        <v>0.3091597921162858</v>
      </c>
      <c r="N133" s="126"/>
    </row>
    <row r="134" spans="1:14">
      <c r="A134" s="126" t="s">
        <v>64</v>
      </c>
      <c r="B134" s="126"/>
      <c r="C134" s="225">
        <f>SUM(C130:C133)</f>
        <v>1</v>
      </c>
      <c r="D134" s="225">
        <f t="shared" ref="D134:M134" si="60">SUM(D130:D133)</f>
        <v>1</v>
      </c>
      <c r="E134" s="225">
        <f t="shared" si="60"/>
        <v>0.99999999999999989</v>
      </c>
      <c r="F134" s="225">
        <f t="shared" si="60"/>
        <v>1</v>
      </c>
      <c r="G134" s="225">
        <f t="shared" si="60"/>
        <v>1</v>
      </c>
      <c r="H134" s="225">
        <f t="shared" si="60"/>
        <v>1</v>
      </c>
      <c r="I134" s="225">
        <f t="shared" si="60"/>
        <v>1</v>
      </c>
      <c r="J134" s="225">
        <f t="shared" si="60"/>
        <v>1</v>
      </c>
      <c r="K134" s="225">
        <f t="shared" si="60"/>
        <v>1</v>
      </c>
      <c r="L134" s="225">
        <f t="shared" si="60"/>
        <v>1</v>
      </c>
      <c r="M134" s="225">
        <f t="shared" si="60"/>
        <v>0.99999663836167185</v>
      </c>
      <c r="N134" s="126"/>
    </row>
    <row r="135" spans="1:14">
      <c r="A135" s="126"/>
      <c r="B135" s="126"/>
      <c r="C135" s="126"/>
      <c r="D135" s="126"/>
      <c r="E135" s="126"/>
      <c r="F135" s="126"/>
      <c r="G135" s="126"/>
      <c r="H135" s="126"/>
      <c r="I135" s="126"/>
      <c r="J135" s="126"/>
      <c r="K135" s="126"/>
      <c r="L135" s="126"/>
      <c r="M135" s="126"/>
      <c r="N135" s="126"/>
    </row>
    <row r="136" spans="1:14">
      <c r="A136" s="126"/>
      <c r="B136" s="126"/>
      <c r="C136" s="126"/>
      <c r="D136" s="126"/>
      <c r="E136" s="126"/>
      <c r="F136" s="126"/>
      <c r="G136" s="126"/>
      <c r="H136" s="126"/>
      <c r="I136" s="126"/>
      <c r="J136" s="126"/>
      <c r="K136" s="126"/>
      <c r="L136" s="126"/>
      <c r="M136" s="126"/>
      <c r="N136" s="126"/>
    </row>
    <row r="137" spans="1:14">
      <c r="A137" s="229" t="s">
        <v>451</v>
      </c>
      <c r="B137" s="126"/>
      <c r="C137" s="242">
        <f t="shared" ref="C137:L137" si="61">C4</f>
        <v>39508</v>
      </c>
      <c r="D137" s="242">
        <f t="shared" si="61"/>
        <v>39873</v>
      </c>
      <c r="E137" s="242">
        <f t="shared" si="61"/>
        <v>40238</v>
      </c>
      <c r="F137" s="242">
        <f t="shared" si="61"/>
        <v>40603</v>
      </c>
      <c r="G137" s="242">
        <f t="shared" si="61"/>
        <v>40969</v>
      </c>
      <c r="H137" s="242">
        <f t="shared" si="61"/>
        <v>41334</v>
      </c>
      <c r="I137" s="242">
        <f t="shared" si="61"/>
        <v>41699</v>
      </c>
      <c r="J137" s="242">
        <f t="shared" si="61"/>
        <v>42064</v>
      </c>
      <c r="K137" s="242">
        <f t="shared" si="61"/>
        <v>42430</v>
      </c>
      <c r="L137" s="242">
        <f t="shared" si="61"/>
        <v>42795</v>
      </c>
      <c r="M137" s="126" t="s">
        <v>515</v>
      </c>
      <c r="N137" s="126"/>
    </row>
    <row r="138" spans="1:14" ht="39">
      <c r="A138" s="260" t="s">
        <v>452</v>
      </c>
      <c r="B138" s="126"/>
      <c r="C138" s="261">
        <f>C26/C50</f>
        <v>0.38874475411314674</v>
      </c>
      <c r="D138" s="261">
        <f t="shared" ref="D138:L138" si="62">D26/AVERAGE(C50:D50)</f>
        <v>0.50853384056150563</v>
      </c>
      <c r="E138" s="261">
        <f t="shared" si="62"/>
        <v>0.62180521742301975</v>
      </c>
      <c r="F138" s="261">
        <f t="shared" si="62"/>
        <v>0.71398429481125514</v>
      </c>
      <c r="G138" s="261">
        <f t="shared" si="62"/>
        <v>0.70275368674163707</v>
      </c>
      <c r="H138" s="261">
        <f t="shared" si="62"/>
        <v>0.6665859174586416</v>
      </c>
      <c r="I138" s="261">
        <f t="shared" si="62"/>
        <v>0.53073051548649597</v>
      </c>
      <c r="J138" s="261">
        <f t="shared" si="62"/>
        <v>0.19092537953120878</v>
      </c>
      <c r="K138" s="261">
        <f t="shared" si="62"/>
        <v>0.15327312143695548</v>
      </c>
      <c r="L138" s="261">
        <f t="shared" si="62"/>
        <v>0.19638145153786124</v>
      </c>
      <c r="M138" s="341">
        <f>M26/AVERAGE(K50:L50)</f>
        <v>0.19128105779673607</v>
      </c>
      <c r="N138" s="126"/>
    </row>
    <row r="139" spans="1:14">
      <c r="A139" s="262" t="s">
        <v>453</v>
      </c>
      <c r="B139" s="126"/>
      <c r="C139" s="225">
        <f t="shared" ref="C139:L139" si="63">C35/C26</f>
        <v>0.17272863752371337</v>
      </c>
      <c r="D139" s="225">
        <f t="shared" si="63"/>
        <v>0.17862039762874529</v>
      </c>
      <c r="E139" s="225">
        <f t="shared" si="63"/>
        <v>0.23658972930169817</v>
      </c>
      <c r="F139" s="225">
        <f t="shared" si="63"/>
        <v>0.19034826156326012</v>
      </c>
      <c r="G139" s="225">
        <f t="shared" si="63"/>
        <v>0.1583168955193392</v>
      </c>
      <c r="H139" s="225">
        <f t="shared" si="63"/>
        <v>0.15013397554810634</v>
      </c>
      <c r="I139" s="225">
        <f t="shared" si="63"/>
        <v>0.12316011458001175</v>
      </c>
      <c r="J139" s="225">
        <f t="shared" si="63"/>
        <v>0.14091631851343769</v>
      </c>
      <c r="K139" s="225">
        <f t="shared" si="63"/>
        <v>0.12471455454908871</v>
      </c>
      <c r="L139" s="225">
        <f t="shared" si="63"/>
        <v>0.12237895017738805</v>
      </c>
      <c r="M139" s="225"/>
      <c r="N139" s="126"/>
    </row>
    <row r="140" spans="1:14" ht="26.25">
      <c r="A140" s="260" t="s">
        <v>454</v>
      </c>
      <c r="B140" s="126"/>
      <c r="C140" s="225">
        <f t="shared" ref="C140:L140" si="64">C36/C35</f>
        <v>0</v>
      </c>
      <c r="D140" s="225">
        <f t="shared" si="64"/>
        <v>0.3143873116216066</v>
      </c>
      <c r="E140" s="225">
        <f t="shared" si="64"/>
        <v>0.16015867112929214</v>
      </c>
      <c r="F140" s="225">
        <f t="shared" si="64"/>
        <v>0.10741451011657219</v>
      </c>
      <c r="G140" s="225">
        <f t="shared" si="64"/>
        <v>0.1206225680933852</v>
      </c>
      <c r="H140" s="225">
        <f t="shared" si="64"/>
        <v>0.24016402326673666</v>
      </c>
      <c r="I140" s="225">
        <f t="shared" si="64"/>
        <v>0.28926069361646572</v>
      </c>
      <c r="J140" s="225">
        <f t="shared" si="64"/>
        <v>0.25215258956063197</v>
      </c>
      <c r="K140" s="225">
        <f t="shared" si="64"/>
        <v>0.32972651791159163</v>
      </c>
      <c r="L140" s="225">
        <f t="shared" si="64"/>
        <v>9.8249979033295159E-2</v>
      </c>
      <c r="M140" s="126"/>
      <c r="N140" s="126"/>
    </row>
    <row r="141" spans="1:14" ht="26.25">
      <c r="A141" s="260" t="s">
        <v>455</v>
      </c>
      <c r="B141" s="126"/>
      <c r="C141" s="225">
        <f t="shared" ref="C141:L141" si="65">C30/C50</f>
        <v>5.3909943177296388E-2</v>
      </c>
      <c r="D141" s="225">
        <f t="shared" si="65"/>
        <v>5.6732452768422668E-2</v>
      </c>
      <c r="E141" s="225">
        <f t="shared" si="65"/>
        <v>5.2462637926758218E-2</v>
      </c>
      <c r="F141" s="225">
        <f t="shared" si="65"/>
        <v>6.7031113834220155E-2</v>
      </c>
      <c r="G141" s="225">
        <f t="shared" si="65"/>
        <v>5.347446275277986E-2</v>
      </c>
      <c r="H141" s="225">
        <f t="shared" si="65"/>
        <v>8.01478356526443E-2</v>
      </c>
      <c r="I141" s="225">
        <f t="shared" si="65"/>
        <v>5.5767792013466759E-2</v>
      </c>
      <c r="J141" s="225">
        <f t="shared" si="65"/>
        <v>2.225995914841316E-2</v>
      </c>
      <c r="K141" s="225">
        <f t="shared" si="65"/>
        <v>2.4277913170342561E-2</v>
      </c>
      <c r="L141" s="225">
        <f t="shared" si="65"/>
        <v>3.5049959487874247E-2</v>
      </c>
      <c r="M141" s="126"/>
      <c r="N141" s="126"/>
    </row>
    <row r="142" spans="1:14">
      <c r="A142" s="260" t="s">
        <v>451</v>
      </c>
      <c r="B142" s="126"/>
      <c r="C142" s="225"/>
      <c r="D142" s="225"/>
      <c r="E142" s="263">
        <f t="shared" ref="E142" si="66">AVERAGE(C138:E138)*AVERAGE(C139:E139)*(1-AVERAGE(C140:E140))-AVERAGE(C141:E141)</f>
        <v>2.9170705416312316E-2</v>
      </c>
      <c r="F142" s="263">
        <f t="shared" ref="F142" si="67">AVERAGE(D138:F138)*AVERAGE(D139:F139)*(1-AVERAGE(D140:F140))-AVERAGE(D141:F141)</f>
        <v>4.1279283218640252E-2</v>
      </c>
      <c r="G142" s="263">
        <f t="shared" ref="G142:K142" si="68">AVERAGE(E138:G138)*AVERAGE(E139:G139)*(1-AVERAGE(E140:G140))-AVERAGE(E141:G141)</f>
        <v>5.7753499749731881E-2</v>
      </c>
      <c r="H142" s="263">
        <f t="shared" si="68"/>
        <v>3.0557919357899407E-2</v>
      </c>
      <c r="I142" s="263">
        <f t="shared" si="68"/>
        <v>8.2468363170146303E-3</v>
      </c>
      <c r="J142" s="263">
        <f t="shared" si="68"/>
        <v>-5.4790195550074167E-3</v>
      </c>
      <c r="K142" s="263">
        <f t="shared" si="68"/>
        <v>-7.2810473663675913E-3</v>
      </c>
      <c r="L142" s="263">
        <f>AVERAGE(J138:L138)*AVERAGE(J139:L139)*(1-AVERAGE(J140:L140))-AVERAGE(J141:L141)</f>
        <v>-9.1739552732288017E-3</v>
      </c>
      <c r="M142" s="126"/>
      <c r="N142" s="126"/>
    </row>
    <row r="143" spans="1:14">
      <c r="A143" s="260"/>
      <c r="B143" s="126"/>
      <c r="C143" s="225"/>
      <c r="D143" s="225"/>
      <c r="E143" s="225"/>
      <c r="F143" s="225"/>
      <c r="G143" s="225"/>
      <c r="H143" s="225"/>
      <c r="I143" s="225"/>
      <c r="J143" s="225"/>
      <c r="K143" s="225"/>
      <c r="L143" s="225"/>
      <c r="M143" s="126"/>
      <c r="N143" s="126"/>
    </row>
    <row r="144" spans="1:14">
      <c r="A144" s="260"/>
      <c r="B144" s="126"/>
      <c r="C144" s="225"/>
      <c r="D144" s="225"/>
      <c r="E144" s="225"/>
      <c r="F144" s="225"/>
      <c r="G144" s="225"/>
      <c r="H144" s="225"/>
      <c r="I144" s="225"/>
      <c r="J144" s="225"/>
      <c r="K144" s="225"/>
      <c r="L144" s="225"/>
      <c r="M144" s="126"/>
      <c r="N144" s="126"/>
    </row>
    <row r="145" spans="1:14">
      <c r="A145" s="260"/>
      <c r="B145" s="126"/>
      <c r="C145" s="225"/>
      <c r="D145" s="225"/>
      <c r="E145" s="225"/>
      <c r="F145" s="225"/>
      <c r="G145" s="225"/>
      <c r="H145" s="225"/>
      <c r="I145" s="225"/>
      <c r="J145" s="225"/>
      <c r="K145" s="225"/>
      <c r="L145" s="225"/>
      <c r="M145" s="126"/>
      <c r="N145" s="126"/>
    </row>
    <row r="146" spans="1:14">
      <c r="A146" s="260"/>
      <c r="B146" s="126"/>
      <c r="C146" s="225"/>
      <c r="D146" s="225"/>
      <c r="E146" s="225"/>
      <c r="F146" s="225"/>
      <c r="G146" s="225"/>
      <c r="H146" s="225"/>
      <c r="I146" s="225"/>
      <c r="J146" s="225"/>
      <c r="K146" s="225"/>
      <c r="L146" s="225"/>
      <c r="M146" s="126"/>
      <c r="N146" s="126"/>
    </row>
    <row r="147" spans="1:14">
      <c r="A147" s="260"/>
      <c r="B147" s="126"/>
      <c r="C147" s="225"/>
      <c r="D147" s="225"/>
      <c r="E147" s="225"/>
      <c r="F147" s="225"/>
      <c r="G147" s="225"/>
      <c r="H147" s="225"/>
      <c r="I147" s="225"/>
      <c r="J147" s="225"/>
      <c r="K147" s="225"/>
      <c r="L147" s="225"/>
      <c r="M147" s="126"/>
      <c r="N147" s="126"/>
    </row>
    <row r="148" spans="1:14">
      <c r="A148" s="260"/>
      <c r="B148" s="126"/>
      <c r="C148" s="225"/>
      <c r="D148" s="225"/>
      <c r="E148" s="225"/>
      <c r="F148" s="225"/>
      <c r="G148" s="225"/>
      <c r="H148" s="225"/>
      <c r="I148" s="225"/>
      <c r="J148" s="225"/>
      <c r="K148" s="225"/>
      <c r="L148" s="225"/>
      <c r="M148" s="126"/>
      <c r="N148" s="126"/>
    </row>
    <row r="149" spans="1:14">
      <c r="A149" s="260"/>
      <c r="B149" s="126"/>
      <c r="C149" s="225"/>
      <c r="D149" s="225"/>
      <c r="E149" s="225"/>
      <c r="F149" s="225"/>
      <c r="G149" s="225"/>
      <c r="H149" s="225"/>
      <c r="I149" s="225"/>
      <c r="J149" s="225"/>
      <c r="K149" s="225"/>
      <c r="L149" s="225"/>
      <c r="M149" s="126"/>
      <c r="N149" s="126"/>
    </row>
    <row r="150" spans="1:14">
      <c r="A150" s="260"/>
      <c r="B150" s="126"/>
      <c r="C150" s="225"/>
      <c r="D150" s="225"/>
      <c r="E150" s="225"/>
      <c r="F150" s="225"/>
      <c r="G150" s="225"/>
      <c r="H150" s="225"/>
      <c r="I150" s="225"/>
      <c r="J150" s="225"/>
      <c r="K150" s="225"/>
      <c r="L150" s="225"/>
      <c r="M150" s="126"/>
      <c r="N150" s="126"/>
    </row>
    <row r="151" spans="1:14">
      <c r="A151" s="260"/>
      <c r="B151" s="126"/>
      <c r="C151" s="225"/>
      <c r="D151" s="225"/>
      <c r="E151" s="225"/>
      <c r="F151" s="225"/>
      <c r="G151" s="225"/>
      <c r="H151" s="225"/>
      <c r="I151" s="225"/>
      <c r="J151" s="225"/>
      <c r="K151" s="225"/>
      <c r="L151" s="225"/>
      <c r="M151" s="126"/>
      <c r="N151" s="126"/>
    </row>
    <row r="152" spans="1:14">
      <c r="A152" s="260"/>
      <c r="B152" s="126"/>
      <c r="C152" s="225"/>
      <c r="D152" s="225"/>
      <c r="E152" s="225"/>
      <c r="F152" s="225"/>
      <c r="G152" s="225"/>
      <c r="H152" s="225"/>
      <c r="I152" s="225"/>
      <c r="J152" s="225"/>
      <c r="K152" s="225"/>
      <c r="L152" s="225"/>
      <c r="M152" s="126"/>
      <c r="N152" s="126"/>
    </row>
    <row r="153" spans="1:14">
      <c r="A153" s="126"/>
      <c r="B153" s="126"/>
      <c r="C153" s="126"/>
      <c r="D153" s="126"/>
      <c r="E153" s="126"/>
      <c r="F153" s="126"/>
      <c r="G153" s="126"/>
      <c r="H153" s="126"/>
      <c r="I153" s="126"/>
      <c r="J153" s="126"/>
      <c r="K153" s="126"/>
      <c r="L153" s="126"/>
      <c r="M153" s="126"/>
      <c r="N153" s="126"/>
    </row>
    <row r="155" spans="1:14">
      <c r="A155" s="229" t="s">
        <v>365</v>
      </c>
      <c r="C155" s="241">
        <f t="shared" ref="C155:L155" si="69">C4</f>
        <v>39508</v>
      </c>
      <c r="D155" s="241">
        <f t="shared" si="69"/>
        <v>39873</v>
      </c>
      <c r="E155" s="241">
        <f t="shared" si="69"/>
        <v>40238</v>
      </c>
      <c r="F155" s="241">
        <f t="shared" si="69"/>
        <v>40603</v>
      </c>
      <c r="G155" s="241">
        <f t="shared" si="69"/>
        <v>40969</v>
      </c>
      <c r="H155" s="241">
        <f t="shared" si="69"/>
        <v>41334</v>
      </c>
      <c r="I155" s="241">
        <f t="shared" si="69"/>
        <v>41699</v>
      </c>
      <c r="J155" s="241">
        <f t="shared" si="69"/>
        <v>42064</v>
      </c>
      <c r="K155" s="241">
        <f t="shared" si="69"/>
        <v>42430</v>
      </c>
      <c r="L155" s="241">
        <f t="shared" si="69"/>
        <v>42795</v>
      </c>
      <c r="M155" s="241"/>
      <c r="N155" s="241"/>
    </row>
    <row r="156" spans="1:14">
      <c r="A156" s="126" t="s">
        <v>396</v>
      </c>
      <c r="C156" s="230">
        <f>'Screener Input'!B62</f>
        <v>1884.81</v>
      </c>
      <c r="D156" s="230">
        <f>'Screener Input'!C62</f>
        <v>2016.13</v>
      </c>
      <c r="E156" s="230">
        <f>'Screener Input'!D62</f>
        <v>3467.42</v>
      </c>
      <c r="F156" s="230">
        <f>'Screener Input'!E62</f>
        <v>3362.17</v>
      </c>
      <c r="G156" s="230">
        <f>'Screener Input'!F62</f>
        <v>5554.24</v>
      </c>
      <c r="H156" s="230">
        <f>'Screener Input'!G62</f>
        <v>5508.82</v>
      </c>
      <c r="I156" s="230">
        <f>'Screener Input'!H62</f>
        <v>8554.4</v>
      </c>
      <c r="J156" s="230">
        <f>'Screener Input'!I62</f>
        <v>31763.759999999998</v>
      </c>
      <c r="K156" s="230">
        <f>'Screener Input'!J62</f>
        <v>35148.82</v>
      </c>
      <c r="L156" s="230">
        <f>'Screener Input'!K62</f>
        <v>24387.759999999998</v>
      </c>
      <c r="M156" s="230"/>
      <c r="N156" s="230"/>
    </row>
    <row r="157" spans="1:14">
      <c r="A157" s="126" t="s">
        <v>396</v>
      </c>
      <c r="B157" s="126"/>
      <c r="C157" s="225">
        <f>'Screener Input'!B62/'Screener Input'!B66</f>
        <v>0.47916989747018551</v>
      </c>
      <c r="D157" s="225">
        <f>'Screener Input'!C62/'Screener Input'!C66</f>
        <v>0.43813959148725329</v>
      </c>
      <c r="E157" s="225">
        <f>'Screener Input'!D62/'Screener Input'!D66</f>
        <v>0.6255831995236979</v>
      </c>
      <c r="F157" s="225">
        <f>'Screener Input'!E62/'Screener Input'!E66</f>
        <v>0.42121846502322097</v>
      </c>
      <c r="G157" s="225">
        <f>'Screener Input'!F62/'Screener Input'!F66</f>
        <v>0.51140200408625136</v>
      </c>
      <c r="H157" s="225">
        <f>'Screener Input'!G62/'Screener Input'!G66</f>
        <v>0.42138525462934628</v>
      </c>
      <c r="I157" s="225">
        <f>'Screener Input'!H62/'Screener Input'!H66</f>
        <v>0.54436764288505179</v>
      </c>
      <c r="J157" s="225">
        <f>'Screener Input'!I62/'Screener Input'!I66</f>
        <v>0.8061203073350548</v>
      </c>
      <c r="K157" s="225">
        <f>'Screener Input'!J62/'Screener Input'!J66</f>
        <v>0.83342529377745922</v>
      </c>
      <c r="L157" s="225">
        <f>'Screener Input'!K62/'Screener Input'!K66</f>
        <v>0.52240238917690174</v>
      </c>
      <c r="M157" s="225"/>
      <c r="N157" s="225"/>
    </row>
    <row r="158" spans="1:14">
      <c r="A158" s="126" t="s">
        <v>397</v>
      </c>
      <c r="B158" s="126"/>
      <c r="C158" s="225">
        <f>'Screener Input'!B64/'Screener Input'!B66</f>
        <v>5.0461549412862378E-2</v>
      </c>
      <c r="D158" s="225">
        <f>'Screener Input'!C64/'Screener Input'!C66</f>
        <v>2.4085257857644239E-2</v>
      </c>
      <c r="E158" s="225">
        <f>'Screener Input'!D64/'Screener Input'!D66</f>
        <v>8.1296119219874795E-3</v>
      </c>
      <c r="F158" s="225">
        <f>'Screener Input'!E64/'Screener Input'!E66</f>
        <v>6.8980119042697267E-3</v>
      </c>
      <c r="G158" s="225">
        <f>'Screener Input'!F64/'Screener Input'!F66</f>
        <v>1.2844345863706299E-3</v>
      </c>
      <c r="H158" s="225">
        <f>'Screener Input'!G64/'Screener Input'!G66</f>
        <v>4.7448505024049346E-3</v>
      </c>
      <c r="I158" s="225">
        <f>'Screener Input'!H64/'Screener Input'!H66</f>
        <v>9.2399445603326381E-4</v>
      </c>
      <c r="J158" s="225">
        <f>'Screener Input'!I64/'Screener Input'!I66</f>
        <v>2.2282425942022547E-4</v>
      </c>
      <c r="K158" s="225">
        <f>'Screener Input'!J64/'Screener Input'!J66</f>
        <v>8.5953573688769336E-4</v>
      </c>
      <c r="L158" s="225">
        <f>'Screener Input'!K64/'Screener Input'!K66</f>
        <v>3.1250629232458496E-3</v>
      </c>
      <c r="M158" s="225"/>
      <c r="N158" s="225"/>
    </row>
    <row r="159" spans="1:14">
      <c r="A159" s="126" t="s">
        <v>400</v>
      </c>
      <c r="B159" s="126"/>
      <c r="C159" s="225">
        <f>'Screener Input'!B68/'Screener Input'!B66</f>
        <v>1.2764745810971936E-2</v>
      </c>
      <c r="D159" s="225">
        <f>'Screener Input'!C68/'Screener Input'!C66</f>
        <v>4.4636939131644203E-2</v>
      </c>
      <c r="E159" s="225">
        <f>'Screener Input'!D68/'Screener Input'!D66</f>
        <v>3.0629476608872934E-2</v>
      </c>
      <c r="F159" s="225">
        <f>'Screener Input'!E68/'Screener Input'!E66</f>
        <v>2.0526158198248309E-2</v>
      </c>
      <c r="G159" s="225">
        <f>'Screener Input'!F68/'Screener Input'!F66</f>
        <v>1.4954685700237827E-2</v>
      </c>
      <c r="H159" s="225">
        <f>'Screener Input'!G68/'Screener Input'!G66</f>
        <v>1.9035241778550184E-2</v>
      </c>
      <c r="I159" s="225">
        <f>'Screener Input'!H68/'Screener Input'!H66</f>
        <v>1.7076079361705646E-2</v>
      </c>
      <c r="J159" s="225">
        <f>'Screener Input'!I68/'Screener Input'!I66</f>
        <v>6.5946336913833255E-3</v>
      </c>
      <c r="K159" s="225">
        <f>'Screener Input'!J68/'Screener Input'!J66</f>
        <v>7.32300736497642E-3</v>
      </c>
      <c r="L159" s="225">
        <f>'Screener Input'!K68/'Screener Input'!K66</f>
        <v>7.5552878446640869E-3</v>
      </c>
      <c r="M159" s="225"/>
      <c r="N159" s="225"/>
    </row>
    <row r="160" spans="1:14">
      <c r="A160" s="126" t="s">
        <v>401</v>
      </c>
      <c r="B160" s="126"/>
      <c r="C160" s="225">
        <f>'Screener Input'!B67/'Screener Input'!B66</f>
        <v>2.9897114267482569E-3</v>
      </c>
      <c r="D160" s="225">
        <f>'Screener Input'!C67/'Screener Input'!C66</f>
        <v>2.82077638718959E-3</v>
      </c>
      <c r="E160" s="225">
        <f>'Screener Input'!D67/'Screener Input'!D66</f>
        <v>5.3620076857849065E-3</v>
      </c>
      <c r="F160" s="225">
        <f>'Screener Input'!E67/'Screener Input'!E66</f>
        <v>4.9674204868197357E-3</v>
      </c>
      <c r="G160" s="225">
        <f>'Screener Input'!F67/'Screener Input'!F66</f>
        <v>1.2954834860383342E-3</v>
      </c>
      <c r="H160" s="225">
        <f>'Screener Input'!G67/'Screener Input'!G66</f>
        <v>6.119426732103736E-4</v>
      </c>
      <c r="I160" s="225">
        <f>'Screener Input'!H67/'Screener Input'!H66</f>
        <v>3.5127061964900939E-4</v>
      </c>
      <c r="J160" s="225">
        <f>'Screener Input'!I67/'Screener Input'!I66</f>
        <v>1.2460901067805322E-4</v>
      </c>
      <c r="K160" s="225">
        <f>'Screener Input'!J67/'Screener Input'!J66</f>
        <v>2.0534012362613587E-4</v>
      </c>
      <c r="L160" s="225">
        <f>'Screener Input'!K67/'Screener Input'!K66</f>
        <v>1.5095152800132636E-3</v>
      </c>
      <c r="M160" s="225"/>
      <c r="N160" s="225"/>
    </row>
    <row r="161" spans="1:14">
      <c r="A161" s="126" t="s">
        <v>402</v>
      </c>
      <c r="B161" s="126"/>
      <c r="C161" s="225">
        <f>'Screener Input'!B69/'Screener Input'!B66</f>
        <v>0.13274471271059543</v>
      </c>
      <c r="D161" s="225">
        <f>'Screener Input'!C69/'Screener Input'!C66</f>
        <v>9.0127934596235637E-2</v>
      </c>
      <c r="E161" s="225">
        <f>'Screener Input'!D69/'Screener Input'!D66</f>
        <v>9.2050805564075272E-2</v>
      </c>
      <c r="F161" s="225">
        <f>'Screener Input'!E69/'Screener Input'!E66</f>
        <v>0.15033306147198514</v>
      </c>
      <c r="G161" s="225">
        <f>'Screener Input'!F69/'Screener Input'!F66</f>
        <v>0.16764495465807799</v>
      </c>
      <c r="H161" s="225">
        <f>'Screener Input'!G69/'Screener Input'!G66</f>
        <v>0.11252095903655746</v>
      </c>
      <c r="I161" s="225">
        <f>'Screener Input'!H69/'Screener Input'!H66</f>
        <v>9.433079765157773E-2</v>
      </c>
      <c r="J161" s="225">
        <f>'Screener Input'!I69/'Screener Input'!I66</f>
        <v>3.9989087194584202E-2</v>
      </c>
      <c r="K161" s="225">
        <f>'Screener Input'!J69/'Screener Input'!J66</f>
        <v>3.5585490847070689E-2</v>
      </c>
      <c r="L161" s="225">
        <f>'Screener Input'!K69/'Screener Input'!K66</f>
        <v>2.8010965674218027E-2</v>
      </c>
      <c r="M161" s="225"/>
      <c r="N161" s="225"/>
    </row>
    <row r="162" spans="1:14">
      <c r="A162" s="126" t="s">
        <v>398</v>
      </c>
      <c r="B162" s="126"/>
      <c r="C162" s="225">
        <f>('Screener Input'!B66-'Screener Input'!B62-'Screener Input'!B64-'Screener Input'!B68-'Screener Input'!B67-'Screener Input'!B69)/'Screener Input'!B66</f>
        <v>0.32186938316863645</v>
      </c>
      <c r="D162" s="225">
        <f>('Screener Input'!C66-'Screener Input'!C62-'Screener Input'!C64-'Screener Input'!C68-'Screener Input'!C67-'Screener Input'!C69)/'Screener Input'!C66</f>
        <v>0.40018950054003299</v>
      </c>
      <c r="E162" s="225">
        <f>('Screener Input'!D66-'Screener Input'!D62-'Screener Input'!D64-'Screener Input'!D68-'Screener Input'!D67-'Screener Input'!D69)/'Screener Input'!D66</f>
        <v>0.23824489869558155</v>
      </c>
      <c r="F162" s="225">
        <f>('Screener Input'!E66-'Screener Input'!E62-'Screener Input'!E64-'Screener Input'!E68-'Screener Input'!E67-'Screener Input'!E69)/'Screener Input'!E66</f>
        <v>0.3960568829154561</v>
      </c>
      <c r="G162" s="225">
        <f>('Screener Input'!F66-'Screener Input'!F62-'Screener Input'!F64-'Screener Input'!F68-'Screener Input'!F67-'Screener Input'!F69)/'Screener Input'!F66</f>
        <v>0.30341843748302383</v>
      </c>
      <c r="H162" s="225">
        <f>('Screener Input'!G66-'Screener Input'!G62-'Screener Input'!G64-'Screener Input'!G68-'Screener Input'!G67-'Screener Input'!G69)/'Screener Input'!G66</f>
        <v>0.44170175137993078</v>
      </c>
      <c r="I162" s="225">
        <f>('Screener Input'!H66-'Screener Input'!H62-'Screener Input'!H64-'Screener Input'!H68-'Screener Input'!H67-'Screener Input'!H69)/'Screener Input'!H66</f>
        <v>0.3429502150259825</v>
      </c>
      <c r="J162" s="225">
        <f>('Screener Input'!I66-'Screener Input'!I62-'Screener Input'!I64-'Screener Input'!I68-'Screener Input'!I67-'Screener Input'!I69)/'Screener Input'!I66</f>
        <v>0.1469485385088794</v>
      </c>
      <c r="K162" s="225">
        <f>('Screener Input'!J66-'Screener Input'!J62-'Screener Input'!J64-'Screener Input'!J68-'Screener Input'!J67-'Screener Input'!J69)/'Screener Input'!J66</f>
        <v>0.12260133214997988</v>
      </c>
      <c r="L162" s="225">
        <f>('Screener Input'!K66-'Screener Input'!K62-'Screener Input'!K64-'Screener Input'!K68-'Screener Input'!K67-'Screener Input'!K69)/'Screener Input'!K66</f>
        <v>0.43739677910095698</v>
      </c>
      <c r="M162" s="225"/>
      <c r="N162" s="225"/>
    </row>
    <row r="164" spans="1:14">
      <c r="A164" s="231" t="s">
        <v>403</v>
      </c>
      <c r="C164" s="241">
        <f t="shared" ref="C164:L164" si="70">C4</f>
        <v>39508</v>
      </c>
      <c r="D164" s="241">
        <f t="shared" si="70"/>
        <v>39873</v>
      </c>
      <c r="E164" s="241">
        <f t="shared" si="70"/>
        <v>40238</v>
      </c>
      <c r="F164" s="241">
        <f t="shared" si="70"/>
        <v>40603</v>
      </c>
      <c r="G164" s="241">
        <f t="shared" si="70"/>
        <v>40969</v>
      </c>
      <c r="H164" s="241">
        <f t="shared" si="70"/>
        <v>41334</v>
      </c>
      <c r="I164" s="241">
        <f t="shared" si="70"/>
        <v>41699</v>
      </c>
      <c r="J164" s="241">
        <f t="shared" si="70"/>
        <v>42064</v>
      </c>
      <c r="K164" s="241">
        <f t="shared" si="70"/>
        <v>42430</v>
      </c>
      <c r="L164" s="241">
        <f t="shared" si="70"/>
        <v>42795</v>
      </c>
      <c r="M164" s="241"/>
      <c r="N164" s="241"/>
    </row>
    <row r="165" spans="1:14">
      <c r="A165" s="126" t="s">
        <v>404</v>
      </c>
      <c r="C165" s="232">
        <f>SUM('Screener Input'!B57:B58)/'Screener Input'!B61</f>
        <v>0.41202341940617621</v>
      </c>
      <c r="D165" s="232">
        <f>SUM('Screener Input'!C57:C58)/'Screener Input'!C61</f>
        <v>0.3759738524025496</v>
      </c>
      <c r="E165" s="232">
        <f>SUM('Screener Input'!D57:D58)/'Screener Input'!D61</f>
        <v>0.36803182564454145</v>
      </c>
      <c r="F165" s="232">
        <f>SUM('Screener Input'!E57:E58)/'Screener Input'!E61</f>
        <v>0.3047578241570732</v>
      </c>
      <c r="G165" s="232">
        <f>SUM('Screener Input'!F57:F58)/'Screener Input'!F61</f>
        <v>0.26302181881461884</v>
      </c>
      <c r="H165" s="232">
        <f>SUM('Screener Input'!G57:G58)/'Screener Input'!G61</f>
        <v>0.24903083579130306</v>
      </c>
      <c r="I165" s="232">
        <f>SUM('Screener Input'!H57:H58)/'Screener Input'!H61</f>
        <v>0.22658800410833901</v>
      </c>
      <c r="J165" s="232">
        <f>SUM('Screener Input'!I57:I58)/'Screener Input'!I61</f>
        <v>0.11067259680356314</v>
      </c>
      <c r="K165" s="232">
        <f>SUM('Screener Input'!J57:J58)/'Screener Input'!J61</f>
        <v>0.1146748714193816</v>
      </c>
      <c r="L165" s="232">
        <f>SUM('Screener Input'!K57:K58)/'Screener Input'!K61</f>
        <v>0.11292125372666269</v>
      </c>
      <c r="M165" s="232"/>
      <c r="N165" s="232"/>
    </row>
    <row r="166" spans="1:14">
      <c r="A166" s="126" t="s">
        <v>398</v>
      </c>
      <c r="C166" s="233">
        <f>1-C165</f>
        <v>0.58797658059382374</v>
      </c>
      <c r="D166" s="233">
        <f t="shared" ref="D166:L166" si="71">1-D165</f>
        <v>0.62402614759745045</v>
      </c>
      <c r="E166" s="233">
        <f t="shared" si="71"/>
        <v>0.6319681743554586</v>
      </c>
      <c r="F166" s="233">
        <f t="shared" si="71"/>
        <v>0.6952421758429268</v>
      </c>
      <c r="G166" s="233">
        <f t="shared" si="71"/>
        <v>0.73697818118538116</v>
      </c>
      <c r="H166" s="233">
        <f t="shared" si="71"/>
        <v>0.75096916420869697</v>
      </c>
      <c r="I166" s="233">
        <f t="shared" si="71"/>
        <v>0.77341199589166099</v>
      </c>
      <c r="J166" s="233">
        <f t="shared" si="71"/>
        <v>0.88932740319643688</v>
      </c>
      <c r="K166" s="233">
        <f t="shared" si="71"/>
        <v>0.8853251285806184</v>
      </c>
      <c r="L166" s="233">
        <f t="shared" si="71"/>
        <v>0.88707874627333727</v>
      </c>
      <c r="M166" s="233"/>
      <c r="N166" s="233"/>
    </row>
    <row r="170" spans="1:14">
      <c r="A170" s="231" t="s">
        <v>409</v>
      </c>
      <c r="C170" s="241">
        <f t="shared" ref="C170:L170" si="72">C4</f>
        <v>39508</v>
      </c>
      <c r="D170" s="241">
        <f t="shared" si="72"/>
        <v>39873</v>
      </c>
      <c r="E170" s="241">
        <f t="shared" si="72"/>
        <v>40238</v>
      </c>
      <c r="F170" s="241">
        <f t="shared" si="72"/>
        <v>40603</v>
      </c>
      <c r="G170" s="241">
        <f t="shared" si="72"/>
        <v>40969</v>
      </c>
      <c r="H170" s="241">
        <f t="shared" si="72"/>
        <v>41334</v>
      </c>
      <c r="I170" s="241">
        <f t="shared" si="72"/>
        <v>41699</v>
      </c>
      <c r="J170" s="241">
        <f t="shared" si="72"/>
        <v>42064</v>
      </c>
      <c r="K170" s="241">
        <f t="shared" si="72"/>
        <v>42430</v>
      </c>
      <c r="L170" s="241">
        <f t="shared" si="72"/>
        <v>42795</v>
      </c>
      <c r="M170" s="241"/>
      <c r="N170" s="241"/>
    </row>
    <row r="171" spans="1:14">
      <c r="A171" s="126" t="s">
        <v>399</v>
      </c>
      <c r="B171" s="126"/>
      <c r="C171" s="225">
        <f>IF(('Screener Input'!B18-'Screener Input'!B19)/('Screener Input'!B$17+'Screener Input'!B$25)&lt;0, 0, ('Screener Input'!B18-'Screener Input'!B19)/('Screener Input'!B$17+'Screener Input'!B$25))</f>
        <v>0</v>
      </c>
      <c r="D171" s="225">
        <f>IF(('Screener Input'!C18-'Screener Input'!C19)/('Screener Input'!C$17+'Screener Input'!C$25)&lt;0, 0, ('Screener Input'!C18-'Screener Input'!C19)/('Screener Input'!C$17+'Screener Input'!C$25))</f>
        <v>0</v>
      </c>
      <c r="E171" s="225">
        <f>IF(('Screener Input'!D18-'Screener Input'!D19)/('Screener Input'!D$17+'Screener Input'!D$25)&lt;0, 0, ('Screener Input'!D18-'Screener Input'!D19)/('Screener Input'!D$17+'Screener Input'!D$25))</f>
        <v>0</v>
      </c>
      <c r="F171" s="225">
        <f>IF(('Screener Input'!E18-'Screener Input'!E19)/('Screener Input'!E$17+'Screener Input'!E$25)&lt;0, 0, ('Screener Input'!E18-'Screener Input'!E19)/('Screener Input'!E$17+'Screener Input'!E$25))</f>
        <v>0</v>
      </c>
      <c r="G171" s="225">
        <f>IF(('Screener Input'!F18-'Screener Input'!F19)/('Screener Input'!F$17+'Screener Input'!F$25)&lt;0, 0, ('Screener Input'!F18-'Screener Input'!F19)/('Screener Input'!F$17+'Screener Input'!F$25))</f>
        <v>0</v>
      </c>
      <c r="H171" s="225">
        <f>IF(('Screener Input'!G18-'Screener Input'!G19)/('Screener Input'!G$17+'Screener Input'!G$25)&lt;0, 0, ('Screener Input'!G18-'Screener Input'!G19)/('Screener Input'!G$17+'Screener Input'!G$25))</f>
        <v>0.12289804109334569</v>
      </c>
      <c r="I171" s="225">
        <f>IF(('Screener Input'!H18-'Screener Input'!H19)/('Screener Input'!H$17+'Screener Input'!H$25)&lt;0, 0, ('Screener Input'!H18-'Screener Input'!H19)/('Screener Input'!H$17+'Screener Input'!H$25))</f>
        <v>0.13044595310018375</v>
      </c>
      <c r="J171" s="225">
        <f>IF(('Screener Input'!I18-'Screener Input'!I19)/('Screener Input'!I$17+'Screener Input'!I$25)&lt;0, 0, ('Screener Input'!I18-'Screener Input'!I19)/('Screener Input'!I$17+'Screener Input'!I$25))</f>
        <v>0.10966483168386805</v>
      </c>
      <c r="K171" s="225">
        <f>IF(('Screener Input'!J18-'Screener Input'!J19)/('Screener Input'!J$17+'Screener Input'!J$25)&lt;0, 0, ('Screener Input'!J18-'Screener Input'!J19)/('Screener Input'!J$17+'Screener Input'!J$25))</f>
        <v>7.0655038619553162E-2</v>
      </c>
      <c r="L171" s="225">
        <f>IF(('Screener Input'!K18-'Screener Input'!K19)/('Screener Input'!K$17+'Screener Input'!K$25)&lt;0, 0, ('Screener Input'!K18-'Screener Input'!K19)/('Screener Input'!K$17+'Screener Input'!K$25))</f>
        <v>4.4946399044413665E-2</v>
      </c>
      <c r="M171" s="225"/>
      <c r="N171" s="225"/>
    </row>
    <row r="172" spans="1:14">
      <c r="A172" s="159" t="s">
        <v>303</v>
      </c>
      <c r="B172" s="126"/>
      <c r="C172" s="225">
        <f>IF(('Screener Input'!B20)/('Screener Input'!B$17+'Screener Input'!B$25)&lt;0, 0, ('Screener Input'!B20)/('Screener Input'!B$17+'Screener Input'!B$25))</f>
        <v>1.7224347121254338E-3</v>
      </c>
      <c r="D172" s="225">
        <f>IF(('Screener Input'!C20)/('Screener Input'!C$17+'Screener Input'!C$25)&lt;0, 0, ('Screener Input'!C20)/('Screener Input'!C$17+'Screener Input'!C$25))</f>
        <v>1.5718236064619414E-3</v>
      </c>
      <c r="E172" s="225">
        <f>IF(('Screener Input'!D20)/('Screener Input'!D$17+'Screener Input'!D$25)&lt;0, 0, ('Screener Input'!D20)/('Screener Input'!D$17+'Screener Input'!D$25))</f>
        <v>1.3114380202987796E-3</v>
      </c>
      <c r="F172" s="225">
        <f>IF(('Screener Input'!E20)/('Screener Input'!E$17+'Screener Input'!E$25)&lt;0, 0, ('Screener Input'!E20)/('Screener Input'!E$17+'Screener Input'!E$25))</f>
        <v>1.7701590346040118E-3</v>
      </c>
      <c r="G172" s="225">
        <f>IF(('Screener Input'!F20)/('Screener Input'!F$17+'Screener Input'!F$25)&lt;0, 0, ('Screener Input'!F20)/('Screener Input'!F$17+'Screener Input'!F$25))</f>
        <v>1.9335592221567473E-3</v>
      </c>
      <c r="H172" s="225">
        <f>IF(('Screener Input'!G20)/('Screener Input'!G$17+'Screener Input'!G$25)&lt;0, 0, ('Screener Input'!G20)/('Screener Input'!G$17+'Screener Input'!G$25))</f>
        <v>1.6849684591696038E-3</v>
      </c>
      <c r="I172" s="225">
        <f>IF(('Screener Input'!H20)/('Screener Input'!H$17+'Screener Input'!H$25)&lt;0, 0, ('Screener Input'!H20)/('Screener Input'!H$17+'Screener Input'!H$25))</f>
        <v>2.0008719753355549E-3</v>
      </c>
      <c r="J172" s="225">
        <f>IF(('Screener Input'!I20)/('Screener Input'!I$17+'Screener Input'!I$25)&lt;0, 0, ('Screener Input'!I20)/('Screener Input'!I$17+'Screener Input'!I$25))</f>
        <v>2.077291393753991E-3</v>
      </c>
      <c r="K172" s="225">
        <f>IF(('Screener Input'!J20)/('Screener Input'!J$17+'Screener Input'!J$25)&lt;0, 0, ('Screener Input'!J20)/('Screener Input'!J$17+'Screener Input'!J$25))</f>
        <v>2.0342105112928178E-3</v>
      </c>
      <c r="L172" s="225">
        <f>IF(('Screener Input'!K20)/('Screener Input'!K$17+'Screener Input'!K$25)&lt;0, 0, ('Screener Input'!K20)/('Screener Input'!K$17+'Screener Input'!K$25))</f>
        <v>2.1510744482845854E-3</v>
      </c>
      <c r="M172" s="225"/>
      <c r="N172" s="225"/>
    </row>
    <row r="173" spans="1:14">
      <c r="A173" s="159" t="s">
        <v>304</v>
      </c>
      <c r="B173" s="126"/>
      <c r="C173" s="225">
        <f>IF(('Screener Input'!B21)/('Screener Input'!B$17+'Screener Input'!B$25)&lt;0, 0, ('Screener Input'!B21)/('Screener Input'!B$17+'Screener Input'!B$25))</f>
        <v>0.3215253679171205</v>
      </c>
      <c r="D173" s="225">
        <f>IF(('Screener Input'!C21)/('Screener Input'!C$17+'Screener Input'!C$25)&lt;0, 0, ('Screener Input'!C21)/('Screener Input'!C$17+'Screener Input'!C$25))</f>
        <v>0.4510842672100131</v>
      </c>
      <c r="E173" s="225">
        <f>IF(('Screener Input'!D21)/('Screener Input'!D$17+'Screener Input'!D$25)&lt;0, 0, ('Screener Input'!D21)/('Screener Input'!D$17+'Screener Input'!D$25))</f>
        <v>0.44353974227391951</v>
      </c>
      <c r="F173" s="225">
        <f>IF(('Screener Input'!E21)/('Screener Input'!E$17+'Screener Input'!E$25)&lt;0, 0, ('Screener Input'!E21)/('Screener Input'!E$17+'Screener Input'!E$25))</f>
        <v>0.46738591864460965</v>
      </c>
      <c r="G173" s="225">
        <f>IF(('Screener Input'!F21)/('Screener Input'!F$17+'Screener Input'!F$25)&lt;0, 0, ('Screener Input'!F21)/('Screener Input'!F$17+'Screener Input'!F$25))</f>
        <v>0.46359998035749367</v>
      </c>
      <c r="H173" s="225">
        <f>IF(('Screener Input'!G21)/('Screener Input'!G$17+'Screener Input'!G$25)&lt;0, 0, ('Screener Input'!G21)/('Screener Input'!G$17+'Screener Input'!G$25))</f>
        <v>0.34066189956646076</v>
      </c>
      <c r="I173" s="225">
        <f>IF(('Screener Input'!H21)/('Screener Input'!H$17+'Screener Input'!H$25)&lt;0, 0, ('Screener Input'!H21)/('Screener Input'!H$17+'Screener Input'!H$25))</f>
        <v>0.3073946622652674</v>
      </c>
      <c r="J173" s="225">
        <f>IF(('Screener Input'!I21)/('Screener Input'!I$17+'Screener Input'!I$25)&lt;0, 0, ('Screener Input'!I21)/('Screener Input'!I$17+'Screener Input'!I$25))</f>
        <v>0.22318136041131884</v>
      </c>
      <c r="K173" s="225">
        <f>IF(('Screener Input'!J21)/('Screener Input'!J$17+'Screener Input'!J$25)&lt;0, 0, ('Screener Input'!J21)/('Screener Input'!J$17+'Screener Input'!J$25))</f>
        <v>0.32187147367038943</v>
      </c>
      <c r="L173" s="225">
        <f>IF(('Screener Input'!K21)/('Screener Input'!K$17+'Screener Input'!K$25)&lt;0, 0, ('Screener Input'!K21)/('Screener Input'!K$17+'Screener Input'!K$25))</f>
        <v>0.34226878043795472</v>
      </c>
      <c r="M173" s="225"/>
      <c r="N173" s="225"/>
    </row>
    <row r="174" spans="1:14">
      <c r="A174" s="159" t="s">
        <v>22</v>
      </c>
      <c r="B174" s="126"/>
      <c r="C174" s="225">
        <f>IF(('Screener Input'!B22)/('Screener Input'!B$17+'Screener Input'!B$25)&lt;0, 0, ('Screener Input'!B22)/('Screener Input'!B$17+'Screener Input'!B$25))</f>
        <v>3.8856100711770813E-2</v>
      </c>
      <c r="D174" s="225">
        <f>IF(('Screener Input'!C22)/('Screener Input'!C$17+'Screener Input'!C$25)&lt;0, 0, ('Screener Input'!C22)/('Screener Input'!C$17+'Screener Input'!C$25))</f>
        <v>3.7655848251103671E-2</v>
      </c>
      <c r="E174" s="225">
        <f>IF(('Screener Input'!D22)/('Screener Input'!D$17+'Screener Input'!D$25)&lt;0, 0, ('Screener Input'!D22)/('Screener Input'!D$17+'Screener Input'!D$25))</f>
        <v>3.7849241646709997E-2</v>
      </c>
      <c r="F174" s="225">
        <f>IF(('Screener Input'!E22)/('Screener Input'!E$17+'Screener Input'!E$25)&lt;0, 0, ('Screener Input'!E22)/('Screener Input'!E$17+'Screener Input'!E$25))</f>
        <v>3.7129385439143292E-2</v>
      </c>
      <c r="G174" s="225">
        <f>IF(('Screener Input'!F22)/('Screener Input'!F$17+'Screener Input'!F$25)&lt;0, 0, ('Screener Input'!F22)/('Screener Input'!F$17+'Screener Input'!F$25))</f>
        <v>4.2228319583578866E-2</v>
      </c>
      <c r="H174" s="225">
        <f>IF(('Screener Input'!G22)/('Screener Input'!G$17+'Screener Input'!G$25)&lt;0, 0, ('Screener Input'!G22)/('Screener Input'!G$17+'Screener Input'!G$25))</f>
        <v>4.0734897423620436E-2</v>
      </c>
      <c r="I174" s="225">
        <f>IF(('Screener Input'!H22)/('Screener Input'!H$17+'Screener Input'!H$25)&lt;0, 0, ('Screener Input'!H22)/('Screener Input'!H$17+'Screener Input'!H$25))</f>
        <v>4.6681822428451314E-2</v>
      </c>
      <c r="J174" s="225">
        <f>IF(('Screener Input'!I22)/('Screener Input'!I$17+'Screener Input'!I$25)&lt;0, 0, ('Screener Input'!I22)/('Screener Input'!I$17+'Screener Input'!I$25))</f>
        <v>4.7916524688974199E-2</v>
      </c>
      <c r="K174" s="225">
        <f>IF(('Screener Input'!J22)/('Screener Input'!J$17+'Screener Input'!J$25)&lt;0, 0, ('Screener Input'!J22)/('Screener Input'!J$17+'Screener Input'!J$25))</f>
        <v>4.690862798304888E-2</v>
      </c>
      <c r="L174" s="225">
        <f>IF(('Screener Input'!K22)/('Screener Input'!K$17+'Screener Input'!K$25)&lt;0, 0, ('Screener Input'!K22)/('Screener Input'!K$17+'Screener Input'!K$25))</f>
        <v>4.5671800318640474E-2</v>
      </c>
      <c r="M174" s="225"/>
      <c r="N174" s="225"/>
    </row>
    <row r="175" spans="1:14">
      <c r="A175" s="159" t="s">
        <v>305</v>
      </c>
      <c r="B175" s="126"/>
      <c r="C175" s="225">
        <f>IF(('Screener Input'!B23)/('Screener Input'!B$17+'Screener Input'!B$25)&lt;0, 0, ('Screener Input'!B23)/('Screener Input'!B$17+'Screener Input'!B$25))</f>
        <v>3.890676055624509E-2</v>
      </c>
      <c r="D175" s="225">
        <f>IF(('Screener Input'!C23)/('Screener Input'!C$17+'Screener Input'!C$25)&lt;0, 0, ('Screener Input'!C23)/('Screener Input'!C$17+'Screener Input'!C$25))</f>
        <v>3.1941008101683405E-2</v>
      </c>
      <c r="E175" s="225">
        <f>IF(('Screener Input'!D23)/('Screener Input'!D$17+'Screener Input'!D$25)&lt;0, 0, ('Screener Input'!D23)/('Screener Input'!D$17+'Screener Input'!D$25))</f>
        <v>2.7870908883567115E-2</v>
      </c>
      <c r="F175" s="225">
        <f>IF(('Screener Input'!E23)/('Screener Input'!E$17+'Screener Input'!E$25)&lt;0, 0, ('Screener Input'!E23)/('Screener Input'!E$17+'Screener Input'!E$25))</f>
        <v>2.7179733077599296E-2</v>
      </c>
      <c r="G175" s="225">
        <f>IF(('Screener Input'!F23)/('Screener Input'!F$17+'Screener Input'!F$25)&lt;0, 0, ('Screener Input'!F23)/('Screener Input'!F$17+'Screener Input'!F$25))</f>
        <v>2.8478565114908667E-2</v>
      </c>
      <c r="H175" s="225">
        <f>IF(('Screener Input'!G23)/('Screener Input'!G$17+'Screener Input'!G$25)&lt;0, 0, ('Screener Input'!G23)/('Screener Input'!G$17+'Screener Input'!G$25))</f>
        <v>2.6449295269791187E-2</v>
      </c>
      <c r="I175" s="225">
        <f>IF(('Screener Input'!H23)/('Screener Input'!H$17+'Screener Input'!H$25)&lt;0, 0, ('Screener Input'!H23)/('Screener Input'!H$17+'Screener Input'!H$25))</f>
        <v>1.9572732085578151E-2</v>
      </c>
      <c r="J175" s="225">
        <f>IF(('Screener Input'!I23)/('Screener Input'!I$17+'Screener Input'!I$25)&lt;0, 0, ('Screener Input'!I23)/('Screener Input'!I$17+'Screener Input'!I$25))</f>
        <v>2.019743102408194E-2</v>
      </c>
      <c r="K175" s="225">
        <f>IF(('Screener Input'!J23)/('Screener Input'!J$17+'Screener Input'!J$25)&lt;0, 0, ('Screener Input'!J23)/('Screener Input'!J$17+'Screener Input'!J$25))</f>
        <v>2.2758800481816745E-2</v>
      </c>
      <c r="L175" s="225">
        <f>IF(('Screener Input'!K23)/('Screener Input'!K$17+'Screener Input'!K$25)&lt;0, 0, ('Screener Input'!K23)/('Screener Input'!K$17+'Screener Input'!K$25))</f>
        <v>2.3780764636604116E-2</v>
      </c>
      <c r="M175" s="225"/>
      <c r="N175" s="225"/>
    </row>
    <row r="176" spans="1:14">
      <c r="A176" s="159" t="s">
        <v>306</v>
      </c>
      <c r="B176" s="126"/>
      <c r="C176" s="225">
        <f>IF(('Screener Input'!B24)/('Screener Input'!B$17+'Screener Input'!B$25)&lt;0, 0, ('Screener Input'!B24)/('Screener Input'!B$17+'Screener Input'!B$25))</f>
        <v>5.3066187086805647E-3</v>
      </c>
      <c r="D176" s="225">
        <f>IF(('Screener Input'!C24)/('Screener Input'!C$17+'Screener Input'!C$25)&lt;0, 0, ('Screener Input'!C24)/('Screener Input'!C$17+'Screener Input'!C$25))</f>
        <v>1.4359869984960947E-2</v>
      </c>
      <c r="E176" s="225">
        <f>IF(('Screener Input'!D24)/('Screener Input'!D$17+'Screener Input'!D$25)&lt;0, 0, ('Screener Input'!D24)/('Screener Input'!D$17+'Screener Input'!D$25))</f>
        <v>5.935682517960999E-3</v>
      </c>
      <c r="F176" s="225">
        <f>IF(('Screener Input'!E24)/('Screener Input'!E$17+'Screener Input'!E$25)&lt;0, 0, ('Screener Input'!E24)/('Screener Input'!E$17+'Screener Input'!E$25))</f>
        <v>5.913849596419724E-3</v>
      </c>
      <c r="G176" s="225">
        <f>IF(('Screener Input'!F24)/('Screener Input'!F$17+'Screener Input'!F$25)&lt;0, 0, ('Screener Input'!F24)/('Screener Input'!F$17+'Screener Input'!F$25))</f>
        <v>3.7842516205067768E-3</v>
      </c>
      <c r="H176" s="225">
        <f>IF(('Screener Input'!G24)/('Screener Input'!G$17+'Screener Input'!G$25)&lt;0, 0, ('Screener Input'!G24)/('Screener Input'!G$17+'Screener Input'!G$25))</f>
        <v>3.9533964934864458E-3</v>
      </c>
      <c r="I176" s="225">
        <f>IF(('Screener Input'!H24)/('Screener Input'!H$17+'Screener Input'!H$25)&lt;0, 0, ('Screener Input'!H24)/('Screener Input'!H$17+'Screener Input'!H$25))</f>
        <v>6.179087124868944E-3</v>
      </c>
      <c r="J176" s="225">
        <f>IF(('Screener Input'!I24)/('Screener Input'!I$17+'Screener Input'!I$25)&lt;0, 0, ('Screener Input'!I24)/('Screener Input'!I$17+'Screener Input'!I$25))</f>
        <v>8.6221475104053865E-3</v>
      </c>
      <c r="K176" s="225">
        <f>IF(('Screener Input'!J24)/('Screener Input'!J$17+'Screener Input'!J$25)&lt;0, 0, ('Screener Input'!J24)/('Screener Input'!J$17+'Screener Input'!J$25))</f>
        <v>4.1654694192890356E-3</v>
      </c>
      <c r="L176" s="225">
        <f>IF(('Screener Input'!K24)/('Screener Input'!K$17+'Screener Input'!K$25)&lt;0, 0, ('Screener Input'!K24)/('Screener Input'!K$17+'Screener Input'!K$25))</f>
        <v>8.3530040491798605E-3</v>
      </c>
      <c r="M176" s="225"/>
      <c r="N176" s="225"/>
    </row>
    <row r="177" spans="1:14">
      <c r="A177" s="163" t="s">
        <v>25</v>
      </c>
      <c r="B177" s="126"/>
      <c r="C177" s="225">
        <f>IF(('Screener Input'!B26)/('Screener Input'!B$17+'Screener Input'!B$25)&lt;0, 0, ('Screener Input'!B26)/('Screener Input'!B$17+'Screener Input'!B$25))</f>
        <v>0.12868866992578332</v>
      </c>
      <c r="D177" s="225">
        <f>IF(('Screener Input'!C26)/('Screener Input'!C$17+'Screener Input'!C$25)&lt;0, 0, ('Screener Input'!C26)/('Screener Input'!C$17+'Screener Input'!C$25))</f>
        <v>0.11097850870809682</v>
      </c>
      <c r="E177" s="225">
        <f>IF(('Screener Input'!D26)/('Screener Input'!D$17+'Screener Input'!D$25)&lt;0, 0, ('Screener Input'!D26)/('Screener Input'!D$17+'Screener Input'!D$25))</f>
        <v>0.10372334359676132</v>
      </c>
      <c r="F177" s="225">
        <f>IF(('Screener Input'!E26)/('Screener Input'!E$17+'Screener Input'!E$25)&lt;0, 0, ('Screener Input'!E26)/('Screener Input'!E$17+'Screener Input'!E$25))</f>
        <v>9.005434348277791E-2</v>
      </c>
      <c r="G177" s="225">
        <f>IF(('Screener Input'!F26)/('Screener Input'!F$17+'Screener Input'!F$25)&lt;0, 0, ('Screener Input'!F26)/('Screener Input'!F$17+'Screener Input'!F$25))</f>
        <v>9.1156575329011988E-2</v>
      </c>
      <c r="H177" s="225">
        <f>IF(('Screener Input'!G26)/('Screener Input'!G$17+'Screener Input'!G$25)&lt;0, 0, ('Screener Input'!G26)/('Screener Input'!G$17+'Screener Input'!G$25))</f>
        <v>0.11551976305785146</v>
      </c>
      <c r="I177" s="225">
        <f>IF(('Screener Input'!H26)/('Screener Input'!H$17+'Screener Input'!H$25)&lt;0, 0, ('Screener Input'!H26)/('Screener Input'!H$17+'Screener Input'!H$25))</f>
        <v>0.12380492666064589</v>
      </c>
      <c r="J177" s="225">
        <f>IF(('Screener Input'!I26)/('Screener Input'!I$17+'Screener Input'!I$25)&lt;0, 0, ('Screener Input'!I26)/('Screener Input'!I$17+'Screener Input'!I$25))</f>
        <v>0.17846532841648807</v>
      </c>
      <c r="K177" s="225">
        <f>IF(('Screener Input'!J26)/('Screener Input'!J$17+'Screener Input'!J$25)&lt;0, 0, ('Screener Input'!J26)/('Screener Input'!J$17+'Screener Input'!J$25))</f>
        <v>0.16238289969191894</v>
      </c>
      <c r="L177" s="225">
        <f>IF(('Screener Input'!K26)/('Screener Input'!K$17+'Screener Input'!K$25)&lt;0, 0, ('Screener Input'!K26)/('Screener Input'!K$17+'Screener Input'!K$25))</f>
        <v>0.14320225293217917</v>
      </c>
      <c r="M177" s="225"/>
      <c r="N177" s="225"/>
    </row>
    <row r="178" spans="1:14">
      <c r="A178" s="163" t="s">
        <v>24</v>
      </c>
      <c r="B178" s="126"/>
      <c r="C178" s="225">
        <f>IF(('Screener Input'!B27)/('Screener Input'!B$17+'Screener Input'!B$25)&lt;0, 0, ('Screener Input'!B27)/('Screener Input'!B$17+'Screener Input'!B$25))</f>
        <v>0.25405912003850145</v>
      </c>
      <c r="D178" s="225">
        <f>IF(('Screener Input'!C27)/('Screener Input'!C$17+'Screener Input'!C$25)&lt;0, 0, ('Screener Input'!C27)/('Screener Input'!C$17+'Screener Input'!C$25))</f>
        <v>0.14385096783583173</v>
      </c>
      <c r="E178" s="225">
        <f>IF(('Screener Input'!D27)/('Screener Input'!D$17+'Screener Input'!D$25)&lt;0, 0, ('Screener Input'!D27)/('Screener Input'!D$17+'Screener Input'!D$25))</f>
        <v>0.14219979473144029</v>
      </c>
      <c r="F178" s="225">
        <f>IF(('Screener Input'!E27)/('Screener Input'!E$17+'Screener Input'!E$25)&lt;0, 0, ('Screener Input'!E27)/('Screener Input'!E$17+'Screener Input'!E$25))</f>
        <v>0.14046991129225606</v>
      </c>
      <c r="G178" s="225">
        <f>IF(('Screener Input'!F27)/('Screener Input'!F$17+'Screener Input'!F$25)&lt;0, 0, ('Screener Input'!F27)/('Screener Input'!F$17+'Screener Input'!F$25))</f>
        <v>0.16895624631703007</v>
      </c>
      <c r="H178" s="225">
        <f>IF(('Screener Input'!G27)/('Screener Input'!G$17+'Screener Input'!G$25)&lt;0, 0, ('Screener Input'!G27)/('Screener Input'!G$17+'Screener Input'!G$25))</f>
        <v>0.16322477845542815</v>
      </c>
      <c r="I178" s="225">
        <f>IF(('Screener Input'!H27)/('Screener Input'!H$17+'Screener Input'!H$25)&lt;0, 0, ('Screener Input'!H27)/('Screener Input'!H$17+'Screener Input'!H$25))</f>
        <v>0.19734151329243355</v>
      </c>
      <c r="J178" s="225">
        <f>IF(('Screener Input'!I27)/('Screener Input'!I$17+'Screener Input'!I$25)&lt;0, 0, ('Screener Input'!I27)/('Screener Input'!I$17+'Screener Input'!I$25))</f>
        <v>0.2366118191065375</v>
      </c>
      <c r="K178" s="225">
        <f>IF(('Screener Input'!J27)/('Screener Input'!J$17+'Screener Input'!J$25)&lt;0, 0, ('Screener Input'!J27)/('Screener Input'!J$17+'Screener Input'!J$25))</f>
        <v>0.20363988574929928</v>
      </c>
      <c r="L178" s="225">
        <f>IF(('Screener Input'!K27)/('Screener Input'!K$17+'Screener Input'!K$25)&lt;0, 0, ('Screener Input'!K27)/('Screener Input'!K$17+'Screener Input'!K$25))</f>
        <v>0.22478727984573915</v>
      </c>
      <c r="M178" s="225"/>
      <c r="N178" s="225"/>
    </row>
    <row r="179" spans="1:14">
      <c r="A179" s="163" t="s">
        <v>26</v>
      </c>
      <c r="B179" s="126"/>
      <c r="C179" s="225">
        <f>IF(('Screener Input'!B29)/('Screener Input'!B$17+'Screener Input'!B$25)&lt;0, 0, ('Screener Input'!B29)/('Screener Input'!B$17+'Screener Input'!B$25))</f>
        <v>5.0647179513158898E-2</v>
      </c>
      <c r="D179" s="225">
        <f>IF(('Screener Input'!C29)/('Screener Input'!C$17+'Screener Input'!C$25)&lt;0, 0, ('Screener Input'!C29)/('Screener Input'!C$17+'Screener Input'!C$25))</f>
        <v>3.6656478921069227E-2</v>
      </c>
      <c r="E179" s="225">
        <f>IF(('Screener Input'!D29)/('Screener Input'!D$17+'Screener Input'!D$25)&lt;0, 0, ('Screener Input'!D29)/('Screener Input'!D$17+'Screener Input'!D$25))</f>
        <v>7.5835328999885971E-3</v>
      </c>
      <c r="F179" s="225">
        <f>IF(('Screener Input'!E29)/('Screener Input'!E$17+'Screener Input'!E$25)&lt;0, 0, ('Screener Input'!E29)/('Screener Input'!E$17+'Screener Input'!E$25))</f>
        <v>4.4653560297290819E-2</v>
      </c>
      <c r="G179" s="225">
        <f>IF(('Screener Input'!F29)/('Screener Input'!F$17+'Screener Input'!F$25)&lt;0, 0, ('Screener Input'!F29)/('Screener Input'!F$17+'Screener Input'!F$25))</f>
        <v>4.7630008839127873E-2</v>
      </c>
      <c r="H179" s="225">
        <f>IF(('Screener Input'!G29)/('Screener Input'!G$17+'Screener Input'!G$25)&lt;0, 0, ('Screener Input'!G29)/('Screener Input'!G$17+'Screener Input'!G$25))</f>
        <v>4.0033699369183391E-2</v>
      </c>
      <c r="I179" s="225">
        <f>IF(('Screener Input'!H29)/('Screener Input'!H$17+'Screener Input'!H$25)&lt;0, 0, ('Screener Input'!H29)/('Screener Input'!H$17+'Screener Input'!H$25))</f>
        <v>4.7299471624469291E-2</v>
      </c>
      <c r="J179" s="225">
        <f>IF(('Screener Input'!I29)/('Screener Input'!I$17+'Screener Input'!I$25)&lt;0, 0, ('Screener Input'!I29)/('Screener Input'!I$17+'Screener Input'!I$25))</f>
        <v>3.6366481653958088E-2</v>
      </c>
      <c r="K179" s="225">
        <f>IF(('Screener Input'!J29)/('Screener Input'!J$17+'Screener Input'!J$25)&lt;0, 0, ('Screener Input'!J29)/('Screener Input'!J$17+'Screener Input'!J$25))</f>
        <v>4.3886807317068531E-2</v>
      </c>
      <c r="L179" s="225">
        <f>IF(('Screener Input'!K29)/('Screener Input'!K$17+'Screener Input'!K$25)&lt;0, 0, ('Screener Input'!K29)/('Screener Input'!K$17+'Screener Input'!K$25))</f>
        <v>4.4984930751820626E-2</v>
      </c>
      <c r="M179" s="225"/>
      <c r="N179" s="225"/>
    </row>
    <row r="180" spans="1:14">
      <c r="A180" s="163" t="s">
        <v>308</v>
      </c>
      <c r="B180" s="126"/>
      <c r="C180" s="255">
        <f>1-SUM(C171:C179)</f>
        <v>0.16028774791661404</v>
      </c>
      <c r="D180" s="255">
        <f t="shared" ref="D180:L180" si="73">1-SUM(D171:D179)</f>
        <v>0.17190122738077906</v>
      </c>
      <c r="E180" s="255">
        <f t="shared" si="73"/>
        <v>0.22998631542935355</v>
      </c>
      <c r="F180" s="255">
        <f t="shared" si="73"/>
        <v>0.18544313913529931</v>
      </c>
      <c r="G180" s="255">
        <f t="shared" si="73"/>
        <v>0.15223249361618529</v>
      </c>
      <c r="H180" s="255">
        <f t="shared" si="73"/>
        <v>0.14483926081166276</v>
      </c>
      <c r="I180" s="255">
        <f t="shared" si="73"/>
        <v>0.11927895944276612</v>
      </c>
      <c r="J180" s="255">
        <f t="shared" si="73"/>
        <v>0.1368967841106139</v>
      </c>
      <c r="K180" s="255">
        <f t="shared" si="73"/>
        <v>0.12169678655632321</v>
      </c>
      <c r="L180" s="255">
        <f t="shared" si="73"/>
        <v>0.11985371353518359</v>
      </c>
      <c r="M180" s="255"/>
      <c r="N180" s="255"/>
    </row>
    <row r="181" spans="1:14">
      <c r="A181" s="159"/>
      <c r="B181" s="126"/>
      <c r="C181" s="225">
        <f>SUM(C171:C180)</f>
        <v>1</v>
      </c>
      <c r="D181" s="225">
        <f t="shared" ref="D181:L181" si="74">SUM(D171:D180)</f>
        <v>1</v>
      </c>
      <c r="E181" s="225">
        <f t="shared" si="74"/>
        <v>1</v>
      </c>
      <c r="F181" s="225">
        <f t="shared" si="74"/>
        <v>1</v>
      </c>
      <c r="G181" s="225">
        <f t="shared" si="74"/>
        <v>1</v>
      </c>
      <c r="H181" s="225">
        <f t="shared" si="74"/>
        <v>1</v>
      </c>
      <c r="I181" s="225">
        <f t="shared" si="74"/>
        <v>1</v>
      </c>
      <c r="J181" s="225">
        <f t="shared" si="74"/>
        <v>1</v>
      </c>
      <c r="K181" s="225">
        <f t="shared" si="74"/>
        <v>1</v>
      </c>
      <c r="L181" s="225">
        <f t="shared" si="74"/>
        <v>1</v>
      </c>
      <c r="M181" s="225"/>
      <c r="N181" s="225"/>
    </row>
    <row r="182" spans="1:14">
      <c r="A182" s="159"/>
      <c r="B182" s="126"/>
      <c r="C182" s="225"/>
      <c r="D182" s="225"/>
      <c r="E182" s="225"/>
      <c r="F182" s="225"/>
      <c r="G182" s="225"/>
      <c r="H182" s="225"/>
      <c r="I182" s="225"/>
      <c r="J182" s="225"/>
      <c r="K182" s="225"/>
      <c r="L182" s="225"/>
      <c r="M182" s="225"/>
      <c r="N182" s="225"/>
    </row>
    <row r="183" spans="1:14">
      <c r="A183" s="231" t="s">
        <v>415</v>
      </c>
      <c r="B183" s="126"/>
      <c r="C183" s="248">
        <f t="shared" ref="C183:L183" si="75">C4</f>
        <v>39508</v>
      </c>
      <c r="D183" s="248">
        <f t="shared" si="75"/>
        <v>39873</v>
      </c>
      <c r="E183" s="248">
        <f t="shared" si="75"/>
        <v>40238</v>
      </c>
      <c r="F183" s="248">
        <f t="shared" si="75"/>
        <v>40603</v>
      </c>
      <c r="G183" s="248">
        <f t="shared" si="75"/>
        <v>40969</v>
      </c>
      <c r="H183" s="248">
        <f t="shared" si="75"/>
        <v>41334</v>
      </c>
      <c r="I183" s="248">
        <f t="shared" si="75"/>
        <v>41699</v>
      </c>
      <c r="J183" s="248">
        <f t="shared" si="75"/>
        <v>42064</v>
      </c>
      <c r="K183" s="248">
        <f t="shared" si="75"/>
        <v>42430</v>
      </c>
      <c r="L183" s="248">
        <f t="shared" si="75"/>
        <v>42795</v>
      </c>
      <c r="M183" s="248"/>
      <c r="N183" s="248"/>
    </row>
    <row r="184" spans="1:14">
      <c r="A184" s="244" t="s">
        <v>232</v>
      </c>
      <c r="B184" s="126"/>
      <c r="C184" s="248"/>
      <c r="D184" s="253">
        <f>('Screener Input'!C17+'Screener Input'!C25)</f>
        <v>1030.6500000000001</v>
      </c>
      <c r="E184" s="253">
        <f>('Screener Input'!D17+'Screener Input'!D25)</f>
        <v>1753.8</v>
      </c>
      <c r="F184" s="253">
        <f>('Screener Input'!E17+'Screener Input'!E25)</f>
        <v>2502.6</v>
      </c>
      <c r="G184" s="253">
        <f>('Screener Input'!F17+'Screener Input'!F25)</f>
        <v>3258.24</v>
      </c>
      <c r="H184" s="253">
        <f>('Screener Input'!G17+'Screener Input'!G25)</f>
        <v>3822.0299999999997</v>
      </c>
      <c r="I184" s="253">
        <f>('Screener Input'!H17+'Screener Input'!H25)</f>
        <v>3853.3199999999997</v>
      </c>
      <c r="J184" s="253">
        <f>('Screener Input'!I17+'Screener Input'!I25)</f>
        <v>3961.8900000000003</v>
      </c>
      <c r="K184" s="253">
        <f>('Screener Input'!J17+'Screener Input'!J25)</f>
        <v>5255.11</v>
      </c>
      <c r="L184" s="253">
        <f>('Screener Input'!K17+'Screener Input'!K25)</f>
        <v>5969.11</v>
      </c>
      <c r="M184" s="253"/>
      <c r="N184" s="253"/>
    </row>
    <row r="185" spans="1:14" s="246" customFormat="1">
      <c r="A185" s="244" t="s">
        <v>436</v>
      </c>
      <c r="B185" s="244"/>
      <c r="C185" s="245"/>
      <c r="D185" s="245">
        <f>('Screener Input'!C17+'Screener Input'!C25)/('Screener Input'!B17+'Screener Input'!B25)-1</f>
        <v>0.30531421768535183</v>
      </c>
      <c r="E185" s="245">
        <f>('Screener Input'!D17+'Screener Input'!D25)/('Screener Input'!C17+'Screener Input'!C25)-1</f>
        <v>0.70164459321787209</v>
      </c>
      <c r="F185" s="245">
        <f>('Screener Input'!E17+'Screener Input'!E25)/('Screener Input'!D17+'Screener Input'!D25)-1</f>
        <v>0.42695860417379405</v>
      </c>
      <c r="G185" s="245">
        <f>('Screener Input'!F17+'Screener Input'!F25)/('Screener Input'!E17+'Screener Input'!E25)-1</f>
        <v>0.30194198034044595</v>
      </c>
      <c r="H185" s="245">
        <f>('Screener Input'!G17+'Screener Input'!G25)/('Screener Input'!F17+'Screener Input'!F25)-1</f>
        <v>0.17303513553329397</v>
      </c>
      <c r="I185" s="245">
        <f>('Screener Input'!H17+'Screener Input'!H25)/('Screener Input'!G17+'Screener Input'!G25)-1</f>
        <v>8.1867489266174154E-3</v>
      </c>
      <c r="J185" s="245">
        <f>('Screener Input'!I17+'Screener Input'!I25)/('Screener Input'!H17+'Screener Input'!H25)-1</f>
        <v>2.8175703030114407E-2</v>
      </c>
      <c r="K185" s="245">
        <f>('Screener Input'!J17+'Screener Input'!J25)/('Screener Input'!I17+'Screener Input'!I25)-1</f>
        <v>0.32641491813250734</v>
      </c>
      <c r="L185" s="245">
        <f>('Screener Input'!K17+'Screener Input'!K25)/('Screener Input'!J17+'Screener Input'!J25)-1</f>
        <v>0.13586775538475893</v>
      </c>
      <c r="M185" s="245"/>
      <c r="N185" s="245"/>
    </row>
    <row r="186" spans="1:14" s="246" customFormat="1">
      <c r="A186" s="244" t="s">
        <v>35</v>
      </c>
      <c r="B186" s="244"/>
      <c r="C186" s="245"/>
      <c r="D186" s="252">
        <f>'Screener Input'!C30/'Screener Input'!C93</f>
        <v>5.29088414510219</v>
      </c>
      <c r="E186" s="252">
        <f>'Screener Input'!D30/'Screener Input'!D93</f>
        <v>11.595716517045117</v>
      </c>
      <c r="F186" s="252">
        <f>'Screener Input'!E30/'Screener Input'!E93</f>
        <v>13.610976227246679</v>
      </c>
      <c r="G186" s="252">
        <f>'Screener Input'!F30/'Screener Input'!F93</f>
        <v>14.923392300089201</v>
      </c>
      <c r="H186" s="252">
        <f>'Screener Input'!G30/'Screener Input'!G93</f>
        <v>16.748799983247288</v>
      </c>
      <c r="I186" s="252">
        <f>'Screener Input'!H30/'Screener Input'!H93</f>
        <v>13.814066747459586</v>
      </c>
      <c r="J186" s="252">
        <f>'Screener Input'!I30/'Screener Input'!I93</f>
        <v>15.447716602646178</v>
      </c>
      <c r="K186" s="252">
        <f>'Screener Input'!J30/'Screener Input'!J93</f>
        <v>18.184379001280409</v>
      </c>
      <c r="L186" s="252">
        <f>'Screener Input'!K30/'Screener Input'!K93</f>
        <v>20.357661118224499</v>
      </c>
      <c r="M186" s="252"/>
      <c r="N186" s="252"/>
    </row>
    <row r="187" spans="1:14" s="246" customFormat="1">
      <c r="A187" s="244" t="s">
        <v>437</v>
      </c>
      <c r="B187" s="244"/>
      <c r="C187" s="245"/>
      <c r="D187" s="245">
        <f>(('Screener Input'!C30/'Screener Input'!C93)/('Screener Input'!B30/'Screener Input'!B93))-1</f>
        <v>0.54362710674157322</v>
      </c>
      <c r="E187" s="245">
        <f>(('Screener Input'!D30/'Screener Input'!D93)/('Screener Input'!C30/'Screener Input'!C93))-1</f>
        <v>1.1916406027864657</v>
      </c>
      <c r="F187" s="245">
        <f>(('Screener Input'!E30/'Screener Input'!E93)/('Screener Input'!D30/'Screener Input'!D93))-1</f>
        <v>0.17379346133886875</v>
      </c>
      <c r="G187" s="245">
        <f>(('Screener Input'!F30/'Screener Input'!F93)/('Screener Input'!E30/'Screener Input'!E93))-1</f>
        <v>9.6423360891286114E-2</v>
      </c>
      <c r="H187" s="245">
        <f>(('Screener Input'!G30/'Screener Input'!G93)/('Screener Input'!F30/'Screener Input'!F93))-1</f>
        <v>0.12231854838709677</v>
      </c>
      <c r="I187" s="245">
        <f>(('Screener Input'!H30/'Screener Input'!H93)/('Screener Input'!G30/'Screener Input'!G93))-1</f>
        <v>-0.17522050766163066</v>
      </c>
      <c r="J187" s="245">
        <f>(('Screener Input'!I30/'Screener Input'!I93)/('Screener Input'!H30/'Screener Input'!H93))-1</f>
        <v>0.11825987850297737</v>
      </c>
      <c r="K187" s="245">
        <f>(('Screener Input'!J30/'Screener Input'!J93)/('Screener Input'!I30/'Screener Input'!I93))-1</f>
        <v>0.17715643476819376</v>
      </c>
      <c r="L187" s="245">
        <f>(('Screener Input'!K30/'Screener Input'!K93)/('Screener Input'!J30/'Screener Input'!J93))-1</f>
        <v>0.11951368351875336</v>
      </c>
      <c r="M187" s="245"/>
      <c r="N187" s="245"/>
    </row>
    <row r="188" spans="1:14" s="246" customFormat="1">
      <c r="A188" s="247"/>
      <c r="B188" s="244"/>
      <c r="C188" s="245"/>
      <c r="D188" s="245"/>
      <c r="E188" s="245"/>
      <c r="F188" s="245"/>
      <c r="G188" s="245"/>
      <c r="H188" s="245"/>
      <c r="I188" s="245"/>
      <c r="J188" s="245"/>
      <c r="K188" s="245"/>
      <c r="L188" s="245"/>
      <c r="M188" s="245"/>
      <c r="N188" s="245"/>
    </row>
    <row r="189" spans="1:14" s="246" customFormat="1">
      <c r="A189" s="231" t="s">
        <v>432</v>
      </c>
      <c r="B189" s="126"/>
      <c r="C189" s="248">
        <f>'Screener Input'!B41</f>
        <v>42369</v>
      </c>
      <c r="D189" s="248">
        <f>'Screener Input'!C41</f>
        <v>42460</v>
      </c>
      <c r="E189" s="248">
        <f>'Screener Input'!D41</f>
        <v>42551</v>
      </c>
      <c r="F189" s="248">
        <f>'Screener Input'!E41</f>
        <v>42643</v>
      </c>
      <c r="G189" s="248">
        <f>'Screener Input'!F41</f>
        <v>42735</v>
      </c>
      <c r="H189" s="248">
        <f>'Screener Input'!G41</f>
        <v>42825</v>
      </c>
      <c r="I189" s="248">
        <f>'Screener Input'!H41</f>
        <v>42916</v>
      </c>
      <c r="J189" s="248">
        <f>'Screener Input'!I41</f>
        <v>43008</v>
      </c>
      <c r="K189" s="248">
        <f>'Screener Input'!J41</f>
        <v>43100</v>
      </c>
      <c r="L189" s="248">
        <f>'Screener Input'!K41</f>
        <v>43190</v>
      </c>
      <c r="M189" s="248"/>
      <c r="N189" s="248"/>
    </row>
    <row r="190" spans="1:14" s="246" customFormat="1">
      <c r="A190" s="244" t="s">
        <v>433</v>
      </c>
      <c r="B190" s="126"/>
      <c r="C190" s="251">
        <f>('Screener Input'!B42+'Screener Input'!B44)</f>
        <v>1364.86</v>
      </c>
      <c r="D190" s="251">
        <f>('Screener Input'!C42+'Screener Input'!C44)</f>
        <v>1573.87</v>
      </c>
      <c r="E190" s="251">
        <f>('Screener Input'!D42+'Screener Input'!D44)</f>
        <v>1548.08</v>
      </c>
      <c r="F190" s="251">
        <f>('Screener Input'!E42+'Screener Input'!E44)</f>
        <v>1324.22</v>
      </c>
      <c r="G190" s="251">
        <f>('Screener Input'!F42+'Screener Input'!F44)</f>
        <v>1440.74</v>
      </c>
      <c r="H190" s="251">
        <f>('Screener Input'!G42+'Screener Input'!G44)</f>
        <v>1656.06</v>
      </c>
      <c r="I190" s="251">
        <f>('Screener Input'!H42+'Screener Input'!H44)</f>
        <v>1870.42</v>
      </c>
      <c r="J190" s="251">
        <f>('Screener Input'!I42+'Screener Input'!I44)</f>
        <v>1345.27</v>
      </c>
      <c r="K190" s="251">
        <f>('Screener Input'!J42+'Screener Input'!J44)</f>
        <v>1341.67</v>
      </c>
      <c r="L190" s="251">
        <f>('Screener Input'!K42+'Screener Input'!K44)</f>
        <v>1432.11</v>
      </c>
      <c r="M190" s="251"/>
      <c r="N190" s="251"/>
    </row>
    <row r="191" spans="1:14" s="246" customFormat="1">
      <c r="A191" s="244" t="s">
        <v>434</v>
      </c>
      <c r="B191" s="244"/>
      <c r="C191" s="245"/>
      <c r="D191" s="245"/>
      <c r="E191" s="245"/>
      <c r="F191" s="245"/>
      <c r="G191" s="245">
        <f t="shared" ref="G191:K191" si="76">G190/C190-1</f>
        <v>5.5595445686737133E-2</v>
      </c>
      <c r="H191" s="245">
        <f t="shared" si="76"/>
        <v>5.2221593905468655E-2</v>
      </c>
      <c r="I191" s="245">
        <f t="shared" si="76"/>
        <v>0.20821921347733974</v>
      </c>
      <c r="J191" s="245">
        <f t="shared" si="76"/>
        <v>1.5896150186524904E-2</v>
      </c>
      <c r="K191" s="245">
        <f t="shared" si="76"/>
        <v>-6.8763274428418675E-2</v>
      </c>
      <c r="L191" s="245">
        <f>L190/H190-1</f>
        <v>-0.13523060758668171</v>
      </c>
      <c r="M191" s="245"/>
      <c r="N191" s="245"/>
    </row>
    <row r="192" spans="1:14" s="246" customFormat="1">
      <c r="A192" s="244" t="s">
        <v>395</v>
      </c>
      <c r="B192" s="244"/>
      <c r="C192" s="251">
        <f>'Screener Input'!B49</f>
        <v>167.9</v>
      </c>
      <c r="D192" s="251">
        <f>'Screener Input'!C49</f>
        <v>156.82</v>
      </c>
      <c r="E192" s="251">
        <f>'Screener Input'!D49</f>
        <v>181.84</v>
      </c>
      <c r="F192" s="251">
        <f>'Screener Input'!E49</f>
        <v>142.18</v>
      </c>
      <c r="G192" s="251">
        <f>'Screener Input'!F49</f>
        <v>184.22</v>
      </c>
      <c r="H192" s="251">
        <f>'Screener Input'!G49</f>
        <v>207.21</v>
      </c>
      <c r="I192" s="251">
        <f>'Screener Input'!H49</f>
        <v>237.86</v>
      </c>
      <c r="J192" s="251">
        <f>'Screener Input'!I49</f>
        <v>234.73</v>
      </c>
      <c r="K192" s="251">
        <f>'Screener Input'!J49</f>
        <v>207.3</v>
      </c>
      <c r="L192" s="251">
        <f>'Screener Input'!K49</f>
        <v>239.78</v>
      </c>
      <c r="M192" s="251"/>
      <c r="N192" s="251"/>
    </row>
    <row r="193" spans="1:14" s="246" customFormat="1">
      <c r="A193" s="244" t="s">
        <v>435</v>
      </c>
      <c r="B193" s="244"/>
      <c r="C193" s="245"/>
      <c r="D193" s="245"/>
      <c r="E193" s="245"/>
      <c r="F193" s="245"/>
      <c r="G193" s="245">
        <f t="shared" ref="G193:K193" si="77">G192/C192-1</f>
        <v>9.7200714711137559E-2</v>
      </c>
      <c r="H193" s="245">
        <f t="shared" si="77"/>
        <v>0.32132381073842642</v>
      </c>
      <c r="I193" s="245">
        <f t="shared" si="77"/>
        <v>0.30807303123625163</v>
      </c>
      <c r="J193" s="245">
        <f t="shared" si="77"/>
        <v>0.65093543395695574</v>
      </c>
      <c r="K193" s="245">
        <f t="shared" si="77"/>
        <v>0.12528498534361088</v>
      </c>
      <c r="L193" s="245">
        <f>L192/H192-1</f>
        <v>0.15718353361324255</v>
      </c>
      <c r="M193" s="245"/>
      <c r="N193" s="245"/>
    </row>
    <row r="194" spans="1:14" s="246" customFormat="1">
      <c r="A194" s="244"/>
      <c r="B194" s="244"/>
      <c r="C194" s="244"/>
      <c r="D194" s="244"/>
      <c r="E194" s="244"/>
      <c r="F194" s="244"/>
      <c r="G194" s="244"/>
      <c r="H194" s="244"/>
      <c r="I194" s="244"/>
      <c r="J194" s="244"/>
      <c r="K194" s="244"/>
      <c r="L194" s="244"/>
      <c r="M194" s="244"/>
      <c r="N194" s="244"/>
    </row>
    <row r="195" spans="1:14">
      <c r="A195" s="231" t="s">
        <v>410</v>
      </c>
      <c r="B195" s="126"/>
      <c r="C195" s="242">
        <f>'Screener Input'!B41</f>
        <v>42369</v>
      </c>
      <c r="D195" s="242">
        <f>'Screener Input'!C41</f>
        <v>42460</v>
      </c>
      <c r="E195" s="242">
        <f>'Screener Input'!D41</f>
        <v>42551</v>
      </c>
      <c r="F195" s="242">
        <f>'Screener Input'!E41</f>
        <v>42643</v>
      </c>
      <c r="G195" s="242">
        <f>'Screener Input'!F41</f>
        <v>42735</v>
      </c>
      <c r="H195" s="242">
        <f>'Screener Input'!G41</f>
        <v>42825</v>
      </c>
      <c r="I195" s="242">
        <f>'Screener Input'!H41</f>
        <v>42916</v>
      </c>
      <c r="J195" s="242">
        <f>'Screener Input'!I41</f>
        <v>43008</v>
      </c>
      <c r="K195" s="242">
        <f>'Screener Input'!J41</f>
        <v>43100</v>
      </c>
      <c r="L195" s="242">
        <f>'Screener Input'!K41</f>
        <v>43190</v>
      </c>
      <c r="M195" s="242"/>
      <c r="N195" s="242"/>
    </row>
    <row r="196" spans="1:14">
      <c r="A196" s="163" t="s">
        <v>311</v>
      </c>
      <c r="B196" s="126"/>
      <c r="C196" s="225">
        <f>IF('Screener Input'!B43/('Screener Input'!B42+'Screener Input'!B44)&lt;0, 0, 'Screener Input'!B43/('Screener Input'!B42+'Screener Input'!B44))</f>
        <v>0.47298624034699527</v>
      </c>
      <c r="D196" s="225">
        <f>IF('Screener Input'!C43/('Screener Input'!C42+'Screener Input'!C44)&lt;0, 0, 'Screener Input'!C43/('Screener Input'!C42+'Screener Input'!C44))</f>
        <v>0.50698596453328415</v>
      </c>
      <c r="E196" s="225">
        <f>IF('Screener Input'!D43/('Screener Input'!D42+'Screener Input'!D44)&lt;0, 0, 'Screener Input'!D43/('Screener Input'!D42+'Screener Input'!D44))</f>
        <v>0.48018190274404426</v>
      </c>
      <c r="F196" s="225">
        <f>IF('Screener Input'!E43/('Screener Input'!E42+'Screener Input'!E44)&lt;0, 0, 'Screener Input'!E43/('Screener Input'!E42+'Screener Input'!E44))</f>
        <v>0.43917929045022736</v>
      </c>
      <c r="G196" s="225">
        <f>IF('Screener Input'!F43/('Screener Input'!F42+'Screener Input'!F44)&lt;0, 0, 'Screener Input'!F43/('Screener Input'!F42+'Screener Input'!F44))</f>
        <v>0.46322723045101821</v>
      </c>
      <c r="H196" s="225">
        <f>IF('Screener Input'!G43/('Screener Input'!G42+'Screener Input'!G44)&lt;0, 0, 'Screener Input'!G43/('Screener Input'!G42+'Screener Input'!G44))</f>
        <v>0.48629276717027164</v>
      </c>
      <c r="I196" s="225">
        <f>IF('Screener Input'!H43/('Screener Input'!H42+'Screener Input'!H44)&lt;0, 0, 'Screener Input'!H43/('Screener Input'!H42+'Screener Input'!H44))</f>
        <v>0.53414206434918365</v>
      </c>
      <c r="J196" s="225">
        <f>IF('Screener Input'!I43/('Screener Input'!I42+'Screener Input'!I44)&lt;0, 0, 'Screener Input'!I43/('Screener Input'!I42+'Screener Input'!I44))</f>
        <v>0.46559426732180159</v>
      </c>
      <c r="K196" s="225">
        <f>IF('Screener Input'!J43/('Screener Input'!J42+'Screener Input'!J44)&lt;0, 0, 'Screener Input'!J43/('Screener Input'!J42+'Screener Input'!J44))</f>
        <v>0.49632920166657968</v>
      </c>
      <c r="L196" s="255">
        <f>IF('Screener Input'!K43/('Screener Input'!K42+'Screener Input'!K44)&lt;0, 0, 'Screener Input'!K43/('Screener Input'!K42+'Screener Input'!K44))</f>
        <v>0.50512879597237648</v>
      </c>
      <c r="M196" s="225"/>
      <c r="N196" s="225"/>
    </row>
    <row r="197" spans="1:14">
      <c r="A197" s="163" t="s">
        <v>25</v>
      </c>
      <c r="B197" s="126"/>
      <c r="C197" s="225">
        <f>IF('Screener Input'!B45/('Screener Input'!B42+'Screener Input'!B44)&lt;0,0, 'Screener Input'!B45/('Screener Input'!B42+'Screener Input'!B44))</f>
        <v>0.16567266972436734</v>
      </c>
      <c r="D197" s="225">
        <f>IF('Screener Input'!C45/('Screener Input'!C42+'Screener Input'!C44)&lt;0,0, 'Screener Input'!C45/('Screener Input'!C42+'Screener Input'!C44))</f>
        <v>0.14128867060176509</v>
      </c>
      <c r="E197" s="225">
        <f>IF('Screener Input'!D45/('Screener Input'!D42+'Screener Input'!D44)&lt;0,0, 'Screener Input'!D45/('Screener Input'!D42+'Screener Input'!D44))</f>
        <v>0.1425895302568343</v>
      </c>
      <c r="F197" s="225">
        <f>IF('Screener Input'!E45/('Screener Input'!E42+'Screener Input'!E44)&lt;0,0, 'Screener Input'!E45/('Screener Input'!E42+'Screener Input'!E44))</f>
        <v>0.17172373170621197</v>
      </c>
      <c r="G197" s="225">
        <f>IF('Screener Input'!F45/('Screener Input'!F42+'Screener Input'!F44)&lt;0,0, 'Screener Input'!F45/('Screener Input'!F42+'Screener Input'!F44))</f>
        <v>0.12513014145508558</v>
      </c>
      <c r="H197" s="225">
        <f>IF('Screener Input'!G45/('Screener Input'!G42+'Screener Input'!G44)&lt;0,0, 'Screener Input'!G45/('Screener Input'!G42+'Screener Input'!G44))</f>
        <v>0.13669190729804476</v>
      </c>
      <c r="I197" s="225">
        <f>IF('Screener Input'!H45/('Screener Input'!H42+'Screener Input'!H44)&lt;0,0, 'Screener Input'!H45/('Screener Input'!H42+'Screener Input'!H44))</f>
        <v>9.7069107473187838E-2</v>
      </c>
      <c r="J197" s="225">
        <f>IF('Screener Input'!I45/('Screener Input'!I42+'Screener Input'!I44)&lt;0,0, 'Screener Input'!I45/('Screener Input'!I42+'Screener Input'!I44))</f>
        <v>9.3676362365919114E-2</v>
      </c>
      <c r="K197" s="225">
        <f>IF('Screener Input'!J45/('Screener Input'!J42+'Screener Input'!J44)&lt;0,0, 'Screener Input'!J45/('Screener Input'!J42+'Screener Input'!J44))</f>
        <v>9.0364992882005252E-2</v>
      </c>
      <c r="L197" s="255">
        <f>IF('Screener Input'!K45/('Screener Input'!K42+'Screener Input'!K44)&lt;0,0, 'Screener Input'!K45/('Screener Input'!K42+'Screener Input'!K44))</f>
        <v>8.0454713674228934E-2</v>
      </c>
      <c r="M197" s="225"/>
      <c r="N197" s="225"/>
    </row>
    <row r="198" spans="1:14">
      <c r="A198" s="163" t="s">
        <v>24</v>
      </c>
      <c r="B198" s="126"/>
      <c r="C198" s="225">
        <f>IF('Screener Input'!B46/('Screener Input'!B42+'Screener Input'!B44)&lt;0, 0, 'Screener Input'!B46/('Screener Input'!B42+'Screener Input'!B44))</f>
        <v>0.19388801781867737</v>
      </c>
      <c r="D198" s="225">
        <f>IF('Screener Input'!C46/('Screener Input'!C42+'Screener Input'!C44)&lt;0, 0, 'Screener Input'!C46/('Screener Input'!C42+'Screener Input'!C44))</f>
        <v>0.2062305018838913</v>
      </c>
      <c r="E198" s="225">
        <f>IF('Screener Input'!D46/('Screener Input'!D42+'Screener Input'!D44)&lt;0, 0, 'Screener Input'!D46/('Screener Input'!D42+'Screener Input'!D44))</f>
        <v>0.21198516872513051</v>
      </c>
      <c r="F198" s="225">
        <f>IF('Screener Input'!E46/('Screener Input'!E42+'Screener Input'!E44)&lt;0, 0, 'Screener Input'!E46/('Screener Input'!E42+'Screener Input'!E44))</f>
        <v>0.25645285526574135</v>
      </c>
      <c r="G198" s="225">
        <f>IF('Screener Input'!F46/('Screener Input'!F42+'Screener Input'!F44)&lt;0, 0, 'Screener Input'!F46/('Screener Input'!F42+'Screener Input'!F44))</f>
        <v>0.23524716465149853</v>
      </c>
      <c r="H198" s="225">
        <f>IF('Screener Input'!G46/('Screener Input'!G42+'Screener Input'!G44)&lt;0, 0, 'Screener Input'!G46/('Screener Input'!G42+'Screener Input'!G44))</f>
        <v>0.19687088632054392</v>
      </c>
      <c r="I198" s="225">
        <f>IF('Screener Input'!H46/('Screener Input'!H42+'Screener Input'!H44)&lt;0, 0, 'Screener Input'!H46/('Screener Input'!H42+'Screener Input'!H44))</f>
        <v>0.15260208937030187</v>
      </c>
      <c r="J198" s="225">
        <f>IF('Screener Input'!I46/('Screener Input'!I42+'Screener Input'!I44)&lt;0, 0, 'Screener Input'!I46/('Screener Input'!I42+'Screener Input'!I44))</f>
        <v>0.17514699651371102</v>
      </c>
      <c r="K198" s="225">
        <f>IF('Screener Input'!J46/('Screener Input'!J42+'Screener Input'!J44)&lt;0, 0, 'Screener Input'!J46/('Screener Input'!J42+'Screener Input'!J44))</f>
        <v>0.17636229475206272</v>
      </c>
      <c r="L198" s="255">
        <f>IF('Screener Input'!K46/('Screener Input'!K42+'Screener Input'!K44)&lt;0, 0, 'Screener Input'!K46/('Screener Input'!K42+'Screener Input'!K44))</f>
        <v>0.14593152760611966</v>
      </c>
      <c r="M198" s="225"/>
      <c r="N198" s="225"/>
    </row>
    <row r="199" spans="1:14">
      <c r="A199" s="163" t="s">
        <v>26</v>
      </c>
      <c r="B199" s="126"/>
      <c r="C199" s="225">
        <f>IF('Screener Input'!B48/('Screener Input'!B42+'Screener Input'!B44)&lt;0, 0, 'Screener Input'!B48/('Screener Input'!B42+'Screener Input'!B44))</f>
        <v>4.4436792051932066E-2</v>
      </c>
      <c r="D199" s="225">
        <f>IF('Screener Input'!C48/('Screener Input'!C42+'Screener Input'!C44)&lt;0, 0, 'Screener Input'!C48/('Screener Input'!C42+'Screener Input'!C44))</f>
        <v>4.5562848265739864E-2</v>
      </c>
      <c r="E199" s="225">
        <f>IF('Screener Input'!D48/('Screener Input'!D42+'Screener Input'!D44)&lt;0, 0, 'Screener Input'!D48/('Screener Input'!D42+'Screener Input'!D44))</f>
        <v>4.7801147227533466E-2</v>
      </c>
      <c r="F199" s="225">
        <f>IF('Screener Input'!E48/('Screener Input'!E42+'Screener Input'!E44)&lt;0, 0, 'Screener Input'!E48/('Screener Input'!E42+'Screener Input'!E44))</f>
        <v>2.5275256377339111E-2</v>
      </c>
      <c r="G199" s="225">
        <f>IF('Screener Input'!F48/('Screener Input'!F42+'Screener Input'!F44)&lt;0, 0, 'Screener Input'!F48/('Screener Input'!F42+'Screener Input'!F44))</f>
        <v>4.8537557088718299E-2</v>
      </c>
      <c r="H199" s="225">
        <f>IF('Screener Input'!G48/('Screener Input'!G42+'Screener Input'!G44)&lt;0, 0, 'Screener Input'!G48/('Screener Input'!G42+'Screener Input'!G44))</f>
        <v>5.5028199461372169E-2</v>
      </c>
      <c r="I199" s="225">
        <f>IF('Screener Input'!H48/('Screener Input'!H42+'Screener Input'!H44)&lt;0, 0, 'Screener Input'!H48/('Screener Input'!H42+'Screener Input'!H44))</f>
        <v>8.9017439933277015E-2</v>
      </c>
      <c r="J199" s="225">
        <f>IF('Screener Input'!I48/('Screener Input'!I42+'Screener Input'!I44)&lt;0, 0, 'Screener Input'!I48/('Screener Input'!I42+'Screener Input'!I44))</f>
        <v>9.109695451470709E-2</v>
      </c>
      <c r="K199" s="225">
        <f>IF('Screener Input'!J48/('Screener Input'!J42+'Screener Input'!J44)&lt;0, 0, 'Screener Input'!J48/('Screener Input'!J42+'Screener Input'!J44))</f>
        <v>8.2434577802291159E-2</v>
      </c>
      <c r="L199" s="255">
        <f>IF('Screener Input'!K48/('Screener Input'!K42+'Screener Input'!K44)&lt;0, 0, 'Screener Input'!K48/('Screener Input'!K42+'Screener Input'!K44))</f>
        <v>0.10104670730600304</v>
      </c>
      <c r="M199" s="225"/>
      <c r="N199" s="225"/>
    </row>
    <row r="200" spans="1:14">
      <c r="A200" s="163" t="s">
        <v>308</v>
      </c>
      <c r="B200" s="126"/>
      <c r="C200" s="225">
        <f>1-SUM(C196:C199)</f>
        <v>0.12301628005802789</v>
      </c>
      <c r="D200" s="225">
        <f t="shared" ref="D200:L200" si="78">1-SUM(D196:D199)</f>
        <v>9.993201471531965E-2</v>
      </c>
      <c r="E200" s="225">
        <f t="shared" si="78"/>
        <v>0.11744225104645745</v>
      </c>
      <c r="F200" s="225">
        <f t="shared" si="78"/>
        <v>0.10736886620048025</v>
      </c>
      <c r="G200" s="225">
        <f t="shared" si="78"/>
        <v>0.12785790635367933</v>
      </c>
      <c r="H200" s="225">
        <f t="shared" si="78"/>
        <v>0.12511623974976749</v>
      </c>
      <c r="I200" s="225">
        <f t="shared" si="78"/>
        <v>0.1271692988740496</v>
      </c>
      <c r="J200" s="225">
        <f t="shared" si="78"/>
        <v>0.17448541928386119</v>
      </c>
      <c r="K200" s="225">
        <f t="shared" si="78"/>
        <v>0.15450893289706114</v>
      </c>
      <c r="L200" s="255">
        <f t="shared" si="78"/>
        <v>0.16743825544127189</v>
      </c>
      <c r="M200" s="225"/>
      <c r="N200" s="225"/>
    </row>
    <row r="201" spans="1:14">
      <c r="A201" s="159"/>
      <c r="B201" s="126"/>
      <c r="C201" s="126"/>
      <c r="D201" s="126"/>
      <c r="E201" s="126"/>
      <c r="F201" s="126"/>
      <c r="G201" s="126"/>
      <c r="H201" s="126"/>
      <c r="I201" s="126"/>
      <c r="J201" s="126"/>
      <c r="K201" s="126"/>
      <c r="L201" s="126"/>
      <c r="M201" s="126"/>
      <c r="N201" s="126"/>
    </row>
    <row r="202" spans="1:14">
      <c r="A202" s="163"/>
      <c r="B202" s="126"/>
      <c r="C202" s="126"/>
      <c r="D202" s="126"/>
      <c r="E202" s="126"/>
      <c r="F202" s="126"/>
      <c r="G202" s="126"/>
      <c r="H202" s="126"/>
      <c r="I202" s="126"/>
      <c r="J202" s="126"/>
      <c r="K202" s="126"/>
      <c r="L202" s="126"/>
      <c r="M202" s="126"/>
      <c r="N202" s="126"/>
    </row>
    <row r="203" spans="1:14">
      <c r="A203" s="163"/>
    </row>
    <row r="204" spans="1:14">
      <c r="A204" s="163"/>
    </row>
    <row r="205" spans="1:14">
      <c r="A205" s="163"/>
    </row>
  </sheetData>
  <mergeCells count="7">
    <mergeCell ref="A68:K68"/>
    <mergeCell ref="A85:K85"/>
    <mergeCell ref="A3:J3"/>
    <mergeCell ref="A12:K12"/>
    <mergeCell ref="A13:J13"/>
    <mergeCell ref="C38:K38"/>
    <mergeCell ref="A61:K61"/>
  </mergeCells>
  <pageMargins left="0.7" right="0.7" top="0.75" bottom="0.75" header="0.3" footer="0.3"/>
  <pageSetup orientation="portrait" r:id="rId1"/>
  <ignoredErrors>
    <ignoredError sqref="C32:L34 C47:L47 F192:L192" formula="1"/>
    <ignoredError sqref="C73:L73 M74:N74 M26:N26 M25:N25 N29 M35 M30:M34" formulaRange="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93"/>
  <sheetViews>
    <sheetView zoomScaleNormal="100" workbookViewId="0">
      <selection sqref="A1:XFD1048576"/>
    </sheetView>
  </sheetViews>
  <sheetFormatPr defaultRowHeight="15"/>
  <cols>
    <col min="1" max="1" width="27.7109375" style="159" bestFit="1" customWidth="1"/>
    <col min="2" max="11" width="13.5703125" style="159" bestFit="1" customWidth="1"/>
    <col min="12" max="16384" width="9.140625" style="159"/>
  </cols>
  <sheetData>
    <row r="1" spans="1:11" s="158" customFormat="1">
      <c r="A1" s="158" t="s">
        <v>290</v>
      </c>
      <c r="B1" s="158" t="s">
        <v>532</v>
      </c>
      <c r="E1" s="410" t="str">
        <f>IF(B2&lt;&gt;B3, "A NEW VERSION OF THE WORKSHEET IS AVAILABLE", "")</f>
        <v/>
      </c>
      <c r="F1" s="410"/>
      <c r="G1" s="410"/>
      <c r="H1" s="410"/>
      <c r="I1" s="410"/>
      <c r="J1" s="410"/>
      <c r="K1" s="410"/>
    </row>
    <row r="2" spans="1:11">
      <c r="A2" s="158" t="s">
        <v>291</v>
      </c>
      <c r="B2" s="159">
        <v>2.1</v>
      </c>
      <c r="E2" s="411" t="s">
        <v>292</v>
      </c>
      <c r="F2" s="411"/>
      <c r="G2" s="411"/>
      <c r="H2" s="411"/>
      <c r="I2" s="411"/>
      <c r="J2" s="411"/>
      <c r="K2" s="411"/>
    </row>
    <row r="3" spans="1:11">
      <c r="A3" s="158" t="s">
        <v>293</v>
      </c>
      <c r="B3" s="159">
        <v>2.1</v>
      </c>
    </row>
    <row r="4" spans="1:11">
      <c r="A4" s="158"/>
    </row>
    <row r="5" spans="1:11">
      <c r="A5" s="158" t="s">
        <v>294</v>
      </c>
    </row>
    <row r="6" spans="1:11">
      <c r="A6" s="159" t="s">
        <v>295</v>
      </c>
      <c r="B6" s="159">
        <f>IF(B9&gt;0, B9/B8, 0)</f>
        <v>35.145010091948869</v>
      </c>
    </row>
    <row r="7" spans="1:11">
      <c r="A7" s="159" t="s">
        <v>296</v>
      </c>
      <c r="B7">
        <v>10</v>
      </c>
    </row>
    <row r="8" spans="1:11">
      <c r="A8" s="159" t="s">
        <v>297</v>
      </c>
      <c r="B8">
        <v>222.95</v>
      </c>
    </row>
    <row r="9" spans="1:11">
      <c r="A9" s="159" t="s">
        <v>298</v>
      </c>
      <c r="B9">
        <v>7835.58</v>
      </c>
    </row>
    <row r="15" spans="1:11">
      <c r="A15" s="158" t="s">
        <v>299</v>
      </c>
    </row>
    <row r="16" spans="1:11" s="162" customFormat="1">
      <c r="A16" s="160" t="s">
        <v>300</v>
      </c>
      <c r="B16" s="161">
        <v>39538</v>
      </c>
      <c r="C16" s="161">
        <v>39903</v>
      </c>
      <c r="D16" s="161">
        <v>40268</v>
      </c>
      <c r="E16" s="161">
        <v>40633</v>
      </c>
      <c r="F16" s="161">
        <v>40999</v>
      </c>
      <c r="G16" s="161">
        <v>41364</v>
      </c>
      <c r="H16" s="161">
        <v>41729</v>
      </c>
      <c r="I16" s="161">
        <v>42094</v>
      </c>
      <c r="J16" s="161">
        <v>42460</v>
      </c>
      <c r="K16" s="161">
        <v>42825</v>
      </c>
    </row>
    <row r="17" spans="1:11" s="163" customFormat="1">
      <c r="A17" s="163" t="s">
        <v>232</v>
      </c>
      <c r="B17">
        <v>732.71</v>
      </c>
      <c r="C17">
        <v>991.88</v>
      </c>
      <c r="D17">
        <v>1704.85</v>
      </c>
      <c r="E17">
        <v>2438.11</v>
      </c>
      <c r="F17">
        <v>3133.02</v>
      </c>
      <c r="G17">
        <v>3687.24</v>
      </c>
      <c r="H17">
        <v>3731.89</v>
      </c>
      <c r="I17">
        <v>3848.88</v>
      </c>
      <c r="J17">
        <v>5127.95</v>
      </c>
      <c r="K17">
        <v>5845.94</v>
      </c>
    </row>
    <row r="18" spans="1:11" s="163" customFormat="1">
      <c r="A18" s="159" t="s">
        <v>301</v>
      </c>
      <c r="G18">
        <v>469.72</v>
      </c>
      <c r="H18">
        <v>502.65</v>
      </c>
      <c r="I18">
        <v>434.48</v>
      </c>
      <c r="J18">
        <v>371.3</v>
      </c>
      <c r="K18">
        <v>268.29000000000002</v>
      </c>
    </row>
    <row r="19" spans="1:11" s="163" customFormat="1">
      <c r="A19" s="159" t="s">
        <v>302</v>
      </c>
    </row>
    <row r="20" spans="1:11" s="163" customFormat="1">
      <c r="A20" s="159" t="s">
        <v>303</v>
      </c>
      <c r="B20">
        <v>1.36</v>
      </c>
      <c r="C20">
        <v>1.62</v>
      </c>
      <c r="D20">
        <v>2.2999999999999998</v>
      </c>
      <c r="E20">
        <v>4.43</v>
      </c>
      <c r="F20">
        <v>6.3</v>
      </c>
      <c r="G20">
        <v>6.44</v>
      </c>
      <c r="H20">
        <v>7.71</v>
      </c>
      <c r="I20">
        <v>8.23</v>
      </c>
      <c r="J20">
        <v>10.69</v>
      </c>
      <c r="K20">
        <v>12.84</v>
      </c>
    </row>
    <row r="21" spans="1:11" s="163" customFormat="1">
      <c r="A21" s="159" t="s">
        <v>304</v>
      </c>
      <c r="B21">
        <v>253.87</v>
      </c>
      <c r="C21">
        <v>464.91</v>
      </c>
      <c r="D21">
        <v>777.88</v>
      </c>
      <c r="E21">
        <v>1169.68</v>
      </c>
      <c r="F21">
        <v>1510.52</v>
      </c>
      <c r="G21">
        <v>1302.02</v>
      </c>
      <c r="H21">
        <v>1184.49</v>
      </c>
      <c r="I21">
        <v>884.22</v>
      </c>
      <c r="J21">
        <v>1691.47</v>
      </c>
      <c r="K21">
        <v>2043.04</v>
      </c>
    </row>
    <row r="22" spans="1:11" s="163" customFormat="1">
      <c r="A22" s="159" t="s">
        <v>22</v>
      </c>
      <c r="B22">
        <v>30.68</v>
      </c>
      <c r="C22">
        <v>38.81</v>
      </c>
      <c r="D22">
        <v>66.38</v>
      </c>
      <c r="E22">
        <v>92.92</v>
      </c>
      <c r="F22">
        <v>137.59</v>
      </c>
      <c r="G22">
        <v>155.69</v>
      </c>
      <c r="H22">
        <v>179.88</v>
      </c>
      <c r="I22">
        <v>189.84</v>
      </c>
      <c r="J22">
        <v>246.51</v>
      </c>
      <c r="K22">
        <v>272.62</v>
      </c>
    </row>
    <row r="23" spans="1:11" s="163" customFormat="1">
      <c r="A23" s="159" t="s">
        <v>305</v>
      </c>
      <c r="B23">
        <v>30.72</v>
      </c>
      <c r="C23">
        <v>32.92</v>
      </c>
      <c r="D23">
        <v>48.88</v>
      </c>
      <c r="E23">
        <v>68.02</v>
      </c>
      <c r="F23">
        <v>92.79</v>
      </c>
      <c r="G23">
        <v>101.09</v>
      </c>
      <c r="H23">
        <v>75.42</v>
      </c>
      <c r="I23">
        <v>80.02</v>
      </c>
      <c r="J23">
        <v>119.6</v>
      </c>
      <c r="K23">
        <v>141.94999999999999</v>
      </c>
    </row>
    <row r="24" spans="1:11" s="163" customFormat="1">
      <c r="A24" s="159" t="s">
        <v>306</v>
      </c>
      <c r="B24">
        <v>4.1900000000000004</v>
      </c>
      <c r="C24">
        <v>14.8</v>
      </c>
      <c r="D24">
        <v>10.41</v>
      </c>
      <c r="E24">
        <v>14.8</v>
      </c>
      <c r="F24">
        <v>12.33</v>
      </c>
      <c r="G24">
        <v>15.11</v>
      </c>
      <c r="H24">
        <v>23.81</v>
      </c>
      <c r="I24">
        <v>34.159999999999997</v>
      </c>
      <c r="J24">
        <v>21.89</v>
      </c>
      <c r="K24">
        <v>49.86</v>
      </c>
    </row>
    <row r="25" spans="1:11" s="163" customFormat="1">
      <c r="A25" s="163" t="s">
        <v>19</v>
      </c>
      <c r="B25">
        <v>56.87</v>
      </c>
      <c r="C25">
        <v>38.770000000000003</v>
      </c>
      <c r="D25">
        <v>48.95</v>
      </c>
      <c r="E25">
        <v>64.489999999999995</v>
      </c>
      <c r="F25">
        <v>125.22</v>
      </c>
      <c r="G25">
        <v>134.79</v>
      </c>
      <c r="H25">
        <v>121.43</v>
      </c>
      <c r="I25">
        <v>113.01</v>
      </c>
      <c r="J25">
        <v>127.16</v>
      </c>
      <c r="K25">
        <v>123.17</v>
      </c>
    </row>
    <row r="26" spans="1:11" s="163" customFormat="1">
      <c r="A26" s="163" t="s">
        <v>25</v>
      </c>
      <c r="B26">
        <v>101.61</v>
      </c>
      <c r="C26">
        <v>114.38</v>
      </c>
      <c r="D26">
        <v>181.91</v>
      </c>
      <c r="E26">
        <v>225.37</v>
      </c>
      <c r="F26">
        <v>297.01</v>
      </c>
      <c r="G26">
        <v>441.52</v>
      </c>
      <c r="H26">
        <v>477.06</v>
      </c>
      <c r="I26">
        <v>707.06</v>
      </c>
      <c r="J26">
        <v>853.34</v>
      </c>
      <c r="K26">
        <v>854.79</v>
      </c>
    </row>
    <row r="27" spans="1:11" s="163" customFormat="1">
      <c r="A27" s="163" t="s">
        <v>24</v>
      </c>
      <c r="B27">
        <v>200.6</v>
      </c>
      <c r="C27">
        <v>148.26</v>
      </c>
      <c r="D27">
        <v>249.39</v>
      </c>
      <c r="E27">
        <v>351.54</v>
      </c>
      <c r="F27">
        <v>550.5</v>
      </c>
      <c r="G27">
        <v>623.85</v>
      </c>
      <c r="H27">
        <v>760.42</v>
      </c>
      <c r="I27">
        <v>937.43</v>
      </c>
      <c r="J27">
        <v>1070.1500000000001</v>
      </c>
      <c r="K27">
        <v>1341.78</v>
      </c>
    </row>
    <row r="28" spans="1:11" s="163" customFormat="1">
      <c r="A28" s="163" t="s">
        <v>307</v>
      </c>
      <c r="B28">
        <v>166.55</v>
      </c>
      <c r="C28">
        <v>214.95</v>
      </c>
      <c r="D28">
        <v>416.65</v>
      </c>
      <c r="E28">
        <v>575.84</v>
      </c>
      <c r="F28">
        <v>651.20000000000005</v>
      </c>
      <c r="G28">
        <v>706.59</v>
      </c>
      <c r="H28">
        <v>641.87</v>
      </c>
      <c r="I28">
        <v>686.44</v>
      </c>
      <c r="J28">
        <v>870.16</v>
      </c>
      <c r="K28">
        <v>983.94</v>
      </c>
    </row>
    <row r="29" spans="1:11" s="163" customFormat="1">
      <c r="A29" s="163" t="s">
        <v>26</v>
      </c>
      <c r="B29">
        <v>39.99</v>
      </c>
      <c r="C29">
        <v>37.78</v>
      </c>
      <c r="D29">
        <v>13.3</v>
      </c>
      <c r="E29">
        <v>111.75</v>
      </c>
      <c r="F29">
        <v>155.19</v>
      </c>
      <c r="G29">
        <v>153.01</v>
      </c>
      <c r="H29">
        <v>182.26</v>
      </c>
      <c r="I29">
        <v>144.08000000000001</v>
      </c>
      <c r="J29">
        <v>230.63</v>
      </c>
      <c r="K29">
        <v>268.52</v>
      </c>
    </row>
    <row r="30" spans="1:11" s="163" customFormat="1">
      <c r="A30" s="163" t="s">
        <v>308</v>
      </c>
      <c r="B30">
        <v>113.92</v>
      </c>
      <c r="C30">
        <v>175.85</v>
      </c>
      <c r="D30">
        <v>385.4</v>
      </c>
      <c r="E30">
        <v>452.38</v>
      </c>
      <c r="F30">
        <v>496</v>
      </c>
      <c r="G30">
        <v>556.66999999999996</v>
      </c>
      <c r="H30">
        <v>459.13</v>
      </c>
      <c r="I30">
        <v>542.91</v>
      </c>
      <c r="J30">
        <v>639.09</v>
      </c>
      <c r="K30">
        <v>715.47</v>
      </c>
    </row>
    <row r="31" spans="1:11" s="163" customFormat="1">
      <c r="A31" s="163" t="s">
        <v>309</v>
      </c>
      <c r="C31">
        <v>55.7</v>
      </c>
      <c r="D31">
        <v>64.599999999999994</v>
      </c>
      <c r="E31">
        <v>49.85</v>
      </c>
      <c r="F31">
        <v>59.83</v>
      </c>
      <c r="G31">
        <v>132.94999999999999</v>
      </c>
      <c r="H31">
        <v>132.94999999999999</v>
      </c>
      <c r="I31">
        <v>136.76</v>
      </c>
      <c r="J31">
        <v>210.87</v>
      </c>
      <c r="K31">
        <v>70.290000000000006</v>
      </c>
    </row>
    <row r="32" spans="1:11" s="163" customFormat="1"/>
    <row r="33" spans="1:11">
      <c r="A33" s="163"/>
    </row>
    <row r="34" spans="1:11">
      <c r="A34" s="163"/>
    </row>
    <row r="35" spans="1:11">
      <c r="A35" s="163"/>
    </row>
    <row r="36" spans="1:11">
      <c r="A36" s="163"/>
    </row>
    <row r="37" spans="1:11">
      <c r="A37" s="163"/>
    </row>
    <row r="38" spans="1:11">
      <c r="A38" s="163"/>
    </row>
    <row r="39" spans="1:11">
      <c r="A39" s="163"/>
    </row>
    <row r="40" spans="1:11">
      <c r="A40" s="158" t="s">
        <v>310</v>
      </c>
    </row>
    <row r="41" spans="1:11" s="162" customFormat="1">
      <c r="A41" s="160" t="s">
        <v>300</v>
      </c>
      <c r="B41" s="161">
        <v>42369</v>
      </c>
      <c r="C41" s="161">
        <v>42460</v>
      </c>
      <c r="D41" s="161">
        <v>42551</v>
      </c>
      <c r="E41" s="161">
        <v>42643</v>
      </c>
      <c r="F41" s="161">
        <v>42735</v>
      </c>
      <c r="G41" s="161">
        <v>42825</v>
      </c>
      <c r="H41" s="161">
        <v>42916</v>
      </c>
      <c r="I41" s="161">
        <v>43008</v>
      </c>
      <c r="J41" s="161">
        <v>43100</v>
      </c>
      <c r="K41" s="161">
        <v>43190</v>
      </c>
    </row>
    <row r="42" spans="1:11" s="163" customFormat="1">
      <c r="A42" s="163" t="s">
        <v>232</v>
      </c>
      <c r="B42">
        <v>1333.32</v>
      </c>
      <c r="C42">
        <v>1573.87</v>
      </c>
      <c r="D42">
        <v>1517.33</v>
      </c>
      <c r="E42">
        <v>1290.5899999999999</v>
      </c>
      <c r="F42">
        <v>1410.89</v>
      </c>
      <c r="G42">
        <v>1627.12</v>
      </c>
      <c r="H42">
        <v>1816.88</v>
      </c>
      <c r="I42">
        <v>1198.8</v>
      </c>
      <c r="J42">
        <v>1296.19</v>
      </c>
      <c r="K42">
        <v>1382.24</v>
      </c>
    </row>
    <row r="43" spans="1:11" s="163" customFormat="1">
      <c r="A43" s="163" t="s">
        <v>311</v>
      </c>
      <c r="B43">
        <v>645.55999999999995</v>
      </c>
      <c r="C43">
        <v>797.93</v>
      </c>
      <c r="D43">
        <v>743.36</v>
      </c>
      <c r="E43">
        <v>581.57000000000005</v>
      </c>
      <c r="F43">
        <v>667.39</v>
      </c>
      <c r="G43">
        <v>805.33</v>
      </c>
      <c r="H43">
        <v>999.07</v>
      </c>
      <c r="I43">
        <v>626.35</v>
      </c>
      <c r="J43">
        <v>665.91</v>
      </c>
      <c r="K43">
        <v>723.4</v>
      </c>
    </row>
    <row r="44" spans="1:11" s="163" customFormat="1">
      <c r="A44" s="163" t="s">
        <v>19</v>
      </c>
      <c r="B44">
        <v>31.54</v>
      </c>
      <c r="D44">
        <v>30.75</v>
      </c>
      <c r="E44">
        <v>33.630000000000003</v>
      </c>
      <c r="F44">
        <v>29.85</v>
      </c>
      <c r="G44">
        <v>28.94</v>
      </c>
      <c r="H44">
        <v>53.54</v>
      </c>
      <c r="I44">
        <v>146.47</v>
      </c>
      <c r="J44">
        <v>45.48</v>
      </c>
      <c r="K44">
        <v>49.87</v>
      </c>
    </row>
    <row r="45" spans="1:11" s="163" customFormat="1">
      <c r="A45" s="163" t="s">
        <v>25</v>
      </c>
      <c r="B45">
        <v>226.12</v>
      </c>
      <c r="C45">
        <v>222.37</v>
      </c>
      <c r="D45">
        <v>220.74</v>
      </c>
      <c r="E45">
        <v>227.4</v>
      </c>
      <c r="F45">
        <v>180.28</v>
      </c>
      <c r="G45">
        <v>226.37</v>
      </c>
      <c r="H45">
        <v>181.56</v>
      </c>
      <c r="I45">
        <v>126.02</v>
      </c>
      <c r="J45">
        <v>121.24</v>
      </c>
      <c r="K45">
        <v>115.22</v>
      </c>
    </row>
    <row r="46" spans="1:11" s="163" customFormat="1">
      <c r="A46" s="163" t="s">
        <v>24</v>
      </c>
      <c r="B46">
        <v>264.63</v>
      </c>
      <c r="C46">
        <v>324.58</v>
      </c>
      <c r="D46">
        <v>328.17</v>
      </c>
      <c r="E46">
        <v>339.6</v>
      </c>
      <c r="F46">
        <v>338.93</v>
      </c>
      <c r="G46">
        <v>326.02999999999997</v>
      </c>
      <c r="H46">
        <v>285.43</v>
      </c>
      <c r="I46">
        <v>235.62</v>
      </c>
      <c r="J46">
        <v>236.62</v>
      </c>
      <c r="K46">
        <v>208.99</v>
      </c>
    </row>
    <row r="47" spans="1:11" s="163" customFormat="1">
      <c r="A47" s="163" t="s">
        <v>307</v>
      </c>
      <c r="B47">
        <v>228.55</v>
      </c>
      <c r="C47">
        <v>229.01</v>
      </c>
      <c r="D47">
        <v>255.81</v>
      </c>
      <c r="E47">
        <v>175.65</v>
      </c>
      <c r="F47">
        <v>254.14</v>
      </c>
      <c r="G47">
        <v>298.33999999999997</v>
      </c>
      <c r="H47">
        <v>404.36</v>
      </c>
      <c r="I47">
        <v>357.28</v>
      </c>
      <c r="J47">
        <v>317.89</v>
      </c>
      <c r="K47">
        <v>384.49</v>
      </c>
    </row>
    <row r="48" spans="1:11" s="163" customFormat="1">
      <c r="A48" s="163" t="s">
        <v>26</v>
      </c>
      <c r="B48">
        <v>60.65</v>
      </c>
      <c r="C48">
        <v>71.709999999999994</v>
      </c>
      <c r="D48">
        <v>74</v>
      </c>
      <c r="E48">
        <v>33.47</v>
      </c>
      <c r="F48">
        <v>69.930000000000007</v>
      </c>
      <c r="G48">
        <v>91.13</v>
      </c>
      <c r="H48">
        <v>166.5</v>
      </c>
      <c r="I48">
        <v>122.55</v>
      </c>
      <c r="J48">
        <v>110.6</v>
      </c>
      <c r="K48">
        <v>144.71</v>
      </c>
    </row>
    <row r="49" spans="1:11" s="163" customFormat="1">
      <c r="A49" s="163" t="s">
        <v>308</v>
      </c>
      <c r="B49">
        <v>167.9</v>
      </c>
      <c r="C49">
        <v>156.82</v>
      </c>
      <c r="D49">
        <v>181.84</v>
      </c>
      <c r="E49">
        <v>142.18</v>
      </c>
      <c r="F49">
        <v>184.22</v>
      </c>
      <c r="G49">
        <v>207.21</v>
      </c>
      <c r="H49">
        <v>237.86</v>
      </c>
      <c r="I49">
        <v>234.73</v>
      </c>
      <c r="J49">
        <v>207.3</v>
      </c>
      <c r="K49">
        <v>239.78</v>
      </c>
    </row>
    <row r="50" spans="1:11">
      <c r="A50" s="163" t="s">
        <v>23</v>
      </c>
      <c r="B50">
        <v>687.76</v>
      </c>
      <c r="C50">
        <v>775.94</v>
      </c>
      <c r="D50">
        <v>773.97</v>
      </c>
      <c r="E50">
        <v>709.02</v>
      </c>
      <c r="F50">
        <v>743.5</v>
      </c>
      <c r="G50">
        <v>821.79</v>
      </c>
      <c r="H50">
        <v>817.81</v>
      </c>
      <c r="I50">
        <v>572.45000000000005</v>
      </c>
      <c r="J50">
        <v>630.28</v>
      </c>
      <c r="K50">
        <v>658.84</v>
      </c>
    </row>
    <row r="51" spans="1:11">
      <c r="A51" s="163"/>
    </row>
    <row r="52" spans="1:11">
      <c r="A52" s="163"/>
    </row>
    <row r="53" spans="1:11">
      <c r="A53" s="163"/>
    </row>
    <row r="54" spans="1:11">
      <c r="A54" s="163"/>
    </row>
    <row r="55" spans="1:11">
      <c r="A55" s="158" t="s">
        <v>312</v>
      </c>
    </row>
    <row r="56" spans="1:11" s="162" customFormat="1">
      <c r="A56" s="160" t="s">
        <v>300</v>
      </c>
      <c r="B56" s="161">
        <v>39538</v>
      </c>
      <c r="C56" s="161">
        <v>39903</v>
      </c>
      <c r="D56" s="161">
        <v>40268</v>
      </c>
      <c r="E56" s="161">
        <v>40633</v>
      </c>
      <c r="F56" s="161">
        <v>40999</v>
      </c>
      <c r="G56" s="161">
        <v>41364</v>
      </c>
      <c r="H56" s="161">
        <v>41729</v>
      </c>
      <c r="I56" s="161">
        <v>42094</v>
      </c>
      <c r="J56" s="161">
        <v>42460</v>
      </c>
      <c r="K56" s="161">
        <v>42825</v>
      </c>
    </row>
    <row r="57" spans="1:11">
      <c r="A57" s="163" t="s">
        <v>7</v>
      </c>
      <c r="B57">
        <v>332.36</v>
      </c>
      <c r="C57">
        <v>332.36</v>
      </c>
      <c r="D57">
        <v>332.36</v>
      </c>
      <c r="E57">
        <v>332.36</v>
      </c>
      <c r="F57">
        <v>332.36</v>
      </c>
      <c r="G57">
        <v>332.36</v>
      </c>
      <c r="H57">
        <v>332.36</v>
      </c>
      <c r="I57">
        <v>351.45</v>
      </c>
      <c r="J57">
        <v>351.45</v>
      </c>
      <c r="K57">
        <v>351.45</v>
      </c>
    </row>
    <row r="58" spans="1:11">
      <c r="A58" s="163" t="s">
        <v>8</v>
      </c>
      <c r="B58">
        <v>1288.33</v>
      </c>
      <c r="C58">
        <v>1397.71</v>
      </c>
      <c r="D58">
        <v>1707.53</v>
      </c>
      <c r="E58">
        <v>2100.2199999999998</v>
      </c>
      <c r="F58">
        <v>2524.27</v>
      </c>
      <c r="G58">
        <v>2923.25</v>
      </c>
      <c r="H58">
        <v>3228.33</v>
      </c>
      <c r="I58">
        <v>4009.41</v>
      </c>
      <c r="J58">
        <v>4484.84</v>
      </c>
      <c r="K58">
        <v>4920.1499999999996</v>
      </c>
    </row>
    <row r="59" spans="1:11">
      <c r="A59" s="163" t="s">
        <v>261</v>
      </c>
      <c r="B59">
        <v>2021.25</v>
      </c>
      <c r="C59">
        <v>2485.89</v>
      </c>
      <c r="D59">
        <v>2915.24</v>
      </c>
      <c r="E59">
        <v>4624.22</v>
      </c>
      <c r="F59">
        <v>7072.19</v>
      </c>
      <c r="G59">
        <v>8776.0499999999993</v>
      </c>
      <c r="H59">
        <v>11084.09</v>
      </c>
      <c r="I59">
        <v>12576.19</v>
      </c>
      <c r="J59">
        <v>15626.06</v>
      </c>
      <c r="K59">
        <v>13963.09</v>
      </c>
    </row>
    <row r="60" spans="1:11">
      <c r="A60" s="163" t="s">
        <v>262</v>
      </c>
      <c r="B60">
        <v>291.55</v>
      </c>
      <c r="C60">
        <v>385.61</v>
      </c>
      <c r="D60">
        <v>587.57000000000005</v>
      </c>
      <c r="E60">
        <v>925.21</v>
      </c>
      <c r="F60">
        <v>931.99</v>
      </c>
      <c r="G60">
        <v>1041.46</v>
      </c>
      <c r="H60">
        <v>1069.5999999999999</v>
      </c>
      <c r="I60">
        <v>22466.2</v>
      </c>
      <c r="J60">
        <v>21711.58</v>
      </c>
      <c r="K60">
        <v>27449.17</v>
      </c>
    </row>
    <row r="61" spans="1:11" s="158" customFormat="1">
      <c r="A61" s="158" t="s">
        <v>313</v>
      </c>
      <c r="B61">
        <v>3933.49</v>
      </c>
      <c r="C61">
        <v>4601.57</v>
      </c>
      <c r="D61">
        <v>5542.7</v>
      </c>
      <c r="E61">
        <v>7982.01</v>
      </c>
      <c r="F61">
        <v>10860.81</v>
      </c>
      <c r="G61">
        <v>13073.12</v>
      </c>
      <c r="H61">
        <v>15714.38</v>
      </c>
      <c r="I61">
        <v>39403.25</v>
      </c>
      <c r="J61">
        <v>42173.93</v>
      </c>
      <c r="K61">
        <v>46683.86</v>
      </c>
    </row>
    <row r="62" spans="1:11">
      <c r="A62" s="163" t="s">
        <v>13</v>
      </c>
      <c r="B62">
        <v>1884.81</v>
      </c>
      <c r="C62">
        <v>2016.13</v>
      </c>
      <c r="D62">
        <v>3467.42</v>
      </c>
      <c r="E62">
        <v>3362.17</v>
      </c>
      <c r="F62">
        <v>5554.24</v>
      </c>
      <c r="G62">
        <v>5508.82</v>
      </c>
      <c r="H62">
        <v>8554.4</v>
      </c>
      <c r="I62">
        <v>31763.759999999998</v>
      </c>
      <c r="J62">
        <v>35148.82</v>
      </c>
      <c r="K62">
        <v>24387.759999999998</v>
      </c>
    </row>
    <row r="63" spans="1:11">
      <c r="A63" s="163" t="s">
        <v>14</v>
      </c>
      <c r="B63">
        <v>888.85</v>
      </c>
      <c r="C63">
        <v>1454.54</v>
      </c>
      <c r="D63">
        <v>880.25</v>
      </c>
      <c r="E63">
        <v>2507.4</v>
      </c>
      <c r="F63">
        <v>2445.21</v>
      </c>
      <c r="G63">
        <v>4915.96</v>
      </c>
      <c r="H63">
        <v>4486.7299999999996</v>
      </c>
      <c r="I63">
        <v>4835.33</v>
      </c>
      <c r="J63">
        <v>4019.85</v>
      </c>
      <c r="K63">
        <v>6806.4</v>
      </c>
    </row>
    <row r="64" spans="1:11">
      <c r="A64" s="163" t="s">
        <v>15</v>
      </c>
      <c r="B64">
        <v>198.49</v>
      </c>
      <c r="C64">
        <v>110.83</v>
      </c>
      <c r="D64">
        <v>45.06</v>
      </c>
      <c r="E64">
        <v>55.06</v>
      </c>
      <c r="F64">
        <v>13.95</v>
      </c>
      <c r="G64">
        <v>62.03</v>
      </c>
      <c r="H64">
        <v>14.52</v>
      </c>
      <c r="I64">
        <v>8.7799999999999994</v>
      </c>
      <c r="J64">
        <v>36.25</v>
      </c>
      <c r="K64">
        <v>145.88999999999999</v>
      </c>
    </row>
    <row r="65" spans="1:11">
      <c r="A65" s="163" t="s">
        <v>314</v>
      </c>
      <c r="B65">
        <v>961.34</v>
      </c>
      <c r="C65">
        <v>1020.07</v>
      </c>
      <c r="D65">
        <v>1149.97</v>
      </c>
      <c r="E65">
        <v>2057.38</v>
      </c>
      <c r="F65">
        <v>2847.41</v>
      </c>
      <c r="G65">
        <v>2586.31</v>
      </c>
      <c r="H65">
        <v>2658.73</v>
      </c>
      <c r="I65">
        <v>2795.38</v>
      </c>
      <c r="J65">
        <v>2969.01</v>
      </c>
      <c r="K65">
        <v>15343.81</v>
      </c>
    </row>
    <row r="66" spans="1:11" s="158" customFormat="1">
      <c r="A66" s="158" t="s">
        <v>313</v>
      </c>
      <c r="B66">
        <v>3933.49</v>
      </c>
      <c r="C66">
        <v>4601.57</v>
      </c>
      <c r="D66">
        <v>5542.7</v>
      </c>
      <c r="E66">
        <v>7982.01</v>
      </c>
      <c r="F66">
        <v>10860.81</v>
      </c>
      <c r="G66">
        <v>13073.12</v>
      </c>
      <c r="H66">
        <v>15714.38</v>
      </c>
      <c r="I66">
        <v>39403.25</v>
      </c>
      <c r="J66">
        <v>42173.93</v>
      </c>
      <c r="K66">
        <v>46683.86</v>
      </c>
    </row>
    <row r="67" spans="1:11" s="163" customFormat="1">
      <c r="A67" s="163" t="s">
        <v>315</v>
      </c>
      <c r="B67">
        <v>11.76</v>
      </c>
      <c r="C67">
        <v>12.98</v>
      </c>
      <c r="D67">
        <v>29.72</v>
      </c>
      <c r="E67">
        <v>39.65</v>
      </c>
      <c r="F67">
        <v>14.07</v>
      </c>
      <c r="G67">
        <v>8</v>
      </c>
      <c r="H67">
        <v>5.52</v>
      </c>
      <c r="I67">
        <v>4.91</v>
      </c>
      <c r="J67">
        <v>8.66</v>
      </c>
      <c r="K67">
        <v>70.47</v>
      </c>
    </row>
    <row r="68" spans="1:11">
      <c r="A68" s="163" t="s">
        <v>241</v>
      </c>
      <c r="B68">
        <v>50.21</v>
      </c>
      <c r="C68">
        <v>205.4</v>
      </c>
      <c r="D68">
        <v>169.77</v>
      </c>
      <c r="E68">
        <v>163.84</v>
      </c>
      <c r="F68">
        <v>162.41999999999999</v>
      </c>
      <c r="G68">
        <v>248.85</v>
      </c>
      <c r="H68">
        <v>268.33999999999997</v>
      </c>
      <c r="I68">
        <v>259.85000000000002</v>
      </c>
      <c r="J68">
        <v>308.83999999999997</v>
      </c>
      <c r="K68">
        <v>352.71</v>
      </c>
    </row>
    <row r="69" spans="1:11">
      <c r="A69" s="159" t="s">
        <v>316</v>
      </c>
      <c r="B69">
        <v>522.15</v>
      </c>
      <c r="C69">
        <v>414.73</v>
      </c>
      <c r="D69">
        <v>510.21</v>
      </c>
      <c r="E69">
        <v>1199.96</v>
      </c>
      <c r="F69">
        <v>1820.76</v>
      </c>
      <c r="G69">
        <v>1471</v>
      </c>
      <c r="H69">
        <v>1482.35</v>
      </c>
      <c r="I69">
        <v>1575.7</v>
      </c>
      <c r="J69">
        <v>1500.78</v>
      </c>
      <c r="K69">
        <v>1307.6600000000001</v>
      </c>
    </row>
    <row r="70" spans="1:11">
      <c r="A70" s="159" t="s">
        <v>317</v>
      </c>
      <c r="B70">
        <v>332364110</v>
      </c>
      <c r="C70">
        <v>332364110</v>
      </c>
      <c r="D70">
        <v>332364110</v>
      </c>
      <c r="E70">
        <v>332364110</v>
      </c>
      <c r="F70">
        <v>332364110</v>
      </c>
      <c r="G70">
        <v>332364110</v>
      </c>
      <c r="H70">
        <v>332364110</v>
      </c>
      <c r="I70">
        <v>351450000</v>
      </c>
      <c r="J70">
        <v>351450000</v>
      </c>
      <c r="K70">
        <v>351450000</v>
      </c>
    </row>
    <row r="71" spans="1:11">
      <c r="A71" s="159" t="s">
        <v>318</v>
      </c>
    </row>
    <row r="72" spans="1:11">
      <c r="A72" s="159" t="s">
        <v>2</v>
      </c>
      <c r="B72">
        <v>10</v>
      </c>
      <c r="C72">
        <v>10</v>
      </c>
      <c r="D72">
        <v>10</v>
      </c>
      <c r="E72">
        <v>10</v>
      </c>
      <c r="F72">
        <v>10</v>
      </c>
      <c r="G72">
        <v>10</v>
      </c>
      <c r="H72">
        <v>10</v>
      </c>
      <c r="I72">
        <v>10</v>
      </c>
      <c r="J72">
        <v>10</v>
      </c>
      <c r="K72">
        <v>10</v>
      </c>
    </row>
    <row r="74" spans="1:11">
      <c r="A74" s="163"/>
    </row>
    <row r="75" spans="1:11">
      <c r="A75" s="163"/>
    </row>
    <row r="76" spans="1:11">
      <c r="A76" s="163"/>
    </row>
    <row r="77" spans="1:11">
      <c r="A77" s="163"/>
    </row>
    <row r="78" spans="1:11">
      <c r="A78" s="163"/>
    </row>
    <row r="79" spans="1:11">
      <c r="A79" s="163"/>
    </row>
    <row r="80" spans="1:11">
      <c r="A80" s="158" t="s">
        <v>319</v>
      </c>
    </row>
    <row r="81" spans="1:11" s="162" customFormat="1">
      <c r="A81" s="160" t="s">
        <v>300</v>
      </c>
      <c r="B81" s="161">
        <v>39538</v>
      </c>
      <c r="C81" s="161">
        <v>39903</v>
      </c>
      <c r="D81" s="161">
        <v>40268</v>
      </c>
      <c r="E81" s="161">
        <v>40633</v>
      </c>
      <c r="F81" s="161">
        <v>40999</v>
      </c>
      <c r="G81" s="161">
        <v>41364</v>
      </c>
      <c r="H81" s="161">
        <v>41729</v>
      </c>
      <c r="I81" s="161">
        <v>42094</v>
      </c>
      <c r="J81" s="161">
        <v>42460</v>
      </c>
      <c r="K81" s="161">
        <v>42825</v>
      </c>
    </row>
    <row r="82" spans="1:11" s="158" customFormat="1">
      <c r="A82" s="163" t="s">
        <v>320</v>
      </c>
      <c r="B82">
        <v>211.88</v>
      </c>
      <c r="C82">
        <v>261.52999999999997</v>
      </c>
      <c r="D82">
        <v>903.27</v>
      </c>
      <c r="E82">
        <v>1068.93</v>
      </c>
      <c r="F82">
        <v>1110.29</v>
      </c>
      <c r="G82">
        <v>1445.32</v>
      </c>
      <c r="H82">
        <v>1655.46</v>
      </c>
      <c r="I82">
        <v>1823.48</v>
      </c>
      <c r="J82">
        <v>2339.87</v>
      </c>
      <c r="K82">
        <v>3209.29</v>
      </c>
    </row>
    <row r="83" spans="1:11" s="163" customFormat="1">
      <c r="A83" s="163" t="s">
        <v>270</v>
      </c>
      <c r="B83">
        <v>-528.77</v>
      </c>
      <c r="C83">
        <v>-604.66</v>
      </c>
      <c r="D83">
        <v>-1022.31</v>
      </c>
      <c r="E83">
        <v>-2372.8000000000002</v>
      </c>
      <c r="F83">
        <v>-2672.9</v>
      </c>
      <c r="G83">
        <v>-2243.31</v>
      </c>
      <c r="H83">
        <v>-2394.48</v>
      </c>
      <c r="I83">
        <v>-2297.0100000000002</v>
      </c>
      <c r="J83">
        <v>-3143.98</v>
      </c>
      <c r="K83">
        <v>-2998.22</v>
      </c>
    </row>
    <row r="84" spans="1:11" s="163" customFormat="1">
      <c r="A84" s="163" t="s">
        <v>271</v>
      </c>
      <c r="B84">
        <v>407.65</v>
      </c>
      <c r="C84">
        <v>330.79</v>
      </c>
      <c r="D84">
        <v>143.1</v>
      </c>
      <c r="E84">
        <v>1341.08</v>
      </c>
      <c r="F84">
        <v>1757.88</v>
      </c>
      <c r="G84">
        <v>699.36</v>
      </c>
      <c r="H84">
        <v>925.45</v>
      </c>
      <c r="I84">
        <v>475.09</v>
      </c>
      <c r="J84">
        <v>670.89</v>
      </c>
      <c r="K84">
        <v>-201.63</v>
      </c>
    </row>
    <row r="85" spans="1:11" s="158" customFormat="1">
      <c r="A85" s="163" t="s">
        <v>321</v>
      </c>
      <c r="B85">
        <v>90.76</v>
      </c>
      <c r="C85">
        <v>-12.34</v>
      </c>
      <c r="D85">
        <v>24.06</v>
      </c>
      <c r="E85">
        <v>37.21</v>
      </c>
      <c r="F85">
        <v>195.27</v>
      </c>
      <c r="G85">
        <v>-98.63</v>
      </c>
      <c r="H85">
        <v>186.43</v>
      </c>
      <c r="I85">
        <v>1.55</v>
      </c>
      <c r="J85">
        <v>-133.22</v>
      </c>
      <c r="K85">
        <v>9.4499999999999993</v>
      </c>
    </row>
    <row r="86" spans="1:11">
      <c r="A86" s="163"/>
    </row>
    <row r="87" spans="1:11">
      <c r="A87" s="163"/>
    </row>
    <row r="88" spans="1:11">
      <c r="A88" s="163"/>
    </row>
    <row r="89" spans="1:11">
      <c r="A89" s="163"/>
    </row>
    <row r="90" spans="1:11" s="158" customFormat="1">
      <c r="A90" s="158" t="s">
        <v>322</v>
      </c>
      <c r="B90">
        <v>191.84</v>
      </c>
      <c r="C90">
        <v>99.12</v>
      </c>
      <c r="D90">
        <v>278.48</v>
      </c>
      <c r="E90">
        <v>206.98</v>
      </c>
      <c r="F90">
        <v>185.18</v>
      </c>
      <c r="G90">
        <v>116.58</v>
      </c>
      <c r="H90">
        <v>114.72</v>
      </c>
      <c r="I90">
        <v>244.66</v>
      </c>
      <c r="J90">
        <v>221.16</v>
      </c>
      <c r="K90">
        <v>244.95</v>
      </c>
    </row>
    <row r="92" spans="1:11" s="158" customFormat="1">
      <c r="A92" s="158" t="s">
        <v>323</v>
      </c>
    </row>
    <row r="93" spans="1:11">
      <c r="A93" s="159" t="s">
        <v>324</v>
      </c>
      <c r="B93" s="164">
        <f>IF($B7&gt;0,(B70*B72/$B7)+SUM(C71:$K71),0)/10000000</f>
        <v>33.236410999999997</v>
      </c>
      <c r="C93" s="164">
        <f>IF($B7&gt;0,(C70*C72/$B7)+SUM(D71:$K71),0)/10000000</f>
        <v>33.236410999999997</v>
      </c>
      <c r="D93" s="164">
        <f>IF($B7&gt;0,(D70*D72/$B7)+SUM(E71:$K71),0)/10000000</f>
        <v>33.236410999999997</v>
      </c>
      <c r="E93" s="164">
        <f>IF($B7&gt;0,(E70*E72/$B7)+SUM(F71:$K71),0)/10000000</f>
        <v>33.236410999999997</v>
      </c>
      <c r="F93" s="164">
        <f>IF($B7&gt;0,(F70*F72/$B7)+SUM(G71:$K71),0)/10000000</f>
        <v>33.236410999999997</v>
      </c>
      <c r="G93" s="164">
        <f>IF($B7&gt;0,(G70*G72/$B7)+SUM(H71:$K71),0)/10000000</f>
        <v>33.236410999999997</v>
      </c>
      <c r="H93" s="164">
        <f>IF($B7&gt;0,(H70*H72/$B7)+SUM(I71:$K71),0)/10000000</f>
        <v>33.236410999999997</v>
      </c>
      <c r="I93" s="164">
        <f>IF($B7&gt;0,(I70*I72/$B7)+SUM(J71:$K71),0)/10000000</f>
        <v>35.145000000000003</v>
      </c>
      <c r="J93" s="164">
        <f>IF($B7&gt;0,(J70*J72/$B7)+SUM(K71:$K71),0)/10000000</f>
        <v>35.145000000000003</v>
      </c>
      <c r="K93" s="164">
        <f>IF($B7&gt;0,(K70*K72/$B7),0)/10000000</f>
        <v>35.145000000000003</v>
      </c>
    </row>
  </sheetData>
  <mergeCells count="2">
    <mergeCell ref="E1:K1"/>
    <mergeCell ref="E2:K2"/>
  </mergeCells>
  <conditionalFormatting sqref="E1:K1">
    <cfRule type="cellIs" dxfId="1"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3:H26"/>
  <sheetViews>
    <sheetView showGridLines="0" workbookViewId="0">
      <selection activeCell="H13" sqref="H13"/>
    </sheetView>
  </sheetViews>
  <sheetFormatPr defaultColWidth="9" defaultRowHeight="15"/>
  <cols>
    <col min="1" max="1" width="4.140625" style="179" customWidth="1"/>
    <col min="2" max="2" width="46.42578125" style="178" bestFit="1" customWidth="1"/>
    <col min="3" max="3" width="9" style="178"/>
    <col min="4" max="4" width="15.140625" style="178" customWidth="1"/>
    <col min="5" max="5" width="13.5703125" style="179" customWidth="1"/>
    <col min="6" max="16384" width="9" style="179"/>
  </cols>
  <sheetData>
    <row r="3" spans="2:8">
      <c r="B3" s="243" t="s">
        <v>414</v>
      </c>
    </row>
    <row r="5" spans="2:8">
      <c r="B5" s="324" t="s">
        <v>494</v>
      </c>
      <c r="C5" s="338">
        <v>43160</v>
      </c>
      <c r="D5" s="323">
        <f>EDATE(C5,-12)</f>
        <v>42795</v>
      </c>
      <c r="E5" s="323">
        <f>EDATE(D5,-12)</f>
        <v>42430</v>
      </c>
      <c r="F5" s="323">
        <f>EDATE(E5,-12)</f>
        <v>42064</v>
      </c>
      <c r="G5" s="323">
        <f>EDATE(F5,-12)</f>
        <v>41699</v>
      </c>
      <c r="H5" s="323">
        <f>EDATE(G5,-12)</f>
        <v>41334</v>
      </c>
    </row>
    <row r="6" spans="2:8">
      <c r="B6" s="319" t="s">
        <v>496</v>
      </c>
      <c r="C6" s="321">
        <v>0.57230000000000003</v>
      </c>
      <c r="D6" s="321">
        <v>0.57230000000000003</v>
      </c>
      <c r="E6" s="321">
        <v>0.57230000000000003</v>
      </c>
      <c r="F6" s="321">
        <v>0.5736</v>
      </c>
      <c r="G6" s="321">
        <f>61.71%-5.22%</f>
        <v>0.56489999999999996</v>
      </c>
      <c r="H6" s="321">
        <f>62.88%-10.48%</f>
        <v>0.52400000000000002</v>
      </c>
    </row>
    <row r="7" spans="2:8">
      <c r="B7" s="319" t="s">
        <v>497</v>
      </c>
      <c r="C7" s="321">
        <v>1.4E-3</v>
      </c>
      <c r="D7" s="321">
        <v>1.4E-3</v>
      </c>
      <c r="E7" s="321">
        <v>3.0999999999999999E-3</v>
      </c>
      <c r="F7" s="321">
        <v>4.3E-3</v>
      </c>
      <c r="G7" s="321">
        <v>5.2200000000000003E-2</v>
      </c>
      <c r="H7" s="321">
        <v>0.1048</v>
      </c>
    </row>
    <row r="8" spans="2:8">
      <c r="B8" s="319" t="s">
        <v>238</v>
      </c>
      <c r="C8" s="321">
        <v>0.2387</v>
      </c>
      <c r="D8" s="321">
        <v>0.2792</v>
      </c>
      <c r="E8" s="321">
        <v>0.28689999999999999</v>
      </c>
      <c r="F8" s="321">
        <v>0.26939999999999997</v>
      </c>
      <c r="G8" s="321">
        <v>0.25679999999999997</v>
      </c>
      <c r="H8" s="321">
        <v>0.22289999999999999</v>
      </c>
    </row>
    <row r="9" spans="2:8">
      <c r="B9" s="319" t="s">
        <v>498</v>
      </c>
      <c r="C9" s="321">
        <v>8.3699999999999997E-2</v>
      </c>
      <c r="D9" s="321">
        <v>6.9400000000000003E-2</v>
      </c>
      <c r="E9" s="321">
        <v>6.5799999999999997E-2</v>
      </c>
      <c r="F9" s="321">
        <v>7.4200000000000002E-2</v>
      </c>
      <c r="G9" s="321">
        <v>1.43E-2</v>
      </c>
      <c r="H9" s="321">
        <v>2.64E-2</v>
      </c>
    </row>
    <row r="10" spans="2:8">
      <c r="B10" s="319" t="s">
        <v>499</v>
      </c>
      <c r="C10" s="321">
        <v>9.5999999999999992E-3</v>
      </c>
      <c r="D10" s="321">
        <v>9.4000000000000004E-3</v>
      </c>
      <c r="E10" s="321">
        <v>1.47E-2</v>
      </c>
      <c r="F10" s="321">
        <v>2.23E-2</v>
      </c>
      <c r="G10" s="321">
        <v>1.7399999999999999E-2</v>
      </c>
      <c r="H10" s="321">
        <v>3.9399999999999998E-2</v>
      </c>
    </row>
    <row r="11" spans="2:8">
      <c r="B11" s="319" t="s">
        <v>500</v>
      </c>
      <c r="C11" s="321">
        <v>4.41E-2</v>
      </c>
      <c r="D11" s="321">
        <v>3.85E-2</v>
      </c>
      <c r="E11" s="321">
        <v>3.5000000000000003E-2</v>
      </c>
      <c r="F11" s="321">
        <v>3.7100000000000001E-2</v>
      </c>
      <c r="G11" s="321">
        <v>5.6000000000000001E-2</v>
      </c>
      <c r="H11" s="321">
        <v>5.3400000000000003E-2</v>
      </c>
    </row>
    <row r="12" spans="2:8">
      <c r="B12" s="319" t="s">
        <v>501</v>
      </c>
      <c r="C12" s="321">
        <v>7.1999999999999998E-3</v>
      </c>
      <c r="D12" s="321">
        <v>5.4000000000000003E-3</v>
      </c>
      <c r="E12" s="321">
        <v>5.0000000000000001E-3</v>
      </c>
      <c r="F12" s="321">
        <v>6.7000000000000002E-3</v>
      </c>
      <c r="G12" s="321">
        <v>1.1599999999999999E-2</v>
      </c>
      <c r="H12" s="321">
        <v>8.8999999999999999E-3</v>
      </c>
    </row>
    <row r="13" spans="2:8">
      <c r="B13" s="319" t="s">
        <v>493</v>
      </c>
      <c r="C13" s="321">
        <f t="shared" ref="C13:H13" si="0">1-SUM(C6:C12)</f>
        <v>4.2999999999999927E-2</v>
      </c>
      <c r="D13" s="321">
        <f t="shared" si="0"/>
        <v>2.4400000000000088E-2</v>
      </c>
      <c r="E13" s="321">
        <f t="shared" si="0"/>
        <v>1.7199999999999882E-2</v>
      </c>
      <c r="F13" s="321">
        <f t="shared" si="0"/>
        <v>1.2399999999999967E-2</v>
      </c>
      <c r="G13" s="321">
        <f t="shared" si="0"/>
        <v>2.6800000000000157E-2</v>
      </c>
      <c r="H13" s="321">
        <f t="shared" si="0"/>
        <v>2.0199999999999996E-2</v>
      </c>
    </row>
    <row r="14" spans="2:8">
      <c r="B14" s="319"/>
      <c r="C14" s="318"/>
      <c r="D14" s="318"/>
      <c r="E14" s="320"/>
      <c r="F14" s="320"/>
      <c r="G14" s="320"/>
      <c r="H14" s="320"/>
    </row>
    <row r="15" spans="2:8">
      <c r="B15" s="319"/>
      <c r="C15" s="318"/>
      <c r="D15" s="318"/>
      <c r="E15" s="320"/>
      <c r="F15" s="320"/>
      <c r="G15" s="320"/>
      <c r="H15" s="320"/>
    </row>
    <row r="16" spans="2:8">
      <c r="B16" s="319"/>
      <c r="C16" s="318"/>
      <c r="D16" s="318"/>
      <c r="E16" s="320"/>
      <c r="F16" s="320"/>
      <c r="G16" s="320"/>
      <c r="H16" s="320"/>
    </row>
    <row r="17" spans="2:8">
      <c r="B17" s="322" t="s">
        <v>313</v>
      </c>
      <c r="C17" s="321">
        <f t="shared" ref="C17:H17" si="1">SUM(C6:C16)</f>
        <v>1</v>
      </c>
      <c r="D17" s="321">
        <f t="shared" si="1"/>
        <v>1</v>
      </c>
      <c r="E17" s="320">
        <f t="shared" si="1"/>
        <v>1</v>
      </c>
      <c r="F17" s="320">
        <f t="shared" si="1"/>
        <v>1</v>
      </c>
      <c r="G17" s="320">
        <f t="shared" si="1"/>
        <v>1</v>
      </c>
      <c r="H17" s="320">
        <f t="shared" si="1"/>
        <v>1</v>
      </c>
    </row>
    <row r="20" spans="2:8">
      <c r="B20" s="319" t="s">
        <v>492</v>
      </c>
      <c r="C20" s="318"/>
      <c r="D20" s="318"/>
      <c r="E20" s="318"/>
      <c r="F20" s="318"/>
      <c r="G20" s="318"/>
      <c r="H20" s="318"/>
    </row>
    <row r="21" spans="2:8">
      <c r="B21" s="319"/>
      <c r="C21" s="318"/>
      <c r="D21" s="318"/>
      <c r="E21" s="318"/>
      <c r="F21" s="318"/>
      <c r="G21" s="318"/>
      <c r="H21" s="318"/>
    </row>
    <row r="22" spans="2:8">
      <c r="B22" s="319"/>
      <c r="C22" s="318"/>
      <c r="D22" s="318"/>
      <c r="E22" s="318"/>
      <c r="F22" s="318"/>
      <c r="G22" s="318"/>
      <c r="H22" s="318"/>
    </row>
    <row r="23" spans="2:8">
      <c r="B23" s="319"/>
      <c r="C23" s="318"/>
      <c r="D23" s="318"/>
      <c r="E23" s="318"/>
      <c r="F23" s="318"/>
      <c r="G23" s="318"/>
      <c r="H23" s="318"/>
    </row>
    <row r="24" spans="2:8">
      <c r="B24" s="319"/>
      <c r="C24" s="318"/>
      <c r="D24" s="318"/>
      <c r="E24" s="318"/>
      <c r="F24" s="318"/>
      <c r="G24" s="318"/>
      <c r="H24" s="318"/>
    </row>
    <row r="25" spans="2:8">
      <c r="B25" s="319"/>
      <c r="C25" s="318"/>
      <c r="D25" s="318"/>
      <c r="E25" s="318"/>
      <c r="F25" s="318"/>
      <c r="G25" s="318"/>
      <c r="H25" s="318"/>
    </row>
    <row r="26" spans="2:8">
      <c r="B26" s="319" t="s">
        <v>398</v>
      </c>
      <c r="C26" s="318">
        <f>SUM(C6:C7)-SUM(C21:C25)</f>
        <v>0.57369999999999999</v>
      </c>
      <c r="D26" s="318">
        <f t="shared" ref="D26:H26" si="2">SUM(D6:D7)-SUM(D21:D25)</f>
        <v>0.57369999999999999</v>
      </c>
      <c r="E26" s="318">
        <f t="shared" si="2"/>
        <v>0.57540000000000002</v>
      </c>
      <c r="F26" s="318">
        <f t="shared" si="2"/>
        <v>0.57789999999999997</v>
      </c>
      <c r="G26" s="318">
        <f t="shared" si="2"/>
        <v>0.61709999999999998</v>
      </c>
      <c r="H26" s="318">
        <f t="shared" si="2"/>
        <v>0.62880000000000003</v>
      </c>
    </row>
  </sheetData>
  <hyperlinks>
    <hyperlink ref="B3" r:id="rId1"/>
  </hyperlinks>
  <pageMargins left="0.7" right="0.7" top="0.75" bottom="0.75" header="0.3" footer="0.3"/>
  <ignoredErrors>
    <ignoredError sqref="C26 C13"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E31"/>
  <sheetViews>
    <sheetView showGridLines="0" tabSelected="1" workbookViewId="0">
      <selection activeCell="D4" sqref="D4"/>
    </sheetView>
  </sheetViews>
  <sheetFormatPr defaultColWidth="9" defaultRowHeight="15"/>
  <cols>
    <col min="1" max="1" width="4.140625" style="179" customWidth="1"/>
    <col min="2" max="2" width="46.42578125" style="178" bestFit="1" customWidth="1"/>
    <col min="3" max="3" width="9" style="178"/>
    <col min="4" max="4" width="15.140625" style="178" customWidth="1"/>
    <col min="5" max="5" width="94.140625" style="179" customWidth="1"/>
    <col min="6" max="16384" width="9" style="179"/>
  </cols>
  <sheetData>
    <row r="2" spans="2:5">
      <c r="B2" s="184" t="s">
        <v>0</v>
      </c>
      <c r="C2" s="184"/>
      <c r="D2" s="184" t="str">
        <f>'Screener Input'!B1</f>
        <v>IRB INFRASTRUCTURE DEVELOPERS LTD</v>
      </c>
    </row>
    <row r="3" spans="2:5">
      <c r="B3" s="181" t="s">
        <v>1</v>
      </c>
      <c r="C3" s="181"/>
      <c r="D3" s="181"/>
    </row>
    <row r="4" spans="2:5">
      <c r="B4" s="181" t="s">
        <v>6</v>
      </c>
      <c r="C4" s="181"/>
      <c r="D4" s="217"/>
    </row>
    <row r="5" spans="2:5">
      <c r="B5" s="181" t="s">
        <v>297</v>
      </c>
      <c r="C5" s="181"/>
      <c r="D5" s="181">
        <f>'Screener Input'!B8</f>
        <v>222.95</v>
      </c>
    </row>
    <row r="8" spans="2:5">
      <c r="B8" s="184" t="s">
        <v>357</v>
      </c>
      <c r="C8" s="181" t="s">
        <v>81</v>
      </c>
      <c r="D8" s="181" t="s">
        <v>222</v>
      </c>
    </row>
    <row r="9" spans="2:5">
      <c r="B9" s="181" t="s">
        <v>355</v>
      </c>
      <c r="C9" s="181"/>
      <c r="D9" s="182">
        <v>0.2</v>
      </c>
      <c r="E9" s="183"/>
    </row>
    <row r="10" spans="2:5">
      <c r="B10" s="181" t="s">
        <v>135</v>
      </c>
      <c r="C10" s="181"/>
      <c r="D10" s="182">
        <v>0.08</v>
      </c>
      <c r="E10" s="183"/>
    </row>
    <row r="11" spans="2:5">
      <c r="B11" s="181"/>
      <c r="C11" s="181"/>
      <c r="D11" s="181"/>
      <c r="E11" s="183"/>
    </row>
    <row r="12" spans="2:5">
      <c r="B12" s="181"/>
      <c r="C12" s="181"/>
      <c r="D12" s="181"/>
      <c r="E12" s="183"/>
    </row>
    <row r="13" spans="2:5">
      <c r="B13" s="184" t="s">
        <v>521</v>
      </c>
      <c r="C13" s="185"/>
      <c r="D13" s="181"/>
      <c r="E13" s="183"/>
    </row>
    <row r="14" spans="2:5" ht="24.95" customHeight="1">
      <c r="B14" s="181" t="s">
        <v>172</v>
      </c>
      <c r="C14" s="185">
        <v>0.05</v>
      </c>
      <c r="D14" s="181">
        <v>4</v>
      </c>
      <c r="E14" s="186" t="s">
        <v>174</v>
      </c>
    </row>
    <row r="15" spans="2:5" ht="24.95" customHeight="1">
      <c r="B15" s="181" t="s">
        <v>175</v>
      </c>
      <c r="C15" s="185">
        <v>0.02</v>
      </c>
      <c r="D15" s="181">
        <v>2</v>
      </c>
      <c r="E15" s="186" t="s">
        <v>177</v>
      </c>
    </row>
    <row r="16" spans="2:5" ht="24.95" customHeight="1">
      <c r="B16" s="181" t="s">
        <v>178</v>
      </c>
      <c r="C16" s="185">
        <v>0.02</v>
      </c>
      <c r="D16" s="181">
        <v>2</v>
      </c>
      <c r="E16" s="186" t="s">
        <v>180</v>
      </c>
    </row>
    <row r="17" spans="2:5" ht="24.95" customHeight="1">
      <c r="B17" s="181" t="s">
        <v>181</v>
      </c>
      <c r="C17" s="185">
        <v>0.04</v>
      </c>
      <c r="D17" s="181">
        <v>4</v>
      </c>
      <c r="E17" s="186" t="s">
        <v>183</v>
      </c>
    </row>
    <row r="18" spans="2:5" ht="24.95" customHeight="1">
      <c r="B18" s="181"/>
      <c r="C18" s="185"/>
      <c r="D18" s="181"/>
      <c r="E18" s="186"/>
    </row>
    <row r="19" spans="2:5" ht="24.95" customHeight="1">
      <c r="B19" s="181" t="s">
        <v>185</v>
      </c>
      <c r="C19" s="185">
        <v>0.08</v>
      </c>
      <c r="D19" s="181">
        <v>4</v>
      </c>
      <c r="E19" s="186" t="s">
        <v>187</v>
      </c>
    </row>
    <row r="20" spans="2:5" ht="24.95" customHeight="1">
      <c r="B20" s="181" t="s">
        <v>188</v>
      </c>
      <c r="C20" s="185">
        <v>0.02</v>
      </c>
      <c r="D20" s="181">
        <v>2</v>
      </c>
      <c r="E20" s="186" t="s">
        <v>190</v>
      </c>
    </row>
    <row r="21" spans="2:5" ht="24.95" customHeight="1">
      <c r="B21" s="181" t="s">
        <v>191</v>
      </c>
      <c r="C21" s="185">
        <v>0.04</v>
      </c>
      <c r="D21" s="181">
        <v>4</v>
      </c>
      <c r="E21" s="186" t="s">
        <v>193</v>
      </c>
    </row>
    <row r="22" spans="2:5" ht="24.95" customHeight="1">
      <c r="B22" s="181" t="s">
        <v>194</v>
      </c>
      <c r="C22" s="185">
        <v>0.02</v>
      </c>
      <c r="D22" s="181">
        <v>1</v>
      </c>
      <c r="E22" s="186" t="s">
        <v>196</v>
      </c>
    </row>
    <row r="23" spans="2:5" ht="24.95" customHeight="1">
      <c r="B23" s="181" t="s">
        <v>200</v>
      </c>
      <c r="C23" s="185">
        <v>0.03</v>
      </c>
      <c r="D23" s="181"/>
      <c r="E23" s="186" t="s">
        <v>199</v>
      </c>
    </row>
    <row r="24" spans="2:5" ht="24.95" customHeight="1">
      <c r="B24" s="181"/>
      <c r="C24" s="181"/>
      <c r="D24" s="181"/>
      <c r="E24" s="186"/>
    </row>
    <row r="25" spans="2:5" ht="24.95" customHeight="1">
      <c r="B25" s="181"/>
      <c r="C25" s="185"/>
      <c r="D25" s="181"/>
      <c r="E25" s="186"/>
    </row>
    <row r="26" spans="2:5" ht="24.95" customHeight="1">
      <c r="B26" s="181" t="s">
        <v>203</v>
      </c>
      <c r="C26" s="185">
        <v>0.03</v>
      </c>
      <c r="D26" s="181">
        <v>3</v>
      </c>
      <c r="E26" s="186" t="s">
        <v>205</v>
      </c>
    </row>
    <row r="27" spans="2:5" ht="24.95" customHeight="1">
      <c r="B27" s="181" t="s">
        <v>206</v>
      </c>
      <c r="C27" s="185">
        <v>0.02</v>
      </c>
      <c r="D27" s="181">
        <v>1</v>
      </c>
      <c r="E27" s="186" t="s">
        <v>208</v>
      </c>
    </row>
    <row r="28" spans="2:5" ht="24.95" customHeight="1">
      <c r="B28" s="181" t="s">
        <v>209</v>
      </c>
      <c r="C28" s="185">
        <v>0.02</v>
      </c>
      <c r="D28" s="181">
        <v>2</v>
      </c>
      <c r="E28" s="186"/>
    </row>
    <row r="29" spans="2:5" ht="24.95" customHeight="1">
      <c r="B29" s="181" t="s">
        <v>346</v>
      </c>
      <c r="C29" s="185">
        <v>0.03</v>
      </c>
      <c r="D29" s="181">
        <v>2</v>
      </c>
      <c r="E29" s="186" t="s">
        <v>347</v>
      </c>
    </row>
    <row r="30" spans="2:5" ht="24.95" customHeight="1">
      <c r="B30" s="181"/>
      <c r="C30" s="185"/>
      <c r="D30" s="181"/>
      <c r="E30" s="186"/>
    </row>
    <row r="31" spans="2:5" ht="24.95" customHeight="1">
      <c r="B31" s="181" t="s">
        <v>210</v>
      </c>
      <c r="C31" s="185">
        <v>0.04</v>
      </c>
      <c r="D31" s="181">
        <v>2</v>
      </c>
      <c r="E31" s="186" t="s">
        <v>348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4:X40"/>
  <sheetViews>
    <sheetView showGridLines="0" workbookViewId="0">
      <selection activeCell="O109" sqref="O109"/>
    </sheetView>
  </sheetViews>
  <sheetFormatPr defaultRowHeight="12.75"/>
  <cols>
    <col min="1" max="16384" width="9.140625" style="222"/>
  </cols>
  <sheetData>
    <row r="4" spans="2:24" ht="15">
      <c r="B4" s="223" t="s">
        <v>367</v>
      </c>
      <c r="X4" s="222" t="s">
        <v>416</v>
      </c>
    </row>
    <row r="6" spans="2:24">
      <c r="B6" s="222" t="s">
        <v>368</v>
      </c>
      <c r="X6" s="222" t="s">
        <v>417</v>
      </c>
    </row>
    <row r="7" spans="2:24">
      <c r="B7" s="222" t="s">
        <v>369</v>
      </c>
    </row>
    <row r="8" spans="2:24">
      <c r="B8" s="222" t="s">
        <v>370</v>
      </c>
      <c r="X8" s="222" t="s">
        <v>418</v>
      </c>
    </row>
    <row r="9" spans="2:24">
      <c r="B9" s="222" t="s">
        <v>371</v>
      </c>
    </row>
    <row r="10" spans="2:24">
      <c r="B10" s="222" t="s">
        <v>372</v>
      </c>
      <c r="X10" s="222" t="s">
        <v>419</v>
      </c>
    </row>
    <row r="12" spans="2:24">
      <c r="B12" s="222" t="s">
        <v>373</v>
      </c>
      <c r="X12" s="222" t="s">
        <v>420</v>
      </c>
    </row>
    <row r="13" spans="2:24">
      <c r="B13" s="222" t="s">
        <v>374</v>
      </c>
    </row>
    <row r="14" spans="2:24">
      <c r="B14" s="222" t="s">
        <v>411</v>
      </c>
      <c r="X14" s="222" t="s">
        <v>421</v>
      </c>
    </row>
    <row r="15" spans="2:24">
      <c r="B15" s="222" t="s">
        <v>375</v>
      </c>
    </row>
    <row r="16" spans="2:24">
      <c r="B16" s="222" t="s">
        <v>376</v>
      </c>
      <c r="X16" s="222" t="s">
        <v>422</v>
      </c>
    </row>
    <row r="18" spans="2:24">
      <c r="B18" s="222" t="s">
        <v>377</v>
      </c>
      <c r="X18" s="222" t="s">
        <v>423</v>
      </c>
    </row>
    <row r="19" spans="2:24">
      <c r="B19" s="222" t="s">
        <v>378</v>
      </c>
    </row>
    <row r="20" spans="2:24">
      <c r="B20" s="222" t="s">
        <v>379</v>
      </c>
      <c r="X20" s="222" t="s">
        <v>424</v>
      </c>
    </row>
    <row r="21" spans="2:24">
      <c r="B21" s="222" t="s">
        <v>412</v>
      </c>
    </row>
    <row r="22" spans="2:24">
      <c r="B22" s="222" t="s">
        <v>380</v>
      </c>
      <c r="X22" s="222" t="s">
        <v>425</v>
      </c>
    </row>
    <row r="24" spans="2:24">
      <c r="B24" s="222" t="s">
        <v>381</v>
      </c>
      <c r="X24" s="222" t="s">
        <v>426</v>
      </c>
    </row>
    <row r="25" spans="2:24">
      <c r="B25" s="222" t="s">
        <v>382</v>
      </c>
    </row>
    <row r="26" spans="2:24">
      <c r="B26" s="222" t="s">
        <v>383</v>
      </c>
      <c r="X26" s="222" t="s">
        <v>427</v>
      </c>
    </row>
    <row r="27" spans="2:24">
      <c r="B27" s="222" t="s">
        <v>384</v>
      </c>
    </row>
    <row r="28" spans="2:24">
      <c r="B28" s="222" t="s">
        <v>385</v>
      </c>
      <c r="X28" s="222" t="s">
        <v>428</v>
      </c>
    </row>
    <row r="30" spans="2:24">
      <c r="B30" s="222" t="s">
        <v>386</v>
      </c>
      <c r="X30" s="222" t="s">
        <v>429</v>
      </c>
    </row>
    <row r="31" spans="2:24">
      <c r="B31" s="222" t="s">
        <v>387</v>
      </c>
    </row>
    <row r="32" spans="2:24">
      <c r="B32" s="222" t="s">
        <v>413</v>
      </c>
      <c r="X32" s="222" t="s">
        <v>430</v>
      </c>
    </row>
    <row r="33" spans="2:24">
      <c r="B33" s="222" t="s">
        <v>388</v>
      </c>
    </row>
    <row r="34" spans="2:24">
      <c r="X34" s="222" t="s">
        <v>431</v>
      </c>
    </row>
    <row r="35" spans="2:24">
      <c r="B35" s="222" t="s">
        <v>389</v>
      </c>
    </row>
    <row r="36" spans="2:24">
      <c r="B36" s="222" t="s">
        <v>390</v>
      </c>
    </row>
    <row r="37" spans="2:24">
      <c r="B37" s="222" t="s">
        <v>391</v>
      </c>
    </row>
    <row r="38" spans="2:24">
      <c r="B38" s="222" t="s">
        <v>392</v>
      </c>
    </row>
    <row r="40" spans="2:24">
      <c r="B40" s="222" t="s">
        <v>393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34"/>
  <sheetViews>
    <sheetView showGridLines="0" workbookViewId="0">
      <selection activeCell="B21" sqref="B21"/>
    </sheetView>
  </sheetViews>
  <sheetFormatPr defaultColWidth="9.140625" defaultRowHeight="12.75"/>
  <cols>
    <col min="1" max="1" width="28.5703125" style="8" bestFit="1" customWidth="1"/>
    <col min="2" max="2" width="10" style="8" customWidth="1"/>
    <col min="3" max="3" width="3.42578125" style="204" customWidth="1"/>
    <col min="4" max="4" width="23.140625" style="8" bestFit="1" customWidth="1"/>
    <col min="5" max="9" width="11.5703125" style="8" bestFit="1" customWidth="1"/>
    <col min="10" max="10" width="11.5703125" style="8" customWidth="1"/>
    <col min="11" max="11" width="9.28515625" style="8" bestFit="1" customWidth="1"/>
    <col min="12" max="16384" width="9.140625" style="8"/>
  </cols>
  <sheetData>
    <row r="1" spans="1:14" customFormat="1" ht="15">
      <c r="C1" s="202"/>
    </row>
    <row r="5" spans="1:14">
      <c r="A5" s="354"/>
      <c r="B5" s="354"/>
      <c r="C5" s="354"/>
      <c r="D5" s="354"/>
      <c r="E5" s="354"/>
      <c r="F5" s="354"/>
      <c r="G5" s="354"/>
      <c r="H5" s="354"/>
      <c r="I5" s="354"/>
      <c r="J5" s="354"/>
      <c r="K5" s="354"/>
    </row>
    <row r="6" spans="1:14">
      <c r="A6" s="353"/>
      <c r="B6" s="353"/>
      <c r="C6" s="353"/>
      <c r="D6" s="353"/>
      <c r="E6" s="353"/>
      <c r="F6" s="353"/>
      <c r="G6" s="353"/>
      <c r="H6" s="353"/>
      <c r="I6" s="353"/>
      <c r="J6" s="353"/>
      <c r="K6" s="353"/>
    </row>
    <row r="7" spans="1:14">
      <c r="A7" s="349" t="s">
        <v>44</v>
      </c>
      <c r="B7" s="350"/>
      <c r="C7" s="203"/>
      <c r="D7" s="198" t="s">
        <v>55</v>
      </c>
      <c r="E7" s="21" t="s">
        <v>97</v>
      </c>
      <c r="F7" s="21" t="s">
        <v>98</v>
      </c>
      <c r="G7" s="21" t="s">
        <v>99</v>
      </c>
      <c r="H7" s="21" t="s">
        <v>100</v>
      </c>
      <c r="I7" s="21" t="s">
        <v>101</v>
      </c>
      <c r="J7" s="21" t="s">
        <v>333</v>
      </c>
      <c r="K7" s="20" t="s">
        <v>31</v>
      </c>
    </row>
    <row r="8" spans="1:14">
      <c r="A8" s="9" t="s">
        <v>36</v>
      </c>
      <c r="B8" s="172">
        <f>'Annual Report input'!D5</f>
        <v>222.95</v>
      </c>
      <c r="D8" s="8" t="s">
        <v>358</v>
      </c>
      <c r="E8" s="10">
        <f>'Screener Output.v0'!L76</f>
        <v>12.032325254727661</v>
      </c>
      <c r="F8" s="10">
        <f>'Screener Output.v0'!K76</f>
        <v>12.162087029995776</v>
      </c>
      <c r="G8" s="10">
        <f>'Screener Output.v0'!J76</f>
        <v>15.837939437475827</v>
      </c>
      <c r="H8" s="325">
        <f>'Screener Output.v0'!I76</f>
        <v>8.3045783763204319</v>
      </c>
      <c r="I8" s="325">
        <f>'Screener Output.v0'!H76</f>
        <v>6.9604986695528774</v>
      </c>
      <c r="J8" s="10"/>
    </row>
    <row r="9" spans="1:14" ht="15.75">
      <c r="A9" s="9" t="s">
        <v>405</v>
      </c>
      <c r="B9" s="16">
        <f>'Screener Output.v0'!M74</f>
        <v>26.167875942523828</v>
      </c>
      <c r="C9" s="205"/>
      <c r="D9" s="177" t="s">
        <v>35</v>
      </c>
      <c r="E9" s="10">
        <f>'Screener Output.v0'!L74</f>
        <v>20.357661118224499</v>
      </c>
      <c r="F9" s="10">
        <f>'Screener Output.v0'!K74</f>
        <v>18.184379001280409</v>
      </c>
      <c r="G9" s="10">
        <f>'Screener Output.v0'!J74</f>
        <v>15.447716602646178</v>
      </c>
      <c r="H9" s="10">
        <f>'Screener Output.v0'!I74</f>
        <v>13.814066747459586</v>
      </c>
      <c r="I9" s="10">
        <f>'Screener Output.v0'!H74</f>
        <v>16.748799983247288</v>
      </c>
      <c r="J9" s="10">
        <f>'Screener Output.v0'!G74</f>
        <v>14.923392300089201</v>
      </c>
      <c r="K9" s="171">
        <f>(E9/J9)^(1/5)-1</f>
        <v>6.4074571836224781E-2</v>
      </c>
    </row>
    <row r="10" spans="1:14" ht="15.75">
      <c r="A10" s="9" t="s">
        <v>406</v>
      </c>
      <c r="B10" s="16">
        <f>SUM('Screener Input'!D49:G49)/'Screener Input'!K93</f>
        <v>20.357092047232893</v>
      </c>
      <c r="C10" s="205"/>
      <c r="D10" s="177" t="s">
        <v>33</v>
      </c>
      <c r="E10" s="10">
        <f>'Screener Output.v0'!L75</f>
        <v>2</v>
      </c>
      <c r="F10" s="10">
        <f>'Screener Output.v0'!K75</f>
        <v>6</v>
      </c>
      <c r="G10" s="10">
        <f>'Screener Output.v0'!J75</f>
        <v>3.8913074406032147</v>
      </c>
      <c r="H10" s="10">
        <f>'Screener Output.v0'!I75</f>
        <v>4.000131061082377</v>
      </c>
      <c r="I10" s="10">
        <f>'Screener Output.v0'!H75</f>
        <v>4.000131061082377</v>
      </c>
      <c r="J10" s="10">
        <f>'Screener Output.v0'!G75</f>
        <v>1.80013419619826</v>
      </c>
      <c r="K10" s="171">
        <f>(E10/J10)^(1/5)-1</f>
        <v>2.1280460059223794E-2</v>
      </c>
      <c r="N10" s="236"/>
    </row>
    <row r="11" spans="1:14">
      <c r="A11" s="9" t="s">
        <v>37</v>
      </c>
      <c r="B11" s="16">
        <f>'Screener Output.v0'!L73</f>
        <v>149.99573196756293</v>
      </c>
      <c r="C11" s="205"/>
      <c r="D11" s="8" t="s">
        <v>359</v>
      </c>
      <c r="E11" s="10">
        <f>'Screener Output.v0'!L78</f>
        <v>1.6330464659685868</v>
      </c>
      <c r="F11" s="10">
        <f>'Screener Output.v0'!K78</f>
        <v>1.6071551127000243</v>
      </c>
      <c r="G11" s="10">
        <f>'Screener Output.v0'!J78</f>
        <v>1.9717614644817769</v>
      </c>
      <c r="H11" s="325">
        <f>'Screener Output.v0'!I78</f>
        <v>1.0708264605792697</v>
      </c>
      <c r="I11" s="325">
        <f>'Screener Output.v0'!H78</f>
        <v>1.1901612276593325</v>
      </c>
    </row>
    <row r="12" spans="1:14">
      <c r="A12" s="177" t="s">
        <v>42</v>
      </c>
      <c r="B12" s="176">
        <f>Analysis!M4</f>
        <v>0.17445747021777072</v>
      </c>
      <c r="C12" s="206"/>
      <c r="D12" s="177" t="s">
        <v>37</v>
      </c>
      <c r="E12" s="168">
        <f>'Screener Output.v0'!L73</f>
        <v>149.99573196756293</v>
      </c>
      <c r="F12" s="168">
        <f>'Screener Output.v0'!K73</f>
        <v>137.60961729975813</v>
      </c>
      <c r="G12" s="168">
        <f>'Screener Output.v0'!J73</f>
        <v>124.08194622279127</v>
      </c>
      <c r="H12" s="168">
        <f>'Screener Output.v0'!I73</f>
        <v>107.13220509879964</v>
      </c>
      <c r="I12" s="168">
        <f>'Screener Output.v0'!H73</f>
        <v>97.953115334865743</v>
      </c>
      <c r="J12" s="168">
        <f>'Screener Output.v0'!G73</f>
        <v>85.948810778636727</v>
      </c>
      <c r="K12" s="171">
        <f>(E12/J12)^(1/5)-1</f>
        <v>0.11780952489064034</v>
      </c>
    </row>
    <row r="13" spans="1:14">
      <c r="A13" s="9" t="s">
        <v>342</v>
      </c>
      <c r="B13" s="16">
        <f>B8/B9</f>
        <v>8.5199884197592617</v>
      </c>
      <c r="C13" s="205"/>
      <c r="D13" s="177"/>
      <c r="E13" s="11"/>
      <c r="F13" s="11"/>
      <c r="G13" s="11"/>
      <c r="H13" s="11"/>
      <c r="I13" s="11"/>
      <c r="J13" s="11"/>
      <c r="K13" s="171"/>
    </row>
    <row r="14" spans="1:14">
      <c r="A14" s="9" t="s">
        <v>39</v>
      </c>
      <c r="B14" s="194">
        <f>B9/B8</f>
        <v>0.11737105154753905</v>
      </c>
      <c r="C14" s="207"/>
      <c r="D14" s="177" t="s">
        <v>43</v>
      </c>
      <c r="E14" s="11">
        <f>E10/E9</f>
        <v>9.8243112918780656E-2</v>
      </c>
      <c r="F14" s="11">
        <f>F10/F9</f>
        <v>0.32995352767215885</v>
      </c>
      <c r="G14" s="11">
        <f>G10/G9</f>
        <v>0.25190178851006612</v>
      </c>
      <c r="H14" s="11">
        <f>H10/H9</f>
        <v>0.28956940300132855</v>
      </c>
      <c r="I14" s="11">
        <f>I10/I9</f>
        <v>0.23883090520416045</v>
      </c>
      <c r="J14" s="11"/>
      <c r="K14" s="11"/>
    </row>
    <row r="15" spans="1:14">
      <c r="A15" s="9" t="s">
        <v>40</v>
      </c>
      <c r="B15" s="194">
        <f>'Screener Output.v0'!L75/B8</f>
        <v>8.9706212155191752E-3</v>
      </c>
      <c r="C15" s="207"/>
      <c r="D15" s="199"/>
      <c r="E15" s="187"/>
      <c r="F15" s="13"/>
      <c r="G15" s="13"/>
      <c r="H15" s="13"/>
      <c r="I15" s="13"/>
      <c r="J15" s="13"/>
      <c r="K15" s="13"/>
      <c r="M15" s="236"/>
    </row>
    <row r="16" spans="1:14">
      <c r="A16" s="9" t="s">
        <v>343</v>
      </c>
      <c r="B16" s="16">
        <f>B8/B11</f>
        <v>1.4863756259959027</v>
      </c>
      <c r="C16" s="205"/>
      <c r="D16" s="200" t="s">
        <v>47</v>
      </c>
      <c r="E16" s="15">
        <v>0</v>
      </c>
      <c r="F16" s="9">
        <v>1</v>
      </c>
      <c r="G16" s="9">
        <v>2</v>
      </c>
      <c r="H16" s="9">
        <v>3</v>
      </c>
      <c r="I16" s="9">
        <v>4</v>
      </c>
      <c r="J16" s="9">
        <v>5</v>
      </c>
      <c r="M16" s="235"/>
    </row>
    <row r="17" spans="1:13">
      <c r="A17" s="9" t="s">
        <v>276</v>
      </c>
      <c r="B17" s="16">
        <f>B13/100/K9</f>
        <v>1.3296988455165075</v>
      </c>
      <c r="C17" s="207"/>
      <c r="D17" s="177" t="s">
        <v>338</v>
      </c>
      <c r="E17" s="168">
        <f>IF($A$29=1, IF($A$28=2,$B$9*(1+$K$9)^E16, $E$12*(1+$K$12)^E16), IF($A$28=2,$B$9*(1+'Annual Report input'!$D$9)^E16, $E$12*(1+'Annual Report input'!$D$9)^E16))</f>
        <v>26.167875942523828</v>
      </c>
      <c r="F17" s="168">
        <f>IF($A$29=1, IF($A$28=2,$B$9*(1+$K$9)^F16, $E$12*(1+$K$12)^F16), IF($A$28=2,$B$9*(1+'Annual Report input'!$D$9)^F16, $E$12*(1+'Annual Report input'!$D$9)^F16))</f>
        <v>27.844571389404489</v>
      </c>
      <c r="G17" s="168">
        <f>IF($A$29=1, IF($A$28=2,$B$9*(1+$K$9)^G16, $E$12*(1+$K$12)^G16), IF($A$28=2,$B$9*(1+'Annual Report input'!$D$9)^G16, $E$12*(1+'Annual Report input'!$D$9)^G16))</f>
        <v>29.628700379143776</v>
      </c>
      <c r="H17" s="168">
        <f>IF($A$29=1, IF($A$28=2,$B$9*(1+$K$9)^H16, $E$12*(1+$K$12)^H16), IF($A$28=2,$B$9*(1+'Annual Report input'!$D$9)^H16, $E$12*(1+'Annual Report input'!$D$9)^H16))</f>
        <v>31.527146670001205</v>
      </c>
      <c r="I17" s="168">
        <f>IF($A$29=1, IF($A$28=2,$B$9*(1+$K$9)^I16, $E$12*(1+$K$12)^I16), IF($A$28=2,$B$9*(1+'Annual Report input'!$D$9)^I16, $E$12*(1+'Annual Report input'!$D$9)^I16))</f>
        <v>33.547235094099392</v>
      </c>
      <c r="J17" s="168">
        <f>IF($A$29=1, IF($A$28=2,$B$9*(1+$K$9)^J16, $E$12*(1+$K$12)^J16), IF($A$28=2,$B$9*(1+'Annual Report input'!$D$9)^J16, $E$12*(1+'Annual Report input'!$D$9)^J16))</f>
        <v>35.696759819042981</v>
      </c>
      <c r="M17" s="238"/>
    </row>
    <row r="18" spans="1:13">
      <c r="A18" s="351" t="s">
        <v>45</v>
      </c>
      <c r="B18" s="352"/>
      <c r="C18" s="208"/>
      <c r="D18" s="177" t="s">
        <v>33</v>
      </c>
      <c r="E18" s="10">
        <f>E10</f>
        <v>2</v>
      </c>
      <c r="F18" s="10">
        <f>F17*B20</f>
        <v>6.7300258729871736</v>
      </c>
      <c r="G18" s="10">
        <f>G17*B20</f>
        <v>7.1612493992455422</v>
      </c>
      <c r="H18" s="10">
        <f>H17*B20</f>
        <v>7.6201033883146216</v>
      </c>
      <c r="I18" s="10">
        <f>I17*B20</f>
        <v>8.1083582502686475</v>
      </c>
      <c r="J18" s="10">
        <f>J17*B20</f>
        <v>8.6278978334493299</v>
      </c>
      <c r="M18" s="237"/>
    </row>
    <row r="19" spans="1:13">
      <c r="A19" s="9" t="s">
        <v>356</v>
      </c>
      <c r="B19" s="195">
        <f>Analysis!M3</f>
        <v>0.13674010631875419</v>
      </c>
      <c r="C19" s="209"/>
      <c r="D19" s="177"/>
      <c r="E19" s="12"/>
      <c r="F19" s="13"/>
      <c r="G19" s="13"/>
      <c r="H19" s="13"/>
      <c r="I19" s="13"/>
      <c r="J19" s="13"/>
      <c r="K19" s="13"/>
    </row>
    <row r="20" spans="1:13">
      <c r="A20" s="9" t="s">
        <v>46</v>
      </c>
      <c r="B20" s="194">
        <f>AVERAGE(E14:I14)</f>
        <v>0.24169974746129891</v>
      </c>
      <c r="C20" s="207"/>
      <c r="D20" s="177" t="s">
        <v>337</v>
      </c>
      <c r="E20" s="172">
        <f>J17</f>
        <v>35.696759819042981</v>
      </c>
      <c r="F20" s="13"/>
      <c r="G20" s="13"/>
      <c r="H20" s="13"/>
      <c r="I20" s="13"/>
      <c r="J20" s="13"/>
      <c r="K20" s="13"/>
    </row>
    <row r="21" spans="1:13">
      <c r="A21" s="9" t="s">
        <v>335</v>
      </c>
      <c r="B21" s="16">
        <f>AVERAGE(E8:G8,B13)</f>
        <v>12.138085035489631</v>
      </c>
      <c r="C21" s="205"/>
      <c r="D21" s="8" t="s">
        <v>360</v>
      </c>
      <c r="E21" s="189">
        <f>B8*B24</f>
        <v>17.835999999999999</v>
      </c>
    </row>
    <row r="22" spans="1:13">
      <c r="A22" s="9" t="s">
        <v>336</v>
      </c>
      <c r="B22" s="16">
        <f>AVERAGE(E11:G11,B16)</f>
        <v>1.6745846672865727</v>
      </c>
      <c r="C22" s="205"/>
      <c r="D22" s="177" t="s">
        <v>49</v>
      </c>
      <c r="E22" s="172">
        <f>SUM(E18:J18)</f>
        <v>40.247634744265312</v>
      </c>
      <c r="F22" s="13"/>
      <c r="G22" s="174"/>
      <c r="H22" s="13"/>
      <c r="I22" s="13"/>
      <c r="J22" s="13"/>
      <c r="K22" s="13"/>
    </row>
    <row r="23" spans="1:13">
      <c r="A23" s="78" t="s">
        <v>75</v>
      </c>
      <c r="B23" s="196"/>
      <c r="C23" s="210"/>
      <c r="D23" s="177" t="s">
        <v>50</v>
      </c>
      <c r="E23" s="172">
        <f>IF(A28=2, E20*B21, E20*B22)</f>
        <v>433.29030617499313</v>
      </c>
      <c r="F23" s="13"/>
      <c r="G23" s="13"/>
      <c r="H23" s="13"/>
      <c r="I23" s="13"/>
      <c r="J23" s="13"/>
      <c r="K23" s="13"/>
    </row>
    <row r="24" spans="1:13">
      <c r="A24" s="8" t="s">
        <v>135</v>
      </c>
      <c r="B24" s="197">
        <f>'Annual Report input'!D10</f>
        <v>0.08</v>
      </c>
      <c r="C24" s="211"/>
      <c r="D24" s="177" t="s">
        <v>354</v>
      </c>
      <c r="E24" s="172">
        <f>E23+E22</f>
        <v>473.53794091925846</v>
      </c>
      <c r="F24" s="214"/>
      <c r="G24" s="13"/>
      <c r="H24" s="13"/>
      <c r="I24" s="13"/>
      <c r="J24" s="13"/>
      <c r="K24" s="13"/>
    </row>
    <row r="25" spans="1:13">
      <c r="A25" s="9" t="s">
        <v>334</v>
      </c>
      <c r="B25" s="172">
        <f>IF(A28=2, B21*B9, B22*B11)</f>
        <v>317.6279033884976</v>
      </c>
      <c r="C25" s="212"/>
      <c r="D25" s="201"/>
      <c r="E25" s="14"/>
      <c r="F25" s="13"/>
      <c r="G25" s="13"/>
      <c r="H25" s="13"/>
      <c r="I25" s="13"/>
      <c r="J25" s="13"/>
      <c r="K25" s="13"/>
    </row>
    <row r="26" spans="1:13">
      <c r="A26" s="9" t="s">
        <v>53</v>
      </c>
      <c r="B26" s="172">
        <f>E24/((1+B24)^5)</f>
        <v>322.28196574760938</v>
      </c>
      <c r="C26" s="212"/>
      <c r="D26" s="200" t="s">
        <v>52</v>
      </c>
      <c r="E26" s="15" t="s">
        <v>76</v>
      </c>
      <c r="F26" s="9">
        <v>1</v>
      </c>
      <c r="G26" s="9">
        <v>2</v>
      </c>
      <c r="H26" s="9">
        <v>3</v>
      </c>
      <c r="I26" s="9">
        <v>4</v>
      </c>
      <c r="J26" s="9">
        <v>5</v>
      </c>
    </row>
    <row r="27" spans="1:13">
      <c r="A27" s="9" t="s">
        <v>54</v>
      </c>
      <c r="B27" s="172">
        <f>E32/(1+B24)^5</f>
        <v>402.33741643042373</v>
      </c>
      <c r="C27" s="212"/>
      <c r="D27" s="177" t="s">
        <v>37</v>
      </c>
      <c r="E27" s="168">
        <f>E12</f>
        <v>149.99573196756293</v>
      </c>
      <c r="F27" s="168">
        <f>E27+E28-E29</f>
        <v>169.83883890318015</v>
      </c>
      <c r="G27" s="168">
        <f>F27+F28-F29</f>
        <v>192.30701315033588</v>
      </c>
      <c r="H27" s="168">
        <f>G27+G28-G29</f>
        <v>217.74752786602443</v>
      </c>
      <c r="I27" s="168">
        <f>H27+H28-H29</f>
        <v>246.55359737036338</v>
      </c>
      <c r="J27" s="168">
        <f>I27+I28-I29</f>
        <v>279.17045475560701</v>
      </c>
    </row>
    <row r="28" spans="1:13">
      <c r="A28" s="173">
        <v>2</v>
      </c>
      <c r="D28" s="177" t="s">
        <v>35</v>
      </c>
      <c r="E28" s="168">
        <f t="shared" ref="E28:J28" si="0">IF($A$30=1, E27*$B$12, E27*$B$19)</f>
        <v>26.167875942523828</v>
      </c>
      <c r="F28" s="168">
        <f t="shared" si="0"/>
        <v>29.629654179772309</v>
      </c>
      <c r="G28" s="168">
        <f t="shared" si="0"/>
        <v>33.549395019343166</v>
      </c>
      <c r="H28" s="168">
        <f t="shared" si="0"/>
        <v>37.987682857680156</v>
      </c>
      <c r="I28" s="168">
        <f t="shared" si="0"/>
        <v>43.013116870324403</v>
      </c>
      <c r="J28" s="168">
        <f t="shared" si="0"/>
        <v>48.70337129620782</v>
      </c>
    </row>
    <row r="29" spans="1:13">
      <c r="A29" s="173">
        <v>1</v>
      </c>
      <c r="D29" s="177" t="s">
        <v>33</v>
      </c>
      <c r="E29" s="10">
        <f>E28*B20</f>
        <v>6.3247690069066085</v>
      </c>
      <c r="F29" s="10">
        <f>F28*B20</f>
        <v>7.1614799326165866</v>
      </c>
      <c r="G29" s="10">
        <f>G28*B20</f>
        <v>8.1088803036546029</v>
      </c>
      <c r="H29" s="10">
        <f>H28*B20</f>
        <v>9.1816133533412074</v>
      </c>
      <c r="I29" s="10">
        <f>I28*B20</f>
        <v>10.396259485080744</v>
      </c>
      <c r="J29" s="10">
        <f>J28*B20</f>
        <v>11.771592542807305</v>
      </c>
    </row>
    <row r="30" spans="1:13">
      <c r="A30" s="173">
        <v>1</v>
      </c>
      <c r="D30" s="177" t="s">
        <v>48</v>
      </c>
      <c r="E30" s="16">
        <f>J28</f>
        <v>48.70337129620782</v>
      </c>
      <c r="F30" s="13"/>
      <c r="G30" s="13"/>
      <c r="H30" s="13"/>
      <c r="I30" s="13"/>
      <c r="J30" s="13"/>
      <c r="K30" s="13"/>
    </row>
    <row r="31" spans="1:13">
      <c r="D31" s="177" t="s">
        <v>49</v>
      </c>
      <c r="E31" s="16">
        <f>SUM(E29:J29)</f>
        <v>52.944594624407053</v>
      </c>
      <c r="F31" s="13"/>
      <c r="G31" s="13"/>
      <c r="H31" s="13"/>
      <c r="I31" s="13"/>
      <c r="J31" s="13"/>
      <c r="K31" s="13"/>
    </row>
    <row r="32" spans="1:13">
      <c r="D32" s="177" t="s">
        <v>50</v>
      </c>
      <c r="E32" s="16">
        <f>B21*E30</f>
        <v>591.16566230839533</v>
      </c>
      <c r="F32" s="13"/>
      <c r="G32" s="13"/>
      <c r="H32" s="13"/>
      <c r="I32" s="13"/>
      <c r="J32" s="13"/>
      <c r="K32" s="13"/>
    </row>
    <row r="33" spans="4:11">
      <c r="D33" s="177" t="s">
        <v>51</v>
      </c>
      <c r="E33" s="16">
        <f>E32+E31</f>
        <v>644.11025693280237</v>
      </c>
      <c r="F33" s="13"/>
      <c r="G33" s="13"/>
      <c r="H33" s="13"/>
      <c r="I33" s="13"/>
      <c r="J33" s="13"/>
      <c r="K33" s="13"/>
    </row>
    <row r="34" spans="4:11">
      <c r="D34" s="201"/>
      <c r="E34" s="14"/>
      <c r="F34" s="13"/>
      <c r="G34" s="13"/>
      <c r="H34" s="13"/>
      <c r="I34" s="13"/>
      <c r="J34" s="13"/>
      <c r="K34" s="13"/>
    </row>
  </sheetData>
  <mergeCells count="4">
    <mergeCell ref="A7:B7"/>
    <mergeCell ref="A18:B18"/>
    <mergeCell ref="A6:K6"/>
    <mergeCell ref="A5:K5"/>
  </mergeCells>
  <conditionalFormatting sqref="D38:D40">
    <cfRule type="dataBar" priority="1">
      <dataBar>
        <cfvo type="min"/>
        <cfvo type="num" val="100"/>
        <color rgb="FF638EC6"/>
      </dataBar>
      <extLst>
        <ext xmlns:x14="http://schemas.microsoft.com/office/spreadsheetml/2009/9/main" uri="{B025F937-C7B1-47D3-B67F-A62EFF666E3E}">
          <x14:id>{D914B9DC-299D-44FF-A203-01BF9B054035}</x14:id>
        </ext>
      </extLst>
    </cfRule>
    <cfRule type="dataBar" priority="2">
      <dataBar>
        <cfvo type="min"/>
        <cfvo type="max"/>
        <color rgb="FF638EC6"/>
      </dataBar>
      <extLst>
        <ext xmlns:x14="http://schemas.microsoft.com/office/spreadsheetml/2009/9/main" uri="{B025F937-C7B1-47D3-B67F-A62EFF666E3E}">
          <x14:id>{4E3A4DC6-A725-47CF-9D19-BB327F40E9AA}</x14:id>
        </ext>
      </extLst>
    </cfRule>
  </conditionalFormatting>
  <pageMargins left="0.70866141732283472" right="0.70866141732283472" top="0.74803149606299213" bottom="0.74803149606299213" header="0.31496062992125984" footer="0.31496062992125984"/>
  <pageSetup paperSize="9" scale="89" orientation="landscape" r:id="rId1"/>
  <ignoredErrors>
    <ignoredError sqref="B1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6" r:id="rId4" name="Group Box 2">
              <controlPr defaultSize="0" autoFill="0" autoPict="0">
                <anchor moveWithCells="1">
                  <from>
                    <xdr:col>0</xdr:col>
                    <xdr:colOff>361950</xdr:colOff>
                    <xdr:row>1</xdr:row>
                    <xdr:rowOff>133350</xdr:rowOff>
                  </from>
                  <to>
                    <xdr:col>1</xdr:col>
                    <xdr:colOff>352425</xdr:colOff>
                    <xdr:row>4</xdr:row>
                    <xdr:rowOff>114300</xdr:rowOff>
                  </to>
                </anchor>
              </controlPr>
            </control>
          </mc:Choice>
        </mc:AlternateContent>
        <mc:AlternateContent xmlns:mc="http://schemas.openxmlformats.org/markup-compatibility/2006">
          <mc:Choice Requires="x14">
            <control shapeId="16387" r:id="rId5" name="Option Button 3">
              <controlPr defaultSize="0" autoFill="0" autoLine="0" autoPict="0">
                <anchor moveWithCells="1">
                  <from>
                    <xdr:col>0</xdr:col>
                    <xdr:colOff>504825</xdr:colOff>
                    <xdr:row>2</xdr:row>
                    <xdr:rowOff>133350</xdr:rowOff>
                  </from>
                  <to>
                    <xdr:col>0</xdr:col>
                    <xdr:colOff>1133475</xdr:colOff>
                    <xdr:row>4</xdr:row>
                    <xdr:rowOff>28575</xdr:rowOff>
                  </to>
                </anchor>
              </controlPr>
            </control>
          </mc:Choice>
        </mc:AlternateContent>
        <mc:AlternateContent xmlns:mc="http://schemas.openxmlformats.org/markup-compatibility/2006">
          <mc:Choice Requires="x14">
            <control shapeId="16388" r:id="rId6" name="Option Button 4">
              <controlPr defaultSize="0" autoFill="0" autoLine="0" autoPict="0">
                <anchor moveWithCells="1">
                  <from>
                    <xdr:col>0</xdr:col>
                    <xdr:colOff>1381125</xdr:colOff>
                    <xdr:row>2</xdr:row>
                    <xdr:rowOff>133350</xdr:rowOff>
                  </from>
                  <to>
                    <xdr:col>0</xdr:col>
                    <xdr:colOff>2066925</xdr:colOff>
                    <xdr:row>4</xdr:row>
                    <xdr:rowOff>28575</xdr:rowOff>
                  </to>
                </anchor>
              </controlPr>
            </control>
          </mc:Choice>
        </mc:AlternateContent>
        <mc:AlternateContent xmlns:mc="http://schemas.openxmlformats.org/markup-compatibility/2006">
          <mc:Choice Requires="x14">
            <control shapeId="16389" r:id="rId7" name="Group Box 5">
              <controlPr defaultSize="0" autoFill="0" autoPict="0">
                <anchor moveWithCells="1">
                  <from>
                    <xdr:col>3</xdr:col>
                    <xdr:colOff>228600</xdr:colOff>
                    <xdr:row>1</xdr:row>
                    <xdr:rowOff>133350</xdr:rowOff>
                  </from>
                  <to>
                    <xdr:col>4</xdr:col>
                    <xdr:colOff>771525</xdr:colOff>
                    <xdr:row>4</xdr:row>
                    <xdr:rowOff>104775</xdr:rowOff>
                  </to>
                </anchor>
              </controlPr>
            </control>
          </mc:Choice>
        </mc:AlternateContent>
        <mc:AlternateContent xmlns:mc="http://schemas.openxmlformats.org/markup-compatibility/2006">
          <mc:Choice Requires="x14">
            <control shapeId="16390" r:id="rId8" name="Option Button 6">
              <controlPr defaultSize="0" autoFill="0" autoLine="0" autoPict="0">
                <anchor moveWithCells="1">
                  <from>
                    <xdr:col>3</xdr:col>
                    <xdr:colOff>400050</xdr:colOff>
                    <xdr:row>2</xdr:row>
                    <xdr:rowOff>142875</xdr:rowOff>
                  </from>
                  <to>
                    <xdr:col>3</xdr:col>
                    <xdr:colOff>1038225</xdr:colOff>
                    <xdr:row>4</xdr:row>
                    <xdr:rowOff>38100</xdr:rowOff>
                  </to>
                </anchor>
              </controlPr>
            </control>
          </mc:Choice>
        </mc:AlternateContent>
        <mc:AlternateContent xmlns:mc="http://schemas.openxmlformats.org/markup-compatibility/2006">
          <mc:Choice Requires="x14">
            <control shapeId="16391" r:id="rId9" name="Option Button 7">
              <controlPr defaultSize="0" autoFill="0" autoLine="0" autoPict="0">
                <anchor moveWithCells="1">
                  <from>
                    <xdr:col>3</xdr:col>
                    <xdr:colOff>1390650</xdr:colOff>
                    <xdr:row>2</xdr:row>
                    <xdr:rowOff>152400</xdr:rowOff>
                  </from>
                  <to>
                    <xdr:col>4</xdr:col>
                    <xdr:colOff>323850</xdr:colOff>
                    <xdr:row>4</xdr:row>
                    <xdr:rowOff>47625</xdr:rowOff>
                  </to>
                </anchor>
              </controlPr>
            </control>
          </mc:Choice>
        </mc:AlternateContent>
        <mc:AlternateContent xmlns:mc="http://schemas.openxmlformats.org/markup-compatibility/2006">
          <mc:Choice Requires="x14">
            <control shapeId="16392" r:id="rId10" name="Group Box 8">
              <controlPr defaultSize="0" autoFill="0" autoPict="0">
                <anchor moveWithCells="1">
                  <from>
                    <xdr:col>5</xdr:col>
                    <xdr:colOff>342900</xdr:colOff>
                    <xdr:row>1</xdr:row>
                    <xdr:rowOff>152400</xdr:rowOff>
                  </from>
                  <to>
                    <xdr:col>7</xdr:col>
                    <xdr:colOff>704850</xdr:colOff>
                    <xdr:row>4</xdr:row>
                    <xdr:rowOff>123825</xdr:rowOff>
                  </to>
                </anchor>
              </controlPr>
            </control>
          </mc:Choice>
        </mc:AlternateContent>
        <mc:AlternateContent xmlns:mc="http://schemas.openxmlformats.org/markup-compatibility/2006">
          <mc:Choice Requires="x14">
            <control shapeId="16393" r:id="rId11" name="Option Button 9">
              <controlPr defaultSize="0" autoFill="0" autoLine="0" autoPict="0">
                <anchor moveWithCells="1">
                  <from>
                    <xdr:col>5</xdr:col>
                    <xdr:colOff>552450</xdr:colOff>
                    <xdr:row>3</xdr:row>
                    <xdr:rowOff>0</xdr:rowOff>
                  </from>
                  <to>
                    <xdr:col>6</xdr:col>
                    <xdr:colOff>361950</xdr:colOff>
                    <xdr:row>4</xdr:row>
                    <xdr:rowOff>57150</xdr:rowOff>
                  </to>
                </anchor>
              </controlPr>
            </control>
          </mc:Choice>
        </mc:AlternateContent>
        <mc:AlternateContent xmlns:mc="http://schemas.openxmlformats.org/markup-compatibility/2006">
          <mc:Choice Requires="x14">
            <control shapeId="16394" r:id="rId12" name="Option Button 10">
              <controlPr defaultSize="0" autoFill="0" autoLine="0" autoPict="0">
                <anchor moveWithCells="1">
                  <from>
                    <xdr:col>6</xdr:col>
                    <xdr:colOff>638175</xdr:colOff>
                    <xdr:row>2</xdr:row>
                    <xdr:rowOff>152400</xdr:rowOff>
                  </from>
                  <to>
                    <xdr:col>7</xdr:col>
                    <xdr:colOff>485775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D914B9DC-299D-44FF-A203-01BF9B054035}">
            <x14:dataBar minLength="0" maxLength="100" gradient="0">
              <x14:cfvo type="autoMin"/>
              <x14:cfvo type="num">
                <xm:f>100</xm:f>
              </x14:cfvo>
              <x14:negativeFillColor rgb="FFFF0000"/>
              <x14:axisColor rgb="FF000000"/>
            </x14:dataBar>
          </x14:cfRule>
          <x14:cfRule type="dataBar" id="{4E3A4DC6-A725-47CF-9D19-BB327F40E9AA}">
            <x14:dataBar minLength="0" maxLength="100" border="1" negativeBarBorderColorSameAsPositive="0">
              <x14:cfvo type="autoMin"/>
              <x14:cfvo type="autoMax"/>
              <x14:borderColor rgb="FF638EC6"/>
              <x14:negativeFillColor rgb="FFFF0000"/>
              <x14:negativeBorderColor rgb="FFFF0000"/>
              <x14:axisColor rgb="FF000000"/>
            </x14:dataBar>
          </x14:cfRule>
          <xm:sqref>D38:D40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D3" sqref="D3"/>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3"/>
  <sheetViews>
    <sheetView showGridLines="0" topLeftCell="C1" workbookViewId="0">
      <selection activeCell="I8" sqref="I8"/>
    </sheetView>
  </sheetViews>
  <sheetFormatPr defaultColWidth="22.140625" defaultRowHeight="20.100000000000001" customHeight="1"/>
  <cols>
    <col min="1" max="3" width="22.140625" style="79"/>
    <col min="4" max="4" width="8.85546875" style="79" customWidth="1"/>
    <col min="5" max="5" width="4" style="80" customWidth="1"/>
    <col min="6" max="6" width="11.42578125" style="282" customWidth="1"/>
    <col min="7" max="7" width="20.7109375" style="79" customWidth="1"/>
    <col min="8" max="8" width="11.28515625" style="80" customWidth="1"/>
    <col min="9" max="9" width="10.140625" style="80" customWidth="1"/>
    <col min="10" max="10" width="64.7109375" style="79" customWidth="1"/>
    <col min="11" max="11" width="12" style="80" customWidth="1"/>
    <col min="12" max="12" width="7" style="80" customWidth="1"/>
    <col min="13" max="13" width="8.140625" style="80" customWidth="1"/>
    <col min="14" max="14" width="23.28515625" style="79" customWidth="1"/>
    <col min="15" max="15" width="26.42578125" style="79" customWidth="1"/>
    <col min="16" max="16384" width="22.140625" style="79"/>
  </cols>
  <sheetData>
    <row r="1" spans="1:13" ht="6" customHeight="1" thickBot="1"/>
    <row r="2" spans="1:13" ht="20.100000000000001" customHeight="1" thickBot="1">
      <c r="A2" s="279" t="s">
        <v>136</v>
      </c>
      <c r="B2" s="280"/>
      <c r="C2" s="280"/>
      <c r="E2" s="81" t="s">
        <v>137</v>
      </c>
      <c r="F2" s="283"/>
      <c r="G2" s="82" t="s">
        <v>138</v>
      </c>
      <c r="H2" s="83" t="s">
        <v>139</v>
      </c>
      <c r="I2" s="83" t="s">
        <v>140</v>
      </c>
      <c r="J2" s="83" t="s">
        <v>141</v>
      </c>
      <c r="K2" s="83" t="s">
        <v>142</v>
      </c>
      <c r="L2" s="83" t="s">
        <v>66</v>
      </c>
      <c r="M2" s="83"/>
    </row>
    <row r="3" spans="1:13" ht="20.100000000000001" customHeight="1">
      <c r="A3" s="84" t="s">
        <v>143</v>
      </c>
      <c r="B3" s="84" t="s">
        <v>144</v>
      </c>
      <c r="C3" s="84" t="s">
        <v>145</v>
      </c>
      <c r="E3" s="85"/>
      <c r="F3" s="284"/>
      <c r="G3" s="277" t="s">
        <v>146</v>
      </c>
      <c r="H3" s="278"/>
      <c r="I3" s="278"/>
      <c r="J3" s="278"/>
      <c r="K3" s="295">
        <f>SUM(K4:K14)</f>
        <v>50</v>
      </c>
      <c r="L3" s="85">
        <f>SUM(L4:L14)</f>
        <v>33</v>
      </c>
      <c r="M3" s="86"/>
    </row>
    <row r="4" spans="1:13" ht="30" customHeight="1">
      <c r="A4" s="87" t="s">
        <v>147</v>
      </c>
      <c r="B4" s="294">
        <f>SUM(B5:B9)</f>
        <v>100</v>
      </c>
      <c r="C4" s="292">
        <f>SUM(C5:C9)</f>
        <v>72</v>
      </c>
      <c r="E4" s="97">
        <v>1</v>
      </c>
      <c r="F4" s="285" t="s">
        <v>448</v>
      </c>
      <c r="G4" s="265" t="s">
        <v>483</v>
      </c>
      <c r="H4" s="88" t="s">
        <v>152</v>
      </c>
      <c r="I4" s="90">
        <f>Revenue!C5</f>
        <v>0.25249764280886988</v>
      </c>
      <c r="J4" s="287" t="s">
        <v>158</v>
      </c>
      <c r="K4" s="291">
        <v>4</v>
      </c>
      <c r="L4" s="95">
        <f>Revenue!L5</f>
        <v>4</v>
      </c>
      <c r="M4" s="88"/>
    </row>
    <row r="5" spans="1:13" ht="30" customHeight="1">
      <c r="A5" s="87" t="s">
        <v>148</v>
      </c>
      <c r="B5" s="297">
        <f>Scorecard!K3</f>
        <v>50</v>
      </c>
      <c r="C5" s="292">
        <f>Scorecard!L3</f>
        <v>33</v>
      </c>
      <c r="E5" s="97">
        <v>2</v>
      </c>
      <c r="F5" s="355" t="s">
        <v>484</v>
      </c>
      <c r="G5" s="265" t="s">
        <v>156</v>
      </c>
      <c r="H5" s="88" t="s">
        <v>152</v>
      </c>
      <c r="I5" s="90">
        <f>Profit!F5</f>
        <v>0.25339211256134564</v>
      </c>
      <c r="J5" s="287" t="s">
        <v>349</v>
      </c>
      <c r="K5" s="291">
        <v>5</v>
      </c>
      <c r="L5" s="95">
        <f>Profit!L5</f>
        <v>5</v>
      </c>
      <c r="M5" s="88"/>
    </row>
    <row r="6" spans="1:13" ht="30" customHeight="1">
      <c r="A6" s="87" t="s">
        <v>150</v>
      </c>
      <c r="B6" s="293">
        <v>13</v>
      </c>
      <c r="C6" s="296">
        <f>Scorecard!L15</f>
        <v>12</v>
      </c>
      <c r="E6" s="97">
        <v>3</v>
      </c>
      <c r="F6" s="356"/>
      <c r="G6" s="265" t="s">
        <v>151</v>
      </c>
      <c r="H6" s="88" t="s">
        <v>152</v>
      </c>
      <c r="I6" s="90">
        <f>Profit!G5</f>
        <v>0.11887142709812282</v>
      </c>
      <c r="J6" s="287" t="s">
        <v>352</v>
      </c>
      <c r="K6" s="291">
        <v>9</v>
      </c>
      <c r="L6" s="95">
        <f>Profit!M5</f>
        <v>7</v>
      </c>
      <c r="M6" s="88"/>
    </row>
    <row r="7" spans="1:13" ht="30" customHeight="1">
      <c r="A7" s="87" t="s">
        <v>153</v>
      </c>
      <c r="B7" s="293">
        <v>23</v>
      </c>
      <c r="C7" s="296">
        <f>Scorecard!L20</f>
        <v>17</v>
      </c>
      <c r="E7" s="97">
        <v>4</v>
      </c>
      <c r="F7" s="357"/>
      <c r="G7" s="265" t="s">
        <v>159</v>
      </c>
      <c r="H7" s="88" t="s">
        <v>526</v>
      </c>
      <c r="I7" s="90">
        <f>Profit!C5</f>
        <v>0.13710583580117558</v>
      </c>
      <c r="J7" s="287" t="s">
        <v>160</v>
      </c>
      <c r="K7" s="291">
        <v>4</v>
      </c>
      <c r="L7" s="95">
        <f>Profit!P5</f>
        <v>4</v>
      </c>
      <c r="M7" s="88"/>
    </row>
    <row r="8" spans="1:13" ht="30" customHeight="1">
      <c r="A8" s="87" t="s">
        <v>155</v>
      </c>
      <c r="B8" s="293">
        <v>10</v>
      </c>
      <c r="C8" s="296">
        <f>Scorecard!L27</f>
        <v>8</v>
      </c>
      <c r="E8" s="97"/>
      <c r="F8" s="290" t="s">
        <v>487</v>
      </c>
      <c r="G8" s="265" t="s">
        <v>149</v>
      </c>
      <c r="H8" s="88" t="s">
        <v>470</v>
      </c>
      <c r="I8" s="90">
        <f>Dupont!D4</f>
        <v>0.17445747021777072</v>
      </c>
      <c r="J8" s="287" t="s">
        <v>353</v>
      </c>
      <c r="K8" s="291">
        <f>10</f>
        <v>10</v>
      </c>
      <c r="L8" s="95">
        <f>Dupont!K4</f>
        <v>7</v>
      </c>
      <c r="M8" s="88"/>
    </row>
    <row r="9" spans="1:13" ht="30" customHeight="1">
      <c r="A9" s="87" t="s">
        <v>157</v>
      </c>
      <c r="B9" s="293">
        <v>4</v>
      </c>
      <c r="C9" s="296">
        <f>Scorecard!L32</f>
        <v>2</v>
      </c>
      <c r="E9" s="97">
        <v>5</v>
      </c>
      <c r="F9" s="355" t="s">
        <v>485</v>
      </c>
      <c r="G9" s="265" t="s">
        <v>165</v>
      </c>
      <c r="H9" s="88" t="s">
        <v>166</v>
      </c>
      <c r="I9" s="93">
        <f>Efficiency!C5</f>
        <v>15.182717713962615</v>
      </c>
      <c r="J9" s="287" t="s">
        <v>350</v>
      </c>
      <c r="K9" s="291">
        <v>3</v>
      </c>
      <c r="L9" s="95">
        <f>Efficiency!K5</f>
        <v>0</v>
      </c>
      <c r="M9" s="88"/>
    </row>
    <row r="10" spans="1:13" ht="30" customHeight="1">
      <c r="E10" s="97">
        <v>6</v>
      </c>
      <c r="F10" s="356"/>
      <c r="G10" s="265" t="s">
        <v>161</v>
      </c>
      <c r="H10" s="88" t="s">
        <v>162</v>
      </c>
      <c r="I10" s="93">
        <f>Efficiency!E5</f>
        <v>3.5984703764275818</v>
      </c>
      <c r="J10" s="287" t="s">
        <v>163</v>
      </c>
      <c r="K10" s="291">
        <v>4</v>
      </c>
      <c r="L10" s="95">
        <f>Efficiency!M5</f>
        <v>4</v>
      </c>
      <c r="M10" s="88"/>
    </row>
    <row r="11" spans="1:13" ht="30" customHeight="1">
      <c r="E11" s="97">
        <v>7</v>
      </c>
      <c r="F11" s="356"/>
      <c r="G11" s="265" t="s">
        <v>168</v>
      </c>
      <c r="H11" s="88" t="s">
        <v>169</v>
      </c>
      <c r="I11" s="95">
        <f>Efficiency!F5</f>
        <v>3209.29</v>
      </c>
      <c r="J11" s="287" t="s">
        <v>170</v>
      </c>
      <c r="K11" s="291">
        <v>1</v>
      </c>
      <c r="L11" s="95">
        <f>Efficiency!N5</f>
        <v>1</v>
      </c>
      <c r="M11" s="88"/>
    </row>
    <row r="12" spans="1:13" ht="30" customHeight="1">
      <c r="E12" s="97">
        <v>8</v>
      </c>
      <c r="F12" s="357"/>
      <c r="G12" s="265" t="s">
        <v>482</v>
      </c>
      <c r="H12" s="88" t="s">
        <v>167</v>
      </c>
      <c r="I12" s="94">
        <f>Efficiency!D5</f>
        <v>1.7889409475221603</v>
      </c>
      <c r="J12" s="289" t="s">
        <v>351</v>
      </c>
      <c r="K12" s="291">
        <v>1</v>
      </c>
      <c r="L12" s="95">
        <f>Efficiency!L5</f>
        <v>1</v>
      </c>
      <c r="M12" s="88"/>
    </row>
    <row r="13" spans="1:13" ht="30" customHeight="1">
      <c r="E13" s="97">
        <v>9</v>
      </c>
      <c r="F13" s="355" t="s">
        <v>486</v>
      </c>
      <c r="G13" s="265" t="s">
        <v>154</v>
      </c>
      <c r="H13" s="92">
        <v>0</v>
      </c>
      <c r="I13" s="90">
        <f>Others!E4</f>
        <v>1.4E-3</v>
      </c>
      <c r="J13" s="288"/>
      <c r="K13" s="291">
        <v>6</v>
      </c>
      <c r="L13" s="95">
        <f>Others!L4</f>
        <v>0</v>
      </c>
      <c r="M13" s="88"/>
    </row>
    <row r="14" spans="1:13" ht="30" customHeight="1">
      <c r="E14" s="97">
        <v>10</v>
      </c>
      <c r="F14" s="357"/>
      <c r="G14" s="265" t="s">
        <v>164</v>
      </c>
      <c r="H14" s="88" t="s">
        <v>362</v>
      </c>
      <c r="I14" s="193">
        <f>Others!F4</f>
        <v>-5.5100000000000038E-2</v>
      </c>
      <c r="J14" s="287" t="s">
        <v>344</v>
      </c>
      <c r="K14" s="291">
        <v>3</v>
      </c>
      <c r="L14" s="95">
        <f>Others!M4</f>
        <v>0</v>
      </c>
      <c r="M14" s="88"/>
    </row>
    <row r="15" spans="1:13" ht="20.100000000000001" customHeight="1">
      <c r="E15" s="277" t="s">
        <v>171</v>
      </c>
      <c r="F15" s="286"/>
      <c r="G15" s="278"/>
      <c r="H15" s="278"/>
      <c r="I15" s="278"/>
      <c r="J15" s="278"/>
      <c r="K15" s="96">
        <f>SUM(K16:K19)</f>
        <v>0.13</v>
      </c>
      <c r="L15" s="97">
        <f>SUM(L16:L19)</f>
        <v>12</v>
      </c>
      <c r="M15" s="86"/>
    </row>
    <row r="16" spans="1:13" ht="20.100000000000001" customHeight="1">
      <c r="E16" s="88">
        <v>1</v>
      </c>
      <c r="F16" s="91"/>
      <c r="G16" s="89" t="s">
        <v>172</v>
      </c>
      <c r="H16" s="88" t="s">
        <v>173</v>
      </c>
      <c r="I16" s="88"/>
      <c r="J16" s="89" t="s">
        <v>174</v>
      </c>
      <c r="K16" s="92">
        <v>0.05</v>
      </c>
      <c r="L16" s="88">
        <f>'Annual Report input'!D14</f>
        <v>4</v>
      </c>
      <c r="M16" s="88"/>
    </row>
    <row r="17" spans="5:13" ht="20.100000000000001" customHeight="1">
      <c r="E17" s="88">
        <v>2</v>
      </c>
      <c r="F17" s="91"/>
      <c r="G17" s="89" t="s">
        <v>175</v>
      </c>
      <c r="H17" s="88" t="s">
        <v>176</v>
      </c>
      <c r="I17" s="88"/>
      <c r="J17" s="89" t="s">
        <v>177</v>
      </c>
      <c r="K17" s="92">
        <v>0.02</v>
      </c>
      <c r="L17" s="88">
        <f>'Annual Report input'!D15</f>
        <v>2</v>
      </c>
      <c r="M17" s="88"/>
    </row>
    <row r="18" spans="5:13" ht="20.100000000000001" customHeight="1">
      <c r="E18" s="88">
        <v>3</v>
      </c>
      <c r="F18" s="91"/>
      <c r="G18" s="89" t="s">
        <v>178</v>
      </c>
      <c r="H18" s="88" t="s">
        <v>179</v>
      </c>
      <c r="I18" s="98">
        <f>Analysis!H13/Analysis!E13</f>
        <v>1.0150215028109764</v>
      </c>
      <c r="J18" s="91" t="s">
        <v>180</v>
      </c>
      <c r="K18" s="92">
        <v>0.02</v>
      </c>
      <c r="L18" s="88">
        <f>'Annual Report input'!D16</f>
        <v>2</v>
      </c>
      <c r="M18" s="88"/>
    </row>
    <row r="19" spans="5:13" ht="20.100000000000001" customHeight="1">
      <c r="E19" s="88">
        <v>5</v>
      </c>
      <c r="F19" s="91"/>
      <c r="G19" s="89" t="s">
        <v>181</v>
      </c>
      <c r="H19" s="88" t="s">
        <v>182</v>
      </c>
      <c r="I19" s="88"/>
      <c r="J19" s="89" t="s">
        <v>183</v>
      </c>
      <c r="K19" s="92">
        <v>0.04</v>
      </c>
      <c r="L19" s="88">
        <f>'Annual Report input'!D17</f>
        <v>4</v>
      </c>
      <c r="M19" s="88"/>
    </row>
    <row r="20" spans="5:13" ht="20.100000000000001" customHeight="1">
      <c r="E20" s="277" t="s">
        <v>184</v>
      </c>
      <c r="F20" s="286"/>
      <c r="G20" s="278"/>
      <c r="H20" s="278"/>
      <c r="I20" s="278"/>
      <c r="J20" s="278"/>
      <c r="K20" s="96">
        <f>SUM(K21:K26)</f>
        <v>0.23</v>
      </c>
      <c r="L20" s="97">
        <f>SUM(L21:L26)</f>
        <v>17</v>
      </c>
      <c r="M20" s="99"/>
    </row>
    <row r="21" spans="5:13" ht="20.100000000000001" customHeight="1">
      <c r="E21" s="88">
        <v>1</v>
      </c>
      <c r="F21" s="91"/>
      <c r="G21" s="89" t="s">
        <v>185</v>
      </c>
      <c r="H21" s="88" t="s">
        <v>186</v>
      </c>
      <c r="I21" s="88"/>
      <c r="J21" s="89" t="s">
        <v>187</v>
      </c>
      <c r="K21" s="92">
        <v>0.08</v>
      </c>
      <c r="L21" s="88">
        <f>'Annual Report input'!D19</f>
        <v>4</v>
      </c>
      <c r="M21" s="88"/>
    </row>
    <row r="22" spans="5:13" ht="20.100000000000001" customHeight="1">
      <c r="E22" s="88">
        <v>2</v>
      </c>
      <c r="F22" s="91"/>
      <c r="G22" s="89" t="s">
        <v>188</v>
      </c>
      <c r="H22" s="88" t="s">
        <v>189</v>
      </c>
      <c r="I22" s="88"/>
      <c r="J22" s="89" t="s">
        <v>190</v>
      </c>
      <c r="K22" s="92">
        <v>0.02</v>
      </c>
      <c r="L22" s="88">
        <f>'Annual Report input'!D20</f>
        <v>2</v>
      </c>
      <c r="M22" s="88"/>
    </row>
    <row r="23" spans="5:13" ht="20.100000000000001" customHeight="1">
      <c r="E23" s="88">
        <v>3</v>
      </c>
      <c r="F23" s="91"/>
      <c r="G23" s="89" t="s">
        <v>191</v>
      </c>
      <c r="H23" s="88" t="s">
        <v>192</v>
      </c>
      <c r="I23" s="88"/>
      <c r="J23" s="89" t="s">
        <v>193</v>
      </c>
      <c r="K23" s="92">
        <v>0.04</v>
      </c>
      <c r="L23" s="88">
        <f>'Annual Report input'!D21</f>
        <v>4</v>
      </c>
      <c r="M23" s="88"/>
    </row>
    <row r="24" spans="5:13" ht="20.100000000000001" customHeight="1">
      <c r="E24" s="88">
        <v>4</v>
      </c>
      <c r="F24" s="91"/>
      <c r="G24" s="89" t="s">
        <v>194</v>
      </c>
      <c r="H24" s="88" t="s">
        <v>195</v>
      </c>
      <c r="I24" s="88"/>
      <c r="J24" s="91" t="s">
        <v>196</v>
      </c>
      <c r="K24" s="92">
        <v>0.02</v>
      </c>
      <c r="L24" s="88">
        <f>'Annual Report input'!D22</f>
        <v>1</v>
      </c>
      <c r="M24" s="99"/>
    </row>
    <row r="25" spans="5:13" ht="20.100000000000001" customHeight="1">
      <c r="E25" s="88">
        <v>6</v>
      </c>
      <c r="F25" s="91"/>
      <c r="G25" s="89" t="s">
        <v>197</v>
      </c>
      <c r="H25" s="88" t="s">
        <v>198</v>
      </c>
      <c r="I25" s="90">
        <f>SUM('Shareholding input'!C6:C7)</f>
        <v>0.57369999999999999</v>
      </c>
      <c r="J25" s="91" t="s">
        <v>199</v>
      </c>
      <c r="K25" s="92">
        <v>0.04</v>
      </c>
      <c r="L25" s="88">
        <f>IF(I25&gt;0.7,4,IF(AND(I25&gt;0.4,I25&lt;0.7),3,IF(AND(I25&gt;0.2,I25&lt;0.4),2,IF(AND(I25&gt;0.1,I25&lt;0.2),1,0))))</f>
        <v>3</v>
      </c>
      <c r="M25" s="88"/>
    </row>
    <row r="26" spans="5:13" ht="20.100000000000001" customHeight="1">
      <c r="E26" s="88">
        <v>8</v>
      </c>
      <c r="F26" s="91"/>
      <c r="G26" s="89" t="s">
        <v>200</v>
      </c>
      <c r="H26" s="88" t="s">
        <v>522</v>
      </c>
      <c r="I26" s="90">
        <f>SUM('Shareholding input'!C8:C8)</f>
        <v>0.2387</v>
      </c>
      <c r="J26" s="91" t="s">
        <v>201</v>
      </c>
      <c r="K26" s="92">
        <v>0.03</v>
      </c>
      <c r="L26" s="88">
        <f>IF(I26&gt;0.05,3,IF(AND(I26&gt;0.02,I26&lt;0.05),2.5,IF(AND(I26&gt;0.01,I26&lt;0.02),2,IF(AND(I26&gt;0,I26&lt;0.01),1,0))))</f>
        <v>3</v>
      </c>
      <c r="M26" s="88"/>
    </row>
    <row r="27" spans="5:13" ht="20.100000000000001" customHeight="1">
      <c r="E27" s="277" t="s">
        <v>202</v>
      </c>
      <c r="F27" s="286"/>
      <c r="G27" s="278"/>
      <c r="H27" s="278"/>
      <c r="I27" s="278"/>
      <c r="J27" s="278"/>
      <c r="K27" s="96">
        <f>SUM(K28:K31)</f>
        <v>0.1</v>
      </c>
      <c r="L27" s="97">
        <f>SUM(L28:L31)</f>
        <v>8</v>
      </c>
      <c r="M27" s="99"/>
    </row>
    <row r="28" spans="5:13" ht="20.100000000000001" customHeight="1">
      <c r="E28" s="88">
        <v>1</v>
      </c>
      <c r="F28" s="91"/>
      <c r="G28" s="89" t="s">
        <v>203</v>
      </c>
      <c r="H28" s="88" t="s">
        <v>204</v>
      </c>
      <c r="I28" s="88"/>
      <c r="J28" s="91" t="s">
        <v>205</v>
      </c>
      <c r="K28" s="92">
        <v>0.03</v>
      </c>
      <c r="L28" s="88">
        <f>'Annual Report input'!D26</f>
        <v>3</v>
      </c>
      <c r="M28" s="88"/>
    </row>
    <row r="29" spans="5:13" ht="20.100000000000001" customHeight="1">
      <c r="E29" s="88">
        <v>2</v>
      </c>
      <c r="F29" s="91"/>
      <c r="G29" s="89" t="s">
        <v>206</v>
      </c>
      <c r="H29" s="88" t="s">
        <v>207</v>
      </c>
      <c r="I29" s="88"/>
      <c r="J29" s="91" t="s">
        <v>208</v>
      </c>
      <c r="K29" s="92">
        <v>0.02</v>
      </c>
      <c r="L29" s="88">
        <f>'Annual Report input'!D27</f>
        <v>1</v>
      </c>
      <c r="M29" s="88"/>
    </row>
    <row r="30" spans="5:13" ht="20.100000000000001" customHeight="1">
      <c r="E30" s="88">
        <v>3</v>
      </c>
      <c r="F30" s="91"/>
      <c r="G30" s="89" t="s">
        <v>209</v>
      </c>
      <c r="H30" s="88"/>
      <c r="I30" s="88"/>
      <c r="J30" s="91"/>
      <c r="K30" s="92">
        <v>0.02</v>
      </c>
      <c r="L30" s="88">
        <f>'Annual Report input'!D28</f>
        <v>2</v>
      </c>
      <c r="M30" s="88"/>
    </row>
    <row r="31" spans="5:13" ht="20.100000000000001" customHeight="1">
      <c r="E31" s="88">
        <v>3</v>
      </c>
      <c r="F31" s="91"/>
      <c r="G31" s="89" t="s">
        <v>346</v>
      </c>
      <c r="H31" s="88"/>
      <c r="I31" s="88"/>
      <c r="J31" s="89" t="s">
        <v>347</v>
      </c>
      <c r="K31" s="92">
        <v>0.03</v>
      </c>
      <c r="L31" s="88">
        <f>'Annual Report input'!D29</f>
        <v>2</v>
      </c>
      <c r="M31" s="88"/>
    </row>
    <row r="32" spans="5:13" ht="20.100000000000001" customHeight="1">
      <c r="E32" s="277" t="s">
        <v>157</v>
      </c>
      <c r="F32" s="286"/>
      <c r="G32" s="278"/>
      <c r="H32" s="278"/>
      <c r="I32" s="278"/>
      <c r="J32" s="278"/>
      <c r="K32" s="96">
        <f>SUM(K33:K33)</f>
        <v>0.04</v>
      </c>
      <c r="L32" s="97">
        <f>SUM(L33:L33)</f>
        <v>2</v>
      </c>
      <c r="M32" s="99"/>
    </row>
    <row r="33" spans="5:13" ht="20.100000000000001" customHeight="1">
      <c r="E33" s="88">
        <v>4</v>
      </c>
      <c r="F33" s="91"/>
      <c r="G33" s="89" t="s">
        <v>210</v>
      </c>
      <c r="H33" s="88" t="s">
        <v>211</v>
      </c>
      <c r="I33" s="175">
        <f>Analysis!M8</f>
        <v>-1.5329338458688757</v>
      </c>
      <c r="J33" s="91" t="s">
        <v>348</v>
      </c>
      <c r="K33" s="92">
        <v>0.04</v>
      </c>
      <c r="L33" s="88">
        <f>'Annual Report input'!D31</f>
        <v>2</v>
      </c>
      <c r="M33" s="88"/>
    </row>
  </sheetData>
  <mergeCells count="3">
    <mergeCell ref="F5:F7"/>
    <mergeCell ref="F9:F12"/>
    <mergeCell ref="F13:F14"/>
  </mergeCells>
  <pageMargins left="0.7" right="0.7" top="0.75" bottom="0.75" header="0.3" footer="0.3"/>
  <pageSetup orientation="portrait" r:id="rId1"/>
  <ignoredErrors>
    <ignoredError sqref="I25:I26" formulaRange="1"/>
    <ignoredError sqref="C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61"/>
  <sheetViews>
    <sheetView showGridLines="0" workbookViewId="0"/>
  </sheetViews>
  <sheetFormatPr defaultRowHeight="15" customHeight="1"/>
  <cols>
    <col min="1" max="1" width="5.7109375" customWidth="1"/>
    <col min="2" max="2" width="10.42578125" bestFit="1" customWidth="1"/>
    <col min="5" max="5" width="12.28515625" customWidth="1"/>
    <col min="10" max="10" width="7.28515625" customWidth="1"/>
    <col min="11" max="11" width="13" customWidth="1"/>
  </cols>
  <sheetData>
    <row r="3" spans="2:22" ht="15" customHeight="1">
      <c r="B3" s="300" t="s">
        <v>448</v>
      </c>
      <c r="C3" s="101" t="s">
        <v>236</v>
      </c>
      <c r="D3" s="101" t="s">
        <v>237</v>
      </c>
      <c r="E3" s="101" t="s">
        <v>443</v>
      </c>
      <c r="F3" s="101" t="s">
        <v>502</v>
      </c>
      <c r="G3" s="101" t="s">
        <v>451</v>
      </c>
      <c r="K3" s="300" t="s">
        <v>448</v>
      </c>
      <c r="L3" s="101" t="s">
        <v>236</v>
      </c>
      <c r="O3" s="361" t="s">
        <v>475</v>
      </c>
      <c r="P3" s="361"/>
      <c r="Q3" s="361"/>
      <c r="R3" s="361"/>
      <c r="S3" s="361"/>
      <c r="T3" s="361"/>
    </row>
    <row r="4" spans="2:22" ht="15" customHeight="1">
      <c r="B4" s="256" t="s">
        <v>446</v>
      </c>
      <c r="C4" s="301">
        <v>0.2</v>
      </c>
      <c r="D4" s="301"/>
      <c r="E4" s="301"/>
      <c r="F4" s="301"/>
      <c r="G4" s="301"/>
      <c r="K4" s="256" t="s">
        <v>449</v>
      </c>
      <c r="L4" s="299">
        <v>4</v>
      </c>
      <c r="O4" s="361" t="s">
        <v>495</v>
      </c>
      <c r="P4" s="361"/>
      <c r="Q4" s="361"/>
      <c r="R4" s="361"/>
      <c r="S4" s="361"/>
      <c r="T4" s="361"/>
    </row>
    <row r="5" spans="2:22" ht="15" customHeight="1">
      <c r="B5" s="256" t="s">
        <v>447</v>
      </c>
      <c r="C5" s="301">
        <f>POWER('Screener Output.v0'!M25/'Screener Output.v0'!C25,1/9)-1</f>
        <v>0.25249764280886988</v>
      </c>
      <c r="D5" s="301">
        <f>POWER('Screener Output.v0'!M25/'Screener Output.v0'!G25,1/5)-1</f>
        <v>0.12948655236374007</v>
      </c>
      <c r="E5" s="301">
        <f>POWER('Screener Output.v0'!M25/'Screener Output.v0'!N25,1)-1</f>
        <v>3.4125747600139977E-3</v>
      </c>
      <c r="F5" s="301">
        <f>'Screener Output.v0'!L191</f>
        <v>-0.13523060758668171</v>
      </c>
      <c r="G5" s="301">
        <f>'Screener Output.v0'!L142</f>
        <v>-9.1739552732288017E-3</v>
      </c>
      <c r="K5" s="256" t="s">
        <v>450</v>
      </c>
      <c r="L5" s="298">
        <f>IF(C5&gt;0.2,4,IF(AND(C5&gt;0.1,C5&lt;0.2),3,IF(AND(C5&gt;0.05,C5&lt;0.1),2,IF(AND(C5&gt;0,C5&lt;0.05),1,0))))</f>
        <v>4</v>
      </c>
      <c r="O5" s="361"/>
      <c r="P5" s="361"/>
      <c r="Q5" s="361"/>
      <c r="R5" s="361"/>
      <c r="S5" s="361"/>
      <c r="T5" s="361"/>
    </row>
    <row r="6" spans="2:22" ht="15" customHeight="1">
      <c r="E6" s="257"/>
      <c r="O6" s="361"/>
      <c r="P6" s="361"/>
      <c r="Q6" s="361"/>
      <c r="R6" s="361"/>
      <c r="S6" s="361"/>
      <c r="T6" s="361"/>
    </row>
    <row r="10" spans="2:22" ht="15" customHeight="1">
      <c r="B10" s="360" t="s">
        <v>439</v>
      </c>
      <c r="C10" s="360"/>
      <c r="D10" s="360"/>
      <c r="E10" s="360"/>
      <c r="F10" s="360"/>
      <c r="G10" s="360"/>
      <c r="H10" s="360"/>
      <c r="I10" s="360"/>
      <c r="K10" s="358" t="s">
        <v>440</v>
      </c>
      <c r="L10" s="358"/>
      <c r="M10" s="358"/>
      <c r="N10" s="358"/>
      <c r="O10" s="358"/>
      <c r="P10" s="358"/>
      <c r="Q10" s="358"/>
      <c r="R10" s="358"/>
      <c r="S10" s="358"/>
      <c r="T10" s="358"/>
      <c r="U10" s="254"/>
      <c r="V10" s="303"/>
    </row>
    <row r="11" spans="2:22" ht="15" customHeight="1">
      <c r="B11" s="77"/>
      <c r="C11" s="77"/>
      <c r="K11" s="2"/>
      <c r="L11" s="2"/>
      <c r="M11" s="2"/>
      <c r="N11" s="2"/>
      <c r="O11" s="2"/>
      <c r="P11" s="2"/>
      <c r="Q11" s="2"/>
      <c r="R11" s="2"/>
      <c r="S11" s="2"/>
      <c r="T11" s="2"/>
      <c r="U11" s="2"/>
      <c r="V11" s="2"/>
    </row>
    <row r="12" spans="2:22" ht="15" customHeight="1">
      <c r="B12" s="77"/>
      <c r="C12" s="77"/>
      <c r="K12" s="2"/>
      <c r="L12" s="2"/>
      <c r="M12" s="2"/>
      <c r="N12" s="2"/>
      <c r="O12" s="2"/>
      <c r="P12" s="2"/>
      <c r="Q12" s="2"/>
      <c r="R12" s="2"/>
      <c r="S12" s="2"/>
      <c r="T12" s="2"/>
      <c r="U12" s="2"/>
      <c r="V12" s="2"/>
    </row>
    <row r="13" spans="2:22" ht="15" customHeight="1">
      <c r="B13" s="77"/>
      <c r="C13" s="77"/>
      <c r="K13" s="2"/>
      <c r="L13" s="2"/>
      <c r="M13" s="2"/>
      <c r="N13" s="2"/>
      <c r="O13" s="2"/>
      <c r="P13" s="2"/>
      <c r="Q13" s="2"/>
      <c r="R13" s="2"/>
      <c r="S13" s="2"/>
      <c r="T13" s="2"/>
      <c r="U13" s="2"/>
      <c r="V13" s="2"/>
    </row>
    <row r="14" spans="2:22" ht="15" customHeight="1">
      <c r="B14" s="77"/>
      <c r="C14" s="77"/>
      <c r="K14" s="2"/>
      <c r="L14" s="2"/>
      <c r="M14" s="2"/>
      <c r="N14" s="2"/>
      <c r="O14" s="2"/>
      <c r="P14" s="2"/>
      <c r="Q14" s="2"/>
      <c r="R14" s="2"/>
      <c r="S14" s="2"/>
      <c r="T14" s="2"/>
      <c r="U14" s="2"/>
      <c r="V14" s="2"/>
    </row>
    <row r="15" spans="2:22" ht="15" customHeight="1">
      <c r="B15" s="249"/>
      <c r="C15" s="249"/>
      <c r="K15" s="2"/>
      <c r="L15" s="2"/>
      <c r="M15" s="2"/>
      <c r="N15" s="2"/>
      <c r="O15" s="2"/>
      <c r="P15" s="2"/>
      <c r="Q15" s="2"/>
      <c r="R15" s="2"/>
      <c r="S15" s="2"/>
      <c r="T15" s="2"/>
      <c r="U15" s="2"/>
      <c r="V15" s="2"/>
    </row>
    <row r="16" spans="2:22" ht="15" customHeight="1">
      <c r="B16" s="249"/>
      <c r="C16" s="249"/>
      <c r="K16" s="2"/>
      <c r="L16" s="2"/>
      <c r="M16" s="2"/>
      <c r="N16" s="2"/>
      <c r="O16" s="2"/>
      <c r="P16" s="2"/>
      <c r="Q16" s="2"/>
      <c r="R16" s="2"/>
      <c r="S16" s="2"/>
      <c r="T16" s="2"/>
      <c r="U16" s="2"/>
      <c r="V16" s="2"/>
    </row>
    <row r="17" spans="2:22" ht="15" customHeight="1">
      <c r="B17" s="249"/>
      <c r="C17" s="249"/>
      <c r="K17" s="2"/>
      <c r="L17" s="2"/>
      <c r="M17" s="2"/>
      <c r="N17" s="2"/>
      <c r="O17" s="2"/>
      <c r="P17" s="2"/>
      <c r="Q17" s="2"/>
      <c r="R17" s="2"/>
      <c r="S17" s="2"/>
      <c r="T17" s="2"/>
      <c r="U17" s="2"/>
      <c r="V17" s="2"/>
    </row>
    <row r="18" spans="2:22" ht="15" customHeight="1">
      <c r="B18" s="77"/>
      <c r="C18" s="77"/>
      <c r="K18" s="2"/>
      <c r="L18" s="2"/>
      <c r="M18" s="2"/>
      <c r="N18" s="2"/>
      <c r="O18" s="2"/>
      <c r="P18" s="2"/>
      <c r="Q18" s="2"/>
      <c r="R18" s="2"/>
      <c r="S18" s="2"/>
      <c r="T18" s="2"/>
      <c r="U18" s="2"/>
      <c r="V18" s="2"/>
    </row>
    <row r="19" spans="2:22" ht="15" customHeight="1">
      <c r="B19" s="77"/>
      <c r="C19" s="77"/>
      <c r="K19" s="2"/>
      <c r="L19" s="2"/>
      <c r="M19" s="2"/>
      <c r="N19" s="2"/>
      <c r="O19" s="2"/>
      <c r="P19" s="2"/>
      <c r="Q19" s="2"/>
      <c r="R19" s="2"/>
      <c r="S19" s="2"/>
      <c r="T19" s="2"/>
      <c r="U19" s="2"/>
      <c r="V19" s="2"/>
    </row>
    <row r="20" spans="2:22" ht="15" customHeight="1">
      <c r="B20" s="77"/>
      <c r="C20" s="77"/>
      <c r="K20" s="2"/>
      <c r="L20" s="2"/>
      <c r="M20" s="2"/>
      <c r="N20" s="2"/>
      <c r="O20" s="2"/>
      <c r="P20" s="2"/>
      <c r="Q20" s="2"/>
      <c r="R20" s="2"/>
      <c r="S20" s="2"/>
      <c r="T20" s="2"/>
      <c r="U20" s="2"/>
      <c r="V20" s="2"/>
    </row>
    <row r="21" spans="2:22" ht="15" customHeight="1">
      <c r="B21" s="77"/>
      <c r="C21" s="77"/>
      <c r="K21" s="2"/>
      <c r="L21" s="2"/>
      <c r="M21" s="2"/>
      <c r="N21" s="2"/>
      <c r="O21" s="2"/>
      <c r="P21" s="2"/>
      <c r="Q21" s="2"/>
      <c r="R21" s="2"/>
      <c r="S21" s="2"/>
      <c r="T21" s="2"/>
      <c r="U21" s="2"/>
      <c r="V21" s="2"/>
    </row>
    <row r="22" spans="2:22" ht="15" customHeight="1">
      <c r="B22" s="77"/>
      <c r="C22" s="77"/>
      <c r="K22" s="2"/>
      <c r="L22" s="2"/>
      <c r="M22" s="2"/>
      <c r="N22" s="2"/>
      <c r="O22" s="2"/>
      <c r="P22" s="2"/>
      <c r="Q22" s="2"/>
      <c r="R22" s="2"/>
      <c r="S22" s="2"/>
      <c r="T22" s="2"/>
      <c r="U22" s="2"/>
      <c r="V22" s="2"/>
    </row>
    <row r="23" spans="2:22" ht="15" customHeight="1">
      <c r="B23" s="77"/>
      <c r="C23" s="77"/>
      <c r="K23" s="2"/>
      <c r="L23" s="2"/>
      <c r="M23" s="2"/>
      <c r="N23" s="2"/>
      <c r="O23" s="2"/>
      <c r="P23" s="2"/>
      <c r="Q23" s="2"/>
      <c r="R23" s="2"/>
      <c r="S23" s="2"/>
      <c r="T23" s="2"/>
      <c r="U23" s="2"/>
      <c r="V23" s="2"/>
    </row>
    <row r="24" spans="2:22" ht="15" customHeight="1">
      <c r="B24" s="77"/>
      <c r="C24" s="77"/>
      <c r="K24" s="2"/>
      <c r="L24" s="2"/>
      <c r="M24" s="2"/>
      <c r="N24" s="2"/>
      <c r="O24" s="2"/>
      <c r="P24" s="2"/>
      <c r="Q24" s="2"/>
      <c r="R24" s="2"/>
      <c r="S24" s="2"/>
      <c r="T24" s="2"/>
      <c r="U24" s="2"/>
      <c r="V24" s="2"/>
    </row>
    <row r="25" spans="2:22" ht="15" customHeight="1">
      <c r="B25" s="77"/>
      <c r="C25" s="77"/>
      <c r="K25" s="2"/>
      <c r="L25" s="2"/>
      <c r="M25" s="2"/>
      <c r="N25" s="2"/>
      <c r="O25" s="2"/>
      <c r="P25" s="2"/>
      <c r="Q25" s="2"/>
      <c r="R25" s="2"/>
      <c r="S25" s="2"/>
      <c r="T25" s="2"/>
      <c r="U25" s="2"/>
      <c r="V25" s="2"/>
    </row>
    <row r="28" spans="2:22" ht="15" customHeight="1">
      <c r="B28" s="358" t="s">
        <v>442</v>
      </c>
      <c r="C28" s="358"/>
      <c r="D28" s="358"/>
      <c r="E28" s="358"/>
      <c r="F28" s="358"/>
      <c r="G28" s="358"/>
      <c r="H28" s="358"/>
      <c r="I28" s="358"/>
      <c r="K28" s="358" t="s">
        <v>441</v>
      </c>
      <c r="L28" s="358"/>
      <c r="M28" s="358"/>
      <c r="N28" s="358"/>
      <c r="O28" s="358"/>
      <c r="P28" s="358"/>
      <c r="Q28" s="358"/>
      <c r="R28" s="358"/>
      <c r="S28" s="358"/>
      <c r="T28" s="358"/>
      <c r="U28" s="254"/>
      <c r="V28" s="303"/>
    </row>
    <row r="29" spans="2:22" ht="15" customHeight="1">
      <c r="B29" s="250"/>
      <c r="C29" s="250"/>
      <c r="K29" s="2"/>
      <c r="L29" s="2"/>
      <c r="M29" s="2"/>
      <c r="N29" s="2"/>
      <c r="O29" s="2"/>
      <c r="P29" s="2"/>
      <c r="Q29" s="2"/>
      <c r="R29" s="2"/>
      <c r="S29" s="2"/>
      <c r="T29" s="2"/>
      <c r="U29" s="2"/>
      <c r="V29" s="2"/>
    </row>
    <row r="30" spans="2:22" ht="15" customHeight="1">
      <c r="B30" s="250"/>
      <c r="C30" s="250"/>
      <c r="K30" s="2"/>
      <c r="L30" s="2"/>
      <c r="M30" s="2"/>
      <c r="N30" s="2"/>
      <c r="O30" s="2"/>
      <c r="P30" s="2"/>
      <c r="Q30" s="2"/>
      <c r="R30" s="2"/>
      <c r="S30" s="2"/>
      <c r="T30" s="2"/>
      <c r="U30" s="2"/>
      <c r="V30" s="2"/>
    </row>
    <row r="31" spans="2:22" ht="15" customHeight="1">
      <c r="B31" s="250"/>
      <c r="C31" s="250"/>
      <c r="K31" s="2"/>
      <c r="L31" s="2"/>
      <c r="M31" s="2"/>
      <c r="N31" s="2"/>
      <c r="O31" s="2"/>
      <c r="P31" s="2"/>
      <c r="Q31" s="2"/>
      <c r="R31" s="2"/>
      <c r="S31" s="2"/>
      <c r="T31" s="2"/>
      <c r="U31" s="2"/>
      <c r="V31" s="2"/>
    </row>
    <row r="32" spans="2:22" ht="15" customHeight="1">
      <c r="B32" s="77"/>
      <c r="C32" s="77"/>
      <c r="K32" s="2"/>
      <c r="L32" s="2"/>
      <c r="M32" s="2"/>
      <c r="N32" s="2"/>
      <c r="O32" s="2"/>
      <c r="P32" s="2"/>
      <c r="Q32" s="2"/>
      <c r="R32" s="2"/>
      <c r="S32" s="2"/>
      <c r="T32" s="2"/>
      <c r="U32" s="2"/>
      <c r="V32" s="2"/>
    </row>
    <row r="33" spans="2:22" ht="15" customHeight="1">
      <c r="B33" s="218"/>
      <c r="C33" s="218"/>
      <c r="K33" s="2"/>
      <c r="L33" s="2"/>
      <c r="M33" s="2"/>
      <c r="N33" s="2"/>
      <c r="O33" s="2"/>
      <c r="P33" s="2"/>
      <c r="Q33" s="2"/>
      <c r="R33" s="2"/>
      <c r="S33" s="2"/>
      <c r="T33" s="2"/>
      <c r="U33" s="2"/>
      <c r="V33" s="2"/>
    </row>
    <row r="34" spans="2:22" ht="15" customHeight="1">
      <c r="B34" s="218"/>
      <c r="C34" s="218"/>
      <c r="K34" s="2"/>
      <c r="L34" s="2"/>
      <c r="M34" s="2"/>
      <c r="N34" s="2"/>
      <c r="O34" s="2"/>
      <c r="P34" s="2"/>
      <c r="Q34" s="2"/>
      <c r="R34" s="2"/>
      <c r="S34" s="2"/>
      <c r="T34" s="2"/>
      <c r="U34" s="2"/>
      <c r="V34" s="2"/>
    </row>
    <row r="35" spans="2:22" ht="15" customHeight="1">
      <c r="B35" s="218"/>
      <c r="C35" s="218"/>
      <c r="K35" s="2"/>
      <c r="L35" s="2"/>
      <c r="M35" s="2"/>
      <c r="N35" s="2"/>
      <c r="O35" s="2"/>
      <c r="P35" s="2"/>
      <c r="Q35" s="2"/>
      <c r="R35" s="2"/>
      <c r="S35" s="2"/>
      <c r="T35" s="2"/>
      <c r="U35" s="2"/>
      <c r="V35" s="2"/>
    </row>
    <row r="36" spans="2:22" ht="15" customHeight="1">
      <c r="B36" s="218"/>
      <c r="C36" s="218"/>
      <c r="K36" s="2"/>
      <c r="L36" s="2"/>
      <c r="M36" s="2"/>
      <c r="N36" s="2"/>
      <c r="O36" s="2"/>
      <c r="P36" s="2"/>
      <c r="Q36" s="2"/>
      <c r="R36" s="2"/>
      <c r="S36" s="2"/>
      <c r="T36" s="2"/>
      <c r="U36" s="2"/>
      <c r="V36" s="2"/>
    </row>
    <row r="37" spans="2:22" ht="15" customHeight="1">
      <c r="B37" s="218"/>
      <c r="C37" s="218"/>
      <c r="K37" s="2"/>
      <c r="L37" s="2"/>
      <c r="M37" s="2"/>
      <c r="N37" s="2"/>
      <c r="O37" s="2"/>
      <c r="P37" s="2"/>
      <c r="Q37" s="2"/>
      <c r="R37" s="2"/>
      <c r="S37" s="2"/>
      <c r="T37" s="2"/>
      <c r="U37" s="2"/>
      <c r="V37" s="2"/>
    </row>
    <row r="38" spans="2:22" ht="15" customHeight="1">
      <c r="B38" s="218"/>
      <c r="C38" s="218"/>
      <c r="K38" s="2"/>
      <c r="L38" s="2"/>
      <c r="M38" s="2"/>
      <c r="N38" s="2"/>
      <c r="O38" s="2"/>
      <c r="P38" s="2"/>
      <c r="Q38" s="2"/>
      <c r="R38" s="2"/>
      <c r="S38" s="2"/>
      <c r="T38" s="2"/>
      <c r="U38" s="2"/>
      <c r="V38" s="2"/>
    </row>
    <row r="39" spans="2:22" ht="15" customHeight="1">
      <c r="B39" s="218"/>
      <c r="C39" s="218"/>
      <c r="K39" s="2"/>
      <c r="L39" s="2"/>
      <c r="M39" s="2"/>
      <c r="N39" s="2"/>
      <c r="O39" s="2"/>
      <c r="P39" s="2"/>
      <c r="Q39" s="2"/>
      <c r="R39" s="2"/>
      <c r="S39" s="2"/>
      <c r="T39" s="2"/>
      <c r="U39" s="2"/>
      <c r="V39" s="2"/>
    </row>
    <row r="40" spans="2:22" ht="15" customHeight="1">
      <c r="B40" s="218"/>
      <c r="C40" s="218"/>
      <c r="K40" s="2"/>
      <c r="L40" s="2"/>
      <c r="M40" s="2"/>
      <c r="N40" s="2"/>
      <c r="O40" s="2"/>
      <c r="P40" s="2"/>
      <c r="Q40" s="2"/>
      <c r="R40" s="2"/>
      <c r="S40" s="2"/>
      <c r="T40" s="2"/>
      <c r="U40" s="2"/>
      <c r="V40" s="2"/>
    </row>
    <row r="41" spans="2:22" ht="15" customHeight="1">
      <c r="B41" s="218"/>
      <c r="C41" s="218"/>
      <c r="K41" s="2"/>
      <c r="L41" s="2"/>
      <c r="M41" s="2"/>
      <c r="N41" s="2"/>
      <c r="O41" s="2"/>
      <c r="P41" s="2"/>
      <c r="Q41" s="2"/>
      <c r="R41" s="2"/>
      <c r="S41" s="2"/>
      <c r="T41" s="2"/>
      <c r="U41" s="2"/>
      <c r="V41" s="2"/>
    </row>
    <row r="42" spans="2:22" ht="15" customHeight="1">
      <c r="B42" s="218"/>
      <c r="C42" s="218"/>
      <c r="K42" s="2"/>
      <c r="L42" s="2"/>
      <c r="M42" s="2"/>
      <c r="N42" s="2"/>
      <c r="O42" s="2"/>
      <c r="P42" s="2"/>
      <c r="Q42" s="2"/>
      <c r="R42" s="2"/>
      <c r="S42" s="2"/>
      <c r="T42" s="2"/>
      <c r="U42" s="2"/>
      <c r="V42" s="2"/>
    </row>
    <row r="43" spans="2:22" ht="15" customHeight="1">
      <c r="B43" s="218"/>
      <c r="C43" s="218"/>
      <c r="K43" s="2"/>
      <c r="L43" s="2"/>
      <c r="M43" s="2"/>
      <c r="N43" s="2"/>
      <c r="O43" s="2"/>
      <c r="P43" s="2"/>
      <c r="Q43" s="2"/>
      <c r="R43" s="2"/>
      <c r="S43" s="2"/>
      <c r="T43" s="2"/>
      <c r="U43" s="2"/>
      <c r="V43" s="2"/>
    </row>
    <row r="47" spans="2:22" ht="15" customHeight="1">
      <c r="B47" s="326" t="s">
        <v>464</v>
      </c>
      <c r="C47" s="326"/>
      <c r="D47" s="326"/>
      <c r="E47" s="326"/>
      <c r="F47" s="326"/>
      <c r="G47" s="326"/>
      <c r="H47" s="326"/>
      <c r="I47" s="326"/>
      <c r="K47" s="358" t="s">
        <v>519</v>
      </c>
      <c r="L47" s="358"/>
      <c r="M47" s="358"/>
      <c r="N47" s="358"/>
      <c r="O47" s="358"/>
      <c r="P47" s="358"/>
      <c r="Q47" s="358"/>
      <c r="R47" s="358"/>
      <c r="S47" s="358"/>
      <c r="T47" s="358"/>
      <c r="U47" s="254"/>
    </row>
    <row r="61" spans="2:9" ht="15" customHeight="1">
      <c r="B61" s="359" t="s">
        <v>476</v>
      </c>
      <c r="C61" s="359"/>
      <c r="D61" s="359"/>
      <c r="E61" s="359"/>
      <c r="F61" s="359"/>
      <c r="G61" s="359"/>
      <c r="H61" s="359"/>
      <c r="I61" s="359"/>
    </row>
  </sheetData>
  <mergeCells count="20">
    <mergeCell ref="S28:T28"/>
    <mergeCell ref="K47:L47"/>
    <mergeCell ref="M47:N47"/>
    <mergeCell ref="O47:P47"/>
    <mergeCell ref="Q47:R47"/>
    <mergeCell ref="S47:T47"/>
    <mergeCell ref="B10:I10"/>
    <mergeCell ref="O3:T3"/>
    <mergeCell ref="K10:L10"/>
    <mergeCell ref="M10:N10"/>
    <mergeCell ref="O10:P10"/>
    <mergeCell ref="Q10:R10"/>
    <mergeCell ref="S10:T10"/>
    <mergeCell ref="O4:T6"/>
    <mergeCell ref="K28:L28"/>
    <mergeCell ref="M28:N28"/>
    <mergeCell ref="O28:P28"/>
    <mergeCell ref="Q28:R28"/>
    <mergeCell ref="B61:I61"/>
    <mergeCell ref="B28:I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47"/>
  <sheetViews>
    <sheetView showGridLines="0" workbookViewId="0">
      <selection activeCell="G6" sqref="G6"/>
    </sheetView>
  </sheetViews>
  <sheetFormatPr defaultRowHeight="18" customHeight="1"/>
  <cols>
    <col min="1" max="1" width="5.7109375" customWidth="1"/>
    <col min="2" max="2" width="9.85546875" customWidth="1"/>
    <col min="5" max="5" width="12.28515625" customWidth="1"/>
    <col min="10" max="10" width="7.28515625" customWidth="1"/>
    <col min="11" max="11" width="13" customWidth="1"/>
    <col min="15" max="15" width="11.5703125" customWidth="1"/>
  </cols>
  <sheetData>
    <row r="3" spans="2:22" ht="18" customHeight="1">
      <c r="B3" s="362" t="s">
        <v>461</v>
      </c>
      <c r="C3" s="363"/>
      <c r="E3" s="300" t="s">
        <v>35</v>
      </c>
      <c r="F3" s="101" t="s">
        <v>236</v>
      </c>
      <c r="G3" s="101" t="s">
        <v>237</v>
      </c>
      <c r="H3" s="101" t="s">
        <v>443</v>
      </c>
      <c r="K3" s="300" t="s">
        <v>35</v>
      </c>
      <c r="L3" s="101" t="s">
        <v>236</v>
      </c>
      <c r="M3" s="101" t="s">
        <v>237</v>
      </c>
      <c r="O3" s="362" t="s">
        <v>461</v>
      </c>
      <c r="P3" s="363"/>
      <c r="S3" s="101" t="s">
        <v>503</v>
      </c>
    </row>
    <row r="4" spans="2:22" ht="27" customHeight="1">
      <c r="B4" s="256" t="s">
        <v>462</v>
      </c>
      <c r="C4" s="301">
        <v>0.1</v>
      </c>
      <c r="E4" s="256" t="s">
        <v>529</v>
      </c>
      <c r="F4" s="301">
        <v>0.2</v>
      </c>
      <c r="G4" s="301">
        <v>0.2</v>
      </c>
      <c r="H4" s="301"/>
      <c r="K4" s="256" t="s">
        <v>527</v>
      </c>
      <c r="L4" s="302">
        <v>5</v>
      </c>
      <c r="M4" s="302">
        <v>9</v>
      </c>
      <c r="O4" s="256" t="s">
        <v>449</v>
      </c>
      <c r="P4" s="302">
        <v>4</v>
      </c>
      <c r="S4" s="301"/>
    </row>
    <row r="5" spans="2:22" ht="18" customHeight="1">
      <c r="B5" s="256" t="s">
        <v>140</v>
      </c>
      <c r="C5" s="301">
        <f>SUM('Screener Output.v0'!H35:M35)/SUM('Screener Output.v0'!H26:M26)</f>
        <v>0.13710583580117558</v>
      </c>
      <c r="E5" s="256" t="s">
        <v>530</v>
      </c>
      <c r="F5" s="301">
        <f>('Screener Output.v0'!M74/'Screener Output.v0'!C74)^(1/9)-1</f>
        <v>0.25339211256134564</v>
      </c>
      <c r="G5" s="301">
        <f>('Screener Output.v0'!M74/'Screener Output.v0'!G74)^(1/5)-1</f>
        <v>0.11887142709812282</v>
      </c>
      <c r="H5" s="301">
        <f>('Screener Output.v0'!M74/'Screener Output.v0'!N74)^(1/1)-1</f>
        <v>0.28544272835278495</v>
      </c>
      <c r="K5" s="256" t="s">
        <v>528</v>
      </c>
      <c r="L5" s="302">
        <f>IF(F5&gt;0.2,5,IF(AND(F5&gt;0.1,F5&lt;0.2),3,IF(AND(F5&gt;0.05,F5&lt;0.1),1,IF(AND(F5&gt;0,F5&lt;0.05),1,0))))</f>
        <v>5</v>
      </c>
      <c r="M5" s="302">
        <f>IF(G5&gt;0.2,9,IF(AND(G5&gt;0.1,G5&lt;0.2),7,IF(AND(G5&gt;0.05,G5&lt;0.1),3,IF(AND(G5&gt;0,G5&lt;0.05),1,0))))</f>
        <v>7</v>
      </c>
      <c r="O5" s="256" t="s">
        <v>450</v>
      </c>
      <c r="P5" s="302">
        <f>IF(C5&gt;0.1,4,IF(AND(C5&gt;0.08,C5&lt;0.1),3,IF(AND(C5&gt;0.05,C5&lt;0.08),2,IF(AND(C5&gt;0.03,C5&lt;0.05),1,0))))</f>
        <v>4</v>
      </c>
      <c r="S5" s="301">
        <f>'Screener Output.v0'!L193</f>
        <v>0.15718353361324255</v>
      </c>
    </row>
    <row r="6" spans="2:22" ht="18" customHeight="1">
      <c r="E6" s="256" t="s">
        <v>531</v>
      </c>
      <c r="F6" s="301">
        <f>POWER('Screener Output.v0'!M35/'Screener Output.v0'!C35,1/9)-1</f>
        <v>0.24653348839137923</v>
      </c>
      <c r="G6" s="301">
        <f>POWER('Screener Output.v0'!M35/'Screener Output.v0'!G35,1/5)-1</f>
        <v>0.13143163497405563</v>
      </c>
      <c r="H6" s="301">
        <f>('Screener Output.v0'!M35/'Screener Output.v0'!N35)^(1/1)-1</f>
        <v>0.28544272835278495</v>
      </c>
    </row>
    <row r="10" spans="2:22" ht="18" customHeight="1">
      <c r="B10" s="360" t="s">
        <v>438</v>
      </c>
      <c r="C10" s="360"/>
      <c r="D10" s="358"/>
      <c r="E10" s="358"/>
      <c r="F10" s="358"/>
      <c r="G10" s="358"/>
      <c r="H10" s="358"/>
      <c r="I10" s="358"/>
      <c r="J10" s="264"/>
      <c r="K10" s="358" t="s">
        <v>460</v>
      </c>
      <c r="L10" s="358"/>
      <c r="M10" s="358"/>
      <c r="N10" s="358"/>
      <c r="O10" s="358"/>
      <c r="P10" s="358"/>
      <c r="Q10" s="358"/>
      <c r="R10" s="358"/>
      <c r="S10" s="364"/>
      <c r="T10" s="364"/>
      <c r="U10" s="364"/>
      <c r="V10" s="364"/>
    </row>
    <row r="11" spans="2:22" ht="18" customHeight="1">
      <c r="H11" s="2"/>
      <c r="I11" s="2"/>
      <c r="J11" s="2"/>
      <c r="K11" s="2"/>
      <c r="L11" s="2"/>
      <c r="M11" s="2"/>
      <c r="N11" s="2"/>
      <c r="O11" s="2"/>
      <c r="P11" s="2"/>
      <c r="Q11" s="2"/>
      <c r="R11" s="2"/>
      <c r="S11" s="2"/>
      <c r="T11" s="2"/>
      <c r="U11" s="2"/>
      <c r="V11" s="2"/>
    </row>
    <row r="12" spans="2:22" ht="18" customHeight="1">
      <c r="H12" s="2"/>
      <c r="I12" s="2"/>
      <c r="J12" s="2"/>
      <c r="K12" s="2"/>
      <c r="L12" s="2"/>
      <c r="M12" s="2"/>
      <c r="N12" s="2"/>
      <c r="O12" s="2"/>
      <c r="P12" s="2"/>
      <c r="Q12" s="2"/>
      <c r="R12" s="2"/>
      <c r="S12" s="2"/>
      <c r="T12" s="2"/>
      <c r="U12" s="2"/>
      <c r="V12" s="2"/>
    </row>
    <row r="13" spans="2:22" ht="18" customHeight="1">
      <c r="H13" s="2"/>
      <c r="I13" s="2"/>
      <c r="J13" s="2"/>
      <c r="K13" s="2"/>
      <c r="L13" s="2"/>
      <c r="M13" s="2"/>
      <c r="N13" s="2"/>
      <c r="O13" s="2"/>
      <c r="P13" s="2"/>
      <c r="Q13" s="2"/>
      <c r="R13" s="2"/>
      <c r="S13" s="2"/>
      <c r="T13" s="2"/>
      <c r="U13" s="2"/>
      <c r="V13" s="2"/>
    </row>
    <row r="14" spans="2:22" ht="18" customHeight="1">
      <c r="H14" s="2"/>
      <c r="I14" s="2"/>
      <c r="J14" s="2"/>
      <c r="K14" s="2"/>
      <c r="L14" s="2"/>
      <c r="M14" s="2"/>
      <c r="N14" s="2"/>
      <c r="O14" s="2"/>
      <c r="P14" s="2"/>
      <c r="Q14" s="2"/>
      <c r="R14" s="2"/>
      <c r="S14" s="2"/>
      <c r="T14" s="2"/>
      <c r="U14" s="2"/>
      <c r="V14" s="2"/>
    </row>
    <row r="15" spans="2:22" ht="18" customHeight="1">
      <c r="H15" s="2"/>
      <c r="I15" s="2"/>
      <c r="J15" s="2"/>
      <c r="K15" s="2"/>
      <c r="L15" s="2"/>
      <c r="M15" s="2"/>
      <c r="N15" s="2"/>
      <c r="O15" s="2"/>
      <c r="P15" s="2"/>
      <c r="Q15" s="2"/>
      <c r="R15" s="2"/>
      <c r="S15" s="2"/>
      <c r="T15" s="2"/>
      <c r="U15" s="2"/>
      <c r="V15" s="2"/>
    </row>
    <row r="16" spans="2:22" ht="18" customHeight="1">
      <c r="H16" s="2"/>
      <c r="I16" s="2"/>
      <c r="J16" s="2"/>
      <c r="K16" s="2"/>
      <c r="L16" s="2"/>
      <c r="M16" s="2"/>
      <c r="N16" s="2"/>
      <c r="O16" s="2"/>
      <c r="P16" s="2"/>
      <c r="Q16" s="2"/>
      <c r="R16" s="2"/>
      <c r="S16" s="2"/>
      <c r="T16" s="2"/>
      <c r="U16" s="2"/>
      <c r="V16" s="2"/>
    </row>
    <row r="17" spans="2:22" ht="18" customHeight="1">
      <c r="H17" s="2"/>
      <c r="I17" s="2"/>
      <c r="J17" s="2"/>
      <c r="K17" s="2"/>
      <c r="L17" s="2"/>
      <c r="M17" s="2"/>
      <c r="N17" s="2"/>
      <c r="O17" s="2"/>
      <c r="P17" s="2"/>
      <c r="Q17" s="2"/>
      <c r="R17" s="2"/>
      <c r="S17" s="2"/>
      <c r="T17" s="2"/>
      <c r="U17" s="2"/>
      <c r="V17" s="2"/>
    </row>
    <row r="18" spans="2:22" ht="18" customHeight="1">
      <c r="H18" s="2"/>
      <c r="I18" s="2"/>
      <c r="J18" s="2"/>
      <c r="K18" s="2"/>
      <c r="L18" s="2"/>
      <c r="M18" s="2"/>
      <c r="N18" s="2"/>
      <c r="O18" s="2"/>
      <c r="P18" s="2"/>
      <c r="Q18" s="2"/>
      <c r="R18" s="2"/>
      <c r="S18" s="2"/>
      <c r="T18" s="2"/>
      <c r="U18" s="2"/>
      <c r="V18" s="2"/>
    </row>
    <row r="19" spans="2:22" ht="18" customHeight="1">
      <c r="H19" s="2"/>
      <c r="I19" s="2"/>
      <c r="J19" s="2"/>
      <c r="K19" s="2"/>
      <c r="L19" s="2"/>
      <c r="M19" s="2"/>
      <c r="N19" s="2"/>
      <c r="O19" s="2"/>
      <c r="P19" s="2"/>
      <c r="Q19" s="2"/>
      <c r="R19" s="2"/>
      <c r="S19" s="2"/>
      <c r="T19" s="2"/>
      <c r="U19" s="2"/>
      <c r="V19" s="2"/>
    </row>
    <row r="20" spans="2:22" ht="18" customHeight="1">
      <c r="H20" s="2"/>
      <c r="I20" s="2"/>
      <c r="J20" s="2"/>
      <c r="K20" s="2"/>
      <c r="L20" s="2"/>
      <c r="M20" s="2"/>
      <c r="N20" s="2"/>
      <c r="O20" s="2"/>
      <c r="P20" s="2"/>
      <c r="Q20" s="2"/>
      <c r="R20" s="2"/>
      <c r="S20" s="2"/>
      <c r="T20" s="2"/>
      <c r="U20" s="2"/>
      <c r="V20" s="2"/>
    </row>
    <row r="21" spans="2:22" ht="18" customHeight="1">
      <c r="I21" s="2"/>
      <c r="J21" s="2"/>
      <c r="K21" s="2"/>
      <c r="L21" s="2"/>
      <c r="M21" s="2"/>
      <c r="N21" s="2"/>
      <c r="O21" s="2"/>
      <c r="P21" s="2"/>
      <c r="Q21" s="2"/>
      <c r="R21" s="2"/>
      <c r="S21" s="2"/>
      <c r="T21" s="2"/>
      <c r="U21" s="2"/>
      <c r="V21" s="2"/>
    </row>
    <row r="22" spans="2:22" ht="18" customHeight="1">
      <c r="I22" s="2"/>
      <c r="J22" s="2"/>
      <c r="K22" s="2"/>
      <c r="L22" s="2"/>
      <c r="M22" s="2"/>
      <c r="N22" s="2"/>
      <c r="O22" s="2"/>
      <c r="P22" s="2"/>
      <c r="Q22" s="2"/>
      <c r="R22" s="2"/>
      <c r="S22" s="2"/>
      <c r="T22" s="2"/>
      <c r="U22" s="2"/>
      <c r="V22" s="2"/>
    </row>
    <row r="23" spans="2:22" ht="18" customHeight="1">
      <c r="I23" s="2"/>
      <c r="J23" s="2"/>
      <c r="K23" s="2"/>
      <c r="L23" s="2"/>
      <c r="M23" s="2"/>
      <c r="N23" s="2"/>
      <c r="O23" s="2"/>
      <c r="P23" s="2"/>
      <c r="Q23" s="2"/>
      <c r="R23" s="2"/>
      <c r="S23" s="2"/>
      <c r="T23" s="2"/>
      <c r="U23" s="2"/>
      <c r="V23" s="2"/>
    </row>
    <row r="24" spans="2:22" ht="18" customHeight="1">
      <c r="I24" s="2"/>
      <c r="J24" s="2"/>
      <c r="K24" s="2"/>
      <c r="L24" s="2"/>
      <c r="M24" s="2"/>
      <c r="N24" s="2"/>
      <c r="O24" s="2"/>
      <c r="P24" s="2"/>
      <c r="Q24" s="2"/>
      <c r="R24" s="2"/>
      <c r="S24" s="2"/>
      <c r="T24" s="2"/>
      <c r="U24" s="2"/>
      <c r="V24" s="2"/>
    </row>
    <row r="25" spans="2:22" ht="18" customHeight="1">
      <c r="I25" s="2"/>
      <c r="J25" s="2"/>
      <c r="K25" s="2"/>
      <c r="L25" s="2"/>
      <c r="M25" s="2"/>
      <c r="N25" s="2"/>
      <c r="O25" s="2"/>
      <c r="P25" s="2"/>
      <c r="Q25" s="2"/>
      <c r="R25" s="2"/>
      <c r="S25" s="2"/>
      <c r="T25" s="2"/>
      <c r="U25" s="2"/>
      <c r="V25" s="2"/>
    </row>
    <row r="27" spans="2:22" ht="18" customHeight="1">
      <c r="K27" s="365" t="s">
        <v>504</v>
      </c>
      <c r="L27" s="365"/>
      <c r="M27" s="365"/>
      <c r="N27" s="365"/>
      <c r="O27" s="365"/>
      <c r="P27" s="365"/>
      <c r="Q27" s="365"/>
      <c r="R27" s="365"/>
    </row>
    <row r="28" spans="2:22" ht="18" customHeight="1">
      <c r="K28" s="365"/>
      <c r="L28" s="365"/>
      <c r="M28" s="365"/>
      <c r="N28" s="365"/>
      <c r="O28" s="365"/>
      <c r="P28" s="365"/>
      <c r="Q28" s="365"/>
      <c r="R28" s="365"/>
    </row>
    <row r="32" spans="2:22" ht="18" customHeight="1">
      <c r="B32" s="360" t="s">
        <v>456</v>
      </c>
      <c r="C32" s="360"/>
      <c r="D32" s="360"/>
      <c r="E32" s="360"/>
      <c r="F32" s="360"/>
      <c r="G32" s="360"/>
      <c r="H32" s="360"/>
      <c r="I32" s="360"/>
      <c r="J32" s="264"/>
      <c r="K32" s="254" t="s">
        <v>523</v>
      </c>
      <c r="L32" s="254"/>
      <c r="M32" s="254"/>
      <c r="N32" s="254"/>
      <c r="O32" s="254"/>
      <c r="P32" s="254"/>
      <c r="Q32" s="254"/>
      <c r="R32" s="254"/>
      <c r="S32" s="364"/>
      <c r="T32" s="364"/>
      <c r="U32" s="364"/>
      <c r="V32" s="364"/>
    </row>
    <row r="33" spans="2:22" ht="18" customHeight="1">
      <c r="I33" s="2"/>
      <c r="J33" s="2"/>
      <c r="K33" s="2"/>
      <c r="L33" s="2"/>
      <c r="M33" s="2"/>
      <c r="N33" s="2"/>
      <c r="O33" s="2"/>
      <c r="P33" s="2"/>
      <c r="Q33" s="2"/>
      <c r="R33" s="2"/>
      <c r="S33" s="2"/>
      <c r="T33" s="2"/>
      <c r="U33" s="2"/>
      <c r="V33" s="2"/>
    </row>
    <row r="34" spans="2:22" ht="18" customHeight="1">
      <c r="I34" s="2"/>
      <c r="J34" s="2"/>
      <c r="K34" s="2"/>
      <c r="L34" s="2"/>
      <c r="M34" s="2"/>
      <c r="N34" s="2"/>
      <c r="O34" s="2"/>
      <c r="P34" s="2"/>
      <c r="Q34" s="2"/>
      <c r="R34" s="2"/>
      <c r="S34" s="2"/>
      <c r="T34" s="2"/>
      <c r="U34" s="2"/>
      <c r="V34" s="2"/>
    </row>
    <row r="35" spans="2:22" ht="18" customHeight="1">
      <c r="I35" s="2"/>
      <c r="J35" s="2"/>
      <c r="K35" s="2"/>
      <c r="L35" s="2"/>
      <c r="M35" s="2"/>
      <c r="N35" s="2"/>
      <c r="O35" s="2"/>
      <c r="P35" s="2"/>
      <c r="Q35" s="2"/>
      <c r="R35" s="2"/>
      <c r="S35" s="2"/>
      <c r="T35" s="2"/>
      <c r="U35" s="2"/>
      <c r="V35" s="2"/>
    </row>
    <row r="36" spans="2:22" ht="18" customHeight="1">
      <c r="B36" s="2"/>
      <c r="C36" s="2"/>
      <c r="D36" s="2"/>
      <c r="E36" s="2"/>
      <c r="F36" s="2"/>
      <c r="G36" s="2"/>
      <c r="I36" s="2"/>
      <c r="J36" s="2"/>
      <c r="K36" s="2"/>
      <c r="L36" s="2"/>
      <c r="M36" s="2"/>
      <c r="N36" s="2"/>
      <c r="O36" s="2"/>
      <c r="P36" s="2"/>
      <c r="Q36" s="2"/>
      <c r="R36" s="2"/>
      <c r="S36" s="2"/>
      <c r="T36" s="2"/>
      <c r="U36" s="2"/>
      <c r="V36" s="2"/>
    </row>
    <row r="37" spans="2:22" ht="18" customHeight="1">
      <c r="B37" s="2"/>
      <c r="C37" s="2"/>
      <c r="D37" s="2"/>
      <c r="E37" s="2"/>
      <c r="F37" s="2"/>
      <c r="G37" s="2"/>
      <c r="I37" s="2"/>
      <c r="J37" s="2"/>
      <c r="K37" s="2"/>
      <c r="L37" s="2"/>
      <c r="M37" s="2"/>
      <c r="N37" s="2"/>
      <c r="O37" s="2"/>
      <c r="P37" s="2"/>
      <c r="Q37" s="2"/>
      <c r="R37" s="2"/>
      <c r="S37" s="2"/>
      <c r="T37" s="2"/>
      <c r="U37" s="2"/>
      <c r="V37" s="2"/>
    </row>
    <row r="38" spans="2:22" ht="18" customHeight="1">
      <c r="B38" s="2"/>
      <c r="C38" s="2"/>
      <c r="D38" s="2"/>
      <c r="E38" s="2"/>
      <c r="F38" s="2"/>
      <c r="G38" s="2"/>
      <c r="I38" s="2"/>
      <c r="J38" s="2"/>
      <c r="K38" s="2"/>
      <c r="L38" s="2"/>
      <c r="M38" s="2"/>
      <c r="N38" s="2"/>
      <c r="O38" s="2"/>
      <c r="P38" s="2"/>
      <c r="Q38" s="2"/>
      <c r="R38" s="2"/>
      <c r="S38" s="2"/>
      <c r="T38" s="2"/>
      <c r="U38" s="2"/>
      <c r="V38" s="2"/>
    </row>
    <row r="39" spans="2:22" ht="18" customHeight="1">
      <c r="B39" s="2"/>
      <c r="C39" s="2"/>
      <c r="D39" s="2"/>
      <c r="E39" s="2"/>
      <c r="F39" s="2"/>
      <c r="G39" s="2"/>
      <c r="I39" s="2"/>
      <c r="J39" s="2"/>
      <c r="K39" s="2"/>
      <c r="L39" s="2"/>
      <c r="M39" s="2"/>
      <c r="N39" s="2"/>
      <c r="O39" s="2"/>
      <c r="P39" s="2"/>
      <c r="Q39" s="2"/>
      <c r="R39" s="2"/>
      <c r="S39" s="2"/>
      <c r="T39" s="2"/>
      <c r="U39" s="2"/>
      <c r="V39" s="2"/>
    </row>
    <row r="40" spans="2:22" ht="18" customHeight="1">
      <c r="B40" s="2"/>
      <c r="C40" s="2"/>
      <c r="D40" s="2"/>
      <c r="E40" s="2"/>
      <c r="F40" s="2"/>
      <c r="G40" s="2"/>
      <c r="I40" s="2"/>
      <c r="J40" s="2"/>
      <c r="K40" s="2"/>
      <c r="L40" s="2"/>
      <c r="M40" s="2"/>
      <c r="N40" s="2"/>
      <c r="O40" s="2"/>
      <c r="P40" s="2"/>
      <c r="Q40" s="2"/>
      <c r="R40" s="2"/>
      <c r="S40" s="2"/>
      <c r="T40" s="2"/>
      <c r="U40" s="2"/>
      <c r="V40" s="2"/>
    </row>
    <row r="41" spans="2:22" ht="18" customHeight="1">
      <c r="B41" s="2"/>
      <c r="C41" s="2"/>
      <c r="D41" s="2"/>
      <c r="E41" s="2"/>
      <c r="F41" s="2"/>
      <c r="G41" s="2"/>
      <c r="I41" s="2"/>
      <c r="J41" s="2"/>
      <c r="K41" s="2"/>
      <c r="L41" s="2"/>
      <c r="M41" s="2"/>
      <c r="N41" s="2"/>
      <c r="O41" s="2"/>
      <c r="P41" s="2"/>
      <c r="Q41" s="2"/>
      <c r="R41" s="2"/>
      <c r="S41" s="2"/>
      <c r="T41" s="2"/>
      <c r="U41" s="2"/>
      <c r="V41" s="2"/>
    </row>
    <row r="42" spans="2:22" ht="18" customHeight="1">
      <c r="B42" s="2"/>
      <c r="C42" s="2"/>
      <c r="D42" s="2"/>
      <c r="E42" s="2"/>
      <c r="F42" s="2"/>
      <c r="G42" s="2"/>
      <c r="I42" s="2"/>
      <c r="J42" s="2"/>
      <c r="K42" s="2"/>
      <c r="L42" s="2"/>
      <c r="M42" s="2"/>
      <c r="N42" s="2"/>
      <c r="O42" s="2"/>
      <c r="P42" s="2"/>
      <c r="Q42" s="2"/>
      <c r="R42" s="2"/>
      <c r="S42" s="2"/>
      <c r="T42" s="2"/>
      <c r="U42" s="2"/>
      <c r="V42" s="2"/>
    </row>
    <row r="43" spans="2:22" ht="18" customHeight="1">
      <c r="B43" s="2"/>
      <c r="C43" s="2"/>
      <c r="D43" s="2"/>
      <c r="E43" s="2"/>
      <c r="F43" s="2"/>
      <c r="G43" s="2"/>
      <c r="I43" s="2"/>
      <c r="J43" s="2"/>
      <c r="K43" s="2"/>
      <c r="L43" s="2"/>
      <c r="M43" s="2"/>
      <c r="N43" s="2"/>
      <c r="O43" s="2"/>
      <c r="P43" s="2"/>
      <c r="Q43" s="2"/>
      <c r="R43" s="2"/>
      <c r="S43" s="2"/>
      <c r="T43" s="2"/>
      <c r="U43" s="2"/>
      <c r="V43" s="2"/>
    </row>
    <row r="44" spans="2:22" ht="18" customHeight="1">
      <c r="B44" s="2"/>
      <c r="C44" s="2"/>
      <c r="D44" s="2"/>
      <c r="E44" s="2"/>
      <c r="F44" s="2"/>
      <c r="G44" s="2"/>
      <c r="I44" s="2"/>
      <c r="J44" s="2"/>
      <c r="K44" s="2"/>
      <c r="L44" s="2"/>
      <c r="M44" s="2"/>
      <c r="N44" s="2"/>
      <c r="O44" s="2"/>
      <c r="P44" s="2"/>
      <c r="Q44" s="2"/>
      <c r="R44" s="2"/>
      <c r="S44" s="2"/>
      <c r="T44" s="2"/>
      <c r="U44" s="2"/>
      <c r="V44" s="2"/>
    </row>
    <row r="45" spans="2:22" ht="18" customHeight="1">
      <c r="B45" s="2"/>
      <c r="C45" s="2"/>
      <c r="D45" s="2"/>
      <c r="E45" s="2"/>
      <c r="F45" s="2"/>
      <c r="G45" s="2"/>
      <c r="I45" s="2"/>
      <c r="J45" s="2"/>
      <c r="K45" s="2"/>
      <c r="L45" s="2"/>
      <c r="M45" s="2"/>
      <c r="N45" s="2"/>
      <c r="O45" s="2"/>
      <c r="P45" s="2"/>
      <c r="Q45" s="2"/>
      <c r="R45" s="2"/>
      <c r="S45" s="2"/>
      <c r="T45" s="2"/>
      <c r="U45" s="2"/>
      <c r="V45" s="2"/>
    </row>
    <row r="46" spans="2:22" ht="18" customHeight="1">
      <c r="B46" s="2"/>
      <c r="C46" s="2"/>
      <c r="D46" s="2"/>
      <c r="E46" s="2"/>
      <c r="F46" s="2"/>
      <c r="G46" s="2"/>
      <c r="I46" s="2"/>
      <c r="J46" s="2"/>
      <c r="K46" s="2"/>
      <c r="L46" s="2"/>
      <c r="M46" s="2"/>
      <c r="N46" s="2"/>
      <c r="O46" s="2"/>
      <c r="P46" s="2"/>
      <c r="Q46" s="2"/>
      <c r="R46" s="2"/>
      <c r="S46" s="2"/>
      <c r="T46" s="2"/>
      <c r="U46" s="2"/>
      <c r="V46" s="2"/>
    </row>
    <row r="47" spans="2:22" ht="18" customHeight="1">
      <c r="B47" s="2"/>
      <c r="C47" s="2"/>
      <c r="D47" s="2"/>
      <c r="E47" s="2"/>
      <c r="F47" s="2"/>
      <c r="G47" s="2"/>
      <c r="I47" s="2"/>
      <c r="J47" s="2"/>
      <c r="K47" s="2"/>
      <c r="L47" s="2"/>
      <c r="M47" s="2"/>
      <c r="N47" s="2"/>
      <c r="O47" s="2"/>
      <c r="P47" s="2"/>
      <c r="Q47" s="2"/>
      <c r="R47" s="2"/>
      <c r="S47" s="2"/>
      <c r="T47" s="2"/>
      <c r="U47" s="2"/>
      <c r="V47" s="2"/>
    </row>
  </sheetData>
  <mergeCells count="16">
    <mergeCell ref="B3:C3"/>
    <mergeCell ref="O3:P3"/>
    <mergeCell ref="B32:I32"/>
    <mergeCell ref="U10:V10"/>
    <mergeCell ref="K10:L10"/>
    <mergeCell ref="M10:N10"/>
    <mergeCell ref="O10:P10"/>
    <mergeCell ref="Q10:R10"/>
    <mergeCell ref="S32:T32"/>
    <mergeCell ref="U32:V32"/>
    <mergeCell ref="B10:C10"/>
    <mergeCell ref="D10:E10"/>
    <mergeCell ref="S10:T10"/>
    <mergeCell ref="F10:G10"/>
    <mergeCell ref="H10:I10"/>
    <mergeCell ref="K27:R2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C22"/>
  <sheetViews>
    <sheetView showGridLines="0" topLeftCell="A10" workbookViewId="0">
      <selection activeCell="H10" sqref="H10"/>
    </sheetView>
  </sheetViews>
  <sheetFormatPr defaultRowHeight="15"/>
  <cols>
    <col min="1" max="1" width="2.28515625" customWidth="1"/>
    <col min="2" max="2" width="16" bestFit="1" customWidth="1"/>
    <col min="3" max="8" width="8.7109375" customWidth="1"/>
    <col min="9" max="9" width="8.42578125" customWidth="1"/>
    <col min="10" max="10" width="18" bestFit="1" customWidth="1"/>
    <col min="11" max="11" width="11.7109375" customWidth="1"/>
    <col min="12" max="12" width="4.28515625" customWidth="1"/>
  </cols>
  <sheetData>
    <row r="1" spans="2:29" ht="9" customHeight="1"/>
    <row r="2" spans="2:29" ht="24">
      <c r="C2" s="298"/>
      <c r="D2" s="101" t="s">
        <v>149</v>
      </c>
      <c r="J2" s="298"/>
      <c r="K2" s="101" t="s">
        <v>149</v>
      </c>
    </row>
    <row r="3" spans="2:29">
      <c r="C3" s="305" t="s">
        <v>462</v>
      </c>
      <c r="D3" s="312" t="s">
        <v>470</v>
      </c>
      <c r="J3" s="305" t="s">
        <v>449</v>
      </c>
      <c r="K3" s="298">
        <v>10</v>
      </c>
    </row>
    <row r="4" spans="2:29">
      <c r="C4" s="305" t="s">
        <v>140</v>
      </c>
      <c r="D4" s="306">
        <f>IF(Valuation_Table!A28=2, H10, SUM('Screener Output.v0'!L35:L35)/SUM('Screener Output.v0'!L60:L60))</f>
        <v>0.17445747021777072</v>
      </c>
      <c r="J4" s="305" t="s">
        <v>450</v>
      </c>
      <c r="K4" s="298">
        <f>IF(Valuation_Table!A28=2, (IF(D4&gt;0.2,10,IF(AND(D4&gt;0.1,D4&lt;0.2),7,IF(AND(D4&gt;0.05,D4&lt;0.1),3,IF(AND(D4&gt;0,D4&lt;0.05),1,0))))), (IF(D4&gt;0.02,10,IF(AND(D4&gt;0.01,D4&lt;0.02),7,IF(AND(D4&gt;0.005,D4&lt;0.01),3,IF(AND(D4&gt;0,D4&lt;0.005),1,0))))))</f>
        <v>7</v>
      </c>
    </row>
    <row r="5" spans="2:29" ht="8.25" customHeight="1"/>
    <row r="6" spans="2:29" ht="18" customHeight="1">
      <c r="B6" s="47"/>
      <c r="C6" s="48" t="s">
        <v>101</v>
      </c>
      <c r="D6" s="48" t="s">
        <v>100</v>
      </c>
      <c r="E6" s="48" t="s">
        <v>99</v>
      </c>
      <c r="F6" s="48" t="s">
        <v>98</v>
      </c>
      <c r="G6" s="48" t="s">
        <v>524</v>
      </c>
      <c r="H6" s="48" t="s">
        <v>525</v>
      </c>
      <c r="J6" s="219"/>
      <c r="K6" s="219" t="s">
        <v>237</v>
      </c>
      <c r="M6" s="358" t="s">
        <v>105</v>
      </c>
      <c r="N6" s="358"/>
      <c r="O6" s="358"/>
      <c r="P6" s="358"/>
      <c r="Q6" s="358"/>
      <c r="R6" s="358"/>
      <c r="S6" s="358"/>
      <c r="T6" s="358"/>
      <c r="V6" s="358"/>
      <c r="W6" s="358"/>
      <c r="X6" s="358"/>
      <c r="Y6" s="358"/>
      <c r="Z6" s="358"/>
      <c r="AA6" s="358"/>
      <c r="AB6" s="358"/>
      <c r="AC6" s="358"/>
    </row>
    <row r="7" spans="2:29">
      <c r="B7" s="49" t="s">
        <v>103</v>
      </c>
      <c r="C7" s="50">
        <f>SUM('Screener Output.v0'!H35:H35)/SUM('Screener Output.v0'!H26:H26)</f>
        <v>0.15013397554810634</v>
      </c>
      <c r="D7" s="50">
        <f>SUM('Screener Output.v0'!I35:I35)/SUM('Screener Output.v0'!I26:I26)</f>
        <v>0.12316011458001175</v>
      </c>
      <c r="E7" s="50">
        <f>SUM('Screener Output.v0'!J35:J35)/SUM('Screener Output.v0'!J26:J26)</f>
        <v>0.14091631851343769</v>
      </c>
      <c r="F7" s="50">
        <f>SUM('Screener Output.v0'!K35:K35)/SUM('Screener Output.v0'!K26:K26)</f>
        <v>0.12471455454908871</v>
      </c>
      <c r="G7" s="50">
        <f>SUM('Screener Output.v0'!L35:L35)/SUM('Screener Output.v0'!L26:L26)</f>
        <v>0.12237895017738805</v>
      </c>
      <c r="H7" s="50">
        <f>'Screener Output.v0'!M35/'Screener Output.v0'!M26</f>
        <v>0.16151251029572664</v>
      </c>
      <c r="J7" s="220" t="s">
        <v>395</v>
      </c>
      <c r="K7" s="221">
        <f>POWER('Screener Output.v0'!L35/'Screener Output.v0'!G35,1/5)-1</f>
        <v>7.6004602344228456E-2</v>
      </c>
      <c r="M7" s="2"/>
      <c r="N7" s="2"/>
      <c r="V7" s="250"/>
      <c r="W7" s="250"/>
    </row>
    <row r="8" spans="2:29">
      <c r="B8" s="49" t="s">
        <v>62</v>
      </c>
      <c r="C8" s="51">
        <f>'Screener Output.v0'!H25/'Screener Output.v0'!H60</f>
        <v>0.2923579069112805</v>
      </c>
      <c r="D8" s="51">
        <f>'Screener Output.v0'!I25/'Screener Output.v0'!I60</f>
        <v>0.24520980146846391</v>
      </c>
      <c r="E8" s="51">
        <f>'Screener Output.v0'!J25/'Screener Output.v0'!J60</f>
        <v>0.10054728988091084</v>
      </c>
      <c r="F8" s="51">
        <f>'Screener Output.v0'!K25/'Screener Output.v0'!K60</f>
        <v>0.12460565093174858</v>
      </c>
      <c r="G8" s="51">
        <f>'Screener Output.v0'!L25/'Screener Output.v0'!L60</f>
        <v>0.12786239184163434</v>
      </c>
      <c r="H8" s="51">
        <f>'Screener Output.v0'!M26/'Screener Output.v0'!L60</f>
        <v>0.12197170499611644</v>
      </c>
      <c r="J8" s="220" t="s">
        <v>232</v>
      </c>
      <c r="K8" s="221">
        <f>POWER('Screener Output.v0'!L26/'Screener Output.v0'!G26,1/5)-1</f>
        <v>0.13286520308365368</v>
      </c>
      <c r="M8" s="2"/>
      <c r="N8" s="2"/>
      <c r="V8" s="250"/>
      <c r="W8" s="250"/>
    </row>
    <row r="9" spans="2:29">
      <c r="B9" s="49" t="s">
        <v>104</v>
      </c>
      <c r="C9" s="51">
        <f>'Screener Output.v0'!H60/SUM('Screener Output.v0'!H40:H41)</f>
        <v>4.0155669751598015</v>
      </c>
      <c r="D9" s="51">
        <f>'Screener Output.v0'!I60/SUM('Screener Output.v0'!I40:I41)</f>
        <v>4.4132962993127736</v>
      </c>
      <c r="E9" s="51">
        <f>'Screener Output.v0'!J60/SUM('Screener Output.v0'!J40:J41)</f>
        <v>9.0356603972610916</v>
      </c>
      <c r="F9" s="51">
        <f>'Screener Output.v0'!K60/SUM('Screener Output.v0'!K40:K41)</f>
        <v>8.7203062678209946</v>
      </c>
      <c r="G9" s="51">
        <f>'Screener Output.v0'!L60/SUM('Screener Output.v0'!L40:L41)</f>
        <v>8.855728810987177</v>
      </c>
      <c r="H9" s="51"/>
      <c r="J9" s="220" t="s">
        <v>365</v>
      </c>
      <c r="K9" s="221">
        <f>POWER('Screener Output.v0'!L60/'Screener Output.v0'!G60,1/5)-1</f>
        <v>0.33863109306144246</v>
      </c>
      <c r="M9" s="2"/>
      <c r="N9" s="2"/>
      <c r="V9" s="250"/>
      <c r="W9" s="250"/>
    </row>
    <row r="10" spans="2:29">
      <c r="B10" s="52" t="s">
        <v>42</v>
      </c>
      <c r="C10" s="340">
        <f t="shared" ref="C10" si="0">C7*C8*C9</f>
        <v>0.17625469837115895</v>
      </c>
      <c r="D10" s="340">
        <f>D7*D8*D9</f>
        <v>0.13328184501134635</v>
      </c>
      <c r="E10" s="340">
        <f>E7*E8*E9</f>
        <v>0.12802404873240686</v>
      </c>
      <c r="F10" s="340">
        <f>F7*F8*F9</f>
        <v>0.1355147649864796</v>
      </c>
      <c r="G10" s="340">
        <f>G7*G8*G9</f>
        <v>0.138571480251413</v>
      </c>
      <c r="H10" s="53">
        <f>H7*H8*G9</f>
        <v>0.17445747021777072</v>
      </c>
      <c r="J10" s="220" t="s">
        <v>366</v>
      </c>
      <c r="K10" s="221">
        <f>POWER(SUM('Screener Output.v0'!L40:L41)/SUM('Screener Output.v0'!G40:G41),1/5)-1</f>
        <v>0.13036236994044281</v>
      </c>
      <c r="M10" s="2"/>
      <c r="N10" s="2"/>
      <c r="V10" s="250"/>
      <c r="W10" s="250"/>
    </row>
    <row r="11" spans="2:29">
      <c r="M11" s="2"/>
      <c r="N11" s="2"/>
      <c r="V11" s="250"/>
      <c r="W11" s="250"/>
    </row>
    <row r="12" spans="2:29" ht="33.75" customHeight="1">
      <c r="B12" s="366" t="s">
        <v>106</v>
      </c>
      <c r="C12" s="366"/>
      <c r="D12" s="366"/>
      <c r="E12" s="366"/>
      <c r="F12" s="366"/>
      <c r="G12" s="366"/>
      <c r="H12" s="330"/>
      <c r="M12" s="2"/>
      <c r="N12" s="2"/>
      <c r="V12" s="250"/>
      <c r="W12" s="250"/>
    </row>
    <row r="13" spans="2:29">
      <c r="B13" s="46"/>
      <c r="M13" s="2"/>
      <c r="N13" s="2"/>
      <c r="V13" s="250"/>
      <c r="W13" s="250"/>
    </row>
    <row r="14" spans="2:29">
      <c r="B14" s="46" t="s">
        <v>109</v>
      </c>
      <c r="M14" s="2"/>
      <c r="N14" s="2"/>
      <c r="V14" s="250"/>
      <c r="W14" s="250"/>
    </row>
    <row r="15" spans="2:29">
      <c r="B15" s="46" t="s">
        <v>108</v>
      </c>
      <c r="M15" s="2"/>
      <c r="N15" s="2"/>
      <c r="V15" s="250"/>
      <c r="W15" s="250"/>
    </row>
    <row r="16" spans="2:29">
      <c r="B16" s="46" t="s">
        <v>107</v>
      </c>
      <c r="M16" s="2"/>
      <c r="N16" s="2"/>
      <c r="V16" s="250"/>
      <c r="W16" s="250"/>
    </row>
    <row r="17" spans="2:23">
      <c r="M17" s="2"/>
      <c r="N17" s="2"/>
      <c r="V17" s="250"/>
      <c r="W17" s="250"/>
    </row>
    <row r="18" spans="2:23">
      <c r="M18" s="2"/>
      <c r="N18" s="2"/>
      <c r="V18" s="250"/>
      <c r="W18" s="250"/>
    </row>
    <row r="19" spans="2:23">
      <c r="F19" s="373" t="s">
        <v>128</v>
      </c>
      <c r="G19" s="367">
        <f>'Screener Output.v0'!L35-'Screener Output.v0'!H35</f>
        <v>161.84000000000026</v>
      </c>
      <c r="H19" s="331"/>
      <c r="J19" s="371">
        <f>G19/G21</f>
        <v>8.1045620712103902E-2</v>
      </c>
      <c r="M19" s="2"/>
      <c r="N19" s="2"/>
      <c r="V19" s="250"/>
      <c r="W19" s="250"/>
    </row>
    <row r="20" spans="2:23" ht="15.75" thickBot="1">
      <c r="B20" s="76"/>
      <c r="F20" s="374"/>
      <c r="G20" s="367"/>
      <c r="H20" s="331"/>
      <c r="I20" s="370" t="s">
        <v>127</v>
      </c>
      <c r="J20" s="372"/>
      <c r="M20" s="2"/>
      <c r="N20" s="2"/>
      <c r="V20" s="250"/>
      <c r="W20" s="250"/>
    </row>
    <row r="21" spans="2:23" ht="15.75" thickTop="1">
      <c r="F21" s="375" t="s">
        <v>129</v>
      </c>
      <c r="G21" s="368">
        <f>'Screener Output.v0'!L41-'Screener Output.v0'!H41</f>
        <v>1996.8999999999996</v>
      </c>
      <c r="H21" s="332"/>
      <c r="I21" s="370"/>
      <c r="M21" s="2"/>
      <c r="N21" s="2"/>
      <c r="V21" s="250"/>
      <c r="W21" s="250"/>
    </row>
    <row r="22" spans="2:23">
      <c r="F22" s="375"/>
      <c r="G22" s="369"/>
      <c r="H22" s="332"/>
    </row>
  </sheetData>
  <mergeCells count="9">
    <mergeCell ref="B12:G12"/>
    <mergeCell ref="M6:T6"/>
    <mergeCell ref="V6:AC6"/>
    <mergeCell ref="G19:G20"/>
    <mergeCell ref="G21:G22"/>
    <mergeCell ref="I20:I21"/>
    <mergeCell ref="J19:J20"/>
    <mergeCell ref="F19:F20"/>
    <mergeCell ref="F21:F22"/>
  </mergeCells>
  <pageMargins left="0.7" right="0.7" top="0.75" bottom="0.75" header="0.3" footer="0.3"/>
  <pageSetup scale="7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63"/>
  <sheetViews>
    <sheetView showGridLines="0" topLeftCell="A37" workbookViewId="0">
      <selection activeCell="J54" sqref="J54"/>
    </sheetView>
  </sheetViews>
  <sheetFormatPr defaultRowHeight="18" customHeight="1"/>
  <cols>
    <col min="1" max="1" width="2.42578125" customWidth="1"/>
    <col min="2" max="2" width="11.85546875" bestFit="1" customWidth="1"/>
    <col min="4" max="4" width="13.85546875" bestFit="1" customWidth="1"/>
    <col min="5" max="5" width="10.7109375" customWidth="1"/>
    <col min="6" max="6" width="12.5703125" style="257" customWidth="1"/>
    <col min="7" max="7" width="15" style="257" bestFit="1" customWidth="1"/>
    <col min="8" max="8" width="13.5703125" style="257" bestFit="1" customWidth="1"/>
    <col min="9" max="9" width="9.140625" style="257"/>
    <col min="10" max="10" width="11.7109375" bestFit="1" customWidth="1"/>
    <col min="12" max="12" width="13.85546875" bestFit="1" customWidth="1"/>
    <col min="13" max="13" width="10.85546875" bestFit="1" customWidth="1"/>
    <col min="14" max="14" width="13.85546875" bestFit="1" customWidth="1"/>
  </cols>
  <sheetData>
    <row r="1" spans="2:17" ht="8.25" customHeight="1"/>
    <row r="3" spans="2:17" s="281" customFormat="1" ht="18" customHeight="1">
      <c r="B3" s="300"/>
      <c r="C3" s="304" t="s">
        <v>467</v>
      </c>
      <c r="D3" s="304" t="s">
        <v>482</v>
      </c>
      <c r="E3" s="304" t="s">
        <v>469</v>
      </c>
      <c r="F3" s="304" t="s">
        <v>102</v>
      </c>
      <c r="G3" s="304" t="s">
        <v>506</v>
      </c>
      <c r="J3" s="310"/>
      <c r="K3" s="304" t="s">
        <v>467</v>
      </c>
      <c r="L3" s="304" t="s">
        <v>482</v>
      </c>
      <c r="M3" s="304" t="s">
        <v>469</v>
      </c>
      <c r="N3" s="304" t="s">
        <v>102</v>
      </c>
    </row>
    <row r="4" spans="2:17" s="281" customFormat="1" ht="18" customHeight="1">
      <c r="B4" s="305" t="s">
        <v>465</v>
      </c>
      <c r="C4" s="306" t="s">
        <v>166</v>
      </c>
      <c r="D4" s="306" t="s">
        <v>472</v>
      </c>
      <c r="E4" s="306" t="s">
        <v>468</v>
      </c>
      <c r="F4" s="306" t="s">
        <v>471</v>
      </c>
      <c r="G4" s="306"/>
      <c r="J4" s="305" t="s">
        <v>449</v>
      </c>
      <c r="K4" s="311">
        <v>3</v>
      </c>
      <c r="L4" s="186">
        <v>1</v>
      </c>
      <c r="M4" s="311">
        <v>4</v>
      </c>
      <c r="N4" s="311">
        <v>1</v>
      </c>
    </row>
    <row r="5" spans="2:17" s="281" customFormat="1" ht="18" customHeight="1">
      <c r="B5" s="305" t="s">
        <v>466</v>
      </c>
      <c r="C5" s="308">
        <f>SUM('Screener Output.v0'!L45:L45)/SUM('Screener Output.v0'!M35:M35)</f>
        <v>15.182717713962615</v>
      </c>
      <c r="D5" s="306">
        <f>SUM('Screener Output.v0'!L10:L10)/SUM('Screener Output.v0'!L9:L9)</f>
        <v>1.7889409475221603</v>
      </c>
      <c r="E5" s="307">
        <f>SUM('Screener Output.v0'!H62:L62)/SUM('Screener Output.v0'!H35:L35)</f>
        <v>3.5984703764275818</v>
      </c>
      <c r="F5" s="309">
        <f>'Screener Output.v0'!L62</f>
        <v>3209.29</v>
      </c>
      <c r="G5" s="309">
        <f>SUM('Screener Output.v0'!H63:L63)</f>
        <v>-16055.060000000001</v>
      </c>
      <c r="J5" s="305" t="s">
        <v>466</v>
      </c>
      <c r="K5" s="311">
        <f>IF(C5&lt;=3,3,IF((AND((C5&gt;3),(C5&lt;=5))),2,0))</f>
        <v>0</v>
      </c>
      <c r="L5" s="186">
        <f>IF(Efficiency!D5&gt;1.5,1,IF(AND(Efficiency!D5&gt;1.25,Efficiency!D5&lt;1.5),0.75,IF(AND(Efficiency!D5&gt;1,Efficiency!D5&lt;1.25),0.5,IF(AND(Efficiency!D5&gt;0.9,Efficiency!D5&lt;1),1,0))))</f>
        <v>1</v>
      </c>
      <c r="M5" s="311">
        <f>IF(E5&gt;1,4,IF(AND(E5&gt;0.75,E5&lt;1),2,IF(AND(E5&gt;0.5,E5&lt;0.75),1,IF(AND(E5&gt;0,E5&lt;0.5),1,0))))</f>
        <v>4</v>
      </c>
      <c r="N5" s="311">
        <f>IF(F5&gt;1.5,1,IF(AND(F5&gt;1.25,F5&lt;1.5),0.75,IF(AND(F5&gt;1,F5&lt;1.25),0.5,IF(AND(F5&gt;0.9,F5&lt;1),1,0))))</f>
        <v>1</v>
      </c>
    </row>
    <row r="6" spans="2:17" ht="18" customHeight="1">
      <c r="F6" s="270"/>
      <c r="G6" s="268"/>
      <c r="H6" s="268"/>
      <c r="I6" s="268"/>
      <c r="J6" s="269"/>
      <c r="K6" s="269"/>
      <c r="L6" s="269"/>
    </row>
    <row r="8" spans="2:17" ht="18" customHeight="1">
      <c r="B8" s="360" t="s">
        <v>467</v>
      </c>
      <c r="C8" s="360"/>
      <c r="D8" s="360"/>
      <c r="E8" s="360"/>
      <c r="F8" s="360"/>
      <c r="G8" s="360"/>
      <c r="H8" s="360"/>
      <c r="I8" s="303"/>
      <c r="J8" s="360" t="s">
        <v>488</v>
      </c>
      <c r="K8" s="360"/>
      <c r="L8" s="360"/>
      <c r="M8" s="360"/>
      <c r="N8" s="360"/>
      <c r="O8" s="360"/>
      <c r="P8" s="360"/>
      <c r="Q8" s="360"/>
    </row>
    <row r="21" spans="2:17" ht="8.25" customHeight="1"/>
    <row r="22" spans="2:17" ht="23.25" customHeight="1">
      <c r="J22" s="377" t="s">
        <v>507</v>
      </c>
      <c r="K22" s="377"/>
      <c r="L22" s="377"/>
      <c r="M22" s="377"/>
      <c r="N22" s="377"/>
      <c r="O22" s="377"/>
      <c r="P22" s="377"/>
      <c r="Q22" s="377"/>
    </row>
    <row r="24" spans="2:17" ht="18" customHeight="1">
      <c r="B24" s="360" t="s">
        <v>463</v>
      </c>
      <c r="C24" s="360"/>
      <c r="D24" s="360"/>
      <c r="E24" s="360"/>
      <c r="F24" s="360"/>
      <c r="G24" s="360"/>
      <c r="H24" s="360"/>
      <c r="J24" s="326" t="s">
        <v>489</v>
      </c>
      <c r="K24" s="326"/>
      <c r="L24" s="326"/>
      <c r="M24" s="326"/>
      <c r="N24" s="326"/>
      <c r="O24" s="326"/>
      <c r="P24" s="326"/>
      <c r="Q24" s="326"/>
    </row>
    <row r="35" spans="2:17" ht="9" customHeight="1"/>
    <row r="36" spans="2:17" ht="18" customHeight="1">
      <c r="J36" s="359" t="s">
        <v>513</v>
      </c>
      <c r="K36" s="359"/>
      <c r="L36" s="359"/>
      <c r="M36" s="359"/>
      <c r="N36" s="359"/>
      <c r="O36" s="359"/>
      <c r="P36" s="359"/>
      <c r="Q36" s="359"/>
    </row>
    <row r="38" spans="2:17" ht="18" customHeight="1">
      <c r="B38" s="360" t="s">
        <v>514</v>
      </c>
      <c r="C38" s="360"/>
      <c r="D38" s="360"/>
      <c r="E38" s="360"/>
      <c r="F38" s="360"/>
      <c r="G38" s="360"/>
      <c r="H38" s="360"/>
      <c r="I38"/>
      <c r="J38" s="360" t="s">
        <v>215</v>
      </c>
      <c r="K38" s="360"/>
      <c r="L38" s="360"/>
      <c r="M38" s="360"/>
      <c r="N38" s="360"/>
      <c r="O38" s="360"/>
      <c r="P38" s="360"/>
      <c r="Q38" s="360"/>
    </row>
    <row r="39" spans="2:17" ht="18" customHeight="1">
      <c r="I39"/>
    </row>
    <row r="40" spans="2:17" ht="18" customHeight="1">
      <c r="I40"/>
    </row>
    <row r="41" spans="2:17" ht="18" customHeight="1">
      <c r="I41"/>
    </row>
    <row r="42" spans="2:17" ht="18" customHeight="1">
      <c r="I42"/>
    </row>
    <row r="43" spans="2:17" ht="18" customHeight="1">
      <c r="I43"/>
    </row>
    <row r="44" spans="2:17" ht="18" customHeight="1">
      <c r="I44"/>
    </row>
    <row r="45" spans="2:17" ht="18" customHeight="1">
      <c r="I45"/>
    </row>
    <row r="46" spans="2:17" ht="18" customHeight="1">
      <c r="I46"/>
    </row>
    <row r="47" spans="2:17" ht="18" customHeight="1">
      <c r="I47"/>
    </row>
    <row r="48" spans="2:17" ht="18" customHeight="1">
      <c r="I48"/>
    </row>
    <row r="49" spans="2:17" ht="18" customHeight="1">
      <c r="I49"/>
    </row>
    <row r="50" spans="2:17" ht="8.25" customHeight="1">
      <c r="I50"/>
    </row>
    <row r="51" spans="2:17" ht="18" customHeight="1">
      <c r="I51"/>
    </row>
    <row r="52" spans="2:17" ht="18" customHeight="1">
      <c r="I52"/>
      <c r="J52" s="378" t="s">
        <v>481</v>
      </c>
      <c r="K52" s="378"/>
      <c r="L52" s="378"/>
      <c r="M52" s="378"/>
      <c r="N52" s="378"/>
      <c r="O52" s="378"/>
      <c r="P52" s="378"/>
      <c r="Q52" s="378"/>
    </row>
    <row r="53" spans="2:17" ht="18" customHeight="1">
      <c r="I53"/>
    </row>
    <row r="63" spans="2:17" ht="18" customHeight="1">
      <c r="B63" s="376"/>
      <c r="C63" s="376"/>
      <c r="D63" s="376"/>
      <c r="E63" s="376"/>
      <c r="F63" s="376"/>
      <c r="G63" s="376"/>
      <c r="J63" s="376"/>
      <c r="K63" s="376"/>
      <c r="L63" s="376"/>
      <c r="M63" s="376"/>
      <c r="N63" s="376"/>
      <c r="O63" s="376"/>
      <c r="P63" s="376"/>
      <c r="Q63" s="376"/>
    </row>
  </sheetData>
  <mergeCells count="10">
    <mergeCell ref="B63:G63"/>
    <mergeCell ref="B8:H8"/>
    <mergeCell ref="B24:H24"/>
    <mergeCell ref="J38:Q38"/>
    <mergeCell ref="J36:Q36"/>
    <mergeCell ref="J63:Q63"/>
    <mergeCell ref="J8:Q8"/>
    <mergeCell ref="J22:Q22"/>
    <mergeCell ref="B38:H38"/>
    <mergeCell ref="J52:Q5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R64"/>
  <sheetViews>
    <sheetView showGridLines="0" topLeftCell="A31" workbookViewId="0">
      <selection activeCell="F4" sqref="F4"/>
    </sheetView>
  </sheetViews>
  <sheetFormatPr defaultRowHeight="18" customHeight="1"/>
  <cols>
    <col min="4" max="4" width="12.7109375" customWidth="1"/>
    <col min="5" max="5" width="19.7109375" bestFit="1" customWidth="1"/>
    <col min="6" max="6" width="17.28515625" bestFit="1" customWidth="1"/>
    <col min="11" max="11" width="13.140625" customWidth="1"/>
    <col min="12" max="12" width="19.7109375" bestFit="1" customWidth="1"/>
    <col min="13" max="13" width="17.28515625" bestFit="1" customWidth="1"/>
  </cols>
  <sheetData>
    <row r="2" spans="2:18" s="273" customFormat="1" ht="18" customHeight="1">
      <c r="D2" s="313"/>
      <c r="E2" s="304" t="s">
        <v>154</v>
      </c>
      <c r="F2" s="304" t="s">
        <v>164</v>
      </c>
      <c r="H2" s="274"/>
      <c r="I2" s="274"/>
      <c r="J2" s="274"/>
      <c r="K2" s="316"/>
      <c r="L2" s="304" t="s">
        <v>154</v>
      </c>
      <c r="M2" s="304" t="s">
        <v>164</v>
      </c>
      <c r="O2" s="274"/>
      <c r="P2" s="274"/>
      <c r="Q2" s="274"/>
      <c r="R2" s="274"/>
    </row>
    <row r="3" spans="2:18" s="273" customFormat="1" ht="18" customHeight="1">
      <c r="D3" s="271" t="s">
        <v>465</v>
      </c>
      <c r="E3" s="314">
        <v>0</v>
      </c>
      <c r="F3" s="313" t="s">
        <v>362</v>
      </c>
      <c r="H3" s="274"/>
      <c r="I3" s="274"/>
      <c r="J3" s="274"/>
      <c r="K3" s="272" t="s">
        <v>449</v>
      </c>
      <c r="L3" s="313">
        <v>6</v>
      </c>
      <c r="M3" s="313">
        <v>3</v>
      </c>
      <c r="O3" s="274"/>
      <c r="P3" s="274"/>
      <c r="Q3" s="274"/>
      <c r="R3" s="274"/>
    </row>
    <row r="4" spans="2:18" s="273" customFormat="1" ht="18" customHeight="1">
      <c r="D4" s="271" t="s">
        <v>466</v>
      </c>
      <c r="E4" s="314">
        <f>'Shareholding input'!C7</f>
        <v>1.4E-3</v>
      </c>
      <c r="F4" s="315">
        <f>SUM('Shareholding input'!C6:C7)-SUM('Shareholding input'!H6:H7)</f>
        <v>-5.5100000000000038E-2</v>
      </c>
      <c r="H4" s="274"/>
      <c r="I4" s="274"/>
      <c r="J4" s="274"/>
      <c r="K4" s="272" t="s">
        <v>466</v>
      </c>
      <c r="L4" s="313">
        <f>IF(E4&gt;0,0,6)</f>
        <v>0</v>
      </c>
      <c r="M4" s="313">
        <f>IF(F4&gt;-0.03,3,IF(F4=0,2,0))</f>
        <v>0</v>
      </c>
      <c r="O4" s="274"/>
      <c r="P4" s="274"/>
      <c r="Q4" s="274"/>
      <c r="R4" s="274"/>
    </row>
    <row r="5" spans="2:18" ht="18" customHeight="1">
      <c r="D5" s="267"/>
      <c r="E5" s="267"/>
      <c r="F5" s="267"/>
      <c r="G5" s="267"/>
      <c r="H5" s="267"/>
      <c r="I5" s="267"/>
      <c r="J5" s="267"/>
      <c r="K5" s="267"/>
      <c r="L5" s="267"/>
      <c r="M5" s="267"/>
      <c r="N5" s="267"/>
      <c r="O5" s="267"/>
      <c r="P5" s="267"/>
      <c r="Q5" s="267"/>
      <c r="R5" s="267"/>
    </row>
    <row r="6" spans="2:18" ht="18" customHeight="1">
      <c r="B6" s="379" t="s">
        <v>491</v>
      </c>
      <c r="C6" s="381"/>
      <c r="D6" s="381"/>
      <c r="E6" s="381"/>
      <c r="F6" s="381"/>
      <c r="G6" s="381"/>
      <c r="I6" s="379" t="s">
        <v>520</v>
      </c>
      <c r="J6" s="379"/>
      <c r="K6" s="379"/>
      <c r="L6" s="379"/>
      <c r="M6" s="379"/>
      <c r="N6" s="379"/>
    </row>
    <row r="7" spans="2:18" ht="18" customHeight="1">
      <c r="B7" s="2"/>
      <c r="C7" s="2"/>
      <c r="D7" s="2"/>
      <c r="E7" s="2"/>
      <c r="F7" s="2"/>
      <c r="G7" s="2"/>
      <c r="H7" s="2"/>
    </row>
    <row r="8" spans="2:18" ht="18" customHeight="1">
      <c r="B8" s="2"/>
      <c r="C8" s="2"/>
      <c r="D8" s="2"/>
      <c r="E8" s="2"/>
      <c r="F8" s="2"/>
      <c r="G8" s="2"/>
      <c r="H8" s="2"/>
    </row>
    <row r="9" spans="2:18" ht="18" customHeight="1">
      <c r="B9" s="2"/>
      <c r="C9" s="2"/>
      <c r="D9" s="2"/>
      <c r="E9" s="2"/>
      <c r="F9" s="2"/>
      <c r="G9" s="2"/>
      <c r="H9" s="2"/>
    </row>
    <row r="10" spans="2:18" ht="18" customHeight="1">
      <c r="B10" s="2"/>
      <c r="C10" s="2"/>
      <c r="D10" s="2"/>
      <c r="E10" s="2"/>
      <c r="F10" s="2"/>
      <c r="G10" s="2"/>
      <c r="H10" s="2"/>
    </row>
    <row r="11" spans="2:18" ht="18" customHeight="1">
      <c r="B11" s="2"/>
      <c r="C11" s="2"/>
      <c r="D11" s="2"/>
      <c r="E11" s="2"/>
      <c r="F11" s="2"/>
      <c r="G11" s="2"/>
      <c r="H11" s="2"/>
    </row>
    <row r="12" spans="2:18" ht="18" customHeight="1">
      <c r="B12" s="2"/>
      <c r="C12" s="2"/>
      <c r="D12" s="2"/>
      <c r="E12" s="2"/>
      <c r="F12" s="2"/>
      <c r="G12" s="2"/>
      <c r="H12" s="2"/>
    </row>
    <row r="13" spans="2:18" ht="18" customHeight="1">
      <c r="B13" s="2"/>
      <c r="C13" s="2"/>
      <c r="D13" s="2"/>
      <c r="E13" s="2"/>
      <c r="F13" s="2"/>
      <c r="G13" s="2"/>
      <c r="H13" s="2"/>
    </row>
    <row r="14" spans="2:18" ht="18" customHeight="1">
      <c r="B14" s="2"/>
      <c r="C14" s="2"/>
      <c r="D14" s="2"/>
      <c r="E14" s="2"/>
      <c r="F14" s="2"/>
      <c r="G14" s="2"/>
      <c r="H14" s="2"/>
    </row>
    <row r="15" spans="2:18" ht="18" customHeight="1">
      <c r="B15" s="2"/>
      <c r="C15" s="2"/>
      <c r="D15" s="2"/>
      <c r="E15" s="2"/>
      <c r="F15" s="2"/>
      <c r="G15" s="2"/>
      <c r="H15" s="2"/>
    </row>
    <row r="16" spans="2:18" ht="18" customHeight="1">
      <c r="B16" s="2"/>
      <c r="C16" s="2"/>
      <c r="D16" s="2"/>
      <c r="E16" s="2"/>
      <c r="F16" s="2"/>
      <c r="G16" s="2"/>
      <c r="H16" s="2"/>
    </row>
    <row r="17" spans="2:14" ht="18" customHeight="1">
      <c r="B17" s="2"/>
      <c r="C17" s="2"/>
      <c r="D17" s="2"/>
      <c r="E17" s="2"/>
      <c r="F17" s="2"/>
      <c r="G17" s="2"/>
      <c r="H17" s="2"/>
    </row>
    <row r="18" spans="2:14" ht="18" customHeight="1">
      <c r="B18" s="2"/>
      <c r="C18" s="2"/>
      <c r="D18" s="2"/>
      <c r="E18" s="2"/>
      <c r="F18" s="2"/>
      <c r="G18" s="2"/>
      <c r="H18" s="2"/>
    </row>
    <row r="19" spans="2:14" ht="28.5" customHeight="1">
      <c r="B19" s="380" t="s">
        <v>478</v>
      </c>
      <c r="C19" s="380"/>
      <c r="D19" s="380"/>
      <c r="E19" s="380"/>
      <c r="F19" s="380"/>
      <c r="G19" s="380"/>
      <c r="H19" s="2"/>
    </row>
    <row r="20" spans="2:14" ht="18" customHeight="1">
      <c r="B20" s="2"/>
      <c r="C20" s="2"/>
      <c r="D20" s="2"/>
      <c r="E20" s="2"/>
      <c r="F20" s="2"/>
      <c r="G20" s="2"/>
      <c r="H20" s="2"/>
      <c r="I20" s="2"/>
      <c r="J20" s="2"/>
      <c r="K20" s="2"/>
      <c r="L20" s="2"/>
    </row>
    <row r="21" spans="2:14" ht="18" customHeight="1">
      <c r="B21" s="360" t="s">
        <v>511</v>
      </c>
      <c r="C21" s="360"/>
      <c r="D21" s="358"/>
      <c r="E21" s="358"/>
      <c r="F21" s="254"/>
      <c r="G21" s="303"/>
      <c r="I21" s="360" t="s">
        <v>510</v>
      </c>
      <c r="J21" s="360"/>
      <c r="K21" s="358"/>
      <c r="L21" s="358"/>
      <c r="M21" s="358"/>
      <c r="N21" s="358"/>
    </row>
    <row r="34" spans="2:8" ht="5.25" customHeight="1"/>
    <row r="35" spans="2:8" ht="33.75" customHeight="1">
      <c r="H35" s="317"/>
    </row>
    <row r="36" spans="2:8" ht="18" customHeight="1">
      <c r="B36" s="360" t="s">
        <v>494</v>
      </c>
      <c r="C36" s="360"/>
      <c r="D36" s="358"/>
      <c r="E36" s="358"/>
      <c r="F36" s="358"/>
      <c r="G36" s="358"/>
    </row>
    <row r="37" spans="2:8" ht="18" customHeight="1">
      <c r="B37" s="2"/>
      <c r="C37" s="2"/>
      <c r="D37" s="2"/>
      <c r="E37" s="2"/>
    </row>
    <row r="38" spans="2:8" ht="18" customHeight="1">
      <c r="B38" s="2"/>
      <c r="C38" s="2"/>
      <c r="D38" s="2"/>
      <c r="E38" s="2"/>
    </row>
    <row r="39" spans="2:8" ht="18" customHeight="1">
      <c r="B39" s="2"/>
      <c r="C39" s="2"/>
      <c r="D39" s="2"/>
      <c r="E39" s="2"/>
    </row>
    <row r="40" spans="2:8" ht="18" customHeight="1">
      <c r="B40" s="2"/>
      <c r="C40" s="2"/>
      <c r="D40" s="2"/>
      <c r="E40" s="2"/>
    </row>
    <row r="41" spans="2:8" ht="18" customHeight="1">
      <c r="B41" s="2"/>
      <c r="C41" s="2"/>
      <c r="D41" s="2"/>
      <c r="E41" s="2"/>
    </row>
    <row r="42" spans="2:8" ht="18" customHeight="1">
      <c r="B42" s="2"/>
      <c r="C42" s="2"/>
      <c r="D42" s="2"/>
      <c r="E42" s="2"/>
    </row>
    <row r="43" spans="2:8" ht="18" customHeight="1">
      <c r="B43" s="2"/>
      <c r="C43" s="2"/>
      <c r="D43" s="2"/>
      <c r="E43" s="2"/>
    </row>
    <row r="44" spans="2:8" ht="18" customHeight="1">
      <c r="B44" s="2"/>
      <c r="C44" s="2"/>
      <c r="D44" s="2"/>
      <c r="E44" s="2"/>
    </row>
    <row r="45" spans="2:8" ht="18" customHeight="1">
      <c r="B45" s="2"/>
      <c r="C45" s="2"/>
      <c r="D45" s="2"/>
      <c r="E45" s="2"/>
    </row>
    <row r="46" spans="2:8" ht="18" customHeight="1">
      <c r="B46" s="2"/>
      <c r="C46" s="2"/>
      <c r="D46" s="2"/>
      <c r="E46" s="2"/>
    </row>
    <row r="47" spans="2:8" ht="18" customHeight="1">
      <c r="B47" s="2"/>
      <c r="C47" s="2"/>
      <c r="D47" s="2"/>
      <c r="E47" s="2"/>
    </row>
    <row r="48" spans="2:8" ht="18" customHeight="1">
      <c r="B48" s="2"/>
      <c r="C48" s="2"/>
      <c r="D48" s="2"/>
      <c r="E48" s="2"/>
    </row>
    <row r="51" spans="2:7" ht="18" customHeight="1">
      <c r="B51" s="254" t="s">
        <v>490</v>
      </c>
      <c r="C51" s="254"/>
      <c r="D51" s="254"/>
      <c r="E51" s="254"/>
      <c r="F51" s="254"/>
    </row>
    <row r="64" spans="2:7" ht="28.5" customHeight="1">
      <c r="B64" s="380" t="s">
        <v>477</v>
      </c>
      <c r="C64" s="380"/>
      <c r="D64" s="380"/>
      <c r="E64" s="380"/>
      <c r="F64" s="380"/>
      <c r="G64" s="380"/>
    </row>
  </sheetData>
  <mergeCells count="12">
    <mergeCell ref="B64:G64"/>
    <mergeCell ref="B19:G19"/>
    <mergeCell ref="B6:G6"/>
    <mergeCell ref="I21:J21"/>
    <mergeCell ref="K21:L21"/>
    <mergeCell ref="M21:N21"/>
    <mergeCell ref="B21:C21"/>
    <mergeCell ref="D21:E21"/>
    <mergeCell ref="I6:N6"/>
    <mergeCell ref="B36:C36"/>
    <mergeCell ref="D36:E36"/>
    <mergeCell ref="F36:G36"/>
  </mergeCells>
  <pageMargins left="0.7" right="0.7" top="0.75" bottom="0.75" header="0.3" footer="0.3"/>
  <ignoredErrors>
    <ignoredError sqref="F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Valuation_Chart</vt:lpstr>
      <vt:lpstr>Valuation_Table</vt:lpstr>
      <vt:lpstr>|</vt:lpstr>
      <vt:lpstr>Scorecard</vt:lpstr>
      <vt:lpstr>Revenue</vt:lpstr>
      <vt:lpstr>Profit</vt:lpstr>
      <vt:lpstr>Dupont</vt:lpstr>
      <vt:lpstr>Efficiency</vt:lpstr>
      <vt:lpstr>Others</vt:lpstr>
      <vt:lpstr>Piotroski</vt:lpstr>
      <vt:lpstr>Altman</vt:lpstr>
      <vt:lpstr>||</vt:lpstr>
      <vt:lpstr>Analysis</vt:lpstr>
      <vt:lpstr>MICAP</vt:lpstr>
      <vt:lpstr>Screener Output.v0</vt:lpstr>
      <vt:lpstr>Screener Input</vt:lpstr>
      <vt:lpstr>Shareholding input</vt:lpstr>
      <vt:lpstr>Annual Report input</vt:lpstr>
      <vt:lpstr>Phil Fisher</vt:lpstr>
      <vt:lpstr>dividend</vt:lpstr>
      <vt:lpstr>UPDATE</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Bothra</dc:creator>
  <cp:lastModifiedBy>HP</cp:lastModifiedBy>
  <cp:lastPrinted>2015-03-07T00:34:42Z</cp:lastPrinted>
  <dcterms:created xsi:type="dcterms:W3CDTF">2014-03-30T00:53:10Z</dcterms:created>
  <dcterms:modified xsi:type="dcterms:W3CDTF">2018-06-03T10:56:48Z</dcterms:modified>
</cp:coreProperties>
</file>