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j\Desktop\"/>
    </mc:Choice>
  </mc:AlternateContent>
  <bookViews>
    <workbookView xWindow="0" yWindow="0" windowWidth="28800" windowHeight="12330" activeTab="4"/>
  </bookViews>
  <sheets>
    <sheet name="Profit &amp; Loss" sheetId="1" r:id="rId1"/>
    <sheet name="Quarters" sheetId="3" r:id="rId2"/>
    <sheet name="Balance Sheet" sheetId="2" r:id="rId3"/>
    <sheet name="Cash Flow" sheetId="4" r:id="rId4"/>
    <sheet name="Customization" sheetId="5" r:id="rId5"/>
    <sheet name="Data Sheet" sheetId="6" r:id="rId6"/>
    <sheet name="Calculated Data" sheetId="7" r:id="rId7"/>
  </sheets>
  <definedNames>
    <definedName name="UPDATE">'Data Sheet'!$E$1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7" l="1"/>
  <c r="I18" i="7"/>
  <c r="I19" i="7"/>
  <c r="I64" i="5"/>
  <c r="J17" i="7"/>
  <c r="J18" i="7"/>
  <c r="J19" i="7"/>
  <c r="J64" i="5"/>
  <c r="K17" i="7"/>
  <c r="K18" i="7"/>
  <c r="K19" i="7"/>
  <c r="K64" i="5"/>
  <c r="B78" i="5"/>
  <c r="F4" i="1"/>
  <c r="K4" i="1"/>
  <c r="J23" i="1"/>
  <c r="F78" i="5"/>
  <c r="C84" i="5"/>
  <c r="B84" i="5"/>
  <c r="D84" i="5"/>
  <c r="C85" i="5"/>
  <c r="B85" i="5"/>
  <c r="D85" i="5"/>
  <c r="C86" i="5"/>
  <c r="B86" i="5"/>
  <c r="D86" i="5"/>
  <c r="C87" i="5"/>
  <c r="B87" i="5"/>
  <c r="D87" i="5"/>
  <c r="C88" i="5"/>
  <c r="B88" i="5"/>
  <c r="D88" i="5"/>
  <c r="B4" i="1"/>
  <c r="H23" i="1"/>
  <c r="G78" i="5"/>
  <c r="C89" i="5"/>
  <c r="B89" i="5"/>
  <c r="D89" i="5"/>
  <c r="C90" i="5"/>
  <c r="B90" i="5"/>
  <c r="D90" i="5"/>
  <c r="C91" i="5"/>
  <c r="B91" i="5"/>
  <c r="D91" i="5"/>
  <c r="C92" i="5"/>
  <c r="B92" i="5"/>
  <c r="D92" i="5"/>
  <c r="C93" i="5"/>
  <c r="B93" i="5"/>
  <c r="D93" i="5"/>
  <c r="B96" i="5"/>
  <c r="D4" i="1"/>
  <c r="I23" i="1"/>
  <c r="H4" i="1"/>
  <c r="K23" i="1"/>
  <c r="J4" i="1"/>
  <c r="H4" i="3"/>
  <c r="I4" i="3"/>
  <c r="J4" i="3"/>
  <c r="K4" i="3"/>
  <c r="L4" i="1"/>
  <c r="L23" i="1"/>
  <c r="N23" i="1"/>
  <c r="F79" i="5"/>
  <c r="B95" i="5"/>
  <c r="B97" i="5"/>
  <c r="B98" i="5"/>
  <c r="B6" i="6"/>
  <c r="B79" i="5"/>
  <c r="B99" i="5"/>
  <c r="B76" i="5"/>
  <c r="C17" i="7"/>
  <c r="C18" i="7"/>
  <c r="C19" i="7"/>
  <c r="C64" i="5"/>
  <c r="D17" i="7"/>
  <c r="D18" i="7"/>
  <c r="D19" i="7"/>
  <c r="D64" i="5"/>
  <c r="E17" i="7"/>
  <c r="E18" i="7"/>
  <c r="E19" i="7"/>
  <c r="E64" i="5"/>
  <c r="F17" i="7"/>
  <c r="F18" i="7"/>
  <c r="F19" i="7"/>
  <c r="F64" i="5"/>
  <c r="G17" i="7"/>
  <c r="G18" i="7"/>
  <c r="G19" i="7"/>
  <c r="G64" i="5"/>
  <c r="H17" i="7"/>
  <c r="H18" i="7"/>
  <c r="H19" i="7"/>
  <c r="H64" i="5"/>
  <c r="B64" i="5"/>
  <c r="D5" i="1"/>
  <c r="D6" i="1"/>
  <c r="C67" i="5"/>
  <c r="C68" i="5"/>
  <c r="E4" i="1"/>
  <c r="E5" i="1"/>
  <c r="E6" i="1"/>
  <c r="D67" i="5"/>
  <c r="D68" i="5"/>
  <c r="F5" i="1"/>
  <c r="F6" i="1"/>
  <c r="E67" i="5"/>
  <c r="E68" i="5"/>
  <c r="G4" i="1"/>
  <c r="G5" i="1"/>
  <c r="G6" i="1"/>
  <c r="F67" i="5"/>
  <c r="F68" i="5"/>
  <c r="H5" i="1"/>
  <c r="H6" i="1"/>
  <c r="G67" i="5"/>
  <c r="G68" i="5"/>
  <c r="I4" i="1"/>
  <c r="I5" i="1"/>
  <c r="I6" i="1"/>
  <c r="H67" i="5"/>
  <c r="H68" i="5"/>
  <c r="J5" i="1"/>
  <c r="J6" i="1"/>
  <c r="I67" i="5"/>
  <c r="I68" i="5"/>
  <c r="K5" i="1"/>
  <c r="K6" i="1"/>
  <c r="J67" i="5"/>
  <c r="J68" i="5"/>
  <c r="H6" i="3"/>
  <c r="I6" i="3"/>
  <c r="J6" i="3"/>
  <c r="K6" i="3"/>
  <c r="L6" i="1"/>
  <c r="K67" i="5"/>
  <c r="K68" i="5"/>
  <c r="C66" i="5"/>
  <c r="D66" i="5"/>
  <c r="E66" i="5"/>
  <c r="F66" i="5"/>
  <c r="G66" i="5"/>
  <c r="H66" i="5"/>
  <c r="I66" i="5"/>
  <c r="J66" i="5"/>
  <c r="K66" i="5"/>
  <c r="C4" i="1"/>
  <c r="C5" i="1"/>
  <c r="C6" i="1"/>
  <c r="B67" i="5"/>
  <c r="B68" i="5"/>
  <c r="B66" i="5"/>
  <c r="B75" i="5"/>
  <c r="H12" i="3"/>
  <c r="I12" i="3"/>
  <c r="J12" i="3"/>
  <c r="K12" i="3"/>
  <c r="L12" i="1"/>
  <c r="L13" i="1"/>
  <c r="B72" i="5"/>
  <c r="E15" i="1"/>
  <c r="E93" i="6"/>
  <c r="E12" i="1"/>
  <c r="E13" i="1"/>
  <c r="E14" i="1"/>
  <c r="F15" i="1"/>
  <c r="F93" i="6"/>
  <c r="F12" i="1"/>
  <c r="F13" i="1"/>
  <c r="F14" i="1"/>
  <c r="G15" i="1"/>
  <c r="G93" i="6"/>
  <c r="G12" i="1"/>
  <c r="G13" i="1"/>
  <c r="G14" i="1"/>
  <c r="H15" i="1"/>
  <c r="H93" i="6"/>
  <c r="H12" i="1"/>
  <c r="H13" i="1"/>
  <c r="H14" i="1"/>
  <c r="I15" i="1"/>
  <c r="I93" i="6"/>
  <c r="I12" i="1"/>
  <c r="I13" i="1"/>
  <c r="I14" i="1"/>
  <c r="J15" i="1"/>
  <c r="J93" i="6"/>
  <c r="J12" i="1"/>
  <c r="J13" i="1"/>
  <c r="J14" i="1"/>
  <c r="K15" i="1"/>
  <c r="K93" i="6"/>
  <c r="K12" i="1"/>
  <c r="K13" i="1"/>
  <c r="K14" i="1"/>
  <c r="L15" i="1"/>
  <c r="L14" i="1"/>
  <c r="I25" i="1"/>
  <c r="J25" i="1"/>
  <c r="K25" i="1"/>
  <c r="M23" i="1"/>
  <c r="M4" i="1"/>
  <c r="C63" i="5"/>
  <c r="D63" i="5"/>
  <c r="E63" i="5"/>
  <c r="F63" i="5"/>
  <c r="G63" i="5"/>
  <c r="H63" i="5"/>
  <c r="I63" i="5"/>
  <c r="J63" i="5"/>
  <c r="K63" i="5"/>
  <c r="C62" i="5"/>
  <c r="D62" i="5"/>
  <c r="E62" i="5"/>
  <c r="F62" i="5"/>
  <c r="G62" i="5"/>
  <c r="H62" i="5"/>
  <c r="I62" i="5"/>
  <c r="J62" i="5"/>
  <c r="K62" i="5"/>
  <c r="B63" i="5"/>
  <c r="B62" i="5"/>
  <c r="C5" i="7"/>
  <c r="C6" i="7"/>
  <c r="C7" i="7"/>
  <c r="D5" i="7"/>
  <c r="D6" i="7"/>
  <c r="D7" i="7"/>
  <c r="E5" i="7"/>
  <c r="E6" i="7"/>
  <c r="E7" i="7"/>
  <c r="F5" i="7"/>
  <c r="F6" i="7"/>
  <c r="F7" i="7"/>
  <c r="G5" i="7"/>
  <c r="G6" i="7"/>
  <c r="G7" i="7"/>
  <c r="H5" i="7"/>
  <c r="H6" i="7"/>
  <c r="H7" i="7"/>
  <c r="I5" i="7"/>
  <c r="I6" i="7"/>
  <c r="I7" i="7"/>
  <c r="J5" i="7"/>
  <c r="J6" i="7"/>
  <c r="J7" i="7"/>
  <c r="K5" i="7"/>
  <c r="K6" i="7"/>
  <c r="K7" i="7"/>
  <c r="K21" i="5"/>
  <c r="J21" i="5"/>
  <c r="I21" i="5"/>
  <c r="H21" i="5"/>
  <c r="G21" i="5"/>
  <c r="F21" i="5"/>
  <c r="E21" i="5"/>
  <c r="D21" i="5"/>
  <c r="C21" i="5"/>
  <c r="N19" i="7"/>
  <c r="N18" i="7"/>
  <c r="C3" i="7"/>
  <c r="C30" i="7"/>
  <c r="B3" i="7"/>
  <c r="B30" i="7"/>
  <c r="D3" i="7"/>
  <c r="D30" i="7"/>
  <c r="E3" i="7"/>
  <c r="E30" i="7"/>
  <c r="F3" i="7"/>
  <c r="F30" i="7"/>
  <c r="G3" i="7"/>
  <c r="G30" i="7"/>
  <c r="H3" i="7"/>
  <c r="H30" i="7"/>
  <c r="I3" i="7"/>
  <c r="I30" i="7"/>
  <c r="J3" i="7"/>
  <c r="J30" i="7"/>
  <c r="K3" i="7"/>
  <c r="K30" i="7"/>
  <c r="C93" i="6"/>
  <c r="C26" i="7"/>
  <c r="C31" i="7"/>
  <c r="B93" i="6"/>
  <c r="B26" i="7"/>
  <c r="B31" i="7"/>
  <c r="N31" i="7"/>
  <c r="D93" i="6"/>
  <c r="D26" i="7"/>
  <c r="D31" i="7"/>
  <c r="O31" i="7"/>
  <c r="E26" i="7"/>
  <c r="E31" i="7"/>
  <c r="P31" i="7"/>
  <c r="F26" i="7"/>
  <c r="F31" i="7"/>
  <c r="Q31" i="7"/>
  <c r="G26" i="7"/>
  <c r="G31" i="7"/>
  <c r="R31" i="7"/>
  <c r="H26" i="7"/>
  <c r="H31" i="7"/>
  <c r="S31" i="7"/>
  <c r="I26" i="7"/>
  <c r="I31" i="7"/>
  <c r="T31" i="7"/>
  <c r="J26" i="7"/>
  <c r="J31" i="7"/>
  <c r="U31" i="7"/>
  <c r="K26" i="7"/>
  <c r="K31" i="7"/>
  <c r="V31" i="7"/>
  <c r="C11" i="7"/>
  <c r="C32" i="7"/>
  <c r="B11" i="7"/>
  <c r="B32" i="7"/>
  <c r="N32" i="7"/>
  <c r="D11" i="7"/>
  <c r="D32" i="7"/>
  <c r="O32" i="7"/>
  <c r="E11" i="7"/>
  <c r="E32" i="7"/>
  <c r="P32" i="7"/>
  <c r="F11" i="7"/>
  <c r="F32" i="7"/>
  <c r="Q32" i="7"/>
  <c r="G11" i="7"/>
  <c r="G32" i="7"/>
  <c r="R32" i="7"/>
  <c r="H11" i="7"/>
  <c r="H32" i="7"/>
  <c r="S32" i="7"/>
  <c r="I11" i="7"/>
  <c r="I32" i="7"/>
  <c r="T32" i="7"/>
  <c r="J11" i="7"/>
  <c r="J32" i="7"/>
  <c r="U32" i="7"/>
  <c r="K11" i="7"/>
  <c r="K32" i="7"/>
  <c r="V32" i="7"/>
  <c r="C33" i="7"/>
  <c r="B17" i="7"/>
  <c r="B33" i="7"/>
  <c r="N33" i="7"/>
  <c r="D33" i="7"/>
  <c r="O33" i="7"/>
  <c r="E33" i="7"/>
  <c r="P33" i="7"/>
  <c r="F33" i="7"/>
  <c r="Q33" i="7"/>
  <c r="G33" i="7"/>
  <c r="R33" i="7"/>
  <c r="H33" i="7"/>
  <c r="S33" i="7"/>
  <c r="I33" i="7"/>
  <c r="T33" i="7"/>
  <c r="J33" i="7"/>
  <c r="U33" i="7"/>
  <c r="K33" i="7"/>
  <c r="V33" i="7"/>
  <c r="C34" i="7"/>
  <c r="B34" i="7"/>
  <c r="N34" i="7"/>
  <c r="D34" i="7"/>
  <c r="O34" i="7"/>
  <c r="E34" i="7"/>
  <c r="P34" i="7"/>
  <c r="F34" i="7"/>
  <c r="Q34" i="7"/>
  <c r="G34" i="7"/>
  <c r="R34" i="7"/>
  <c r="H34" i="7"/>
  <c r="S34" i="7"/>
  <c r="I34" i="7"/>
  <c r="T34" i="7"/>
  <c r="J34" i="7"/>
  <c r="U34" i="7"/>
  <c r="K34" i="7"/>
  <c r="V34" i="7"/>
  <c r="C29" i="7"/>
  <c r="C35" i="7"/>
  <c r="B29" i="7"/>
  <c r="B5" i="7"/>
  <c r="B6" i="7"/>
  <c r="B35" i="7"/>
  <c r="N35" i="7"/>
  <c r="D29" i="7"/>
  <c r="D35" i="7"/>
  <c r="O35" i="7"/>
  <c r="E29" i="7"/>
  <c r="E35" i="7"/>
  <c r="P35" i="7"/>
  <c r="F29" i="7"/>
  <c r="F35" i="7"/>
  <c r="Q35" i="7"/>
  <c r="G29" i="7"/>
  <c r="G35" i="7"/>
  <c r="R35" i="7"/>
  <c r="H29" i="7"/>
  <c r="H35" i="7"/>
  <c r="S35" i="7"/>
  <c r="I29" i="7"/>
  <c r="I35" i="7"/>
  <c r="T35" i="7"/>
  <c r="J29" i="7"/>
  <c r="J35" i="7"/>
  <c r="U35" i="7"/>
  <c r="K29" i="7"/>
  <c r="K35" i="7"/>
  <c r="V35" i="7"/>
  <c r="C36" i="7"/>
  <c r="B36" i="7"/>
  <c r="N36" i="7"/>
  <c r="D36" i="7"/>
  <c r="O36" i="7"/>
  <c r="E36" i="7"/>
  <c r="P36" i="7"/>
  <c r="F36" i="7"/>
  <c r="Q36" i="7"/>
  <c r="G36" i="7"/>
  <c r="R36" i="7"/>
  <c r="H36" i="7"/>
  <c r="S36" i="7"/>
  <c r="I36" i="7"/>
  <c r="T36" i="7"/>
  <c r="J36" i="7"/>
  <c r="U36" i="7"/>
  <c r="K36" i="7"/>
  <c r="V36" i="7"/>
  <c r="C37" i="7"/>
  <c r="B37" i="7"/>
  <c r="D37" i="7"/>
  <c r="E37" i="7"/>
  <c r="F37" i="7"/>
  <c r="G37" i="7"/>
  <c r="H37" i="7"/>
  <c r="I37" i="7"/>
  <c r="J37" i="7"/>
  <c r="K37" i="7"/>
  <c r="C12" i="7"/>
  <c r="C15" i="7"/>
  <c r="C38" i="7"/>
  <c r="B12" i="7"/>
  <c r="B15" i="7"/>
  <c r="B38" i="7"/>
  <c r="N38" i="7"/>
  <c r="D12" i="7"/>
  <c r="D15" i="7"/>
  <c r="D38" i="7"/>
  <c r="O38" i="7"/>
  <c r="E12" i="7"/>
  <c r="E15" i="7"/>
  <c r="E38" i="7"/>
  <c r="P38" i="7"/>
  <c r="F12" i="7"/>
  <c r="F15" i="7"/>
  <c r="F38" i="7"/>
  <c r="Q38" i="7"/>
  <c r="G12" i="7"/>
  <c r="G15" i="7"/>
  <c r="G38" i="7"/>
  <c r="R38" i="7"/>
  <c r="H12" i="7"/>
  <c r="H15" i="7"/>
  <c r="H38" i="7"/>
  <c r="S38" i="7"/>
  <c r="I12" i="7"/>
  <c r="I15" i="7"/>
  <c r="I38" i="7"/>
  <c r="T38" i="7"/>
  <c r="J12" i="7"/>
  <c r="J15" i="7"/>
  <c r="J38" i="7"/>
  <c r="U38" i="7"/>
  <c r="K12" i="7"/>
  <c r="K15" i="7"/>
  <c r="K38" i="7"/>
  <c r="V38" i="7"/>
  <c r="C28" i="7"/>
  <c r="C39" i="7"/>
  <c r="B28" i="7"/>
  <c r="B39" i="7"/>
  <c r="N39" i="7"/>
  <c r="D28" i="7"/>
  <c r="D39" i="7"/>
  <c r="O39" i="7"/>
  <c r="E28" i="7"/>
  <c r="E39" i="7"/>
  <c r="P39" i="7"/>
  <c r="F28" i="7"/>
  <c r="F39" i="7"/>
  <c r="Q39" i="7"/>
  <c r="G28" i="7"/>
  <c r="G39" i="7"/>
  <c r="R39" i="7"/>
  <c r="H28" i="7"/>
  <c r="H39" i="7"/>
  <c r="S39" i="7"/>
  <c r="I28" i="7"/>
  <c r="I39" i="7"/>
  <c r="T39" i="7"/>
  <c r="J28" i="7"/>
  <c r="J39" i="7"/>
  <c r="U39" i="7"/>
  <c r="K28" i="7"/>
  <c r="K39" i="7"/>
  <c r="V39" i="7"/>
  <c r="C40" i="7"/>
  <c r="B40" i="7"/>
  <c r="N40" i="7"/>
  <c r="D40" i="7"/>
  <c r="O40" i="7"/>
  <c r="E40" i="7"/>
  <c r="P40" i="7"/>
  <c r="F40" i="7"/>
  <c r="Q40" i="7"/>
  <c r="G40" i="7"/>
  <c r="R40" i="7"/>
  <c r="H40" i="7"/>
  <c r="S40" i="7"/>
  <c r="I40" i="7"/>
  <c r="T40" i="7"/>
  <c r="J40" i="7"/>
  <c r="U40" i="7"/>
  <c r="K40" i="7"/>
  <c r="V40" i="7"/>
  <c r="C41" i="7"/>
  <c r="B41" i="7"/>
  <c r="N41" i="7"/>
  <c r="D41" i="7"/>
  <c r="O41" i="7"/>
  <c r="E41" i="7"/>
  <c r="P41" i="7"/>
  <c r="F41" i="7"/>
  <c r="Q41" i="7"/>
  <c r="G41" i="7"/>
  <c r="R41" i="7"/>
  <c r="H41" i="7"/>
  <c r="S41" i="7"/>
  <c r="I41" i="7"/>
  <c r="T41" i="7"/>
  <c r="J41" i="7"/>
  <c r="U41" i="7"/>
  <c r="K41" i="7"/>
  <c r="V41" i="7"/>
  <c r="C42" i="7"/>
  <c r="B42" i="7"/>
  <c r="N42" i="7"/>
  <c r="D42" i="7"/>
  <c r="O42" i="7"/>
  <c r="E42" i="7"/>
  <c r="P42" i="7"/>
  <c r="F42" i="7"/>
  <c r="Q42" i="7"/>
  <c r="G42" i="7"/>
  <c r="R42" i="7"/>
  <c r="H42" i="7"/>
  <c r="S42" i="7"/>
  <c r="I42" i="7"/>
  <c r="T42" i="7"/>
  <c r="J42" i="7"/>
  <c r="U42" i="7"/>
  <c r="K42" i="7"/>
  <c r="V42" i="7"/>
  <c r="C43" i="7"/>
  <c r="B43" i="7"/>
  <c r="N43" i="7"/>
  <c r="D43" i="7"/>
  <c r="O43" i="7"/>
  <c r="E43" i="7"/>
  <c r="P43" i="7"/>
  <c r="F43" i="7"/>
  <c r="Q43" i="7"/>
  <c r="G43" i="7"/>
  <c r="R43" i="7"/>
  <c r="H43" i="7"/>
  <c r="S43" i="7"/>
  <c r="I43" i="7"/>
  <c r="T43" i="7"/>
  <c r="J43" i="7"/>
  <c r="U43" i="7"/>
  <c r="K43" i="7"/>
  <c r="V43" i="7"/>
  <c r="N11" i="7"/>
  <c r="O11" i="7"/>
  <c r="P11" i="7"/>
  <c r="Q11" i="7"/>
  <c r="R11" i="7"/>
  <c r="S11" i="7"/>
  <c r="T11" i="7"/>
  <c r="U11" i="7"/>
  <c r="V11" i="7"/>
  <c r="N12" i="7"/>
  <c r="O12" i="7"/>
  <c r="P12" i="7"/>
  <c r="Q12" i="7"/>
  <c r="R12" i="7"/>
  <c r="S12" i="7"/>
  <c r="T12" i="7"/>
  <c r="U12" i="7"/>
  <c r="V12" i="7"/>
  <c r="C13" i="7"/>
  <c r="B13" i="7"/>
  <c r="N13" i="7"/>
  <c r="D13" i="7"/>
  <c r="O13" i="7"/>
  <c r="E13" i="7"/>
  <c r="P13" i="7"/>
  <c r="F13" i="7"/>
  <c r="Q13" i="7"/>
  <c r="G13" i="7"/>
  <c r="R13" i="7"/>
  <c r="H13" i="7"/>
  <c r="S13" i="7"/>
  <c r="I13" i="7"/>
  <c r="T13" i="7"/>
  <c r="J13" i="7"/>
  <c r="U13" i="7"/>
  <c r="K13" i="7"/>
  <c r="V13" i="7"/>
  <c r="C14" i="7"/>
  <c r="B14" i="7"/>
  <c r="N14" i="7"/>
  <c r="D14" i="7"/>
  <c r="O14" i="7"/>
  <c r="E14" i="7"/>
  <c r="P14" i="7"/>
  <c r="F14" i="7"/>
  <c r="Q14" i="7"/>
  <c r="G14" i="7"/>
  <c r="R14" i="7"/>
  <c r="H14" i="7"/>
  <c r="S14" i="7"/>
  <c r="I14" i="7"/>
  <c r="T14" i="7"/>
  <c r="J14" i="7"/>
  <c r="U14" i="7"/>
  <c r="K14" i="7"/>
  <c r="V14" i="7"/>
  <c r="N15" i="7"/>
  <c r="O15" i="7"/>
  <c r="P15" i="7"/>
  <c r="Q15" i="7"/>
  <c r="R15" i="7"/>
  <c r="S15" i="7"/>
  <c r="T15" i="7"/>
  <c r="U15" i="7"/>
  <c r="V15" i="7"/>
  <c r="N17" i="7"/>
  <c r="O17" i="7"/>
  <c r="P17" i="7"/>
  <c r="Q17" i="7"/>
  <c r="R17" i="7"/>
  <c r="S17" i="7"/>
  <c r="T17" i="7"/>
  <c r="U17" i="7"/>
  <c r="V17" i="7"/>
  <c r="O18" i="7"/>
  <c r="P18" i="7"/>
  <c r="Q18" i="7"/>
  <c r="R18" i="7"/>
  <c r="S18" i="7"/>
  <c r="T18" i="7"/>
  <c r="U18" i="7"/>
  <c r="V18" i="7"/>
  <c r="O19" i="7"/>
  <c r="P19" i="7"/>
  <c r="Q19" i="7"/>
  <c r="R19" i="7"/>
  <c r="S19" i="7"/>
  <c r="T19" i="7"/>
  <c r="U19" i="7"/>
  <c r="V19" i="7"/>
  <c r="C20" i="7"/>
  <c r="B20" i="7"/>
  <c r="N20" i="7"/>
  <c r="D20" i="7"/>
  <c r="O20" i="7"/>
  <c r="E20" i="7"/>
  <c r="P20" i="7"/>
  <c r="F20" i="7"/>
  <c r="Q20" i="7"/>
  <c r="G20" i="7"/>
  <c r="R20" i="7"/>
  <c r="H20" i="7"/>
  <c r="S20" i="7"/>
  <c r="I20" i="7"/>
  <c r="T20" i="7"/>
  <c r="J20" i="7"/>
  <c r="U20" i="7"/>
  <c r="K20" i="7"/>
  <c r="V20" i="7"/>
  <c r="C21" i="7"/>
  <c r="B21" i="7"/>
  <c r="N21" i="7"/>
  <c r="D21" i="7"/>
  <c r="O21" i="7"/>
  <c r="E21" i="7"/>
  <c r="P21" i="7"/>
  <c r="F21" i="7"/>
  <c r="Q21" i="7"/>
  <c r="G21" i="7"/>
  <c r="R21" i="7"/>
  <c r="H21" i="7"/>
  <c r="S21" i="7"/>
  <c r="I21" i="7"/>
  <c r="T21" i="7"/>
  <c r="J21" i="7"/>
  <c r="U21" i="7"/>
  <c r="K21" i="7"/>
  <c r="V21" i="7"/>
  <c r="C22" i="7"/>
  <c r="B22" i="7"/>
  <c r="N22" i="7"/>
  <c r="D22" i="7"/>
  <c r="O22" i="7"/>
  <c r="E22" i="7"/>
  <c r="P22" i="7"/>
  <c r="F22" i="7"/>
  <c r="Q22" i="7"/>
  <c r="G22" i="7"/>
  <c r="R22" i="7"/>
  <c r="H22" i="7"/>
  <c r="S22" i="7"/>
  <c r="I22" i="7"/>
  <c r="T22" i="7"/>
  <c r="J22" i="7"/>
  <c r="U22" i="7"/>
  <c r="K22" i="7"/>
  <c r="V22" i="7"/>
  <c r="N23" i="7"/>
  <c r="O23" i="7"/>
  <c r="P23" i="7"/>
  <c r="Q23" i="7"/>
  <c r="R23" i="7"/>
  <c r="S23" i="7"/>
  <c r="T23" i="7"/>
  <c r="U23" i="7"/>
  <c r="V23" i="7"/>
  <c r="C24" i="7"/>
  <c r="B24" i="7"/>
  <c r="N24" i="7"/>
  <c r="D24" i="7"/>
  <c r="O24" i="7"/>
  <c r="E24" i="7"/>
  <c r="P24" i="7"/>
  <c r="F24" i="7"/>
  <c r="Q24" i="7"/>
  <c r="G24" i="7"/>
  <c r="R24" i="7"/>
  <c r="H24" i="7"/>
  <c r="S24" i="7"/>
  <c r="I24" i="7"/>
  <c r="T24" i="7"/>
  <c r="J24" i="7"/>
  <c r="U24" i="7"/>
  <c r="K24" i="7"/>
  <c r="V24" i="7"/>
  <c r="N26" i="7"/>
  <c r="O26" i="7"/>
  <c r="P26" i="7"/>
  <c r="Q26" i="7"/>
  <c r="R26" i="7"/>
  <c r="S26" i="7"/>
  <c r="T26" i="7"/>
  <c r="U26" i="7"/>
  <c r="V26" i="7"/>
  <c r="C27" i="7"/>
  <c r="B27" i="7"/>
  <c r="N27" i="7"/>
  <c r="D27" i="7"/>
  <c r="O27" i="7"/>
  <c r="E27" i="7"/>
  <c r="P27" i="7"/>
  <c r="F27" i="7"/>
  <c r="Q27" i="7"/>
  <c r="G27" i="7"/>
  <c r="R27" i="7"/>
  <c r="H27" i="7"/>
  <c r="S27" i="7"/>
  <c r="I27" i="7"/>
  <c r="T27" i="7"/>
  <c r="J27" i="7"/>
  <c r="U27" i="7"/>
  <c r="K27" i="7"/>
  <c r="V27" i="7"/>
  <c r="N28" i="7"/>
  <c r="O28" i="7"/>
  <c r="P28" i="7"/>
  <c r="Q28" i="7"/>
  <c r="R28" i="7"/>
  <c r="S28" i="7"/>
  <c r="T28" i="7"/>
  <c r="U28" i="7"/>
  <c r="V28" i="7"/>
  <c r="N29" i="7"/>
  <c r="O29" i="7"/>
  <c r="P29" i="7"/>
  <c r="Q29" i="7"/>
  <c r="R29" i="7"/>
  <c r="S29" i="7"/>
  <c r="T29" i="7"/>
  <c r="U29" i="7"/>
  <c r="V29" i="7"/>
  <c r="M42" i="7"/>
  <c r="M43" i="7"/>
  <c r="M11" i="7"/>
  <c r="M12" i="7"/>
  <c r="M13" i="7"/>
  <c r="M14" i="7"/>
  <c r="M15" i="7"/>
  <c r="M17" i="7"/>
  <c r="M18" i="7"/>
  <c r="M19" i="7"/>
  <c r="M20" i="7"/>
  <c r="M21" i="7"/>
  <c r="M22" i="7"/>
  <c r="M23" i="7"/>
  <c r="M24" i="7"/>
  <c r="M26" i="7"/>
  <c r="M27" i="7"/>
  <c r="M28" i="7"/>
  <c r="M29" i="7"/>
  <c r="M31" i="7"/>
  <c r="M32" i="7"/>
  <c r="M33" i="7"/>
  <c r="M34" i="7"/>
  <c r="M35" i="7"/>
  <c r="M36" i="7"/>
  <c r="M38" i="7"/>
  <c r="M39" i="7"/>
  <c r="M40" i="7"/>
  <c r="M41" i="7"/>
  <c r="M5" i="7"/>
  <c r="M6" i="7"/>
  <c r="M7" i="7"/>
  <c r="M8" i="7"/>
  <c r="M9" i="7"/>
  <c r="M4" i="7"/>
  <c r="O6" i="7"/>
  <c r="P6" i="7"/>
  <c r="Q6" i="7"/>
  <c r="R6" i="7"/>
  <c r="S6" i="7"/>
  <c r="T6" i="7"/>
  <c r="U6" i="7"/>
  <c r="V6" i="7"/>
  <c r="O7" i="7"/>
  <c r="P7" i="7"/>
  <c r="Q7" i="7"/>
  <c r="R7" i="7"/>
  <c r="S7" i="7"/>
  <c r="T7" i="7"/>
  <c r="U7" i="7"/>
  <c r="V7" i="7"/>
  <c r="D8" i="7"/>
  <c r="C8" i="7"/>
  <c r="O8" i="7"/>
  <c r="E8" i="7"/>
  <c r="P8" i="7"/>
  <c r="F8" i="7"/>
  <c r="Q8" i="7"/>
  <c r="G8" i="7"/>
  <c r="R8" i="7"/>
  <c r="H8" i="7"/>
  <c r="S8" i="7"/>
  <c r="I8" i="7"/>
  <c r="T8" i="7"/>
  <c r="J8" i="7"/>
  <c r="U8" i="7"/>
  <c r="K8" i="7"/>
  <c r="V8" i="7"/>
  <c r="D9" i="7"/>
  <c r="C9" i="7"/>
  <c r="O9" i="7"/>
  <c r="E9" i="7"/>
  <c r="P9" i="7"/>
  <c r="F9" i="7"/>
  <c r="Q9" i="7"/>
  <c r="G9" i="7"/>
  <c r="R9" i="7"/>
  <c r="H9" i="7"/>
  <c r="S9" i="7"/>
  <c r="I9" i="7"/>
  <c r="T9" i="7"/>
  <c r="J9" i="7"/>
  <c r="U9" i="7"/>
  <c r="K9" i="7"/>
  <c r="V9" i="7"/>
  <c r="O5" i="7"/>
  <c r="P5" i="7"/>
  <c r="Q5" i="7"/>
  <c r="R5" i="7"/>
  <c r="S5" i="7"/>
  <c r="T5" i="7"/>
  <c r="U5" i="7"/>
  <c r="V5" i="7"/>
  <c r="N5" i="7"/>
  <c r="N6" i="7"/>
  <c r="B7" i="7"/>
  <c r="N7" i="7"/>
  <c r="B8" i="7"/>
  <c r="N8" i="7"/>
  <c r="B9" i="7"/>
  <c r="N9" i="7"/>
  <c r="D4" i="7"/>
  <c r="C4" i="7"/>
  <c r="O4" i="7"/>
  <c r="E4" i="7"/>
  <c r="P4" i="7"/>
  <c r="F4" i="7"/>
  <c r="Q4" i="7"/>
  <c r="G4" i="7"/>
  <c r="R4" i="7"/>
  <c r="H4" i="7"/>
  <c r="S4" i="7"/>
  <c r="I4" i="7"/>
  <c r="T4" i="7"/>
  <c r="J4" i="7"/>
  <c r="U4" i="7"/>
  <c r="K4" i="7"/>
  <c r="V4" i="7"/>
  <c r="B4" i="7"/>
  <c r="N4" i="7"/>
  <c r="V3" i="7"/>
  <c r="N3" i="7"/>
  <c r="O3" i="7"/>
  <c r="P3" i="7"/>
  <c r="Q3" i="7"/>
  <c r="R3" i="7"/>
  <c r="S3" i="7"/>
  <c r="T3" i="7"/>
  <c r="U3" i="7"/>
  <c r="C18" i="5"/>
  <c r="D18" i="5"/>
  <c r="E18" i="5"/>
  <c r="F18" i="5"/>
  <c r="G18" i="5"/>
  <c r="H18" i="5"/>
  <c r="I18" i="5"/>
  <c r="J18" i="5"/>
  <c r="K18" i="5"/>
  <c r="B18" i="5"/>
  <c r="C8" i="5"/>
  <c r="C7" i="5"/>
  <c r="C6" i="5"/>
  <c r="G6" i="5"/>
  <c r="L16" i="5"/>
  <c r="L15" i="5"/>
  <c r="L14" i="5"/>
  <c r="L13" i="5"/>
  <c r="K16" i="5"/>
  <c r="K15" i="5"/>
  <c r="K14" i="5"/>
  <c r="K13" i="5"/>
  <c r="J16" i="5"/>
  <c r="J15" i="5"/>
  <c r="J14" i="5"/>
  <c r="J13" i="5"/>
  <c r="I16" i="5"/>
  <c r="I15" i="5"/>
  <c r="I14" i="5"/>
  <c r="I13" i="5"/>
  <c r="H16" i="5"/>
  <c r="H15" i="5"/>
  <c r="H14" i="5"/>
  <c r="H13" i="5"/>
  <c r="G16" i="5"/>
  <c r="G15" i="5"/>
  <c r="G14" i="5"/>
  <c r="G13" i="5"/>
  <c r="F16" i="5"/>
  <c r="F15" i="5"/>
  <c r="F14" i="5"/>
  <c r="F13" i="5"/>
  <c r="E16" i="5"/>
  <c r="E15" i="5"/>
  <c r="E14" i="5"/>
  <c r="E13" i="5"/>
  <c r="D16" i="5"/>
  <c r="D15" i="5"/>
  <c r="D14" i="5"/>
  <c r="D13" i="5"/>
  <c r="C16" i="5"/>
  <c r="C15" i="5"/>
  <c r="C14" i="5"/>
  <c r="C13" i="5"/>
  <c r="F74" i="5"/>
  <c r="F73" i="5"/>
  <c r="F72" i="5"/>
  <c r="F71" i="5"/>
  <c r="F70" i="5"/>
  <c r="C57" i="5"/>
  <c r="D57" i="5"/>
  <c r="E57" i="5"/>
  <c r="F57" i="5"/>
  <c r="F58" i="5"/>
  <c r="G57" i="5"/>
  <c r="H57" i="5"/>
  <c r="I57" i="5"/>
  <c r="J57" i="5"/>
  <c r="J58" i="5"/>
  <c r="J56" i="5"/>
  <c r="J59" i="5"/>
  <c r="K57" i="5"/>
  <c r="C56" i="5"/>
  <c r="D56" i="5"/>
  <c r="E56" i="5"/>
  <c r="F56" i="5"/>
  <c r="G56" i="5"/>
  <c r="H56" i="5"/>
  <c r="I56" i="5"/>
  <c r="K56" i="5"/>
  <c r="C55" i="5"/>
  <c r="D55" i="5"/>
  <c r="E55" i="5"/>
  <c r="F55" i="5"/>
  <c r="G55" i="5"/>
  <c r="H55" i="5"/>
  <c r="I55" i="5"/>
  <c r="J55" i="5"/>
  <c r="K55" i="5"/>
  <c r="C54" i="5"/>
  <c r="D54" i="5"/>
  <c r="E54" i="5"/>
  <c r="F54" i="5"/>
  <c r="G54" i="5"/>
  <c r="H54" i="5"/>
  <c r="I54" i="5"/>
  <c r="J54" i="5"/>
  <c r="K54" i="5"/>
  <c r="C53" i="5"/>
  <c r="D53" i="5"/>
  <c r="E53" i="5"/>
  <c r="F53" i="5"/>
  <c r="G53" i="5"/>
  <c r="H53" i="5"/>
  <c r="I53" i="5"/>
  <c r="J53" i="5"/>
  <c r="K53" i="5"/>
  <c r="C52" i="5"/>
  <c r="D52" i="5"/>
  <c r="E52" i="5"/>
  <c r="F52" i="5"/>
  <c r="G52" i="5"/>
  <c r="H52" i="5"/>
  <c r="I52" i="5"/>
  <c r="J52" i="5"/>
  <c r="K52" i="5"/>
  <c r="B57" i="5"/>
  <c r="B56" i="5"/>
  <c r="B55" i="5"/>
  <c r="B54" i="5"/>
  <c r="B53" i="5"/>
  <c r="B52" i="5"/>
  <c r="C36" i="5"/>
  <c r="C44" i="5"/>
  <c r="C50" i="5"/>
  <c r="D36" i="5"/>
  <c r="D44" i="5"/>
  <c r="D50" i="5"/>
  <c r="E36" i="5"/>
  <c r="E44" i="5"/>
  <c r="E50" i="5"/>
  <c r="F36" i="5"/>
  <c r="F44" i="5"/>
  <c r="F50" i="5"/>
  <c r="G36" i="5"/>
  <c r="G44" i="5"/>
  <c r="G50" i="5"/>
  <c r="H36" i="5"/>
  <c r="H44" i="5"/>
  <c r="H50" i="5"/>
  <c r="I36" i="5"/>
  <c r="I44" i="5"/>
  <c r="I50" i="5"/>
  <c r="J36" i="5"/>
  <c r="J44" i="5"/>
  <c r="J50" i="5"/>
  <c r="K36" i="5"/>
  <c r="K44" i="5"/>
  <c r="K50" i="5"/>
  <c r="C49" i="5"/>
  <c r="D49" i="5"/>
  <c r="E49" i="5"/>
  <c r="F49" i="5"/>
  <c r="G49" i="5"/>
  <c r="H49" i="5"/>
  <c r="I49" i="5"/>
  <c r="J49" i="5"/>
  <c r="K49" i="5"/>
  <c r="B36" i="5"/>
  <c r="B44" i="5"/>
  <c r="B50" i="5"/>
  <c r="B49" i="5"/>
  <c r="C46" i="5"/>
  <c r="D46" i="5"/>
  <c r="E46" i="5"/>
  <c r="F46" i="5"/>
  <c r="G46" i="5"/>
  <c r="H46" i="5"/>
  <c r="I46" i="5"/>
  <c r="J46" i="5"/>
  <c r="J39" i="5"/>
  <c r="J47" i="5"/>
  <c r="K46" i="5"/>
  <c r="C45" i="5"/>
  <c r="D45" i="5"/>
  <c r="E45" i="5"/>
  <c r="F45" i="5"/>
  <c r="G45" i="5"/>
  <c r="H45" i="5"/>
  <c r="I45" i="5"/>
  <c r="J45" i="5"/>
  <c r="K45" i="5"/>
  <c r="B46" i="5"/>
  <c r="B45" i="5"/>
  <c r="C42" i="5"/>
  <c r="D42" i="5"/>
  <c r="E42" i="5"/>
  <c r="F42" i="5"/>
  <c r="G42" i="5"/>
  <c r="H42" i="5"/>
  <c r="I42" i="5"/>
  <c r="J42" i="5"/>
  <c r="K42" i="5"/>
  <c r="C41" i="5"/>
  <c r="D41" i="5"/>
  <c r="E41" i="5"/>
  <c r="F41" i="5"/>
  <c r="G41" i="5"/>
  <c r="H41" i="5"/>
  <c r="I41" i="5"/>
  <c r="J41" i="5"/>
  <c r="K41" i="5"/>
  <c r="C40" i="5"/>
  <c r="D40" i="5"/>
  <c r="E40" i="5"/>
  <c r="F40" i="5"/>
  <c r="G40" i="5"/>
  <c r="H40" i="5"/>
  <c r="I40" i="5"/>
  <c r="J40" i="5"/>
  <c r="K40" i="5"/>
  <c r="C39" i="5"/>
  <c r="D39" i="5"/>
  <c r="E39" i="5"/>
  <c r="F39" i="5"/>
  <c r="G39" i="5"/>
  <c r="H39" i="5"/>
  <c r="I39" i="5"/>
  <c r="K39" i="5"/>
  <c r="C38" i="5"/>
  <c r="D38" i="5"/>
  <c r="E38" i="5"/>
  <c r="F38" i="5"/>
  <c r="G38" i="5"/>
  <c r="H38" i="5"/>
  <c r="I38" i="5"/>
  <c r="J38" i="5"/>
  <c r="K38" i="5"/>
  <c r="C37" i="5"/>
  <c r="D37" i="5"/>
  <c r="E37" i="5"/>
  <c r="F37" i="5"/>
  <c r="G37" i="5"/>
  <c r="H37" i="5"/>
  <c r="I37" i="5"/>
  <c r="J37" i="5"/>
  <c r="K37" i="5"/>
  <c r="C35" i="5"/>
  <c r="D35" i="5"/>
  <c r="E35" i="5"/>
  <c r="F35" i="5"/>
  <c r="G35" i="5"/>
  <c r="H35" i="5"/>
  <c r="I35" i="5"/>
  <c r="J35" i="5"/>
  <c r="K35" i="5"/>
  <c r="B42" i="5"/>
  <c r="B41" i="5"/>
  <c r="B40" i="5"/>
  <c r="B39" i="5"/>
  <c r="B38" i="5"/>
  <c r="B37" i="5"/>
  <c r="B35" i="5"/>
  <c r="C22" i="5"/>
  <c r="D22" i="5"/>
  <c r="E22" i="5"/>
  <c r="F22" i="5"/>
  <c r="G22" i="5"/>
  <c r="H22" i="5"/>
  <c r="I22" i="5"/>
  <c r="J22" i="5"/>
  <c r="K22" i="5"/>
  <c r="B21" i="5"/>
  <c r="C33" i="5"/>
  <c r="D33" i="5"/>
  <c r="E33" i="5"/>
  <c r="F33" i="5"/>
  <c r="G33" i="5"/>
  <c r="H33" i="5"/>
  <c r="I33" i="5"/>
  <c r="J33" i="5"/>
  <c r="K33" i="5"/>
  <c r="C32" i="5"/>
  <c r="D32" i="5"/>
  <c r="E32" i="5"/>
  <c r="F32" i="5"/>
  <c r="G32" i="5"/>
  <c r="H32" i="5"/>
  <c r="I32" i="5"/>
  <c r="J32" i="5"/>
  <c r="K32" i="5"/>
  <c r="C31" i="5"/>
  <c r="D31" i="5"/>
  <c r="E31" i="5"/>
  <c r="F31" i="5"/>
  <c r="G31" i="5"/>
  <c r="H31" i="5"/>
  <c r="I31" i="5"/>
  <c r="J31" i="5"/>
  <c r="K31" i="5"/>
  <c r="B31" i="5"/>
  <c r="B32" i="5"/>
  <c r="B33" i="5"/>
  <c r="C17" i="2"/>
  <c r="C20" i="2"/>
  <c r="C28" i="5"/>
  <c r="D17" i="2"/>
  <c r="D20" i="2"/>
  <c r="D28" i="5"/>
  <c r="E17" i="2"/>
  <c r="E20" i="2"/>
  <c r="E28" i="5"/>
  <c r="F17" i="2"/>
  <c r="F20" i="2"/>
  <c r="F28" i="5"/>
  <c r="G17" i="2"/>
  <c r="G20" i="2"/>
  <c r="G28" i="5"/>
  <c r="H17" i="2"/>
  <c r="H20" i="2"/>
  <c r="H28" i="5"/>
  <c r="I17" i="2"/>
  <c r="I20" i="2"/>
  <c r="I28" i="5"/>
  <c r="J17" i="2"/>
  <c r="J20" i="2"/>
  <c r="J28" i="5"/>
  <c r="K17" i="2"/>
  <c r="K20" i="2"/>
  <c r="K28" i="5"/>
  <c r="B17" i="2"/>
  <c r="B20" i="2"/>
  <c r="B28" i="5"/>
  <c r="C18" i="2"/>
  <c r="C21" i="2"/>
  <c r="C27" i="5"/>
  <c r="D18" i="2"/>
  <c r="D21" i="2"/>
  <c r="D27" i="5"/>
  <c r="E18" i="2"/>
  <c r="E21" i="2"/>
  <c r="E27" i="5"/>
  <c r="F18" i="2"/>
  <c r="F21" i="2"/>
  <c r="F27" i="5"/>
  <c r="G18" i="2"/>
  <c r="G21" i="2"/>
  <c r="G27" i="5"/>
  <c r="H18" i="2"/>
  <c r="H21" i="2"/>
  <c r="H27" i="5"/>
  <c r="I18" i="2"/>
  <c r="I21" i="2"/>
  <c r="I27" i="5"/>
  <c r="J18" i="2"/>
  <c r="J21" i="2"/>
  <c r="J27" i="5"/>
  <c r="K18" i="2"/>
  <c r="K21" i="2"/>
  <c r="K27" i="5"/>
  <c r="B18" i="2"/>
  <c r="B21" i="2"/>
  <c r="B27" i="5"/>
  <c r="C25" i="5"/>
  <c r="D25" i="5"/>
  <c r="E25" i="5"/>
  <c r="F25" i="5"/>
  <c r="G25" i="5"/>
  <c r="H25" i="5"/>
  <c r="I25" i="5"/>
  <c r="J25" i="5"/>
  <c r="K25" i="5"/>
  <c r="B25" i="5"/>
  <c r="C24" i="5"/>
  <c r="D24" i="5"/>
  <c r="E24" i="5"/>
  <c r="F24" i="5"/>
  <c r="G24" i="5"/>
  <c r="H24" i="5"/>
  <c r="I24" i="5"/>
  <c r="J24" i="5"/>
  <c r="K24" i="5"/>
  <c r="B24" i="5"/>
  <c r="C23" i="5"/>
  <c r="D23" i="5"/>
  <c r="E23" i="5"/>
  <c r="F23" i="5"/>
  <c r="G23" i="5"/>
  <c r="H23" i="5"/>
  <c r="I23" i="5"/>
  <c r="J23" i="5"/>
  <c r="K23" i="5"/>
  <c r="B23" i="5"/>
  <c r="C20" i="5"/>
  <c r="D20" i="5"/>
  <c r="E20" i="5"/>
  <c r="F20" i="5"/>
  <c r="G20" i="5"/>
  <c r="H20" i="5"/>
  <c r="I20" i="5"/>
  <c r="J20" i="5"/>
  <c r="K20" i="5"/>
  <c r="C19" i="5"/>
  <c r="D19" i="5"/>
  <c r="E19" i="5"/>
  <c r="F19" i="5"/>
  <c r="G19" i="5"/>
  <c r="H19" i="5"/>
  <c r="I19" i="5"/>
  <c r="J19" i="5"/>
  <c r="K19" i="5"/>
  <c r="B22" i="5"/>
  <c r="B20" i="5"/>
  <c r="B19" i="5"/>
  <c r="B16" i="5"/>
  <c r="B15" i="5"/>
  <c r="B14" i="5"/>
  <c r="B13" i="5"/>
  <c r="N7" i="5"/>
  <c r="H10" i="3"/>
  <c r="I10" i="3"/>
  <c r="J10" i="3"/>
  <c r="K10" i="3"/>
  <c r="L10" i="1"/>
  <c r="N6" i="5"/>
  <c r="L26" i="7"/>
  <c r="K8" i="5"/>
  <c r="K7" i="5"/>
  <c r="K6" i="5"/>
  <c r="J8" i="5"/>
  <c r="J7" i="5"/>
  <c r="J6" i="5"/>
  <c r="I8" i="5"/>
  <c r="I7" i="5"/>
  <c r="I6" i="5"/>
  <c r="H8" i="5"/>
  <c r="H7" i="5"/>
  <c r="H6" i="5"/>
  <c r="G8" i="5"/>
  <c r="G7" i="5"/>
  <c r="C9" i="5"/>
  <c r="C5" i="5"/>
  <c r="B9" i="5"/>
  <c r="B8" i="5"/>
  <c r="B7" i="5"/>
  <c r="B6" i="5"/>
  <c r="B5" i="5"/>
  <c r="A1" i="5"/>
  <c r="A18" i="5"/>
  <c r="I58" i="5"/>
  <c r="I59" i="5"/>
  <c r="H58" i="5"/>
  <c r="H59" i="5"/>
  <c r="E58" i="5"/>
  <c r="E59" i="5"/>
  <c r="D58" i="5"/>
  <c r="D59" i="5"/>
  <c r="C58" i="5"/>
  <c r="C59" i="5"/>
  <c r="I47" i="5"/>
  <c r="E47" i="5"/>
  <c r="B47" i="5"/>
  <c r="K48" i="5"/>
  <c r="H47" i="5"/>
  <c r="G48" i="5"/>
  <c r="D47" i="5"/>
  <c r="C48" i="5"/>
  <c r="B48" i="5"/>
  <c r="J26" i="5"/>
  <c r="I26" i="5"/>
  <c r="F26" i="5"/>
  <c r="E26" i="5"/>
  <c r="B26" i="5"/>
  <c r="K26" i="5"/>
  <c r="H26" i="5"/>
  <c r="G26" i="5"/>
  <c r="D26" i="5"/>
  <c r="C26" i="5"/>
  <c r="D9" i="5"/>
  <c r="D8" i="5"/>
  <c r="D7" i="5"/>
  <c r="D6" i="5"/>
  <c r="D5" i="5"/>
  <c r="A1" i="7"/>
  <c r="A3" i="7"/>
  <c r="J16" i="7"/>
  <c r="H25" i="7"/>
  <c r="F16" i="7"/>
  <c r="D25" i="7"/>
  <c r="B16" i="7"/>
  <c r="K58" i="5"/>
  <c r="K59" i="5"/>
  <c r="G58" i="5"/>
  <c r="G59" i="5"/>
  <c r="F59" i="5"/>
  <c r="F47" i="5"/>
  <c r="E48" i="5"/>
  <c r="I48" i="5"/>
  <c r="F48" i="5"/>
  <c r="J48" i="5"/>
  <c r="A12" i="5"/>
  <c r="D48" i="5"/>
  <c r="C47" i="5"/>
  <c r="G47" i="5"/>
  <c r="K47" i="5"/>
  <c r="H48" i="5"/>
  <c r="C10" i="7"/>
  <c r="G10" i="7"/>
  <c r="K10" i="7"/>
  <c r="C16" i="7"/>
  <c r="G16" i="7"/>
  <c r="K16" i="7"/>
  <c r="E25" i="7"/>
  <c r="I25" i="7"/>
  <c r="D10" i="7"/>
  <c r="H10" i="7"/>
  <c r="D16" i="7"/>
  <c r="H16" i="7"/>
  <c r="B25" i="7"/>
  <c r="F25" i="7"/>
  <c r="J25" i="7"/>
  <c r="E10" i="7"/>
  <c r="I10" i="7"/>
  <c r="E16" i="7"/>
  <c r="I16" i="7"/>
  <c r="C25" i="7"/>
  <c r="G25" i="7"/>
  <c r="K25" i="7"/>
  <c r="B10" i="7"/>
  <c r="F10" i="7"/>
  <c r="J10" i="7"/>
  <c r="C6" i="3"/>
  <c r="D6" i="3"/>
  <c r="E6" i="3"/>
  <c r="F6" i="3"/>
  <c r="G6" i="3"/>
  <c r="I14" i="3"/>
  <c r="B6" i="3"/>
  <c r="C19" i="1"/>
  <c r="G19" i="1"/>
  <c r="K19" i="1"/>
  <c r="B5" i="1"/>
  <c r="C12" i="1"/>
  <c r="C13" i="1"/>
  <c r="C15" i="1"/>
  <c r="C14" i="1"/>
  <c r="D12" i="1"/>
  <c r="D13" i="1"/>
  <c r="B12" i="1"/>
  <c r="B13" i="1"/>
  <c r="L25" i="1"/>
  <c r="C4" i="2"/>
  <c r="C5" i="2"/>
  <c r="C6" i="2"/>
  <c r="D4" i="2"/>
  <c r="D5" i="2"/>
  <c r="D6" i="2"/>
  <c r="D10" i="1"/>
  <c r="D9" i="1"/>
  <c r="D24" i="2"/>
  <c r="E4" i="2"/>
  <c r="E5" i="2"/>
  <c r="E6" i="2"/>
  <c r="E10" i="1"/>
  <c r="E9" i="1"/>
  <c r="E24" i="2"/>
  <c r="F4" i="2"/>
  <c r="F5" i="2"/>
  <c r="F6" i="2"/>
  <c r="F10" i="1"/>
  <c r="F9" i="1"/>
  <c r="F24" i="2"/>
  <c r="E23" i="2"/>
  <c r="G4" i="2"/>
  <c r="G5" i="2"/>
  <c r="G6" i="2"/>
  <c r="H4" i="2"/>
  <c r="H5" i="2"/>
  <c r="H6" i="2"/>
  <c r="H10" i="1"/>
  <c r="H9" i="1"/>
  <c r="H24" i="2"/>
  <c r="I4" i="2"/>
  <c r="I5" i="2"/>
  <c r="I6" i="2"/>
  <c r="I10" i="1"/>
  <c r="I9" i="1"/>
  <c r="I24" i="2"/>
  <c r="I23" i="2"/>
  <c r="J4" i="2"/>
  <c r="J5" i="2"/>
  <c r="J23" i="2"/>
  <c r="J6" i="2"/>
  <c r="K4" i="2"/>
  <c r="K5" i="2"/>
  <c r="K6" i="2"/>
  <c r="K10" i="1"/>
  <c r="K9" i="1"/>
  <c r="K24" i="2"/>
  <c r="K23" i="2"/>
  <c r="G10" i="1"/>
  <c r="G9" i="1"/>
  <c r="G24" i="2"/>
  <c r="C7" i="2"/>
  <c r="D7" i="2"/>
  <c r="E7" i="2"/>
  <c r="E13" i="2"/>
  <c r="E16" i="2"/>
  <c r="F7" i="2"/>
  <c r="G7" i="2"/>
  <c r="H7" i="2"/>
  <c r="I7" i="2"/>
  <c r="I13" i="2"/>
  <c r="I16" i="2"/>
  <c r="J7" i="2"/>
  <c r="K7" i="2"/>
  <c r="C8" i="2"/>
  <c r="D8" i="2"/>
  <c r="E8" i="2"/>
  <c r="F8" i="2"/>
  <c r="G8" i="2"/>
  <c r="H8" i="2"/>
  <c r="I8" i="2"/>
  <c r="J8" i="2"/>
  <c r="K8" i="2"/>
  <c r="C10" i="2"/>
  <c r="D10" i="2"/>
  <c r="E10" i="2"/>
  <c r="F10" i="2"/>
  <c r="G10" i="2"/>
  <c r="H10" i="2"/>
  <c r="I10" i="2"/>
  <c r="J10" i="2"/>
  <c r="K10" i="2"/>
  <c r="C11" i="2"/>
  <c r="D11" i="2"/>
  <c r="E11" i="2"/>
  <c r="F11" i="2"/>
  <c r="G11" i="2"/>
  <c r="H11" i="2"/>
  <c r="I11" i="2"/>
  <c r="J11" i="2"/>
  <c r="K11" i="2"/>
  <c r="C12" i="2"/>
  <c r="D12" i="2"/>
  <c r="E12" i="2"/>
  <c r="F12" i="2"/>
  <c r="G12" i="2"/>
  <c r="H12" i="2"/>
  <c r="I12" i="2"/>
  <c r="J12" i="2"/>
  <c r="K12" i="2"/>
  <c r="C13" i="2"/>
  <c r="D13" i="2"/>
  <c r="F13" i="2"/>
  <c r="G13" i="2"/>
  <c r="H13" i="2"/>
  <c r="H16" i="2"/>
  <c r="J13" i="2"/>
  <c r="K13" i="2"/>
  <c r="C14" i="2"/>
  <c r="D14" i="2"/>
  <c r="E14" i="2"/>
  <c r="F14" i="2"/>
  <c r="G14" i="2"/>
  <c r="H14" i="2"/>
  <c r="I14" i="2"/>
  <c r="J14" i="2"/>
  <c r="K14" i="2"/>
  <c r="B14" i="2"/>
  <c r="B5" i="2"/>
  <c r="B4" i="2"/>
  <c r="B6" i="2"/>
  <c r="C10" i="1"/>
  <c r="C9" i="1"/>
  <c r="C24" i="2"/>
  <c r="C4" i="4"/>
  <c r="D4" i="4"/>
  <c r="E4" i="4"/>
  <c r="F4" i="4"/>
  <c r="G4" i="4"/>
  <c r="H4" i="4"/>
  <c r="I4" i="4"/>
  <c r="J4" i="4"/>
  <c r="K4" i="4"/>
  <c r="C5" i="4"/>
  <c r="D5" i="4"/>
  <c r="E5" i="4"/>
  <c r="F5" i="4"/>
  <c r="G5" i="4"/>
  <c r="H5" i="4"/>
  <c r="I5" i="4"/>
  <c r="J5" i="4"/>
  <c r="K5" i="4"/>
  <c r="C6" i="4"/>
  <c r="D6" i="4"/>
  <c r="E6" i="4"/>
  <c r="F6" i="4"/>
  <c r="G6" i="4"/>
  <c r="H6" i="4"/>
  <c r="I6" i="4"/>
  <c r="J6" i="4"/>
  <c r="K6" i="4"/>
  <c r="C7" i="4"/>
  <c r="D7" i="4"/>
  <c r="E7" i="4"/>
  <c r="F7" i="4"/>
  <c r="G7" i="4"/>
  <c r="H7" i="4"/>
  <c r="I7" i="4"/>
  <c r="J7" i="4"/>
  <c r="K7" i="4"/>
  <c r="C4" i="3"/>
  <c r="C14" i="3"/>
  <c r="D4" i="3"/>
  <c r="E4" i="3"/>
  <c r="F4" i="3"/>
  <c r="G4" i="3"/>
  <c r="G14" i="3"/>
  <c r="C5" i="3"/>
  <c r="D5" i="3"/>
  <c r="E5" i="3"/>
  <c r="F5" i="3"/>
  <c r="G5" i="3"/>
  <c r="H5" i="3"/>
  <c r="I5" i="3"/>
  <c r="J5" i="3"/>
  <c r="K5" i="3"/>
  <c r="L5" i="1"/>
  <c r="C7" i="3"/>
  <c r="D7" i="3"/>
  <c r="E7" i="3"/>
  <c r="F7" i="3"/>
  <c r="G7" i="3"/>
  <c r="H7" i="3"/>
  <c r="I7" i="3"/>
  <c r="J7" i="3"/>
  <c r="K7" i="3"/>
  <c r="L7" i="1"/>
  <c r="C8" i="3"/>
  <c r="D8" i="3"/>
  <c r="E8" i="3"/>
  <c r="F8" i="3"/>
  <c r="G8" i="3"/>
  <c r="H8" i="3"/>
  <c r="I8" i="3"/>
  <c r="J8" i="3"/>
  <c r="K8" i="3"/>
  <c r="C9" i="3"/>
  <c r="D9" i="3"/>
  <c r="E9" i="3"/>
  <c r="F9" i="3"/>
  <c r="G9" i="3"/>
  <c r="H9" i="3"/>
  <c r="I9" i="3"/>
  <c r="J9" i="3"/>
  <c r="K9" i="3"/>
  <c r="L9" i="1"/>
  <c r="C10" i="3"/>
  <c r="D10" i="3"/>
  <c r="E10" i="3"/>
  <c r="F10" i="3"/>
  <c r="G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B5" i="3"/>
  <c r="C18" i="1"/>
  <c r="D18" i="1"/>
  <c r="E18" i="1"/>
  <c r="F18" i="1"/>
  <c r="G18" i="1"/>
  <c r="H18" i="1"/>
  <c r="I18" i="1"/>
  <c r="J18" i="1"/>
  <c r="K18" i="1"/>
  <c r="B18" i="1"/>
  <c r="H19" i="1"/>
  <c r="C7" i="1"/>
  <c r="D7" i="1"/>
  <c r="E7" i="1"/>
  <c r="F7" i="1"/>
  <c r="G7" i="1"/>
  <c r="H7" i="1"/>
  <c r="I7" i="1"/>
  <c r="J7" i="1"/>
  <c r="K7" i="1"/>
  <c r="C8" i="1"/>
  <c r="D8" i="1"/>
  <c r="E8" i="1"/>
  <c r="F8" i="1"/>
  <c r="G8" i="1"/>
  <c r="H8" i="1"/>
  <c r="I8" i="1"/>
  <c r="J8" i="1"/>
  <c r="K8" i="1"/>
  <c r="J9" i="1"/>
  <c r="J10" i="1"/>
  <c r="C11" i="1"/>
  <c r="D11" i="1"/>
  <c r="E11" i="1"/>
  <c r="F11" i="1"/>
  <c r="G11" i="1"/>
  <c r="H11" i="1"/>
  <c r="I11" i="1"/>
  <c r="J11" i="1"/>
  <c r="K11" i="1"/>
  <c r="D15" i="1"/>
  <c r="D14" i="1"/>
  <c r="B15" i="1"/>
  <c r="B14" i="1"/>
  <c r="B7" i="1"/>
  <c r="A1" i="1"/>
  <c r="E1" i="6"/>
  <c r="E1" i="4"/>
  <c r="E1" i="2"/>
  <c r="D16" i="2"/>
  <c r="G16" i="2"/>
  <c r="C23" i="2"/>
  <c r="K16" i="2"/>
  <c r="C16" i="2"/>
  <c r="G23" i="2"/>
  <c r="J16" i="2"/>
  <c r="F16" i="2"/>
  <c r="B23" i="2"/>
  <c r="E19" i="1"/>
  <c r="H23" i="2"/>
  <c r="D23" i="2"/>
  <c r="I19" i="1"/>
  <c r="J19" i="1"/>
  <c r="F19" i="1"/>
  <c r="B6" i="1"/>
  <c r="C3" i="4"/>
  <c r="D3" i="4"/>
  <c r="E3" i="4"/>
  <c r="F3" i="4"/>
  <c r="G3" i="4"/>
  <c r="H3" i="4"/>
  <c r="I3" i="4"/>
  <c r="J3" i="4"/>
  <c r="K3" i="4"/>
  <c r="C3" i="2"/>
  <c r="D3" i="2"/>
  <c r="E3" i="2"/>
  <c r="F3" i="2"/>
  <c r="G3" i="2"/>
  <c r="H3" i="2"/>
  <c r="I3" i="2"/>
  <c r="J3" i="2"/>
  <c r="K3" i="2"/>
  <c r="C3" i="3"/>
  <c r="D3" i="3"/>
  <c r="E3" i="3"/>
  <c r="F3" i="3"/>
  <c r="G3" i="3"/>
  <c r="H3" i="3"/>
  <c r="I3" i="3"/>
  <c r="J3" i="3"/>
  <c r="K3" i="3"/>
  <c r="C3" i="1"/>
  <c r="D3" i="1"/>
  <c r="E3" i="1"/>
  <c r="F3" i="1"/>
  <c r="G3" i="1"/>
  <c r="H3" i="1"/>
  <c r="I3" i="1"/>
  <c r="J3" i="1"/>
  <c r="K3" i="1"/>
  <c r="B7" i="4"/>
  <c r="B6" i="4"/>
  <c r="B5" i="4"/>
  <c r="B4" i="4"/>
  <c r="B3" i="4"/>
  <c r="B13" i="2"/>
  <c r="B7" i="2"/>
  <c r="B16" i="2"/>
  <c r="B12" i="2"/>
  <c r="B11" i="2"/>
  <c r="B10" i="2"/>
  <c r="B8" i="2"/>
  <c r="B3" i="2"/>
  <c r="J14" i="3"/>
  <c r="H14" i="3"/>
  <c r="F14" i="3"/>
  <c r="D14" i="3"/>
  <c r="B12" i="3"/>
  <c r="B11" i="3"/>
  <c r="B10" i="3"/>
  <c r="B9" i="3"/>
  <c r="B8" i="3"/>
  <c r="B7" i="3"/>
  <c r="B4" i="3"/>
  <c r="B3" i="3"/>
  <c r="B11" i="1"/>
  <c r="B10" i="1"/>
  <c r="B9" i="1"/>
  <c r="B8" i="1"/>
  <c r="B3" i="1"/>
  <c r="B14" i="3"/>
  <c r="E14" i="3"/>
  <c r="K14" i="3"/>
  <c r="L11" i="1"/>
  <c r="L8" i="1"/>
  <c r="M8" i="1"/>
  <c r="A1" i="3"/>
  <c r="A1" i="2"/>
  <c r="A1" i="4"/>
  <c r="B19" i="1"/>
  <c r="N8" i="1"/>
  <c r="I24" i="1"/>
  <c r="M11" i="1"/>
  <c r="N11" i="1"/>
  <c r="N9" i="1"/>
  <c r="M9" i="1"/>
  <c r="M25" i="1"/>
  <c r="M14" i="1"/>
  <c r="H25" i="1"/>
  <c r="N25" i="1"/>
  <c r="N14" i="1"/>
  <c r="D19" i="1"/>
  <c r="H24" i="1"/>
  <c r="J24" i="1"/>
  <c r="F23" i="2"/>
  <c r="J24" i="2"/>
  <c r="L19" i="1"/>
  <c r="L24" i="1"/>
  <c r="H1" i="1"/>
  <c r="E1" i="3"/>
  <c r="N4" i="1"/>
  <c r="K24" i="1"/>
  <c r="M24" i="1"/>
  <c r="M6" i="1"/>
  <c r="M5" i="1"/>
  <c r="N24" i="1"/>
  <c r="N6" i="1"/>
  <c r="N5" i="1"/>
  <c r="N10" i="1"/>
  <c r="N12" i="1"/>
  <c r="N13" i="1"/>
  <c r="N15" i="1"/>
  <c r="M10" i="1"/>
  <c r="M12" i="1"/>
  <c r="M13" i="1"/>
  <c r="M15" i="1"/>
  <c r="B70" i="5"/>
  <c r="B73" i="5"/>
  <c r="B74" i="5"/>
</calcChain>
</file>

<file path=xl/comments1.xml><?xml version="1.0" encoding="utf-8"?>
<comments xmlns="http://schemas.openxmlformats.org/spreadsheetml/2006/main">
  <authors>
    <author/>
  </authors>
  <commentList>
    <comment ref="A22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Shrey Sao:
</t>
        </r>
        <r>
          <rPr>
            <sz val="9"/>
            <color indexed="8"/>
            <rFont val="Tahoma"/>
            <family val="2"/>
            <charset val="1"/>
          </rPr>
          <t>measures potential credit risk.</t>
        </r>
      </text>
    </comment>
    <comment ref="A23" authorId="0" shapeId="0">
      <text>
        <r>
          <rPr>
            <b/>
            <sz val="9"/>
            <color indexed="8"/>
            <rFont val="Tahoma"/>
            <family val="2"/>
            <charset val="1"/>
          </rPr>
          <t>Shrey Sao</t>
        </r>
      </text>
    </comment>
    <comment ref="A25" authorId="0" shapeId="0">
      <text>
        <r>
          <rPr>
            <sz val="9"/>
            <color indexed="8"/>
            <rFont val="Tahoma"/>
            <family val="2"/>
            <charset val="1"/>
          </rPr>
          <t xml:space="preserve">
</t>
        </r>
      </text>
    </comment>
    <comment ref="A26" authorId="0" shapeId="0">
      <text>
        <r>
          <rPr>
            <b/>
            <sz val="9"/>
            <color indexed="8"/>
            <rFont val="Tahoma"/>
            <family val="2"/>
            <charset val="1"/>
          </rPr>
          <t>Shrey</t>
        </r>
      </text>
    </comment>
    <comment ref="A44" authorId="0" shapeId="0">
      <text/>
    </comment>
    <comment ref="A50" authorId="0" shapeId="0">
      <text>
        <r>
          <rPr>
            <b/>
            <sz val="9"/>
            <color indexed="8"/>
            <rFont val="Tahoma"/>
            <family val="2"/>
            <charset val="1"/>
          </rPr>
          <t>Shrey Sao:</t>
        </r>
      </text>
    </comment>
  </commentList>
</comments>
</file>

<file path=xl/sharedStrings.xml><?xml version="1.0" encoding="utf-8"?>
<sst xmlns="http://schemas.openxmlformats.org/spreadsheetml/2006/main" count="306" uniqueCount="234">
  <si>
    <t>COMPANY NAME</t>
  </si>
  <si>
    <t>SCREENER.IN</t>
  </si>
  <si>
    <t>Narration</t>
  </si>
  <si>
    <t>Trailing</t>
  </si>
  <si>
    <t>Best Case</t>
  </si>
  <si>
    <t>Worst Case</t>
  </si>
  <si>
    <t>Sales</t>
  </si>
  <si>
    <t>Expenses</t>
  </si>
  <si>
    <t>Operating Profit</t>
  </si>
  <si>
    <t>Other Income</t>
  </si>
  <si>
    <t>Depreciation</t>
  </si>
  <si>
    <t>Interest</t>
  </si>
  <si>
    <t>Profit before tax</t>
  </si>
  <si>
    <t>Tax</t>
  </si>
  <si>
    <t>Net profit</t>
  </si>
  <si>
    <t>RATIOS:</t>
  </si>
  <si>
    <t>Price to earning</t>
  </si>
  <si>
    <t>Dividend Payout</t>
  </si>
  <si>
    <t>OPM</t>
  </si>
  <si>
    <t>TRENDS:</t>
  </si>
  <si>
    <t>BEST</t>
  </si>
  <si>
    <t>WORST</t>
  </si>
  <si>
    <t>Sales Growth</t>
  </si>
  <si>
    <t>Price to Earning</t>
  </si>
  <si>
    <t>Equity Share Capital</t>
  </si>
  <si>
    <t>Reserves</t>
  </si>
  <si>
    <t>Total</t>
  </si>
  <si>
    <t>Net Block</t>
  </si>
  <si>
    <t>Capital Work in Progress</t>
  </si>
  <si>
    <t>Investments</t>
  </si>
  <si>
    <t>Working Capital</t>
  </si>
  <si>
    <t>Face Value</t>
  </si>
  <si>
    <t>Cash from Operating Activity</t>
  </si>
  <si>
    <t>Cash from Investing Activity</t>
  </si>
  <si>
    <t>Cash from Financing Activity</t>
  </si>
  <si>
    <t>Net Cash Flow</t>
  </si>
  <si>
    <t>PLEASE DO NOT MAKE ANY CHANGES TO THIS SHEET</t>
  </si>
  <si>
    <t>PROFIT &amp; LOSS</t>
  </si>
  <si>
    <t>Report Date</t>
  </si>
  <si>
    <t>Quarters</t>
  </si>
  <si>
    <t>BALANCE SHEET</t>
  </si>
  <si>
    <t>CASH FLOW:</t>
  </si>
  <si>
    <t>Number of shares</t>
  </si>
  <si>
    <t>Current Price</t>
  </si>
  <si>
    <t>Debtors</t>
  </si>
  <si>
    <t>Inventory</t>
  </si>
  <si>
    <t>Debtor Days</t>
  </si>
  <si>
    <t>Inventory Turnover</t>
  </si>
  <si>
    <t>EPS</t>
  </si>
  <si>
    <t>Price</t>
  </si>
  <si>
    <t>Return on Equity</t>
  </si>
  <si>
    <t>Return on Capital Emp</t>
  </si>
  <si>
    <t>LATEST VERSION</t>
  </si>
  <si>
    <t>CURRENT VERSION</t>
  </si>
  <si>
    <t>MAITHAN ALLOYS LTD</t>
  </si>
  <si>
    <t>META</t>
  </si>
  <si>
    <t>10 YEARS</t>
  </si>
  <si>
    <t>7 YEARS</t>
  </si>
  <si>
    <t>5 YEARS</t>
  </si>
  <si>
    <t>3 YEARS</t>
  </si>
  <si>
    <t>RECENT</t>
  </si>
  <si>
    <t>Dividend Amount</t>
  </si>
  <si>
    <t>Borrowings</t>
  </si>
  <si>
    <t>Other Liabilities</t>
  </si>
  <si>
    <t>Other Assets</t>
  </si>
  <si>
    <t>No. of Equity Shares</t>
  </si>
  <si>
    <t>New Bonus Shares</t>
  </si>
  <si>
    <t>DERIVED:</t>
  </si>
  <si>
    <t>PRICE:</t>
  </si>
  <si>
    <t>Receivables</t>
  </si>
  <si>
    <t>Market Capitalization</t>
  </si>
  <si>
    <t>Raw Material Cost</t>
  </si>
  <si>
    <t>Change in Inventory</t>
  </si>
  <si>
    <t>Power and Fuel</t>
  </si>
  <si>
    <t>Other Mfr. Exp</t>
  </si>
  <si>
    <t>Employee Cost</t>
  </si>
  <si>
    <t>Selling and admin</t>
  </si>
  <si>
    <t>Other Expenses</t>
  </si>
  <si>
    <t>Cash &amp; Bank</t>
  </si>
  <si>
    <t>Face value</t>
  </si>
  <si>
    <t>Adjusted Equity Shares in Cr</t>
  </si>
  <si>
    <t>Gross Profit</t>
  </si>
  <si>
    <t>EBIT</t>
  </si>
  <si>
    <t>EBITDA</t>
  </si>
  <si>
    <t>Operating Profit (excl Other Income)</t>
  </si>
  <si>
    <t>PAT</t>
  </si>
  <si>
    <t>Dividend</t>
  </si>
  <si>
    <t>Networth</t>
  </si>
  <si>
    <t>Invested Capital</t>
  </si>
  <si>
    <t>Capital Employed</t>
  </si>
  <si>
    <t>Total Assets</t>
  </si>
  <si>
    <t>Operating Cash Flow</t>
  </si>
  <si>
    <t>Capex</t>
  </si>
  <si>
    <t>CHECK?</t>
  </si>
  <si>
    <t>Free Cash Flow</t>
  </si>
  <si>
    <t>Tax Rate</t>
  </si>
  <si>
    <t>NOPLAT</t>
  </si>
  <si>
    <t>RoIC</t>
  </si>
  <si>
    <t>WACC</t>
  </si>
  <si>
    <t>EPA (Economic Profit Added)</t>
  </si>
  <si>
    <t>CURRENT</t>
  </si>
  <si>
    <t>MktCap</t>
  </si>
  <si>
    <t>MktCap+Dividend</t>
  </si>
  <si>
    <t>Retained Profit</t>
  </si>
  <si>
    <t>EV</t>
  </si>
  <si>
    <t>Price/Earnings</t>
  </si>
  <si>
    <t>Price/Book</t>
  </si>
  <si>
    <t>Price/CashFlow</t>
  </si>
  <si>
    <t>Price/Sales</t>
  </si>
  <si>
    <t>EV/EBITDA</t>
  </si>
  <si>
    <t>Dividend Yield</t>
  </si>
  <si>
    <t>Z-Weights</t>
  </si>
  <si>
    <t>Working Capital/Total Assets</t>
  </si>
  <si>
    <t>Retained Profits/Total Assets</t>
  </si>
  <si>
    <t>EBIT/Total Assets</t>
  </si>
  <si>
    <t>Market Cap/Total Liabilities</t>
  </si>
  <si>
    <t>Sales/Total Assets</t>
  </si>
  <si>
    <t>Altman Z-Score</t>
  </si>
  <si>
    <t>Z &gt; 2.99 -“Safe” Zones</t>
  </si>
  <si>
    <t>1.81 &lt; Z &lt; 2.99 -“Grey” Zones</t>
  </si>
  <si>
    <t>Z &lt; 1.81 -“Distress” Zones</t>
  </si>
  <si>
    <t xml:space="preserve"> </t>
  </si>
  <si>
    <t>DELTA NETWORTH</t>
  </si>
  <si>
    <t>DELTA MKTCAP</t>
  </si>
  <si>
    <t>IMPACT*</t>
  </si>
  <si>
    <t>HISTORICAL VALUATIONS</t>
  </si>
  <si>
    <t>PRE-TAX BOND</t>
  </si>
  <si>
    <t>10 YR</t>
  </si>
  <si>
    <t>P/E</t>
  </si>
  <si>
    <t>P/B</t>
  </si>
  <si>
    <t>P/SALES</t>
  </si>
  <si>
    <t>YIELD</t>
  </si>
  <si>
    <t>LongTerm Bond</t>
  </si>
  <si>
    <t>7 YR</t>
  </si>
  <si>
    <t>MIN</t>
  </si>
  <si>
    <t>LTB Quote</t>
  </si>
  <si>
    <t>5 YR</t>
  </si>
  <si>
    <t>MAX</t>
  </si>
  <si>
    <t>Equity Quoting @</t>
  </si>
  <si>
    <t>3 YR</t>
  </si>
  <si>
    <t>TRAILING</t>
  </si>
  <si>
    <t>1 YR</t>
  </si>
  <si>
    <t>* IMPACT – Every Rupee retained added xx.yy in incremental market value</t>
  </si>
  <si>
    <t>SALES</t>
  </si>
  <si>
    <t>GROSS PROFIT</t>
  </si>
  <si>
    <t>DIVIDEND</t>
  </si>
  <si>
    <t>EPA**</t>
  </si>
  <si>
    <t>MKTCAP</t>
  </si>
  <si>
    <t>CFO**</t>
  </si>
  <si>
    <t>FCF**</t>
  </si>
  <si>
    <t>NETWORTH</t>
  </si>
  <si>
    <t>TOTAL RETURNS</t>
  </si>
  <si>
    <t>10 YR CAGR</t>
  </si>
  <si>
    <t>5 YR CAGR</t>
  </si>
  <si>
    <t>3 YR CAGR</t>
  </si>
  <si>
    <t>1 YR GROWTH</t>
  </si>
  <si>
    <t>**modify (if, then) for negative values</t>
  </si>
  <si>
    <t xml:space="preserve">    </t>
  </si>
  <si>
    <t>Total Assets/Networth= Financial Leverage</t>
  </si>
  <si>
    <t>Long term debt/Earning</t>
  </si>
  <si>
    <t>Current liablility/Earning</t>
  </si>
  <si>
    <t>Total liability/Earning</t>
  </si>
  <si>
    <t>Debt/Equity</t>
  </si>
  <si>
    <t>Interest Coverage</t>
  </si>
  <si>
    <t>Working Capital/Sales</t>
  </si>
  <si>
    <t>Check for improving or deteriorating picture</t>
  </si>
  <si>
    <t>Inventory Turns</t>
  </si>
  <si>
    <t>Inventory Days</t>
  </si>
  <si>
    <t>Creditor Days</t>
  </si>
  <si>
    <t>Check back to see if Creditor policy change is impacting Working Cap cycle</t>
  </si>
  <si>
    <t>Cash Conversion Cycle</t>
  </si>
  <si>
    <t>Cash In/Cash Out Ratio</t>
  </si>
  <si>
    <t xml:space="preserve">  </t>
  </si>
  <si>
    <t>Current Ratio</t>
  </si>
  <si>
    <t>CFO/PAT</t>
  </si>
  <si>
    <t>Gross Margin =Gross Profit/Sales</t>
  </si>
  <si>
    <t>EBIT/Sales</t>
  </si>
  <si>
    <t>EBITDA/Sales</t>
  </si>
  <si>
    <t>Op Profit (Ex Other Income)/Sales</t>
  </si>
  <si>
    <t>Net Margin =PAT/Sales</t>
  </si>
  <si>
    <t>Op Cash Flow/Sales</t>
  </si>
  <si>
    <t>Free Cash Flow/Sales</t>
  </si>
  <si>
    <t>EPA/Sales</t>
  </si>
  <si>
    <t>Sales/Invested Capital =Capital Turns</t>
  </si>
  <si>
    <t>Sales/Fixed Assets= Fixed Asset Turns</t>
  </si>
  <si>
    <t>Sales/Total Assets= Asset Turns</t>
  </si>
  <si>
    <t>Net Margin*Asset Turns= RoA</t>
  </si>
  <si>
    <t>Check back what is really driving RoA (Net Margins or Asset Turns, or both)</t>
  </si>
  <si>
    <t>Net Margin*Asset Turn*Fin Leverage= RoE</t>
  </si>
  <si>
    <t>Check back what is really driving RoE (Net Margins, Asset Turns, or Financial Leverage)</t>
  </si>
  <si>
    <t>RoCE</t>
  </si>
  <si>
    <t>EBIT Margin*Cap Turns*(1-Tax rate)= RoIC</t>
  </si>
  <si>
    <t>Check back what is really driving RoIC (Op Margins or Capital Turns, or both)</t>
  </si>
  <si>
    <t>Cash/Assets</t>
  </si>
  <si>
    <t>EBIT/Invested Capital</t>
  </si>
  <si>
    <t xml:space="preserve">Check back the significant role of EBIT/Invested Capital </t>
  </si>
  <si>
    <t>EPA</t>
  </si>
  <si>
    <t>Check back what is really driving EPA (Invested Capital or RoIC, or both)</t>
  </si>
  <si>
    <t>MktCap Change</t>
  </si>
  <si>
    <t>MktCap Change - EPA</t>
  </si>
  <si>
    <t>Capex/Net Profits 10 yr</t>
  </si>
  <si>
    <t>Capex/Net Profits 7 yr</t>
  </si>
  <si>
    <t>Capex/Net Profits 5 yr</t>
  </si>
  <si>
    <t>Capex/Net Profits 3 yr</t>
  </si>
  <si>
    <t>Capex/Depreciation 10 yr</t>
  </si>
  <si>
    <t>YOY</t>
  </si>
  <si>
    <t>ShareHolders Funds</t>
  </si>
  <si>
    <t>Total Debt</t>
  </si>
  <si>
    <t xml:space="preserve">Free Cash Flow </t>
  </si>
  <si>
    <t>EPS Valuation</t>
  </si>
  <si>
    <t>Book value</t>
  </si>
  <si>
    <t>Graham Number</t>
  </si>
  <si>
    <t>Average Fair Price</t>
  </si>
  <si>
    <t>Net Profit Margin</t>
  </si>
  <si>
    <t>Operating Profit Margin</t>
  </si>
  <si>
    <t>3-Year Avg. FCF</t>
  </si>
  <si>
    <t>Years:</t>
  </si>
  <si>
    <t>1-5</t>
  </si>
  <si>
    <t>6-10</t>
  </si>
  <si>
    <t>Growth Rate:</t>
  </si>
  <si>
    <t>Terminal Growth Rate:</t>
  </si>
  <si>
    <t>Discount Rate:</t>
  </si>
  <si>
    <t>Shares Outstanding (Nos.):</t>
  </si>
  <si>
    <t>Year</t>
  </si>
  <si>
    <t>FCF</t>
  </si>
  <si>
    <t>Growth</t>
  </si>
  <si>
    <t>Present Value (PV)</t>
  </si>
  <si>
    <t>Terminal Year CF:</t>
  </si>
  <si>
    <t>Terminal Value:</t>
  </si>
  <si>
    <t>Intrinsic Value per Share (IV):</t>
  </si>
  <si>
    <t>Present Value of Year 1-10 Cash Flows:</t>
  </si>
  <si>
    <t>Total Present Value  of Cash Flows:</t>
  </si>
  <si>
    <t xml:space="preserve">Valuation with 25% Margin of safety </t>
  </si>
  <si>
    <t>Interinsic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</si>
</sst>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(* #,##0.00_);_(* \(#,##0.00\);_(* &quot;-&quot;??_);_(@_)"/>
    <numFmt numFmtId="165" formatCode="[$-409]mmm\-yy;@"/>
    <numFmt numFmtId="166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10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rgb="FFC0000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0275D8"/>
        <bgColor indexed="64"/>
      </patternFill>
    </fill>
    <fill>
      <patternFill patternType="solid">
        <fgColor indexed="61"/>
        <bgColor indexed="25"/>
      </patternFill>
    </fill>
    <fill>
      <patternFill patternType="solid">
        <fgColor indexed="19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indexed="4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3" fillId="0" borderId="0" applyFont="0" applyFill="0" applyBorder="0" applyAlignment="0" applyProtection="0"/>
  </cellStyleXfs>
  <cellXfs count="143">
    <xf numFmtId="0" fontId="0" fillId="0" borderId="0" xfId="0"/>
    <xf numFmtId="43" fontId="1" fillId="0" borderId="0" xfId="1" applyFont="1" applyBorder="1"/>
    <xf numFmtId="0" fontId="1" fillId="0" borderId="0" xfId="0" applyFont="1" applyFill="1" applyBorder="1"/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43" fontId="0" fillId="0" borderId="0" xfId="1" applyFont="1" applyBorder="1"/>
    <xf numFmtId="0" fontId="0" fillId="0" borderId="0" xfId="0" applyFont="1" applyBorder="1"/>
    <xf numFmtId="10" fontId="0" fillId="0" borderId="0" xfId="0" applyNumberFormat="1" applyFont="1" applyBorder="1"/>
    <xf numFmtId="0" fontId="1" fillId="0" borderId="0" xfId="0" applyFont="1" applyBorder="1"/>
    <xf numFmtId="43" fontId="3" fillId="0" borderId="0" xfId="1" applyFont="1" applyBorder="1"/>
    <xf numFmtId="9" fontId="3" fillId="0" borderId="0" xfId="1" applyNumberFormat="1" applyFont="1" applyBorder="1"/>
    <xf numFmtId="0" fontId="0" fillId="0" borderId="0" xfId="0" applyBorder="1"/>
    <xf numFmtId="43" fontId="2" fillId="2" borderId="0" xfId="3" applyNumberFormat="1" applyFont="1" applyBorder="1"/>
    <xf numFmtId="43" fontId="2" fillId="3" borderId="0" xfId="4" applyNumberFormat="1" applyFont="1" applyBorder="1"/>
    <xf numFmtId="9" fontId="1" fillId="0" borderId="0" xfId="6" applyFont="1" applyBorder="1"/>
    <xf numFmtId="0" fontId="2" fillId="5" borderId="0" xfId="0" applyFont="1" applyFill="1" applyBorder="1"/>
    <xf numFmtId="165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0" borderId="0" xfId="0" applyFill="1" applyBorder="1"/>
    <xf numFmtId="43" fontId="0" fillId="0" borderId="0" xfId="1" applyNumberFormat="1" applyFont="1" applyBorder="1" applyAlignment="1">
      <alignment horizontal="center"/>
    </xf>
    <xf numFmtId="43" fontId="1" fillId="0" borderId="0" xfId="1" applyNumberFormat="1" applyFont="1" applyBorder="1" applyAlignment="1">
      <alignment horizontal="center"/>
    </xf>
    <xf numFmtId="43" fontId="0" fillId="0" borderId="0" xfId="1" applyNumberFormat="1" applyFont="1" applyBorder="1"/>
    <xf numFmtId="10" fontId="1" fillId="0" borderId="0" xfId="0" applyNumberFormat="1" applyFont="1" applyBorder="1"/>
    <xf numFmtId="165" fontId="2" fillId="5" borderId="0" xfId="1" applyNumberFormat="1" applyFont="1" applyFill="1" applyBorder="1"/>
    <xf numFmtId="165" fontId="7" fillId="0" borderId="0" xfId="1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/>
    <xf numFmtId="164" fontId="0" fillId="0" borderId="0" xfId="1" applyNumberFormat="1" applyFont="1" applyBorder="1"/>
    <xf numFmtId="0" fontId="9" fillId="0" borderId="0" xfId="0" applyFont="1" applyBorder="1"/>
    <xf numFmtId="0" fontId="9" fillId="0" borderId="0" xfId="0" applyFont="1"/>
    <xf numFmtId="0" fontId="10" fillId="0" borderId="0" xfId="0" applyFont="1" applyFill="1"/>
    <xf numFmtId="0" fontId="10" fillId="0" borderId="0" xfId="0" applyFont="1"/>
    <xf numFmtId="0" fontId="10" fillId="0" borderId="1" xfId="0" applyFont="1" applyBorder="1"/>
    <xf numFmtId="0" fontId="10" fillId="0" borderId="3" xfId="0" applyFont="1" applyBorder="1" applyAlignment="1"/>
    <xf numFmtId="0" fontId="10" fillId="0" borderId="4" xfId="0" applyFont="1" applyBorder="1" applyAlignment="1"/>
    <xf numFmtId="0" fontId="9" fillId="0" borderId="1" xfId="0" applyFont="1" applyBorder="1"/>
    <xf numFmtId="2" fontId="10" fillId="0" borderId="1" xfId="0" applyNumberFormat="1" applyFont="1" applyBorder="1"/>
    <xf numFmtId="9" fontId="11" fillId="0" borderId="1" xfId="6" applyFont="1" applyBorder="1"/>
    <xf numFmtId="9" fontId="10" fillId="0" borderId="1" xfId="0" applyNumberFormat="1" applyFont="1" applyBorder="1"/>
    <xf numFmtId="2" fontId="10" fillId="0" borderId="4" xfId="0" applyNumberFormat="1" applyFont="1" applyBorder="1"/>
    <xf numFmtId="2" fontId="10" fillId="0" borderId="3" xfId="0" applyNumberFormat="1" applyFont="1" applyBorder="1"/>
    <xf numFmtId="2" fontId="10" fillId="0" borderId="0" xfId="0" applyNumberFormat="1" applyFont="1"/>
    <xf numFmtId="2" fontId="10" fillId="0" borderId="5" xfId="0" applyNumberFormat="1" applyFont="1" applyBorder="1"/>
    <xf numFmtId="10" fontId="10" fillId="0" borderId="5" xfId="0" applyNumberFormat="1" applyFont="1" applyBorder="1"/>
    <xf numFmtId="0" fontId="8" fillId="0" borderId="0" xfId="0" applyFont="1"/>
    <xf numFmtId="165" fontId="2" fillId="5" borderId="0" xfId="0" applyNumberFormat="1" applyFont="1" applyFill="1" applyBorder="1" applyAlignment="1">
      <alignment horizontal="center" wrapText="1"/>
    </xf>
    <xf numFmtId="1" fontId="13" fillId="6" borderId="5" xfId="0" applyNumberFormat="1" applyFont="1" applyFill="1" applyBorder="1"/>
    <xf numFmtId="2" fontId="13" fillId="6" borderId="5" xfId="0" applyNumberFormat="1" applyFont="1" applyFill="1" applyBorder="1"/>
    <xf numFmtId="0" fontId="9" fillId="0" borderId="5" xfId="0" applyFont="1" applyBorder="1"/>
    <xf numFmtId="0" fontId="13" fillId="6" borderId="5" xfId="0" applyFont="1" applyFill="1" applyBorder="1" applyAlignment="1">
      <alignment horizontal="center" wrapText="1"/>
    </xf>
    <xf numFmtId="0" fontId="13" fillId="6" borderId="5" xfId="0" applyFont="1" applyFill="1" applyBorder="1" applyAlignment="1">
      <alignment horizontal="center"/>
    </xf>
    <xf numFmtId="0" fontId="13" fillId="6" borderId="5" xfId="0" applyFont="1" applyFill="1" applyBorder="1"/>
    <xf numFmtId="9" fontId="13" fillId="6" borderId="5" xfId="0" applyNumberFormat="1" applyFont="1" applyFill="1" applyBorder="1" applyAlignment="1">
      <alignment horizontal="center"/>
    </xf>
    <xf numFmtId="0" fontId="8" fillId="0" borderId="5" xfId="0" applyFont="1" applyBorder="1"/>
    <xf numFmtId="2" fontId="13" fillId="6" borderId="5" xfId="0" applyNumberFormat="1" applyFont="1" applyFill="1" applyBorder="1" applyAlignment="1">
      <alignment horizontal="center"/>
    </xf>
    <xf numFmtId="10" fontId="13" fillId="6" borderId="5" xfId="0" applyNumberFormat="1" applyFont="1" applyFill="1" applyBorder="1" applyAlignment="1">
      <alignment horizontal="center"/>
    </xf>
    <xf numFmtId="0" fontId="13" fillId="6" borderId="0" xfId="0" applyFont="1" applyFill="1"/>
    <xf numFmtId="0" fontId="13" fillId="6" borderId="5" xfId="0" applyFont="1" applyFill="1" applyBorder="1" applyAlignment="1">
      <alignment horizontal="left"/>
    </xf>
    <xf numFmtId="0" fontId="9" fillId="6" borderId="0" xfId="0" applyFont="1" applyFill="1"/>
    <xf numFmtId="2" fontId="9" fillId="0" borderId="5" xfId="0" applyNumberFormat="1" applyFont="1" applyBorder="1"/>
    <xf numFmtId="0" fontId="13" fillId="0" borderId="5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10" fontId="14" fillId="7" borderId="9" xfId="0" applyNumberFormat="1" applyFont="1" applyFill="1" applyBorder="1"/>
    <xf numFmtId="10" fontId="8" fillId="0" borderId="0" xfId="0" applyNumberFormat="1" applyFont="1" applyBorder="1"/>
    <xf numFmtId="2" fontId="14" fillId="6" borderId="9" xfId="0" applyNumberFormat="1" applyFont="1" applyFill="1" applyBorder="1"/>
    <xf numFmtId="2" fontId="9" fillId="0" borderId="0" xfId="0" applyNumberFormat="1" applyFont="1"/>
    <xf numFmtId="10" fontId="14" fillId="6" borderId="9" xfId="0" applyNumberFormat="1" applyFont="1" applyFill="1" applyBorder="1"/>
    <xf numFmtId="1" fontId="14" fillId="6" borderId="9" xfId="0" applyNumberFormat="1" applyFont="1" applyFill="1" applyBorder="1"/>
    <xf numFmtId="10" fontId="13" fillId="7" borderId="9" xfId="0" applyNumberFormat="1" applyFont="1" applyFill="1" applyBorder="1" applyAlignment="1">
      <alignment horizontal="right"/>
    </xf>
    <xf numFmtId="10" fontId="9" fillId="0" borderId="0" xfId="0" applyNumberFormat="1" applyFont="1"/>
    <xf numFmtId="2" fontId="9" fillId="0" borderId="9" xfId="0" applyNumberFormat="1" applyFont="1" applyFill="1" applyBorder="1" applyAlignment="1">
      <alignment horizontal="right"/>
    </xf>
    <xf numFmtId="10" fontId="9" fillId="0" borderId="9" xfId="0" applyNumberFormat="1" applyFont="1" applyBorder="1"/>
    <xf numFmtId="10" fontId="9" fillId="0" borderId="9" xfId="6" applyNumberFormat="1" applyFont="1" applyBorder="1"/>
    <xf numFmtId="2" fontId="9" fillId="0" borderId="9" xfId="0" applyNumberFormat="1" applyFont="1" applyBorder="1"/>
    <xf numFmtId="1" fontId="9" fillId="0" borderId="9" xfId="0" applyNumberFormat="1" applyFont="1" applyFill="1" applyBorder="1" applyAlignment="1"/>
    <xf numFmtId="0" fontId="9" fillId="0" borderId="5" xfId="0" applyFont="1" applyFill="1" applyBorder="1" applyAlignment="1"/>
    <xf numFmtId="1" fontId="9" fillId="0" borderId="5" xfId="0" applyNumberFormat="1" applyFont="1" applyFill="1" applyBorder="1" applyAlignment="1"/>
    <xf numFmtId="2" fontId="9" fillId="0" borderId="0" xfId="0" applyNumberFormat="1" applyFont="1" applyBorder="1"/>
    <xf numFmtId="165" fontId="10" fillId="0" borderId="0" xfId="0" applyNumberFormat="1" applyFont="1"/>
    <xf numFmtId="0" fontId="10" fillId="10" borderId="0" xfId="0" applyFont="1" applyFill="1"/>
    <xf numFmtId="10" fontId="10" fillId="0" borderId="0" xfId="0" applyNumberFormat="1" applyFont="1"/>
    <xf numFmtId="43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10" borderId="11" xfId="0" applyFont="1" applyFill="1" applyBorder="1"/>
    <xf numFmtId="10" fontId="10" fillId="10" borderId="11" xfId="6" applyNumberFormat="1" applyFont="1" applyFill="1" applyBorder="1"/>
    <xf numFmtId="0" fontId="10" fillId="0" borderId="12" xfId="0" applyFont="1" applyBorder="1"/>
    <xf numFmtId="0" fontId="10" fillId="0" borderId="10" xfId="0" applyFont="1" applyBorder="1" applyAlignment="1">
      <alignment wrapText="1"/>
    </xf>
    <xf numFmtId="43" fontId="9" fillId="0" borderId="0" xfId="0" applyNumberFormat="1" applyFont="1"/>
    <xf numFmtId="0" fontId="17" fillId="0" borderId="0" xfId="0" applyFont="1"/>
    <xf numFmtId="49" fontId="18" fillId="0" borderId="0" xfId="0" applyNumberFormat="1" applyFont="1" applyAlignment="1">
      <alignment horizontal="center"/>
    </xf>
    <xf numFmtId="0" fontId="1" fillId="0" borderId="10" xfId="0" applyFont="1" applyBorder="1"/>
    <xf numFmtId="0" fontId="9" fillId="0" borderId="10" xfId="0" applyFont="1" applyBorder="1"/>
    <xf numFmtId="166" fontId="19" fillId="0" borderId="10" xfId="1" applyNumberFormat="1" applyFont="1" applyBorder="1" applyAlignment="1">
      <alignment horizontal="center"/>
    </xf>
    <xf numFmtId="10" fontId="1" fillId="0" borderId="10" xfId="0" applyNumberFormat="1" applyFont="1" applyBorder="1"/>
    <xf numFmtId="10" fontId="20" fillId="0" borderId="10" xfId="0" applyNumberFormat="1" applyFont="1" applyBorder="1" applyAlignment="1">
      <alignment horizontal="center"/>
    </xf>
    <xf numFmtId="10" fontId="17" fillId="0" borderId="10" xfId="0" applyNumberFormat="1" applyFont="1" applyBorder="1"/>
    <xf numFmtId="9" fontId="9" fillId="0" borderId="10" xfId="6" applyFont="1" applyFill="1" applyBorder="1" applyAlignment="1"/>
    <xf numFmtId="43" fontId="9" fillId="0" borderId="10" xfId="0" applyNumberFormat="1" applyFont="1" applyBorder="1"/>
    <xf numFmtId="0" fontId="8" fillId="0" borderId="0" xfId="0" applyFont="1" applyAlignment="1">
      <alignment wrapText="1"/>
    </xf>
    <xf numFmtId="0" fontId="12" fillId="0" borderId="5" xfId="0" applyFont="1" applyFill="1" applyBorder="1" applyAlignment="1">
      <alignment horizontal="right" wrapText="1"/>
    </xf>
    <xf numFmtId="0" fontId="9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right" wrapText="1"/>
    </xf>
    <xf numFmtId="0" fontId="8" fillId="8" borderId="9" xfId="0" applyFont="1" applyFill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8" fillId="0" borderId="9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10" borderId="0" xfId="0" applyFont="1" applyFill="1" applyAlignment="1">
      <alignment wrapText="1"/>
    </xf>
    <xf numFmtId="0" fontId="1" fillId="0" borderId="10" xfId="0" applyFont="1" applyBorder="1" applyAlignment="1">
      <alignment wrapText="1"/>
    </xf>
    <xf numFmtId="0" fontId="1" fillId="11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0" fontId="1" fillId="12" borderId="10" xfId="0" applyFont="1" applyFill="1" applyBorder="1" applyAlignment="1">
      <alignment wrapText="1"/>
    </xf>
    <xf numFmtId="0" fontId="9" fillId="12" borderId="0" xfId="0" applyFont="1" applyFill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9" borderId="15" xfId="0" applyFont="1" applyFill="1" applyBorder="1" applyAlignment="1">
      <alignment horizontal="right"/>
    </xf>
    <xf numFmtId="0" fontId="9" fillId="9" borderId="16" xfId="0" applyFont="1" applyFill="1" applyBorder="1" applyAlignment="1">
      <alignment horizontal="right"/>
    </xf>
    <xf numFmtId="0" fontId="9" fillId="9" borderId="17" xfId="0" applyFont="1" applyFill="1" applyBorder="1" applyAlignment="1">
      <alignment horizontal="right"/>
    </xf>
    <xf numFmtId="165" fontId="2" fillId="5" borderId="6" xfId="0" applyNumberFormat="1" applyFont="1" applyFill="1" applyBorder="1" applyAlignment="1">
      <alignment horizontal="center" wrapText="1"/>
    </xf>
    <xf numFmtId="165" fontId="2" fillId="5" borderId="7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43" fontId="4" fillId="0" borderId="0" xfId="2" applyNumberFormat="1" applyBorder="1" applyAlignment="1" applyProtection="1">
      <alignment horizontal="center"/>
    </xf>
    <xf numFmtId="43" fontId="2" fillId="4" borderId="0" xfId="5" applyNumberFormat="1" applyFont="1" applyBorder="1" applyAlignment="1">
      <alignment horizontal="center"/>
    </xf>
  </cellXfs>
  <cellStyles count="7">
    <cellStyle name="60% - Accent1" xfId="3" builtinId="32"/>
    <cellStyle name="60% - Accent3" xfId="4" builtinId="40"/>
    <cellStyle name="Accent6" xfId="5" builtinId="49"/>
    <cellStyle name="Comma" xfId="1" builtinId="3"/>
    <cellStyle name="Hyperlink" xfId="2" builtinId="8"/>
    <cellStyle name="Normal" xfId="0" builtinId="0"/>
    <cellStyle name="Percent" xfId="6" builtinId="5"/>
  </cellStyles>
  <dxfs count="31"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 style="thin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colors>
    <mruColors>
      <color rgb="FF027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Valuation</a:t>
            </a:r>
            <a:r>
              <a:rPr lang="en-IN" baseline="0"/>
              <a:t> </a:t>
            </a:r>
            <a:endParaRPr lang="en-I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9777668416447947E-2"/>
                  <c:y val="-0.1712961140274132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sng" strike="noStrike" kern="1200" baseline="0">
                        <a:solidFill>
                          <a:schemeClr val="accent5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1962004-2CA1-42BF-BD08-C0C4330D1CB0}" type="VALUE">
                      <a:rPr lang="en-US" u="sng" baseline="0">
                        <a:solidFill>
                          <a:schemeClr val="accent5"/>
                        </a:solidFill>
                      </a:rPr>
                      <a:pPr>
                        <a:defRPr u="sng">
                          <a:solidFill>
                            <a:schemeClr val="accent5"/>
                          </a:solidFill>
                        </a:defRPr>
                      </a:pPr>
                      <a:t>[VALUE]</a:t>
                    </a:fld>
                    <a:endParaRPr lang="en-IN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sng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888888888888859E-2"/>
                      <c:h val="7.863444152814230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AF9-43C8-AF0F-AED057EA4C17}"/>
                </c:ext>
              </c:extLst>
            </c:dLbl>
            <c:dLbl>
              <c:idx val="1"/>
              <c:layout>
                <c:manualLayout>
                  <c:x val="-7.7944444444444469E-2"/>
                  <c:y val="-0.356481481481481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F9-43C8-AF0F-AED057EA4C17}"/>
                </c:ext>
              </c:extLst>
            </c:dLbl>
            <c:dLbl>
              <c:idx val="2"/>
              <c:layout>
                <c:manualLayout>
                  <c:x val="-0.16806255468066497"/>
                  <c:y val="-0.3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AF9-43C8-AF0F-AED057EA4C17}"/>
                </c:ext>
              </c:extLst>
            </c:dLbl>
            <c:dLbl>
              <c:idx val="3"/>
              <c:layout>
                <c:manualLayout>
                  <c:x val="-0.13672922134733165"/>
                  <c:y val="-0.333333333333333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AF9-43C8-AF0F-AED057EA4C17}"/>
                </c:ext>
              </c:extLst>
            </c:dLbl>
            <c:dLbl>
              <c:idx val="4"/>
              <c:layout>
                <c:manualLayout>
                  <c:x val="-0.11450699912510937"/>
                  <c:y val="-0.266203885972586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sng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734711286089238"/>
                      <c:h val="7.86344415281423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AF9-43C8-AF0F-AED057EA4C17}"/>
                </c:ext>
              </c:extLst>
            </c:dLbl>
            <c:dLbl>
              <c:idx val="5"/>
              <c:layout>
                <c:manualLayout>
                  <c:x val="-9.7506999125109461E-2"/>
                  <c:y val="-0.199074074074074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F9-43C8-AF0F-AED057EA4C17}"/>
                </c:ext>
              </c:extLst>
            </c:dLbl>
            <c:dLbl>
              <c:idx val="6"/>
              <c:layout>
                <c:manualLayout>
                  <c:x val="-0.11583442694663178"/>
                  <c:y val="-0.134259259259259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F9-43C8-AF0F-AED057EA4C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sng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Customization!$A$70:$A$76</c:f>
              <c:strCache>
                <c:ptCount val="7"/>
                <c:pt idx="0">
                  <c:v>EPS Valuation</c:v>
                </c:pt>
                <c:pt idx="1">
                  <c:v>Book value</c:v>
                </c:pt>
                <c:pt idx="2">
                  <c:v>Graham Number</c:v>
                </c:pt>
                <c:pt idx="3">
                  <c:v>Average Fair Price</c:v>
                </c:pt>
                <c:pt idx="4">
                  <c:v>Valuation with 25% Margin of safety </c:v>
                </c:pt>
                <c:pt idx="5">
                  <c:v>Current Price</c:v>
                </c:pt>
                <c:pt idx="6">
                  <c:v>Interinsic Value</c:v>
                </c:pt>
              </c:strCache>
            </c:strRef>
          </c:cat>
          <c:val>
            <c:numRef>
              <c:f>Customization!$B$70:$B$76</c:f>
              <c:numCache>
                <c:formatCode>General</c:formatCode>
                <c:ptCount val="7"/>
                <c:pt idx="0" formatCode="_(* #,##0.00_);_(* \(#,##0.00\);_(* &quot;-&quot;??_);_(@_)">
                  <c:v>525.48054654431405</c:v>
                </c:pt>
                <c:pt idx="1">
                  <c:v>342.08</c:v>
                </c:pt>
                <c:pt idx="2">
                  <c:v>851.35209035388925</c:v>
                </c:pt>
                <c:pt idx="3">
                  <c:v>688.41631844910171</c:v>
                </c:pt>
                <c:pt idx="4">
                  <c:v>516.31223883682628</c:v>
                </c:pt>
                <c:pt idx="5">
                  <c:v>489.8</c:v>
                </c:pt>
                <c:pt idx="6">
                  <c:v>1242.2165527473514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F9-43C8-AF0F-AED057EA4C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12666911"/>
        <c:axId val="1912656927"/>
      </c:lineChart>
      <c:catAx>
        <c:axId val="1912666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2656927"/>
        <c:crosses val="autoZero"/>
        <c:auto val="1"/>
        <c:lblAlgn val="ctr"/>
        <c:lblOffset val="100"/>
        <c:noMultiLvlLbl val="0"/>
      </c:catAx>
      <c:valAx>
        <c:axId val="191265692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crossAx val="1912666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346303740004528E-2"/>
          <c:y val="3.090023770435886E-2"/>
          <c:w val="0.93639875435151021"/>
          <c:h val="0.93819952459128231"/>
        </c:manualLayout>
      </c:layout>
      <c:lineChart>
        <c:grouping val="standard"/>
        <c:varyColors val="0"/>
        <c:ser>
          <c:idx val="0"/>
          <c:order val="0"/>
          <c:tx>
            <c:strRef>
              <c:f>'Calculated Data'!$M$4</c:f>
              <c:strCache>
                <c:ptCount val="1"/>
                <c:pt idx="0">
                  <c:v>Gross Profit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40268</c:v>
                </c:pt>
                <c:pt idx="1">
                  <c:v>40633</c:v>
                </c:pt>
                <c:pt idx="2">
                  <c:v>40999</c:v>
                </c:pt>
                <c:pt idx="3">
                  <c:v>41364</c:v>
                </c:pt>
                <c:pt idx="4">
                  <c:v>41729</c:v>
                </c:pt>
                <c:pt idx="5">
                  <c:v>42094</c:v>
                </c:pt>
                <c:pt idx="6">
                  <c:v>42460</c:v>
                </c:pt>
                <c:pt idx="7">
                  <c:v>42825</c:v>
                </c:pt>
                <c:pt idx="8">
                  <c:v>43190</c:v>
                </c:pt>
              </c:numCache>
            </c:numRef>
          </c:cat>
          <c:val>
            <c:numRef>
              <c:f>'Calculated Data'!$N$4:$V$4</c:f>
              <c:numCache>
                <c:formatCode>0.00%</c:formatCode>
                <c:ptCount val="9"/>
                <c:pt idx="0">
                  <c:v>0.90991339313331188</c:v>
                </c:pt>
                <c:pt idx="1">
                  <c:v>-1.2672577837159266E-2</c:v>
                </c:pt>
                <c:pt idx="2">
                  <c:v>4.1294185188222719E-2</c:v>
                </c:pt>
                <c:pt idx="3">
                  <c:v>0.1131020359941715</c:v>
                </c:pt>
                <c:pt idx="4">
                  <c:v>-3.2195294533875901E-2</c:v>
                </c:pt>
                <c:pt idx="5">
                  <c:v>7.1321513434472655E-2</c:v>
                </c:pt>
                <c:pt idx="6">
                  <c:v>0.91704770354193732</c:v>
                </c:pt>
                <c:pt idx="7">
                  <c:v>0.230184581976113</c:v>
                </c:pt>
                <c:pt idx="8">
                  <c:v>0.31224226990580634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01-478F-81E6-706CC668A097}"/>
            </c:ext>
          </c:extLst>
        </c:ser>
        <c:ser>
          <c:idx val="1"/>
          <c:order val="1"/>
          <c:tx>
            <c:strRef>
              <c:f>'Calculated Data'!$M$5</c:f>
              <c:strCache>
                <c:ptCount val="1"/>
                <c:pt idx="0">
                  <c:v>EBIT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40268</c:v>
                </c:pt>
                <c:pt idx="1">
                  <c:v>40633</c:v>
                </c:pt>
                <c:pt idx="2">
                  <c:v>40999</c:v>
                </c:pt>
                <c:pt idx="3">
                  <c:v>41364</c:v>
                </c:pt>
                <c:pt idx="4">
                  <c:v>41729</c:v>
                </c:pt>
                <c:pt idx="5">
                  <c:v>42094</c:v>
                </c:pt>
                <c:pt idx="6">
                  <c:v>42460</c:v>
                </c:pt>
                <c:pt idx="7">
                  <c:v>42825</c:v>
                </c:pt>
                <c:pt idx="8">
                  <c:v>43190</c:v>
                </c:pt>
              </c:numCache>
            </c:numRef>
          </c:cat>
          <c:val>
            <c:numRef>
              <c:f>'Calculated Data'!$N$5:$V$5</c:f>
              <c:numCache>
                <c:formatCode>0.00%</c:formatCode>
                <c:ptCount val="9"/>
                <c:pt idx="0">
                  <c:v>1.8857421875000004</c:v>
                </c:pt>
                <c:pt idx="1">
                  <c:v>0.78494077834179343</c:v>
                </c:pt>
                <c:pt idx="2">
                  <c:v>-0.36913451511991657</c:v>
                </c:pt>
                <c:pt idx="3">
                  <c:v>-7.0924117205108925E-2</c:v>
                </c:pt>
                <c:pt idx="4">
                  <c:v>-0.42568332524664404</c:v>
                </c:pt>
                <c:pt idx="5">
                  <c:v>0.98254012954097425</c:v>
                </c:pt>
                <c:pt idx="6">
                  <c:v>0.59460227272727295</c:v>
                </c:pt>
                <c:pt idx="7">
                  <c:v>1.3361838588989845</c:v>
                </c:pt>
                <c:pt idx="8">
                  <c:v>0.4631663234957677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01-478F-81E6-706CC668A097}"/>
            </c:ext>
          </c:extLst>
        </c:ser>
        <c:ser>
          <c:idx val="2"/>
          <c:order val="2"/>
          <c:tx>
            <c:strRef>
              <c:f>'Calculated Data'!$M$6</c:f>
              <c:strCache>
                <c:ptCount val="1"/>
                <c:pt idx="0">
                  <c:v>EBITDA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40268</c:v>
                </c:pt>
                <c:pt idx="1">
                  <c:v>40633</c:v>
                </c:pt>
                <c:pt idx="2">
                  <c:v>40999</c:v>
                </c:pt>
                <c:pt idx="3">
                  <c:v>41364</c:v>
                </c:pt>
                <c:pt idx="4">
                  <c:v>41729</c:v>
                </c:pt>
                <c:pt idx="5">
                  <c:v>42094</c:v>
                </c:pt>
                <c:pt idx="6">
                  <c:v>42460</c:v>
                </c:pt>
                <c:pt idx="7">
                  <c:v>42825</c:v>
                </c:pt>
                <c:pt idx="8">
                  <c:v>43190</c:v>
                </c:pt>
              </c:numCache>
            </c:numRef>
          </c:cat>
          <c:val>
            <c:numRef>
              <c:f>'Calculated Data'!$N$6:$V$6</c:f>
              <c:numCache>
                <c:formatCode>0.00%</c:formatCode>
                <c:ptCount val="9"/>
                <c:pt idx="0">
                  <c:v>1.639435573709618</c:v>
                </c:pt>
                <c:pt idx="1">
                  <c:v>0.62774338773213267</c:v>
                </c:pt>
                <c:pt idx="2">
                  <c:v>-0.36179775280898868</c:v>
                </c:pt>
                <c:pt idx="3">
                  <c:v>-7.4079089924160332E-2</c:v>
                </c:pt>
                <c:pt idx="4">
                  <c:v>-0.39549510019014195</c:v>
                </c:pt>
                <c:pt idx="5">
                  <c:v>0.7851439632228403</c:v>
                </c:pt>
                <c:pt idx="6">
                  <c:v>0.83721875847113092</c:v>
                </c:pt>
                <c:pt idx="7">
                  <c:v>1.1215787532275909</c:v>
                </c:pt>
                <c:pt idx="8">
                  <c:v>0.38803115654774339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01-478F-81E6-706CC668A097}"/>
            </c:ext>
          </c:extLst>
        </c:ser>
        <c:ser>
          <c:idx val="3"/>
          <c:order val="3"/>
          <c:tx>
            <c:strRef>
              <c:f>'Calculated Data'!$M$7</c:f>
              <c:strCache>
                <c:ptCount val="1"/>
                <c:pt idx="0">
                  <c:v>Operating Profit (excl Other Income)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40268</c:v>
                </c:pt>
                <c:pt idx="1">
                  <c:v>40633</c:v>
                </c:pt>
                <c:pt idx="2">
                  <c:v>40999</c:v>
                </c:pt>
                <c:pt idx="3">
                  <c:v>41364</c:v>
                </c:pt>
                <c:pt idx="4">
                  <c:v>41729</c:v>
                </c:pt>
                <c:pt idx="5">
                  <c:v>42094</c:v>
                </c:pt>
                <c:pt idx="6">
                  <c:v>42460</c:v>
                </c:pt>
                <c:pt idx="7">
                  <c:v>42825</c:v>
                </c:pt>
                <c:pt idx="8">
                  <c:v>43190</c:v>
                </c:pt>
              </c:numCache>
            </c:numRef>
          </c:cat>
          <c:val>
            <c:numRef>
              <c:f>'Calculated Data'!$N$7:$V$7</c:f>
              <c:numCache>
                <c:formatCode>0.00%</c:formatCode>
                <c:ptCount val="9"/>
                <c:pt idx="0">
                  <c:v>2.2243367935409464</c:v>
                </c:pt>
                <c:pt idx="1">
                  <c:v>0.93722053299946328</c:v>
                </c:pt>
                <c:pt idx="2">
                  <c:v>-0.37337272643338554</c:v>
                </c:pt>
                <c:pt idx="3">
                  <c:v>-5.8052158538382165E-2</c:v>
                </c:pt>
                <c:pt idx="4">
                  <c:v>-0.3854215548255906</c:v>
                </c:pt>
                <c:pt idx="5">
                  <c:v>0.7999490964622038</c:v>
                </c:pt>
                <c:pt idx="6">
                  <c:v>0.86057692307692368</c:v>
                </c:pt>
                <c:pt idx="7">
                  <c:v>1.1234990120079036</c:v>
                </c:pt>
                <c:pt idx="8">
                  <c:v>0.3729644608281738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01-478F-81E6-706CC668A097}"/>
            </c:ext>
          </c:extLst>
        </c:ser>
        <c:ser>
          <c:idx val="4"/>
          <c:order val="4"/>
          <c:tx>
            <c:strRef>
              <c:f>'Calculated Data'!$M$8</c:f>
              <c:strCache>
                <c:ptCount val="1"/>
                <c:pt idx="0">
                  <c:v>PAT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40268</c:v>
                </c:pt>
                <c:pt idx="1">
                  <c:v>40633</c:v>
                </c:pt>
                <c:pt idx="2">
                  <c:v>40999</c:v>
                </c:pt>
                <c:pt idx="3">
                  <c:v>41364</c:v>
                </c:pt>
                <c:pt idx="4">
                  <c:v>41729</c:v>
                </c:pt>
                <c:pt idx="5">
                  <c:v>42094</c:v>
                </c:pt>
                <c:pt idx="6">
                  <c:v>42460</c:v>
                </c:pt>
                <c:pt idx="7">
                  <c:v>42825</c:v>
                </c:pt>
                <c:pt idx="8">
                  <c:v>43190</c:v>
                </c:pt>
              </c:numCache>
            </c:numRef>
          </c:cat>
          <c:val>
            <c:numRef>
              <c:f>'Calculated Data'!$N$8:$V$8</c:f>
              <c:numCache>
                <c:formatCode>0.00%</c:formatCode>
                <c:ptCount val="9"/>
                <c:pt idx="0">
                  <c:v>214.99999999999997</c:v>
                </c:pt>
                <c:pt idx="1">
                  <c:v>1.4083994708994712</c:v>
                </c:pt>
                <c:pt idx="2">
                  <c:v>-0.35397501029795414</c:v>
                </c:pt>
                <c:pt idx="3">
                  <c:v>-7.1200850159404777E-2</c:v>
                </c:pt>
                <c:pt idx="4">
                  <c:v>-0.474141876430206</c:v>
                </c:pt>
                <c:pt idx="5">
                  <c:v>1.2423846823324629</c:v>
                </c:pt>
                <c:pt idx="6">
                  <c:v>0.53366970696681548</c:v>
                </c:pt>
                <c:pt idx="7">
                  <c:v>1.3493610021510816</c:v>
                </c:pt>
                <c:pt idx="8">
                  <c:v>0.57133624171917929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01-478F-81E6-706CC668A097}"/>
            </c:ext>
          </c:extLst>
        </c:ser>
        <c:ser>
          <c:idx val="5"/>
          <c:order val="5"/>
          <c:tx>
            <c:strRef>
              <c:f>'Calculated Data'!$M$9</c:f>
              <c:strCache>
                <c:ptCount val="1"/>
                <c:pt idx="0">
                  <c:v>Dividend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'Calculated Data'!$N$3:$V$3</c:f>
              <c:numCache>
                <c:formatCode>[$-409]mmm\-yy;@</c:formatCode>
                <c:ptCount val="9"/>
                <c:pt idx="0">
                  <c:v>40268</c:v>
                </c:pt>
                <c:pt idx="1">
                  <c:v>40633</c:v>
                </c:pt>
                <c:pt idx="2">
                  <c:v>40999</c:v>
                </c:pt>
                <c:pt idx="3">
                  <c:v>41364</c:v>
                </c:pt>
                <c:pt idx="4">
                  <c:v>41729</c:v>
                </c:pt>
                <c:pt idx="5">
                  <c:v>42094</c:v>
                </c:pt>
                <c:pt idx="6">
                  <c:v>42460</c:v>
                </c:pt>
                <c:pt idx="7">
                  <c:v>42825</c:v>
                </c:pt>
                <c:pt idx="8">
                  <c:v>43190</c:v>
                </c:pt>
              </c:numCache>
            </c:numRef>
          </c:cat>
          <c:val>
            <c:numRef>
              <c:f>'Calculated Data'!$N$9:$V$9</c:f>
              <c:numCache>
                <c:formatCode>0.00%</c:formatCode>
                <c:ptCount val="9"/>
                <c:pt idx="0">
                  <c:v>0</c:v>
                </c:pt>
                <c:pt idx="1">
                  <c:v>2.0000000000000004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0.25085910652920962</c:v>
                </c:pt>
                <c:pt idx="8">
                  <c:v>0.19917582417582419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01-478F-81E6-706CC668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301023"/>
        <c:axId val="1688306847"/>
      </c:lineChart>
      <c:dateAx>
        <c:axId val="1688301023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306847"/>
        <c:crosses val="autoZero"/>
        <c:auto val="1"/>
        <c:lblOffset val="100"/>
        <c:baseTimeUnit val="years"/>
      </c:dateAx>
      <c:valAx>
        <c:axId val="1688306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301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057059044090071E-2"/>
          <c:y val="6.6981937279664672E-2"/>
          <c:w val="0.85846269188011493"/>
          <c:h val="0.277544374749766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27997840532516"/>
          <c:y val="0.17983030303030303"/>
          <c:w val="0.83629697272523651"/>
          <c:h val="0.76077461226437615"/>
        </c:manualLayout>
      </c:layout>
      <c:lineChart>
        <c:grouping val="standard"/>
        <c:varyColors val="0"/>
        <c:ser>
          <c:idx val="0"/>
          <c:order val="0"/>
          <c:tx>
            <c:strRef>
              <c:f>'Calculated Data'!$M$11</c:f>
              <c:strCache>
                <c:ptCount val="1"/>
                <c:pt idx="0">
                  <c:v>Networth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Data'!$N$11:$V$11</c:f>
              <c:numCache>
                <c:formatCode>0.00%</c:formatCode>
                <c:ptCount val="9"/>
                <c:pt idx="0">
                  <c:v>0.32175482124732158</c:v>
                </c:pt>
                <c:pt idx="1">
                  <c:v>0.5925767918088739</c:v>
                </c:pt>
                <c:pt idx="2">
                  <c:v>0.23396731851058122</c:v>
                </c:pt>
                <c:pt idx="3">
                  <c:v>0.17497394928794727</c:v>
                </c:pt>
                <c:pt idx="4">
                  <c:v>7.2315423841549015E-2</c:v>
                </c:pt>
                <c:pt idx="5">
                  <c:v>0.15345118715324452</c:v>
                </c:pt>
                <c:pt idx="6">
                  <c:v>0.1791049235181644</c:v>
                </c:pt>
                <c:pt idx="7">
                  <c:v>0.50125421237996293</c:v>
                </c:pt>
                <c:pt idx="8">
                  <c:v>0.47699578059071729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81-44FB-AC4D-49FE77B91D5D}"/>
            </c:ext>
          </c:extLst>
        </c:ser>
        <c:ser>
          <c:idx val="1"/>
          <c:order val="1"/>
          <c:tx>
            <c:strRef>
              <c:f>'Calculated Data'!$M$12</c:f>
              <c:strCache>
                <c:ptCount val="1"/>
                <c:pt idx="0">
                  <c:v>Working Capital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Data'!$N$12:$V$12</c:f>
              <c:numCache>
                <c:formatCode>0.00%</c:formatCode>
                <c:ptCount val="9"/>
                <c:pt idx="0">
                  <c:v>-5.215590284315564E-2</c:v>
                </c:pt>
                <c:pt idx="1">
                  <c:v>-0.1454112038140645</c:v>
                </c:pt>
                <c:pt idx="2">
                  <c:v>9.44909344490934E-2</c:v>
                </c:pt>
                <c:pt idx="3">
                  <c:v>0.12626101730912168</c:v>
                </c:pt>
                <c:pt idx="4">
                  <c:v>0.35479917028097308</c:v>
                </c:pt>
                <c:pt idx="5">
                  <c:v>0.24121372398914331</c:v>
                </c:pt>
                <c:pt idx="6">
                  <c:v>0.27232968881412983</c:v>
                </c:pt>
                <c:pt idx="7">
                  <c:v>0.55147188436453365</c:v>
                </c:pt>
                <c:pt idx="8">
                  <c:v>-7.9759131966142094E-2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81-44FB-AC4D-49FE77B91D5D}"/>
            </c:ext>
          </c:extLst>
        </c:ser>
        <c:ser>
          <c:idx val="2"/>
          <c:order val="2"/>
          <c:tx>
            <c:strRef>
              <c:f>'Calculated Data'!$M$13</c:f>
              <c:strCache>
                <c:ptCount val="1"/>
                <c:pt idx="0">
                  <c:v>Invested Capital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Data'!$N$13:$V$13</c:f>
              <c:numCache>
                <c:formatCode>0.00%</c:formatCode>
                <c:ptCount val="9"/>
                <c:pt idx="0">
                  <c:v>-4.1769911504424766E-2</c:v>
                </c:pt>
                <c:pt idx="1">
                  <c:v>-0.2161525674178057</c:v>
                </c:pt>
                <c:pt idx="2">
                  <c:v>-2.3858615611192999E-2</c:v>
                </c:pt>
                <c:pt idx="3">
                  <c:v>1.4242607121303472E-2</c:v>
                </c:pt>
                <c:pt idx="4">
                  <c:v>0.19427585386171611</c:v>
                </c:pt>
                <c:pt idx="5">
                  <c:v>0.16720641721887289</c:v>
                </c:pt>
                <c:pt idx="6">
                  <c:v>1.0777308234088876</c:v>
                </c:pt>
                <c:pt idx="7">
                  <c:v>0.21142270159219306</c:v>
                </c:pt>
                <c:pt idx="8">
                  <c:v>-5.4777329308414946E-2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81-44FB-AC4D-49FE77B91D5D}"/>
            </c:ext>
          </c:extLst>
        </c:ser>
        <c:ser>
          <c:idx val="3"/>
          <c:order val="3"/>
          <c:tx>
            <c:strRef>
              <c:f>'Calculated Data'!$M$14</c:f>
              <c:strCache>
                <c:ptCount val="1"/>
                <c:pt idx="0">
                  <c:v>Capital Employed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Data'!$N$14:$V$14</c:f>
              <c:numCache>
                <c:formatCode>0.00%</c:formatCode>
                <c:ptCount val="9"/>
                <c:pt idx="0">
                  <c:v>-4.0848117697966362E-2</c:v>
                </c:pt>
                <c:pt idx="1">
                  <c:v>1.4436524406749283E-2</c:v>
                </c:pt>
                <c:pt idx="2">
                  <c:v>5.5412256515164897E-2</c:v>
                </c:pt>
                <c:pt idx="3">
                  <c:v>0.2389179167368953</c:v>
                </c:pt>
                <c:pt idx="4">
                  <c:v>0.11883545337051901</c:v>
                </c:pt>
                <c:pt idx="5">
                  <c:v>9.2898832684825086E-2</c:v>
                </c:pt>
                <c:pt idx="6">
                  <c:v>0.48542501112594544</c:v>
                </c:pt>
                <c:pt idx="7">
                  <c:v>0.26084188450303364</c:v>
                </c:pt>
                <c:pt idx="8">
                  <c:v>0.36611518697834672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81-44FB-AC4D-49FE77B91D5D}"/>
            </c:ext>
          </c:extLst>
        </c:ser>
        <c:ser>
          <c:idx val="4"/>
          <c:order val="4"/>
          <c:tx>
            <c:strRef>
              <c:f>'Calculated Data'!$M$15</c:f>
              <c:strCache>
                <c:ptCount val="1"/>
                <c:pt idx="0">
                  <c:v>Total Assets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Data'!$N$15:$V$15</c:f>
              <c:numCache>
                <c:formatCode>0.00%</c:formatCode>
                <c:ptCount val="9"/>
                <c:pt idx="0">
                  <c:v>7.9754783799065601E-2</c:v>
                </c:pt>
                <c:pt idx="1">
                  <c:v>-2.9049417082380079E-2</c:v>
                </c:pt>
                <c:pt idx="2">
                  <c:v>0.21465270089982685</c:v>
                </c:pt>
                <c:pt idx="3">
                  <c:v>0.18083241803182909</c:v>
                </c:pt>
                <c:pt idx="4">
                  <c:v>2.9883829088246171E-3</c:v>
                </c:pt>
                <c:pt idx="5">
                  <c:v>8.6977111286503525E-2</c:v>
                </c:pt>
                <c:pt idx="6">
                  <c:v>0.46171580017426667</c:v>
                </c:pt>
                <c:pt idx="7">
                  <c:v>0.16043863244042067</c:v>
                </c:pt>
                <c:pt idx="8">
                  <c:v>0.30490571691530571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81-44FB-AC4D-49FE77B91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7999503"/>
        <c:axId val="1628001583"/>
      </c:lineChart>
      <c:catAx>
        <c:axId val="162799950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001583"/>
        <c:crosses val="autoZero"/>
        <c:auto val="1"/>
        <c:lblAlgn val="ctr"/>
        <c:lblOffset val="100"/>
        <c:noMultiLvlLbl val="0"/>
      </c:catAx>
      <c:valAx>
        <c:axId val="1628001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999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757806532389142E-2"/>
          <c:y val="4.8473395371033661E-3"/>
          <c:w val="0.76796774582608252"/>
          <c:h val="0.189428612656878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08114610673665"/>
          <c:y val="0.17171296296296296"/>
          <c:w val="0.82036329833770782"/>
          <c:h val="0.72643299795858851"/>
        </c:manualLayout>
      </c:layout>
      <c:lineChart>
        <c:grouping val="standard"/>
        <c:varyColors val="0"/>
        <c:ser>
          <c:idx val="0"/>
          <c:order val="0"/>
          <c:tx>
            <c:strRef>
              <c:f>'Calculated Data'!$M$17</c:f>
              <c:strCache>
                <c:ptCount val="1"/>
                <c:pt idx="0">
                  <c:v>Operating Cash Flow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Data'!$N$17:$V$17</c:f>
              <c:numCache>
                <c:formatCode>0.00%</c:formatCode>
                <c:ptCount val="9"/>
                <c:pt idx="0">
                  <c:v>-6.0951704545454541</c:v>
                </c:pt>
                <c:pt idx="1">
                  <c:v>0.27752996933370522</c:v>
                </c:pt>
                <c:pt idx="2">
                  <c:v>-0.2624113475177306</c:v>
                </c:pt>
                <c:pt idx="3">
                  <c:v>-0.87485207100591711</c:v>
                </c:pt>
                <c:pt idx="4">
                  <c:v>-1.7978723404255319</c:v>
                </c:pt>
                <c:pt idx="5">
                  <c:v>-2.2385185185185184</c:v>
                </c:pt>
                <c:pt idx="6">
                  <c:v>15.281100478468902</c:v>
                </c:pt>
                <c:pt idx="7">
                  <c:v>-9.698038351333492E-2</c:v>
                </c:pt>
                <c:pt idx="8">
                  <c:v>1.3142136522658856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70-443E-80E0-9034E4DCF642}"/>
            </c:ext>
          </c:extLst>
        </c:ser>
        <c:ser>
          <c:idx val="1"/>
          <c:order val="1"/>
          <c:tx>
            <c:strRef>
              <c:f>'Calculated Data'!$M$18</c:f>
              <c:strCache>
                <c:ptCount val="1"/>
                <c:pt idx="0">
                  <c:v>Capex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Data'!$N$18:$V$18</c:f>
              <c:numCache>
                <c:formatCode>0.00%</c:formatCode>
                <c:ptCount val="9"/>
                <c:pt idx="0">
                  <c:v>0</c:v>
                </c:pt>
                <c:pt idx="1">
                  <c:v>-3.717821782178218</c:v>
                </c:pt>
                <c:pt idx="2">
                  <c:v>-0.7773224043715844</c:v>
                </c:pt>
                <c:pt idx="3">
                  <c:v>-0.38854805725971409</c:v>
                </c:pt>
                <c:pt idx="4">
                  <c:v>-1.2809364548494979</c:v>
                </c:pt>
                <c:pt idx="5">
                  <c:v>1.7142857142857157</c:v>
                </c:pt>
                <c:pt idx="6">
                  <c:v>98.649122807017591</c:v>
                </c:pt>
                <c:pt idx="7">
                  <c:v>-0.98639964788732393</c:v>
                </c:pt>
                <c:pt idx="8">
                  <c:v>2.6310679611650363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0-443E-80E0-9034E4DCF642}"/>
            </c:ext>
          </c:extLst>
        </c:ser>
        <c:ser>
          <c:idx val="2"/>
          <c:order val="2"/>
          <c:tx>
            <c:strRef>
              <c:f>'Calculated Data'!$M$19</c:f>
              <c:strCache>
                <c:ptCount val="1"/>
                <c:pt idx="0">
                  <c:v>Free Cash Flow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Data'!$N$19:$V$19</c:f>
              <c:numCache>
                <c:formatCode>0.00%</c:formatCode>
                <c:ptCount val="9"/>
                <c:pt idx="0">
                  <c:v>0</c:v>
                </c:pt>
                <c:pt idx="1">
                  <c:v>0.78463713477851071</c:v>
                </c:pt>
                <c:pt idx="2">
                  <c:v>-0.36193997007305689</c:v>
                </c:pt>
                <c:pt idx="3">
                  <c:v>-0.84204717892123049</c:v>
                </c:pt>
                <c:pt idx="4">
                  <c:v>-1.6628820960698689</c:v>
                </c:pt>
                <c:pt idx="5">
                  <c:v>-1.801054018445323</c:v>
                </c:pt>
                <c:pt idx="6">
                  <c:v>-15.98190789473683</c:v>
                </c:pt>
                <c:pt idx="7">
                  <c:v>-2.3154023493248443</c:v>
                </c:pt>
                <c:pt idx="8">
                  <c:v>1.2802537139041894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70-443E-80E0-9034E4DCF642}"/>
            </c:ext>
          </c:extLst>
        </c:ser>
        <c:ser>
          <c:idx val="3"/>
          <c:order val="3"/>
          <c:tx>
            <c:strRef>
              <c:f>'Calculated Data'!$M$20</c:f>
              <c:strCache>
                <c:ptCount val="1"/>
                <c:pt idx="0">
                  <c:v>Tax Rate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Data'!$N$20:$V$20</c:f>
              <c:numCache>
                <c:formatCode>0.00%</c:formatCode>
                <c:ptCount val="9"/>
                <c:pt idx="0">
                  <c:v>-0.63667536639229072</c:v>
                </c:pt>
                <c:pt idx="1">
                  <c:v>-0.21394332764951318</c:v>
                </c:pt>
                <c:pt idx="2">
                  <c:v>-6.1826689873133826E-3</c:v>
                </c:pt>
                <c:pt idx="3">
                  <c:v>-0.19180259605787392</c:v>
                </c:pt>
                <c:pt idx="4">
                  <c:v>0.10874390801096559</c:v>
                </c:pt>
                <c:pt idx="5">
                  <c:v>-9.3949674701178834E-2</c:v>
                </c:pt>
                <c:pt idx="6">
                  <c:v>-0.11828466552475217</c:v>
                </c:pt>
                <c:pt idx="7">
                  <c:v>0.47351135031365787</c:v>
                </c:pt>
                <c:pt idx="8">
                  <c:v>-0.12903651025607504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70-443E-80E0-9034E4DCF642}"/>
            </c:ext>
          </c:extLst>
        </c:ser>
        <c:ser>
          <c:idx val="4"/>
          <c:order val="4"/>
          <c:tx>
            <c:strRef>
              <c:f>'Calculated Data'!$M$21</c:f>
              <c:strCache>
                <c:ptCount val="1"/>
                <c:pt idx="0">
                  <c:v>NOPLAT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Data'!$N$21:$V$21</c:f>
              <c:numCache>
                <c:formatCode>0.00%</c:formatCode>
                <c:ptCount val="9"/>
                <c:pt idx="0">
                  <c:v>13.040662329351537</c:v>
                </c:pt>
                <c:pt idx="1">
                  <c:v>0.95807312912306353</c:v>
                </c:pt>
                <c:pt idx="2">
                  <c:v>-0.36786739673181379</c:v>
                </c:pt>
                <c:pt idx="3">
                  <c:v>-1.3506489991015582E-2</c:v>
                </c:pt>
                <c:pt idx="4">
                  <c:v>-0.44100020635010728</c:v>
                </c:pt>
                <c:pt idx="5">
                  <c:v>1.0345759337890355</c:v>
                </c:pt>
                <c:pt idx="6">
                  <c:v>0.64112511427960361</c:v>
                </c:pt>
                <c:pt idx="7">
                  <c:v>1.1024283245543378</c:v>
                </c:pt>
                <c:pt idx="8">
                  <c:v>0.52848992199866363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70-443E-80E0-9034E4DCF642}"/>
            </c:ext>
          </c:extLst>
        </c:ser>
        <c:ser>
          <c:idx val="5"/>
          <c:order val="5"/>
          <c:tx>
            <c:strRef>
              <c:f>'Calculated Data'!$M$22</c:f>
              <c:strCache>
                <c:ptCount val="1"/>
                <c:pt idx="0">
                  <c:v>RoIC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Data'!$N$22:$V$22</c:f>
              <c:numCache>
                <c:formatCode>0.00%</c:formatCode>
                <c:ptCount val="9"/>
                <c:pt idx="0">
                  <c:v>13.652704499600326</c:v>
                </c:pt>
                <c:pt idx="1">
                  <c:v>1.4980283760995032</c:v>
                </c:pt>
                <c:pt idx="2">
                  <c:v>-0.35241696195066619</c:v>
                </c:pt>
                <c:pt idx="3">
                  <c:v>-2.7359427534876107E-2</c:v>
                </c:pt>
                <c:pt idx="4">
                  <c:v>-0.53193410731502677</c:v>
                </c:pt>
                <c:pt idx="5">
                  <c:v>0.74311578806845691</c:v>
                </c:pt>
                <c:pt idx="6">
                  <c:v>-0.21013583868046701</c:v>
                </c:pt>
                <c:pt idx="7">
                  <c:v>0.73550348841166746</c:v>
                </c:pt>
                <c:pt idx="8">
                  <c:v>0.61706862244461735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70-443E-80E0-9034E4DCF642}"/>
            </c:ext>
          </c:extLst>
        </c:ser>
        <c:ser>
          <c:idx val="6"/>
          <c:order val="6"/>
          <c:tx>
            <c:strRef>
              <c:f>'Calculated Data'!$M$23</c:f>
              <c:strCache>
                <c:ptCount val="1"/>
                <c:pt idx="0">
                  <c:v>WACC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Data'!$N$23:$V$23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70-443E-80E0-9034E4DCF642}"/>
            </c:ext>
          </c:extLst>
        </c:ser>
        <c:ser>
          <c:idx val="7"/>
          <c:order val="7"/>
          <c:tx>
            <c:strRef>
              <c:f>'Calculated Data'!$M$24</c:f>
              <c:strCache>
                <c:ptCount val="1"/>
                <c:pt idx="0">
                  <c:v>EPA (Economic Profit Added)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Data'!$N$24:$V$24</c:f>
              <c:numCache>
                <c:formatCode>0.00%</c:formatCode>
                <c:ptCount val="9"/>
                <c:pt idx="0">
                  <c:v>-1.6058836370682825</c:v>
                </c:pt>
                <c:pt idx="1">
                  <c:v>3.0371899157150355</c:v>
                </c:pt>
                <c:pt idx="2">
                  <c:v>-0.4861304789543463</c:v>
                </c:pt>
                <c:pt idx="3">
                  <c:v>-3.1627749845965211E-2</c:v>
                </c:pt>
                <c:pt idx="4">
                  <c:v>-0.8755119672963867</c:v>
                </c:pt>
                <c:pt idx="5">
                  <c:v>6.7259908692453445</c:v>
                </c:pt>
                <c:pt idx="6">
                  <c:v>0.20831342591829388</c:v>
                </c:pt>
                <c:pt idx="7">
                  <c:v>2.6212252058922201</c:v>
                </c:pt>
                <c:pt idx="8">
                  <c:v>0.86109357742571535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70-443E-80E0-9034E4DCF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2481423"/>
        <c:axId val="1632479759"/>
      </c:lineChart>
      <c:catAx>
        <c:axId val="16324814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479759"/>
        <c:crosses val="autoZero"/>
        <c:auto val="1"/>
        <c:lblAlgn val="ctr"/>
        <c:lblOffset val="100"/>
        <c:noMultiLvlLbl val="0"/>
      </c:catAx>
      <c:valAx>
        <c:axId val="1632479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481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27624671916012"/>
          <c:y val="8.7960775736366251E-2"/>
          <c:w val="0.75588943067018155"/>
          <c:h val="0.304500449554532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'Calculated Data'!$M$26</c:f>
              <c:strCache>
                <c:ptCount val="1"/>
                <c:pt idx="0">
                  <c:v>MktCap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'Calculated Data'!$N$26:$V$26</c:f>
              <c:numCache>
                <c:formatCode>0.00%</c:formatCode>
                <c:ptCount val="9"/>
                <c:pt idx="0">
                  <c:v>1.2143491872754295</c:v>
                </c:pt>
                <c:pt idx="1">
                  <c:v>0.15548902600614908</c:v>
                </c:pt>
                <c:pt idx="2">
                  <c:v>-0.3378477152539982</c:v>
                </c:pt>
                <c:pt idx="3">
                  <c:v>-0.1613192742041919</c:v>
                </c:pt>
                <c:pt idx="4">
                  <c:v>-0.11901094993003798</c:v>
                </c:pt>
                <c:pt idx="5">
                  <c:v>1.9760462291135541</c:v>
                </c:pt>
                <c:pt idx="6">
                  <c:v>2.0004350138146076</c:v>
                </c:pt>
                <c:pt idx="7">
                  <c:v>1.9333321874522436</c:v>
                </c:pt>
                <c:pt idx="8">
                  <c:v>0.89912671339299655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3-4D60-96AB-CFDE31C14D54}"/>
            </c:ext>
          </c:extLst>
        </c:ser>
        <c:ser>
          <c:idx val="1"/>
          <c:order val="1"/>
          <c:tx>
            <c:strRef>
              <c:f>'Calculated Data'!$M$27</c:f>
              <c:strCache>
                <c:ptCount val="1"/>
                <c:pt idx="0">
                  <c:v>MktCap+Dividend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'Calculated Data'!$N$27:$V$27</c:f>
              <c:numCache>
                <c:formatCode>0.00%</c:formatCode>
                <c:ptCount val="9"/>
                <c:pt idx="0">
                  <c:v>1.1856420268728778</c:v>
                </c:pt>
                <c:pt idx="1">
                  <c:v>0.17543929978504447</c:v>
                </c:pt>
                <c:pt idx="2">
                  <c:v>-0.32852140947116704</c:v>
                </c:pt>
                <c:pt idx="3">
                  <c:v>-0.15468730114117266</c:v>
                </c:pt>
                <c:pt idx="4">
                  <c:v>-0.11322298324651314</c:v>
                </c:pt>
                <c:pt idx="5">
                  <c:v>1.8676730601594367</c:v>
                </c:pt>
                <c:pt idx="6">
                  <c:v>1.981301976486405</c:v>
                </c:pt>
                <c:pt idx="7">
                  <c:v>1.9117464352189539</c:v>
                </c:pt>
                <c:pt idx="8">
                  <c:v>0.89526889770124729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3-4D60-96AB-CFDE31C14D54}"/>
            </c:ext>
          </c:extLst>
        </c:ser>
        <c:ser>
          <c:idx val="2"/>
          <c:order val="2"/>
          <c:tx>
            <c:strRef>
              <c:f>'Calculated Data'!$M$28</c:f>
              <c:strCache>
                <c:ptCount val="1"/>
                <c:pt idx="0">
                  <c:v>Retained Profit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'Calculated Data'!$N$28:$V$28</c:f>
              <c:numCache>
                <c:formatCode>0.00%</c:formatCode>
                <c:ptCount val="9"/>
                <c:pt idx="0">
                  <c:v>-36.265060240963855</c:v>
                </c:pt>
                <c:pt idx="1">
                  <c:v>1.3887939870174242</c:v>
                </c:pt>
                <c:pt idx="2">
                  <c:v>-0.36870709382151029</c:v>
                </c:pt>
                <c:pt idx="3">
                  <c:v>-7.5894879927503267E-2</c:v>
                </c:pt>
                <c:pt idx="4">
                  <c:v>-0.50796763912723719</c:v>
                </c:pt>
                <c:pt idx="5">
                  <c:v>1.4225211758844047</c:v>
                </c:pt>
                <c:pt idx="6">
                  <c:v>0.50575894693541756</c:v>
                </c:pt>
                <c:pt idx="7">
                  <c:v>1.4366889769157214</c:v>
                </c:pt>
                <c:pt idx="8">
                  <c:v>0.58652390829082346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E3-4D60-96AB-CFDE31C14D54}"/>
            </c:ext>
          </c:extLst>
        </c:ser>
        <c:ser>
          <c:idx val="3"/>
          <c:order val="3"/>
          <c:tx>
            <c:strRef>
              <c:f>'Calculated Data'!$M$29</c:f>
              <c:strCache>
                <c:ptCount val="1"/>
                <c:pt idx="0">
                  <c:v>EV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'Calculated Data'!$N$29:$V$29</c:f>
              <c:numCache>
                <c:formatCode>0.00%</c:formatCode>
                <c:ptCount val="9"/>
                <c:pt idx="0">
                  <c:v>-7.9152034330524562E-2</c:v>
                </c:pt>
                <c:pt idx="1">
                  <c:v>-0.30096746641069355</c:v>
                </c:pt>
                <c:pt idx="2">
                  <c:v>-0.78310640248171637</c:v>
                </c:pt>
                <c:pt idx="3">
                  <c:v>1.2476414404690268</c:v>
                </c:pt>
                <c:pt idx="4">
                  <c:v>0.16317263848483549</c:v>
                </c:pt>
                <c:pt idx="5">
                  <c:v>1.4827122370147632</c:v>
                </c:pt>
                <c:pt idx="6">
                  <c:v>2.3890317760329061</c:v>
                </c:pt>
                <c:pt idx="7">
                  <c:v>1.4447108611518644</c:v>
                </c:pt>
                <c:pt idx="8">
                  <c:v>0.90802546106859938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E3-4D60-96AB-CFDE31C14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3792271"/>
        <c:axId val="1633792687"/>
      </c:barChart>
      <c:catAx>
        <c:axId val="163379227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792687"/>
        <c:crosses val="autoZero"/>
        <c:auto val="1"/>
        <c:lblAlgn val="ctr"/>
        <c:lblOffset val="100"/>
        <c:noMultiLvlLbl val="0"/>
      </c:catAx>
      <c:valAx>
        <c:axId val="1633792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79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'Calculated Data'!$M$31</c:f>
              <c:strCache>
                <c:ptCount val="1"/>
                <c:pt idx="0">
                  <c:v>Price/Earnings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Data'!$N$31:$V$31</c:f>
              <c:numCache>
                <c:formatCode>0.00%</c:formatCode>
                <c:ptCount val="9"/>
                <c:pt idx="0">
                  <c:v>-0.98974838339224347</c:v>
                </c:pt>
                <c:pt idx="1">
                  <c:v>-0.52022534468727244</c:v>
                </c:pt>
                <c:pt idx="2">
                  <c:v>2.4963887312461464E-2</c:v>
                </c:pt>
                <c:pt idx="3">
                  <c:v>-9.7026815819387519E-2</c:v>
                </c:pt>
                <c:pt idx="4">
                  <c:v>0.67533600905384417</c:v>
                </c:pt>
                <c:pt idx="5">
                  <c:v>0.32717916446787271</c:v>
                </c:pt>
                <c:pt idx="6">
                  <c:v>0.95637626549243016</c:v>
                </c:pt>
                <c:pt idx="7">
                  <c:v>0.2485659652843798</c:v>
                </c:pt>
                <c:pt idx="8">
                  <c:v>0.20860619323282831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7F-4BC1-89C8-25F554B58933}"/>
            </c:ext>
          </c:extLst>
        </c:ser>
        <c:ser>
          <c:idx val="1"/>
          <c:order val="1"/>
          <c:tx>
            <c:strRef>
              <c:f>'Calculated Data'!$M$32</c:f>
              <c:strCache>
                <c:ptCount val="1"/>
                <c:pt idx="0">
                  <c:v>Price/Book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Data'!$N$32:$V$32</c:f>
              <c:numCache>
                <c:formatCode>0.00%</c:formatCode>
                <c:ptCount val="9"/>
                <c:pt idx="0">
                  <c:v>0.67531008904191381</c:v>
                </c:pt>
                <c:pt idx="1">
                  <c:v>-0.2744531805629753</c:v>
                </c:pt>
                <c:pt idx="2">
                  <c:v>-0.4633956063396959</c:v>
                </c:pt>
                <c:pt idx="3">
                  <c:v>-0.28621334430089967</c:v>
                </c:pt>
                <c:pt idx="4">
                  <c:v>-0.17842359581676448</c:v>
                </c:pt>
                <c:pt idx="5">
                  <c:v>1.5801232529471267</c:v>
                </c:pt>
                <c:pt idx="6">
                  <c:v>1.5446717709074052</c:v>
                </c:pt>
                <c:pt idx="7">
                  <c:v>0.95392103699877984</c:v>
                </c:pt>
                <c:pt idx="8">
                  <c:v>0.28580374998325986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F-4BC1-89C8-25F554B58933}"/>
            </c:ext>
          </c:extLst>
        </c:ser>
        <c:ser>
          <c:idx val="2"/>
          <c:order val="2"/>
          <c:tx>
            <c:strRef>
              <c:f>'Calculated Data'!$M$33</c:f>
              <c:strCache>
                <c:ptCount val="1"/>
                <c:pt idx="0">
                  <c:v>Price/CashFlow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Data'!$N$33:$V$33</c:f>
              <c:numCache>
                <c:formatCode>0.00%</c:formatCode>
                <c:ptCount val="9"/>
                <c:pt idx="0">
                  <c:v>-1.4345976659720945</c:v>
                </c:pt>
                <c:pt idx="1">
                  <c:v>-9.5528830052579158E-2</c:v>
                </c:pt>
                <c:pt idx="2">
                  <c:v>-0.10227430625782429</c:v>
                </c:pt>
                <c:pt idx="3">
                  <c:v>5.7015150193613016</c:v>
                </c:pt>
                <c:pt idx="4">
                  <c:v>-2.1041729427543525</c:v>
                </c:pt>
                <c:pt idx="5">
                  <c:v>-3.4029081395354654</c:v>
                </c:pt>
                <c:pt idx="6">
                  <c:v>-0.81571055238050016</c:v>
                </c:pt>
                <c:pt idx="7">
                  <c:v>2.2483593201051577</c:v>
                </c:pt>
                <c:pt idx="8">
                  <c:v>-0.17936413885834207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7F-4BC1-89C8-25F554B58933}"/>
            </c:ext>
          </c:extLst>
        </c:ser>
        <c:ser>
          <c:idx val="3"/>
          <c:order val="3"/>
          <c:tx>
            <c:strRef>
              <c:f>'Calculated Data'!$M$34</c:f>
              <c:strCache>
                <c:ptCount val="1"/>
                <c:pt idx="0">
                  <c:v>Price/Sales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Data'!$N$34:$V$34</c:f>
              <c:numCache>
                <c:formatCode>0.00%</c:formatCode>
                <c:ptCount val="9"/>
                <c:pt idx="0">
                  <c:v>1.9869380520665825</c:v>
                </c:pt>
                <c:pt idx="1">
                  <c:v>-8.9464259715804947E-2</c:v>
                </c:pt>
                <c:pt idx="2">
                  <c:v>-0.37009654056673386</c:v>
                </c:pt>
                <c:pt idx="3">
                  <c:v>-0.37537635415622056</c:v>
                </c:pt>
                <c:pt idx="4">
                  <c:v>-7.2762526002472197E-2</c:v>
                </c:pt>
                <c:pt idx="5">
                  <c:v>1.7384106705484215</c:v>
                </c:pt>
                <c:pt idx="6">
                  <c:v>1.3075901657218458</c:v>
                </c:pt>
                <c:pt idx="7">
                  <c:v>1.5155194736243136</c:v>
                </c:pt>
                <c:pt idx="8">
                  <c:v>0.3553346263893018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7F-4BC1-89C8-25F554B58933}"/>
            </c:ext>
          </c:extLst>
        </c:ser>
        <c:ser>
          <c:idx val="4"/>
          <c:order val="4"/>
          <c:tx>
            <c:strRef>
              <c:f>'Calculated Data'!$M$35</c:f>
              <c:strCache>
                <c:ptCount val="1"/>
                <c:pt idx="0">
                  <c:v>EV/EBITDA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Data'!$N$35:$V$35</c:f>
              <c:numCache>
                <c:formatCode>0.00%</c:formatCode>
                <c:ptCount val="9"/>
                <c:pt idx="0">
                  <c:v>-0.65111936247215851</c:v>
                </c:pt>
                <c:pt idx="1">
                  <c:v>-0.57055114531090823</c:v>
                </c:pt>
                <c:pt idx="2">
                  <c:v>-0.66014911656466124</c:v>
                </c:pt>
                <c:pt idx="3">
                  <c:v>1.4274659055760264</c:v>
                </c:pt>
                <c:pt idx="4">
                  <c:v>0.92417404532320857</c:v>
                </c:pt>
                <c:pt idx="5">
                  <c:v>0.39076303545432611</c:v>
                </c:pt>
                <c:pt idx="6">
                  <c:v>0.84465337097534277</c:v>
                </c:pt>
                <c:pt idx="7">
                  <c:v>0.15230738309039304</c:v>
                </c:pt>
                <c:pt idx="8">
                  <c:v>0.37462725679311526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7F-4BC1-89C8-25F554B58933}"/>
            </c:ext>
          </c:extLst>
        </c:ser>
        <c:ser>
          <c:idx val="5"/>
          <c:order val="5"/>
          <c:tx>
            <c:strRef>
              <c:f>'Calculated Data'!$M$36</c:f>
              <c:strCache>
                <c:ptCount val="1"/>
                <c:pt idx="0">
                  <c:v>Dividend Yield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'Calculated Data'!$N$36:$V$36</c:f>
              <c:numCache>
                <c:formatCode>0.00%</c:formatCode>
                <c:ptCount val="9"/>
                <c:pt idx="0">
                  <c:v>-0.54840004198686654</c:v>
                </c:pt>
                <c:pt idx="1">
                  <c:v>1.5963033248089327</c:v>
                </c:pt>
                <c:pt idx="2">
                  <c:v>0.51022660955341248</c:v>
                </c:pt>
                <c:pt idx="3">
                  <c:v>0.19234885128797857</c:v>
                </c:pt>
                <c:pt idx="4">
                  <c:v>0.13508788777861316</c:v>
                </c:pt>
                <c:pt idx="5">
                  <c:v>-0.6639837142926841</c:v>
                </c:pt>
                <c:pt idx="6">
                  <c:v>-0.33342998905438825</c:v>
                </c:pt>
                <c:pt idx="7">
                  <c:v>-0.57357059255683962</c:v>
                </c:pt>
                <c:pt idx="8">
                  <c:v>-0.36856460618503645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7F-4BC1-89C8-25F554B58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2277631"/>
        <c:axId val="1632274303"/>
      </c:lineChart>
      <c:catAx>
        <c:axId val="16322776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274303"/>
        <c:crosses val="autoZero"/>
        <c:auto val="1"/>
        <c:lblAlgn val="ctr"/>
        <c:lblOffset val="100"/>
        <c:noMultiLvlLbl val="0"/>
      </c:catAx>
      <c:valAx>
        <c:axId val="163227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2277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41414</xdr:colOff>
      <xdr:row>81</xdr:row>
      <xdr:rowOff>110987</xdr:rowOff>
    </xdr:from>
    <xdr:to>
      <xdr:col>11</xdr:col>
      <xdr:colOff>389283</xdr:colOff>
      <xdr:row>95</xdr:row>
      <xdr:rowOff>162339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123824</xdr:colOff>
      <xdr:row>0</xdr:row>
      <xdr:rowOff>85725</xdr:rowOff>
    </xdr:from>
    <xdr:to>
      <xdr:col>30</xdr:col>
      <xdr:colOff>57150</xdr:colOff>
      <xdr:row>11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219075</xdr:colOff>
      <xdr:row>12</xdr:row>
      <xdr:rowOff>28574</xdr:rowOff>
    </xdr:from>
    <xdr:to>
      <xdr:col>29</xdr:col>
      <xdr:colOff>438150</xdr:colOff>
      <xdr:row>23</xdr:row>
      <xdr:rowOff>190500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342900</xdr:colOff>
      <xdr:row>24</xdr:row>
      <xdr:rowOff>76200</xdr:rowOff>
    </xdr:from>
    <xdr:to>
      <xdr:col>29</xdr:col>
      <xdr:colOff>561975</xdr:colOff>
      <xdr:row>40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304800</xdr:colOff>
      <xdr:row>43</xdr:row>
      <xdr:rowOff>38099</xdr:rowOff>
    </xdr:from>
    <xdr:to>
      <xdr:col>29</xdr:col>
      <xdr:colOff>171450</xdr:colOff>
      <xdr:row>56</xdr:row>
      <xdr:rowOff>76199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19050</xdr:colOff>
      <xdr:row>43</xdr:row>
      <xdr:rowOff>114300</xdr:rowOff>
    </xdr:from>
    <xdr:to>
      <xdr:col>21</xdr:col>
      <xdr:colOff>400050</xdr:colOff>
      <xdr:row>58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nnual" displayName="Annual" ref="A3:N19" headerRowCount="0" totalsRowShown="0" headerRowDxfId="30">
  <tableColumns count="14">
    <tableColumn id="1" name="Column1" headerRowDxfId="29" dataDxfId="28"/>
    <tableColumn id="2" name="Column2" headerRowDxfId="27"/>
    <tableColumn id="3" name="Column3" headerRowDxfId="26"/>
    <tableColumn id="4" name="Column4" headerRowDxfId="25"/>
    <tableColumn id="5" name="Column5" headerRowDxfId="24"/>
    <tableColumn id="6" name="Column6" headerRowDxfId="23"/>
    <tableColumn id="7" name="Column7" headerRowDxfId="22"/>
    <tableColumn id="8" name="Column8" headerRowDxfId="21"/>
    <tableColumn id="9" name="Column9" headerRowDxfId="20"/>
    <tableColumn id="10" name="Column10" headerRowDxfId="19"/>
    <tableColumn id="11" name="Column11" headerRowDxfId="18"/>
    <tableColumn id="12" name="Column12" headerRowDxfId="17"/>
    <tableColumn id="13" name="Column13" headerRowDxfId="16" dataDxfId="15"/>
    <tableColumn id="14" name="Column14" headerRowDxfId="14" dataDxfId="13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Quarters" displayName="Quarters" ref="A3:K14" headerRowCount="0" totalsRowShown="0" headerRowDxfId="12">
  <tableColumns count="11">
    <tableColumn id="1" name="Column1" headerRowDxfId="11"/>
    <tableColumn id="2" name="Column2" headerRowDxfId="10"/>
    <tableColumn id="3" name="Column3" headerRowDxfId="9"/>
    <tableColumn id="4" name="Column4" headerRowDxfId="8"/>
    <tableColumn id="5" name="Column5" headerRowDxfId="7"/>
    <tableColumn id="6" name="Column6" headerRowDxfId="6"/>
    <tableColumn id="7" name="Column7" headerRowDxfId="5"/>
    <tableColumn id="8" name="Column8" headerRowDxfId="4"/>
    <tableColumn id="9" name="Column9" headerRowDxfId="3"/>
    <tableColumn id="10" name="Column10" headerRowDxfId="2"/>
    <tableColumn id="11" name="Column11" headerRowDxfId="1"/>
  </tableColumns>
  <tableStyleInfo name="TableStyleLight1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reener.i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creener.i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creener.i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creener.in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screener.in/excel/" TargetMode="Externa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creener.in/excel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5"/>
  <sheetViews>
    <sheetView zoomScale="120" zoomScaleNormal="120" zoomScaleSheetLayoutView="100" zoomScalePageLayoutView="120" workbookViewId="0">
      <pane xSplit="1" ySplit="4" topLeftCell="C5" activePane="bottomRight" state="frozen"/>
      <selection activeCell="I2" sqref="I2"/>
      <selection pane="topRight" activeCell="I2" sqref="I2"/>
      <selection pane="bottomLeft" activeCell="I2" sqref="I2"/>
      <selection pane="bottomRight" activeCell="C6" sqref="C6"/>
    </sheetView>
  </sheetViews>
  <sheetFormatPr defaultColWidth="8.85546875" defaultRowHeight="15" x14ac:dyDescent="0.25"/>
  <cols>
    <col min="1" max="1" width="20.7109375" style="6" customWidth="1"/>
    <col min="2" max="6" width="13.42578125" style="6" customWidth="1"/>
    <col min="7" max="7" width="14.85546875" style="6" bestFit="1" customWidth="1"/>
    <col min="8" max="11" width="13.42578125" style="6" customWidth="1"/>
    <col min="12" max="12" width="13.28515625" style="6" customWidth="1"/>
    <col min="13" max="14" width="12.140625" style="6" customWidth="1"/>
    <col min="15" max="16384" width="8.85546875" style="6"/>
  </cols>
  <sheetData>
    <row r="1" spans="1:14" s="8" customFormat="1" x14ac:dyDescent="0.25">
      <c r="A1" s="8" t="str">
        <f>'Data Sheet'!B1</f>
        <v>MAITHAN ALLOYS LTD</v>
      </c>
      <c r="H1" t="str">
        <f>UPDATE</f>
        <v/>
      </c>
      <c r="J1" s="3"/>
      <c r="K1" s="3"/>
      <c r="M1" s="8" t="s">
        <v>1</v>
      </c>
    </row>
    <row r="3" spans="1:14" s="2" customFormat="1" x14ac:dyDescent="0.25">
      <c r="A3" s="15" t="s">
        <v>2</v>
      </c>
      <c r="B3" s="16">
        <f>'Data Sheet'!B16</f>
        <v>39903</v>
      </c>
      <c r="C3" s="16">
        <f>'Data Sheet'!C16</f>
        <v>40268</v>
      </c>
      <c r="D3" s="16">
        <f>'Data Sheet'!D16</f>
        <v>40633</v>
      </c>
      <c r="E3" s="16">
        <f>'Data Sheet'!E16</f>
        <v>40999</v>
      </c>
      <c r="F3" s="16">
        <f>'Data Sheet'!F16</f>
        <v>41364</v>
      </c>
      <c r="G3" s="16">
        <f>'Data Sheet'!G16</f>
        <v>41729</v>
      </c>
      <c r="H3" s="16">
        <f>'Data Sheet'!H16</f>
        <v>42094</v>
      </c>
      <c r="I3" s="16">
        <f>'Data Sheet'!I16</f>
        <v>42460</v>
      </c>
      <c r="J3" s="16">
        <f>'Data Sheet'!J16</f>
        <v>42825</v>
      </c>
      <c r="K3" s="16">
        <f>'Data Sheet'!K16</f>
        <v>43190</v>
      </c>
      <c r="L3" s="17" t="s">
        <v>3</v>
      </c>
      <c r="M3" s="17" t="s">
        <v>4</v>
      </c>
      <c r="N3" s="17" t="s">
        <v>5</v>
      </c>
    </row>
    <row r="4" spans="1:14" s="8" customFormat="1" x14ac:dyDescent="0.25">
      <c r="A4" s="8" t="s">
        <v>6</v>
      </c>
      <c r="B4" s="1">
        <f>'Data Sheet'!B17</f>
        <v>643.21</v>
      </c>
      <c r="C4" s="1">
        <f>'Data Sheet'!C17</f>
        <v>476.84</v>
      </c>
      <c r="D4" s="1">
        <f>'Data Sheet'!D17</f>
        <v>605.12</v>
      </c>
      <c r="E4" s="1">
        <f>'Data Sheet'!E17</f>
        <v>636.1</v>
      </c>
      <c r="F4" s="1">
        <f>'Data Sheet'!F17</f>
        <v>854.09</v>
      </c>
      <c r="G4" s="1">
        <f>'Data Sheet'!G17</f>
        <v>811.49</v>
      </c>
      <c r="H4" s="1">
        <f>'Data Sheet'!H17</f>
        <v>881.91</v>
      </c>
      <c r="I4" s="1">
        <f>'Data Sheet'!I17</f>
        <v>1146.7</v>
      </c>
      <c r="J4" s="1">
        <f>'Data Sheet'!J17</f>
        <v>1337.16</v>
      </c>
      <c r="K4" s="1">
        <f>'Data Sheet'!K17</f>
        <v>1873.66</v>
      </c>
      <c r="L4" s="1">
        <f>SUM(Quarters!H4:K4)</f>
        <v>1879.03</v>
      </c>
      <c r="M4" s="1">
        <f>$K4+M23*K4</f>
        <v>2625.4164016273298</v>
      </c>
      <c r="N4" s="1">
        <f>$K4+N23*L4</f>
        <v>2110.6843822417604</v>
      </c>
    </row>
    <row r="5" spans="1:14" x14ac:dyDescent="0.25">
      <c r="A5" s="6" t="s">
        <v>7</v>
      </c>
      <c r="B5" s="9">
        <f>SUM('Data Sheet'!B18,'Data Sheet'!B20:B24, -1*'Data Sheet'!B19)</f>
        <v>625.87</v>
      </c>
      <c r="C5" s="9">
        <f>SUM('Data Sheet'!C18,'Data Sheet'!C20:C24, -1*'Data Sheet'!C19)</f>
        <v>420.93</v>
      </c>
      <c r="D5" s="9">
        <f>SUM('Data Sheet'!D18,'Data Sheet'!D20:D24, -1*'Data Sheet'!D19)</f>
        <v>496.80999999999995</v>
      </c>
      <c r="E5" s="9">
        <f>SUM('Data Sheet'!E18,'Data Sheet'!E20:E24, -1*'Data Sheet'!E19)</f>
        <v>568.23000000000013</v>
      </c>
      <c r="F5" s="9">
        <f>SUM('Data Sheet'!F18,'Data Sheet'!F20:F24, -1*'Data Sheet'!F19)</f>
        <v>790.16</v>
      </c>
      <c r="G5" s="9">
        <f>SUM('Data Sheet'!G18,'Data Sheet'!G20:G24, -1*'Data Sheet'!G19)</f>
        <v>772.18999999999994</v>
      </c>
      <c r="H5" s="9">
        <f>SUM('Data Sheet'!H18,'Data Sheet'!H20:H24, -1*'Data Sheet'!H19)</f>
        <v>811.19</v>
      </c>
      <c r="I5" s="9">
        <f>SUM('Data Sheet'!I18,'Data Sheet'!I20:I24, -1*'Data Sheet'!I19)</f>
        <v>1015.12</v>
      </c>
      <c r="J5" s="9">
        <f>SUM('Data Sheet'!J18,'Data Sheet'!J20:J24, -1*'Data Sheet'!J19)</f>
        <v>1057.75</v>
      </c>
      <c r="K5" s="9">
        <f>SUM('Data Sheet'!K18,'Data Sheet'!K20:K24, -1*'Data Sheet'!K19)</f>
        <v>1490.0400000000002</v>
      </c>
      <c r="L5" s="9">
        <f>SUM(Quarters!H5:K5)</f>
        <v>1541.43</v>
      </c>
      <c r="M5" s="9">
        <f t="shared" ref="M5:N5" si="0">M4-M6</f>
        <v>2146.6619433811043</v>
      </c>
      <c r="N5" s="9">
        <f t="shared" si="0"/>
        <v>1833.2491578877973</v>
      </c>
    </row>
    <row r="6" spans="1:14" s="8" customFormat="1" x14ac:dyDescent="0.25">
      <c r="A6" s="8" t="s">
        <v>8</v>
      </c>
      <c r="B6" s="1">
        <f>B4-B5</f>
        <v>17.340000000000032</v>
      </c>
      <c r="C6" s="1">
        <f t="shared" ref="C6:K6" si="1">C4-C5</f>
        <v>55.909999999999968</v>
      </c>
      <c r="D6" s="1">
        <f t="shared" si="1"/>
        <v>108.31000000000006</v>
      </c>
      <c r="E6" s="1">
        <f t="shared" si="1"/>
        <v>67.869999999999891</v>
      </c>
      <c r="F6" s="1">
        <f t="shared" si="1"/>
        <v>63.930000000000064</v>
      </c>
      <c r="G6" s="1">
        <f t="shared" si="1"/>
        <v>39.300000000000068</v>
      </c>
      <c r="H6" s="1">
        <f t="shared" si="1"/>
        <v>70.719999999999914</v>
      </c>
      <c r="I6" s="1">
        <f t="shared" si="1"/>
        <v>131.58000000000004</v>
      </c>
      <c r="J6" s="1">
        <f t="shared" si="1"/>
        <v>279.41000000000008</v>
      </c>
      <c r="K6" s="1">
        <f t="shared" si="1"/>
        <v>383.61999999999989</v>
      </c>
      <c r="L6" s="1">
        <f>SUM(Quarters!H6:K6)</f>
        <v>337.6</v>
      </c>
      <c r="M6" s="1">
        <f>M4*M24</f>
        <v>478.75445824622545</v>
      </c>
      <c r="N6" s="1">
        <f>N4*N24</f>
        <v>277.43522435396312</v>
      </c>
    </row>
    <row r="7" spans="1:14" x14ac:dyDescent="0.25">
      <c r="A7" s="6" t="s">
        <v>9</v>
      </c>
      <c r="B7" s="9">
        <f>'Data Sheet'!B25</f>
        <v>9.59</v>
      </c>
      <c r="C7" s="9">
        <f>'Data Sheet'!C25</f>
        <v>15.17</v>
      </c>
      <c r="D7" s="9">
        <f>'Data Sheet'!D25</f>
        <v>7.39</v>
      </c>
      <c r="E7" s="9">
        <f>'Data Sheet'!E25</f>
        <v>5.97</v>
      </c>
      <c r="F7" s="9">
        <f>'Data Sheet'!F25</f>
        <v>4.4400000000000004</v>
      </c>
      <c r="G7" s="9">
        <f>'Data Sheet'!G25</f>
        <v>2.04</v>
      </c>
      <c r="H7" s="9">
        <f>'Data Sheet'!H25</f>
        <v>3.06</v>
      </c>
      <c r="I7" s="9">
        <f>'Data Sheet'!I25</f>
        <v>3.97</v>
      </c>
      <c r="J7" s="9">
        <f>'Data Sheet'!J25</f>
        <v>8.17</v>
      </c>
      <c r="K7" s="9">
        <f>'Data Sheet'!K25</f>
        <v>15.55</v>
      </c>
      <c r="L7" s="9">
        <f>SUM(Quarters!H7:K7)</f>
        <v>28.45</v>
      </c>
      <c r="M7" s="9">
        <v>0</v>
      </c>
      <c r="N7" s="9">
        <v>0</v>
      </c>
    </row>
    <row r="8" spans="1:14" x14ac:dyDescent="0.25">
      <c r="A8" s="6" t="s">
        <v>10</v>
      </c>
      <c r="B8" s="9">
        <f>'Data Sheet'!B26</f>
        <v>6.45</v>
      </c>
      <c r="C8" s="9">
        <f>'Data Sheet'!C26</f>
        <v>11.98</v>
      </c>
      <c r="D8" s="9">
        <f>'Data Sheet'!D26</f>
        <v>10.210000000000001</v>
      </c>
      <c r="E8" s="9">
        <f>'Data Sheet'!E26</f>
        <v>7.29</v>
      </c>
      <c r="F8" s="9">
        <f>'Data Sheet'!F26</f>
        <v>6.54</v>
      </c>
      <c r="G8" s="9">
        <f>'Data Sheet'!G26</f>
        <v>5.82</v>
      </c>
      <c r="H8" s="9">
        <f>'Data Sheet'!H26</f>
        <v>3.38</v>
      </c>
      <c r="I8" s="9">
        <f>'Data Sheet'!I26</f>
        <v>23.29</v>
      </c>
      <c r="J8" s="9">
        <f>'Data Sheet'!J26</f>
        <v>25.32</v>
      </c>
      <c r="K8" s="9">
        <f>'Data Sheet'!K26</f>
        <v>15.44</v>
      </c>
      <c r="L8" s="9">
        <f>SUM(Quarters!H8:K8)</f>
        <v>15.4</v>
      </c>
      <c r="M8" s="9">
        <f>+$L8</f>
        <v>15.4</v>
      </c>
      <c r="N8" s="9">
        <f>+$L8</f>
        <v>15.4</v>
      </c>
    </row>
    <row r="9" spans="1:14" x14ac:dyDescent="0.25">
      <c r="A9" s="6" t="s">
        <v>11</v>
      </c>
      <c r="B9" s="9">
        <f>'Data Sheet'!B27</f>
        <v>19.489999999999998</v>
      </c>
      <c r="C9" s="9">
        <f>'Data Sheet'!C27</f>
        <v>15.15</v>
      </c>
      <c r="D9" s="9">
        <f>'Data Sheet'!D27</f>
        <v>9</v>
      </c>
      <c r="E9" s="9">
        <f>'Data Sheet'!E27</f>
        <v>4.34</v>
      </c>
      <c r="F9" s="9">
        <f>'Data Sheet'!F27</f>
        <v>7.4</v>
      </c>
      <c r="G9" s="9">
        <f>'Data Sheet'!G27</f>
        <v>6.11</v>
      </c>
      <c r="H9" s="9">
        <f>'Data Sheet'!H27</f>
        <v>6.16</v>
      </c>
      <c r="I9" s="9">
        <f>'Data Sheet'!I27</f>
        <v>16.53</v>
      </c>
      <c r="J9" s="9">
        <f>'Data Sheet'!J27</f>
        <v>12.35</v>
      </c>
      <c r="K9" s="9">
        <f>'Data Sheet'!K27</f>
        <v>7.82</v>
      </c>
      <c r="L9" s="9">
        <f>SUM(Quarters!H9:K9)</f>
        <v>5.8599999999999994</v>
      </c>
      <c r="M9" s="9">
        <f>+$L9</f>
        <v>5.8599999999999994</v>
      </c>
      <c r="N9" s="9">
        <f>+$L9</f>
        <v>5.8599999999999994</v>
      </c>
    </row>
    <row r="10" spans="1:14" x14ac:dyDescent="0.25">
      <c r="A10" s="6" t="s">
        <v>12</v>
      </c>
      <c r="B10" s="9">
        <f>'Data Sheet'!B28</f>
        <v>0.99</v>
      </c>
      <c r="C10" s="9">
        <f>'Data Sheet'!C28</f>
        <v>43.95</v>
      </c>
      <c r="D10" s="9">
        <f>'Data Sheet'!D28</f>
        <v>96.49</v>
      </c>
      <c r="E10" s="9">
        <f>'Data Sheet'!E28</f>
        <v>62.21</v>
      </c>
      <c r="F10" s="9">
        <f>'Data Sheet'!F28</f>
        <v>54.43</v>
      </c>
      <c r="G10" s="9">
        <f>'Data Sheet'!G28</f>
        <v>29.4</v>
      </c>
      <c r="H10" s="9">
        <f>'Data Sheet'!H28</f>
        <v>64.239999999999995</v>
      </c>
      <c r="I10" s="9">
        <f>'Data Sheet'!I28</f>
        <v>95.73</v>
      </c>
      <c r="J10" s="9">
        <f>'Data Sheet'!J28</f>
        <v>249.91</v>
      </c>
      <c r="K10" s="9">
        <f>'Data Sheet'!K28</f>
        <v>375.91</v>
      </c>
      <c r="L10" s="9">
        <f>SUM(Quarters!H10:K10)</f>
        <v>344.79</v>
      </c>
      <c r="M10" s="9">
        <f>M6+M7-SUM(M8:M9)</f>
        <v>457.49445824622546</v>
      </c>
      <c r="N10" s="9">
        <f>N6+N7-SUM(N8:N9)</f>
        <v>256.17522435396313</v>
      </c>
    </row>
    <row r="11" spans="1:14" x14ac:dyDescent="0.25">
      <c r="A11" s="6" t="s">
        <v>13</v>
      </c>
      <c r="B11" s="9">
        <f>'Data Sheet'!B29</f>
        <v>0.85</v>
      </c>
      <c r="C11" s="9">
        <f>'Data Sheet'!C29</f>
        <v>13.71</v>
      </c>
      <c r="D11" s="9">
        <f>'Data Sheet'!D29</f>
        <v>23.66</v>
      </c>
      <c r="E11" s="9">
        <f>'Data Sheet'!E29</f>
        <v>15.16</v>
      </c>
      <c r="F11" s="9">
        <f>'Data Sheet'!F29</f>
        <v>10.72</v>
      </c>
      <c r="G11" s="9">
        <f>'Data Sheet'!G29</f>
        <v>6.42</v>
      </c>
      <c r="H11" s="9">
        <f>'Data Sheet'!H29</f>
        <v>12.71</v>
      </c>
      <c r="I11" s="9">
        <f>'Data Sheet'!I29</f>
        <v>16.7</v>
      </c>
      <c r="J11" s="9">
        <f>'Data Sheet'!J29</f>
        <v>64.239999999999995</v>
      </c>
      <c r="K11" s="9">
        <f>'Data Sheet'!K29</f>
        <v>84.16</v>
      </c>
      <c r="L11" s="9">
        <f>SUM(Quarters!H11:K11)</f>
        <v>70.64</v>
      </c>
      <c r="M11" s="10">
        <f>IF($L10&gt;0,$L11/$L10,0)</f>
        <v>0.20487833173815945</v>
      </c>
      <c r="N11" s="10">
        <f>IF($L10&gt;0,$L11/$L10,0)</f>
        <v>0.20487833173815945</v>
      </c>
    </row>
    <row r="12" spans="1:14" s="8" customFormat="1" x14ac:dyDescent="0.25">
      <c r="A12" s="8" t="s">
        <v>14</v>
      </c>
      <c r="B12" s="1">
        <f>'Data Sheet'!B30</f>
        <v>0.14000000000000001</v>
      </c>
      <c r="C12" s="1">
        <f>'Data Sheet'!C30</f>
        <v>30.24</v>
      </c>
      <c r="D12" s="1">
        <f>'Data Sheet'!D30</f>
        <v>72.83</v>
      </c>
      <c r="E12" s="1">
        <f>'Data Sheet'!E30</f>
        <v>47.05</v>
      </c>
      <c r="F12" s="1">
        <f>'Data Sheet'!F30</f>
        <v>43.7</v>
      </c>
      <c r="G12" s="1">
        <f>'Data Sheet'!G30</f>
        <v>22.98</v>
      </c>
      <c r="H12" s="1">
        <f>'Data Sheet'!H30</f>
        <v>51.53</v>
      </c>
      <c r="I12" s="1">
        <f>'Data Sheet'!I30</f>
        <v>79.03</v>
      </c>
      <c r="J12" s="1">
        <f>'Data Sheet'!J30</f>
        <v>185.67</v>
      </c>
      <c r="K12" s="1">
        <f>'Data Sheet'!K30</f>
        <v>291.75</v>
      </c>
      <c r="L12" s="1">
        <f>SUM(Quarters!H12:K12)</f>
        <v>274.14</v>
      </c>
      <c r="M12" s="1">
        <f>M10-M11*M10</f>
        <v>363.76375686128574</v>
      </c>
      <c r="N12" s="1">
        <f>N10-N11*N10</f>
        <v>203.69047175567445</v>
      </c>
    </row>
    <row r="13" spans="1:14" x14ac:dyDescent="0.25">
      <c r="A13" s="11" t="s">
        <v>48</v>
      </c>
      <c r="B13" s="9">
        <f>IF('Data Sheet'!B93&gt;0,B12/'Data Sheet'!B93,0)</f>
        <v>9.6131562910383078E-2</v>
      </c>
      <c r="C13" s="9">
        <f>IF('Data Sheet'!C93&gt;0,C12/'Data Sheet'!C93,0)</f>
        <v>20.76441758864274</v>
      </c>
      <c r="D13" s="9">
        <f>IF('Data Sheet'!D93&gt;0,D12/'Data Sheet'!D93,0)</f>
        <v>50.009012334022842</v>
      </c>
      <c r="E13" s="9">
        <f>IF('Data Sheet'!E93&gt;0,E12/'Data Sheet'!E93,0)</f>
        <v>32.307071678096591</v>
      </c>
      <c r="F13" s="9">
        <f>IF('Data Sheet'!F93&gt;0,F12/'Data Sheet'!F93,0)</f>
        <v>30.006780708455288</v>
      </c>
      <c r="G13" s="9">
        <f>IF('Data Sheet'!G93&gt;0,G12/'Data Sheet'!G93,0)</f>
        <v>15.779309397718592</v>
      </c>
      <c r="H13" s="9">
        <f>IF('Data Sheet'!H93&gt;0,H12/'Data Sheet'!H93,0)</f>
        <v>35.383281691228852</v>
      </c>
      <c r="I13" s="9">
        <f>IF('Data Sheet'!I93&gt;0,I12/'Data Sheet'!I93,0)</f>
        <v>27.147300641841468</v>
      </c>
      <c r="J13" s="9">
        <f>IF('Data Sheet'!J93&gt;0,J12/'Data Sheet'!J93,0)</f>
        <v>63.778809441613376</v>
      </c>
      <c r="K13" s="9">
        <f>IF('Data Sheet'!K93&gt;0,K12/'Data Sheet'!K93,0)</f>
        <v>100.21795472930847</v>
      </c>
      <c r="L13" s="9">
        <f>IF('Data Sheet'!$B6&gt;0,'Profit &amp; Loss'!L12/'Data Sheet'!$B6,0)</f>
        <v>94.16905489943052</v>
      </c>
      <c r="M13" s="9">
        <f>IF('Data Sheet'!$B6&gt;0,'Profit &amp; Loss'!M12/'Data Sheet'!$B6,0)</f>
        <v>124.95545775988003</v>
      </c>
      <c r="N13" s="9">
        <f>IF('Data Sheet'!$B6&gt;0,'Profit &amp; Loss'!N12/'Data Sheet'!$B6,0)</f>
        <v>69.969137000259025</v>
      </c>
    </row>
    <row r="14" spans="1:14" x14ac:dyDescent="0.25">
      <c r="A14" s="6" t="s">
        <v>16</v>
      </c>
      <c r="B14" s="9">
        <f>IF(B15&gt;0,B15/B13,"")</f>
        <v>286.15876167169637</v>
      </c>
      <c r="C14" s="9">
        <f t="shared" ref="C14:K14" si="2">IF(C15&gt;0,C15/C13,"")</f>
        <v>2.933589913608631</v>
      </c>
      <c r="D14" s="9">
        <f t="shared" si="2"/>
        <v>1.4074620896304753</v>
      </c>
      <c r="E14" s="9">
        <f t="shared" si="2"/>
        <v>1.442597814632572</v>
      </c>
      <c r="F14" s="9">
        <f t="shared" si="2"/>
        <v>1.3026271421707665</v>
      </c>
      <c r="G14" s="9">
        <f t="shared" si="2"/>
        <v>2.1823381576495864</v>
      </c>
      <c r="H14" s="9">
        <f t="shared" si="2"/>
        <v>2.8963537326557347</v>
      </c>
      <c r="I14" s="9">
        <f t="shared" si="2"/>
        <v>5.6663576990380866</v>
      </c>
      <c r="J14" s="9">
        <f t="shared" si="2"/>
        <v>7.0748213701460658</v>
      </c>
      <c r="K14" s="9">
        <f t="shared" si="2"/>
        <v>8.5506729239744992</v>
      </c>
      <c r="L14" s="9">
        <f t="shared" ref="L14" si="3">IF(L13&gt;0,L15/L13,0)</f>
        <v>5.2012840154665501</v>
      </c>
      <c r="M14" s="9">
        <f>M25</f>
        <v>6.6232840021563</v>
      </c>
      <c r="N14" s="9">
        <f>N25</f>
        <v>4.2896316069667328</v>
      </c>
    </row>
    <row r="15" spans="1:14" s="8" customFormat="1" x14ac:dyDescent="0.25">
      <c r="A15" s="8" t="s">
        <v>49</v>
      </c>
      <c r="B15" s="1">
        <f>'Data Sheet'!B90</f>
        <v>27.508889</v>
      </c>
      <c r="C15" s="1">
        <f>'Data Sheet'!C90</f>
        <v>60.914285999999997</v>
      </c>
      <c r="D15" s="1">
        <f>'Data Sheet'!D90</f>
        <v>70.385789000000003</v>
      </c>
      <c r="E15" s="1">
        <f>'Data Sheet'!E90</f>
        <v>46.606110999999999</v>
      </c>
      <c r="F15" s="1">
        <f>'Data Sheet'!F90</f>
        <v>39.087646999999997</v>
      </c>
      <c r="G15" s="1">
        <f>'Data Sheet'!G90</f>
        <v>34.435789</v>
      </c>
      <c r="H15" s="1">
        <f>'Data Sheet'!H90</f>
        <v>102.4825</v>
      </c>
      <c r="I15" s="1">
        <f>'Data Sheet'!I90</f>
        <v>153.82631599999999</v>
      </c>
      <c r="J15" s="1">
        <f>'Data Sheet'!J90</f>
        <v>451.22368399999999</v>
      </c>
      <c r="K15" s="1">
        <f>'Data Sheet'!K90</f>
        <v>856.93095200000005</v>
      </c>
      <c r="L15" s="1">
        <f>'Data Sheet'!B8</f>
        <v>489.8</v>
      </c>
      <c r="M15" s="12">
        <f>M13*M14</f>
        <v>827.61548436313069</v>
      </c>
      <c r="N15" s="13">
        <f>N13*N14</f>
        <v>300.14182158849661</v>
      </c>
    </row>
    <row r="17" spans="1:14" s="8" customFormat="1" x14ac:dyDescent="0.25">
      <c r="A17" s="8" t="s">
        <v>15</v>
      </c>
    </row>
    <row r="18" spans="1:14" x14ac:dyDescent="0.25">
      <c r="A18" s="6" t="s">
        <v>17</v>
      </c>
      <c r="B18" s="7">
        <f>IF('Data Sheet'!B30&gt;0, 'Data Sheet'!B31/'Data Sheet'!B30, 0)</f>
        <v>6.9285714285714279</v>
      </c>
      <c r="C18" s="7">
        <f>IF('Data Sheet'!C30&gt;0, 'Data Sheet'!C31/'Data Sheet'!C30, 0)</f>
        <v>3.2076719576719578E-2</v>
      </c>
      <c r="D18" s="7">
        <f>IF('Data Sheet'!D30&gt;0, 'Data Sheet'!D31/'Data Sheet'!D30, 0)</f>
        <v>3.9956062062336949E-2</v>
      </c>
      <c r="E18" s="7">
        <f>IF('Data Sheet'!E30&gt;0, 'Data Sheet'!E31/'Data Sheet'!E30, 0)</f>
        <v>6.1849096705632316E-2</v>
      </c>
      <c r="F18" s="7">
        <f>IF('Data Sheet'!F30&gt;0, 'Data Sheet'!F31/'Data Sheet'!F30, 0)</f>
        <v>6.6590389016018312E-2</v>
      </c>
      <c r="G18" s="7">
        <f>IF('Data Sheet'!G30&gt;0, 'Data Sheet'!G31/'Data Sheet'!G30, 0)</f>
        <v>0.12663185378590078</v>
      </c>
      <c r="H18" s="7">
        <f>IF('Data Sheet'!H30&gt;0, 'Data Sheet'!H31/'Data Sheet'!H30, 0)</f>
        <v>5.647195808267029E-2</v>
      </c>
      <c r="I18" s="7">
        <f>IF('Data Sheet'!I30&gt;0, 'Data Sheet'!I31/'Data Sheet'!I30, 0)</f>
        <v>7.3642920409970905E-2</v>
      </c>
      <c r="J18" s="7">
        <f>IF('Data Sheet'!J30&gt;0, 'Data Sheet'!J31/'Data Sheet'!J30, 0)</f>
        <v>3.920934992190446E-2</v>
      </c>
      <c r="K18" s="7">
        <f>IF('Data Sheet'!K30&gt;0, 'Data Sheet'!K31/'Data Sheet'!K30, 0)</f>
        <v>2.9922879177377893E-2</v>
      </c>
    </row>
    <row r="19" spans="1:14" x14ac:dyDescent="0.25">
      <c r="A19" s="6" t="s">
        <v>18</v>
      </c>
      <c r="B19" s="7">
        <f t="shared" ref="B19:L19" si="4">IF(B6&gt;0,B6/B4,0)</f>
        <v>2.6958536092411545E-2</v>
      </c>
      <c r="C19" s="7">
        <f t="shared" ref="C19:K19" si="5">IF(C6&gt;0,C6/C4,0)</f>
        <v>0.11725106954114582</v>
      </c>
      <c r="D19" s="7">
        <f t="shared" si="5"/>
        <v>0.17898929138022221</v>
      </c>
      <c r="E19" s="7">
        <f t="shared" si="5"/>
        <v>0.10669706021065853</v>
      </c>
      <c r="F19" s="7">
        <f t="shared" si="5"/>
        <v>7.4851596435972861E-2</v>
      </c>
      <c r="G19" s="7">
        <f t="shared" si="5"/>
        <v>4.8429432278894465E-2</v>
      </c>
      <c r="H19" s="7">
        <f t="shared" si="5"/>
        <v>8.0189588506763637E-2</v>
      </c>
      <c r="I19" s="7">
        <f t="shared" si="5"/>
        <v>0.11474666434115291</v>
      </c>
      <c r="J19" s="7">
        <f t="shared" si="5"/>
        <v>0.20895779113942989</v>
      </c>
      <c r="K19" s="7">
        <f t="shared" si="5"/>
        <v>0.20474365680005971</v>
      </c>
      <c r="L19" s="7">
        <f t="shared" si="4"/>
        <v>0.17966716869874352</v>
      </c>
    </row>
    <row r="20" spans="1:14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4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4" s="2" customFormat="1" x14ac:dyDescent="0.25">
      <c r="A22" s="15"/>
      <c r="B22" s="16"/>
      <c r="C22" s="16"/>
      <c r="D22" s="16"/>
      <c r="E22" s="16"/>
      <c r="F22" s="16"/>
      <c r="G22" s="16" t="s">
        <v>19</v>
      </c>
      <c r="H22" s="16" t="s">
        <v>56</v>
      </c>
      <c r="I22" s="16" t="s">
        <v>57</v>
      </c>
      <c r="J22" s="16" t="s">
        <v>58</v>
      </c>
      <c r="K22" s="16" t="s">
        <v>59</v>
      </c>
      <c r="L22" s="17" t="s">
        <v>60</v>
      </c>
      <c r="M22" s="17" t="s">
        <v>20</v>
      </c>
      <c r="N22" s="17" t="s">
        <v>21</v>
      </c>
    </row>
    <row r="23" spans="1:14" s="8" customFormat="1" x14ac:dyDescent="0.25">
      <c r="A23" s="6"/>
      <c r="B23" s="6"/>
      <c r="C23" s="6"/>
      <c r="D23" s="6"/>
      <c r="E23" s="6"/>
      <c r="F23" s="6"/>
      <c r="G23" s="6" t="s">
        <v>22</v>
      </c>
      <c r="H23" s="7">
        <f>IF(B4=0,"",POWER($K4/B4,1/9)-1)</f>
        <v>0.12614188290860717</v>
      </c>
      <c r="I23" s="7">
        <f>IF(D4=0,"",POWER($K4/D4,1/7)-1)</f>
        <v>0.1752258227231398</v>
      </c>
      <c r="J23" s="7">
        <f>IF(F4=0,"",POWER($K4/F4,1/5)-1)</f>
        <v>0.1701389334728507</v>
      </c>
      <c r="K23" s="7">
        <f>IF(H4=0,"",POWER($K4/H4, 1/3)-1)</f>
        <v>0.28554960543964647</v>
      </c>
      <c r="L23" s="7">
        <f>IF(ISERROR(MAX(IF(J4=0,"",(K4-J4)/J4),IF(K4=0,"",(L4-K4)/K4))),"",MAX(IF(J4=0,"",(K4-J4)/J4),IF(K4=0,"",(L4-K4)/K4)))</f>
        <v>0.40122348858775314</v>
      </c>
      <c r="M23" s="22">
        <f>MAX(K23:L23)</f>
        <v>0.40122348858775314</v>
      </c>
      <c r="N23" s="22">
        <f>MIN(H23:L23)</f>
        <v>0.12614188290860717</v>
      </c>
    </row>
    <row r="24" spans="1:14" x14ac:dyDescent="0.25">
      <c r="G24" s="6" t="s">
        <v>18</v>
      </c>
      <c r="H24" s="7">
        <f>IF(SUM(B4:$K$4)=0,"",SUMPRODUCT(B19:$K$19,B4:$K$4)/SUM(B4:$K$4))</f>
        <v>0.13144325446673313</v>
      </c>
      <c r="I24" s="7">
        <f>IF(SUM(E4:$K$4)=0,"",SUMPRODUCT(E19:$K$19,E4:$K$4)/SUM(E4:$K$4))</f>
        <v>0.13743732686567361</v>
      </c>
      <c r="J24" s="7">
        <f>IF(SUM(G4:$K$4)=0,"",SUMPRODUCT(G19:$K$19,G4:$K$4)/SUM(G4:$K$4))</f>
        <v>0.14950288551162469</v>
      </c>
      <c r="K24" s="7">
        <f>IF(SUM(I4:$K$4)=0, "", SUMPRODUCT(I19:$K$19,I4:$K$4)/SUM(I4:$K$4))</f>
        <v>0.18235372413666487</v>
      </c>
      <c r="L24" s="7">
        <f>L19</f>
        <v>0.17966716869874352</v>
      </c>
      <c r="M24" s="22">
        <f>MAX(K24:L24)</f>
        <v>0.18235372413666487</v>
      </c>
      <c r="N24" s="22">
        <f>MIN(H24:L24)</f>
        <v>0.13144325446673313</v>
      </c>
    </row>
    <row r="25" spans="1:14" x14ac:dyDescent="0.25">
      <c r="G25" s="6" t="s">
        <v>23</v>
      </c>
      <c r="H25" s="9">
        <f>IF(ISERROR(AVERAGEIF(B14:$L14,"&gt;0")),"",AVERAGEIF(B14:$L14,"&gt;0"))</f>
        <v>29.528806048242668</v>
      </c>
      <c r="I25" s="9">
        <f>IF(ISERROR(AVERAGEIF(E14:$L14,"&gt;0")),"",AVERAGEIF(E14:$L14,"&gt;0"))</f>
        <v>4.2896316069667328</v>
      </c>
      <c r="J25" s="9">
        <f>IF(ISERROR(AVERAGEIF(G14:$L14,"&gt;0")),"",AVERAGEIF(G14:$L14,"&gt;0"))</f>
        <v>5.2619713164884203</v>
      </c>
      <c r="K25" s="9">
        <f>IF(ISERROR(AVERAGEIF(I14:$L14,"&gt;0")),"",AVERAGEIF(I14:$L14,"&gt;0"))</f>
        <v>6.6232840021563</v>
      </c>
      <c r="L25" s="9">
        <f>L14</f>
        <v>5.2012840154665501</v>
      </c>
      <c r="M25" s="1">
        <f>MAX(K25:L25)</f>
        <v>6.6232840021563</v>
      </c>
      <c r="N25" s="1">
        <f>MIN(H25:L25)</f>
        <v>4.2896316069667328</v>
      </c>
    </row>
  </sheetData>
  <hyperlinks>
    <hyperlink ref="M1" r:id="rId1"/>
  </hyperlinks>
  <printOptions gridLines="1"/>
  <pageMargins left="0.7" right="0.7" top="0.75" bottom="0.75" header="0.3" footer="0.3"/>
  <pageSetup paperSize="9" orientation="landscape" horizontalDpi="300" verticalDpi="3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22"/>
  <sheetViews>
    <sheetView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5" sqref="K5"/>
    </sheetView>
  </sheetViews>
  <sheetFormatPr defaultColWidth="8.85546875" defaultRowHeight="15" x14ac:dyDescent="0.25"/>
  <cols>
    <col min="1" max="1" width="20.7109375" style="6" customWidth="1"/>
    <col min="2" max="11" width="13.42578125" style="6" bestFit="1" customWidth="1"/>
    <col min="12" max="16384" width="8.85546875" style="6"/>
  </cols>
  <sheetData>
    <row r="1" spans="1:11" s="8" customFormat="1" x14ac:dyDescent="0.25">
      <c r="A1" s="8" t="str">
        <f>'Profit &amp; Loss'!A1</f>
        <v>MAITHAN ALLOYS LTD</v>
      </c>
      <c r="E1" t="str">
        <f>UPDATE</f>
        <v/>
      </c>
      <c r="J1" s="4" t="s">
        <v>1</v>
      </c>
      <c r="K1" s="4"/>
    </row>
    <row r="3" spans="1:11" s="2" customFormat="1" x14ac:dyDescent="0.25">
      <c r="A3" s="15" t="s">
        <v>2</v>
      </c>
      <c r="B3" s="16">
        <f>'Data Sheet'!B41</f>
        <v>42643</v>
      </c>
      <c r="C3" s="16">
        <f>'Data Sheet'!C41</f>
        <v>42735</v>
      </c>
      <c r="D3" s="16">
        <f>'Data Sheet'!D41</f>
        <v>42825</v>
      </c>
      <c r="E3" s="16">
        <f>'Data Sheet'!E41</f>
        <v>42916</v>
      </c>
      <c r="F3" s="16">
        <f>'Data Sheet'!F41</f>
        <v>43008</v>
      </c>
      <c r="G3" s="16">
        <f>'Data Sheet'!G41</f>
        <v>43100</v>
      </c>
      <c r="H3" s="16">
        <f>'Data Sheet'!H41</f>
        <v>43190</v>
      </c>
      <c r="I3" s="16">
        <f>'Data Sheet'!I41</f>
        <v>43281</v>
      </c>
      <c r="J3" s="16">
        <f>'Data Sheet'!J41</f>
        <v>43373</v>
      </c>
      <c r="K3" s="16">
        <f>'Data Sheet'!K41</f>
        <v>43465</v>
      </c>
    </row>
    <row r="4" spans="1:11" s="8" customFormat="1" x14ac:dyDescent="0.25">
      <c r="A4" s="8" t="s">
        <v>6</v>
      </c>
      <c r="B4" s="1">
        <f>'Data Sheet'!B42</f>
        <v>293.89999999999998</v>
      </c>
      <c r="C4" s="1">
        <f>'Data Sheet'!C42</f>
        <v>318.12</v>
      </c>
      <c r="D4" s="1">
        <f>'Data Sheet'!D42</f>
        <v>474.64</v>
      </c>
      <c r="E4" s="1">
        <f>'Data Sheet'!E42</f>
        <v>430.85</v>
      </c>
      <c r="F4" s="1">
        <f>'Data Sheet'!F42</f>
        <v>458.62</v>
      </c>
      <c r="G4" s="1">
        <f>'Data Sheet'!G42</f>
        <v>549.09</v>
      </c>
      <c r="H4" s="1">
        <f>'Data Sheet'!H42</f>
        <v>440.4</v>
      </c>
      <c r="I4" s="1">
        <f>'Data Sheet'!I42</f>
        <v>455.26</v>
      </c>
      <c r="J4" s="1">
        <f>'Data Sheet'!J42</f>
        <v>506.7</v>
      </c>
      <c r="K4" s="1">
        <f>'Data Sheet'!K42</f>
        <v>476.67</v>
      </c>
    </row>
    <row r="5" spans="1:11" x14ac:dyDescent="0.25">
      <c r="A5" s="6" t="s">
        <v>7</v>
      </c>
      <c r="B5" s="9">
        <f>'Data Sheet'!B43</f>
        <v>274.85000000000002</v>
      </c>
      <c r="C5" s="9">
        <f>'Data Sheet'!C43</f>
        <v>237.26</v>
      </c>
      <c r="D5" s="9">
        <f>'Data Sheet'!D43</f>
        <v>328.99</v>
      </c>
      <c r="E5" s="9">
        <f>'Data Sheet'!E43</f>
        <v>352.08</v>
      </c>
      <c r="F5" s="9">
        <f>'Data Sheet'!F43</f>
        <v>368.8</v>
      </c>
      <c r="G5" s="9">
        <f>'Data Sheet'!G43</f>
        <v>444.25</v>
      </c>
      <c r="H5" s="9">
        <f>'Data Sheet'!H43</f>
        <v>336.94</v>
      </c>
      <c r="I5" s="9">
        <f>'Data Sheet'!I43</f>
        <v>371.33</v>
      </c>
      <c r="J5" s="9">
        <f>'Data Sheet'!J43</f>
        <v>424.15</v>
      </c>
      <c r="K5" s="9">
        <f>'Data Sheet'!K43</f>
        <v>409.01</v>
      </c>
    </row>
    <row r="6" spans="1:11" s="8" customFormat="1" x14ac:dyDescent="0.25">
      <c r="A6" s="8" t="s">
        <v>8</v>
      </c>
      <c r="B6" s="1">
        <f>'Data Sheet'!B50</f>
        <v>19.05</v>
      </c>
      <c r="C6" s="1">
        <f>'Data Sheet'!C50</f>
        <v>80.86</v>
      </c>
      <c r="D6" s="1">
        <f>'Data Sheet'!D50</f>
        <v>145.65</v>
      </c>
      <c r="E6" s="1">
        <f>'Data Sheet'!E50</f>
        <v>78.77</v>
      </c>
      <c r="F6" s="1">
        <f>'Data Sheet'!F50</f>
        <v>89.82</v>
      </c>
      <c r="G6" s="1">
        <f>'Data Sheet'!G50</f>
        <v>104.84</v>
      </c>
      <c r="H6" s="1">
        <f>'Data Sheet'!H50</f>
        <v>103.46</v>
      </c>
      <c r="I6" s="1">
        <f>'Data Sheet'!I50</f>
        <v>83.93</v>
      </c>
      <c r="J6" s="1">
        <f>'Data Sheet'!J50</f>
        <v>82.55</v>
      </c>
      <c r="K6" s="1">
        <f>'Data Sheet'!K50</f>
        <v>67.66</v>
      </c>
    </row>
    <row r="7" spans="1:11" x14ac:dyDescent="0.25">
      <c r="A7" s="6" t="s">
        <v>9</v>
      </c>
      <c r="B7" s="9">
        <f>'Data Sheet'!B44</f>
        <v>2.2799999999999998</v>
      </c>
      <c r="C7" s="9">
        <f>'Data Sheet'!C44</f>
        <v>13.62</v>
      </c>
      <c r="D7" s="9">
        <f>'Data Sheet'!D44</f>
        <v>-10</v>
      </c>
      <c r="E7" s="9">
        <f>'Data Sheet'!E44</f>
        <v>1.88</v>
      </c>
      <c r="F7" s="9">
        <f>'Data Sheet'!F44</f>
        <v>2.1</v>
      </c>
      <c r="G7" s="9">
        <f>'Data Sheet'!G44</f>
        <v>4.9400000000000004</v>
      </c>
      <c r="H7" s="9">
        <f>'Data Sheet'!H44</f>
        <v>9.59</v>
      </c>
      <c r="I7" s="9">
        <f>'Data Sheet'!I44</f>
        <v>6.23</v>
      </c>
      <c r="J7" s="9">
        <f>'Data Sheet'!J44</f>
        <v>6.31</v>
      </c>
      <c r="K7" s="9">
        <f>'Data Sheet'!K44</f>
        <v>6.32</v>
      </c>
    </row>
    <row r="8" spans="1:11" x14ac:dyDescent="0.25">
      <c r="A8" s="6" t="s">
        <v>10</v>
      </c>
      <c r="B8" s="9">
        <f>'Data Sheet'!B45</f>
        <v>5.89</v>
      </c>
      <c r="C8" s="9">
        <f>'Data Sheet'!C45</f>
        <v>6.41</v>
      </c>
      <c r="D8" s="9">
        <f>'Data Sheet'!D45</f>
        <v>6.46</v>
      </c>
      <c r="E8" s="9">
        <f>'Data Sheet'!E45</f>
        <v>3.76</v>
      </c>
      <c r="F8" s="9">
        <f>'Data Sheet'!F45</f>
        <v>4.0599999999999996</v>
      </c>
      <c r="G8" s="9">
        <f>'Data Sheet'!G45</f>
        <v>3.97</v>
      </c>
      <c r="H8" s="9">
        <f>'Data Sheet'!H45</f>
        <v>3.66</v>
      </c>
      <c r="I8" s="9">
        <f>'Data Sheet'!I45</f>
        <v>3.88</v>
      </c>
      <c r="J8" s="9">
        <f>'Data Sheet'!J45</f>
        <v>3.93</v>
      </c>
      <c r="K8" s="9">
        <f>'Data Sheet'!K45</f>
        <v>3.93</v>
      </c>
    </row>
    <row r="9" spans="1:11" x14ac:dyDescent="0.25">
      <c r="A9" s="6" t="s">
        <v>11</v>
      </c>
      <c r="B9" s="9">
        <f>'Data Sheet'!B46</f>
        <v>3.03</v>
      </c>
      <c r="C9" s="9">
        <f>'Data Sheet'!C46</f>
        <v>1.4</v>
      </c>
      <c r="D9" s="9">
        <f>'Data Sheet'!D46</f>
        <v>2.69</v>
      </c>
      <c r="E9" s="9">
        <f>'Data Sheet'!E46</f>
        <v>0.77</v>
      </c>
      <c r="F9" s="9">
        <f>'Data Sheet'!F46</f>
        <v>0.63</v>
      </c>
      <c r="G9" s="9">
        <f>'Data Sheet'!G46</f>
        <v>1.34</v>
      </c>
      <c r="H9" s="9">
        <f>'Data Sheet'!H46</f>
        <v>1.31</v>
      </c>
      <c r="I9" s="9">
        <f>'Data Sheet'!I46</f>
        <v>1.1299999999999999</v>
      </c>
      <c r="J9" s="9">
        <f>'Data Sheet'!J46</f>
        <v>1.35</v>
      </c>
      <c r="K9" s="9">
        <f>'Data Sheet'!K46</f>
        <v>2.0699999999999998</v>
      </c>
    </row>
    <row r="10" spans="1:11" x14ac:dyDescent="0.25">
      <c r="A10" s="6" t="s">
        <v>12</v>
      </c>
      <c r="B10" s="9">
        <f>'Data Sheet'!B47</f>
        <v>12.41</v>
      </c>
      <c r="C10" s="9">
        <f>'Data Sheet'!C47</f>
        <v>86.67</v>
      </c>
      <c r="D10" s="9">
        <f>'Data Sheet'!D47</f>
        <v>126.5</v>
      </c>
      <c r="E10" s="9">
        <f>'Data Sheet'!E47</f>
        <v>76.12</v>
      </c>
      <c r="F10" s="9">
        <f>'Data Sheet'!F47</f>
        <v>87.23</v>
      </c>
      <c r="G10" s="9">
        <f>'Data Sheet'!G47</f>
        <v>104.47</v>
      </c>
      <c r="H10" s="9">
        <f>'Data Sheet'!H47</f>
        <v>108.08</v>
      </c>
      <c r="I10" s="9">
        <f>'Data Sheet'!I47</f>
        <v>85.15</v>
      </c>
      <c r="J10" s="9">
        <f>'Data Sheet'!J47</f>
        <v>83.58</v>
      </c>
      <c r="K10" s="9">
        <f>'Data Sheet'!K47</f>
        <v>67.98</v>
      </c>
    </row>
    <row r="11" spans="1:11" x14ac:dyDescent="0.25">
      <c r="A11" s="6" t="s">
        <v>13</v>
      </c>
      <c r="B11" s="9">
        <f>'Data Sheet'!B48</f>
        <v>2.68</v>
      </c>
      <c r="C11" s="9">
        <f>'Data Sheet'!C48</f>
        <v>20.07</v>
      </c>
      <c r="D11" s="9">
        <f>'Data Sheet'!D48</f>
        <v>36.119999999999997</v>
      </c>
      <c r="E11" s="9">
        <f>'Data Sheet'!E48</f>
        <v>16.940000000000001</v>
      </c>
      <c r="F11" s="9">
        <f>'Data Sheet'!F48</f>
        <v>21.98</v>
      </c>
      <c r="G11" s="9">
        <f>'Data Sheet'!G48</f>
        <v>26.15</v>
      </c>
      <c r="H11" s="9">
        <f>'Data Sheet'!H48</f>
        <v>19.11</v>
      </c>
      <c r="I11" s="9">
        <f>'Data Sheet'!I48</f>
        <v>19.71</v>
      </c>
      <c r="J11" s="9">
        <f>'Data Sheet'!J48</f>
        <v>17.79</v>
      </c>
      <c r="K11" s="9">
        <f>'Data Sheet'!K48</f>
        <v>14.03</v>
      </c>
    </row>
    <row r="12" spans="1:11" s="8" customFormat="1" x14ac:dyDescent="0.25">
      <c r="A12" s="8" t="s">
        <v>14</v>
      </c>
      <c r="B12" s="1">
        <f>'Data Sheet'!B49</f>
        <v>9.73</v>
      </c>
      <c r="C12" s="1">
        <f>'Data Sheet'!C49</f>
        <v>66.599999999999994</v>
      </c>
      <c r="D12" s="1">
        <f>'Data Sheet'!D49</f>
        <v>90.39</v>
      </c>
      <c r="E12" s="1">
        <f>'Data Sheet'!E49</f>
        <v>59.19</v>
      </c>
      <c r="F12" s="1">
        <f>'Data Sheet'!F49</f>
        <v>65.25</v>
      </c>
      <c r="G12" s="1">
        <f>'Data Sheet'!G49</f>
        <v>78.33</v>
      </c>
      <c r="H12" s="1">
        <f>'Data Sheet'!H49</f>
        <v>88.98</v>
      </c>
      <c r="I12" s="1">
        <f>'Data Sheet'!I49</f>
        <v>65.44</v>
      </c>
      <c r="J12" s="1">
        <f>'Data Sheet'!J49</f>
        <v>65.78</v>
      </c>
      <c r="K12" s="1">
        <f>'Data Sheet'!K49</f>
        <v>53.94</v>
      </c>
    </row>
    <row r="14" spans="1:11" s="8" customFormat="1" x14ac:dyDescent="0.25">
      <c r="A14" s="2" t="s">
        <v>18</v>
      </c>
      <c r="B14" s="14">
        <f>IF(B4&gt;0,B6/B4,"")</f>
        <v>6.4817965294317798E-2</v>
      </c>
      <c r="C14" s="14">
        <f t="shared" ref="C14:K14" si="0">IF(C4&gt;0,C6/C4,"")</f>
        <v>0.2541808122720986</v>
      </c>
      <c r="D14" s="14">
        <f t="shared" si="0"/>
        <v>0.30686414967132986</v>
      </c>
      <c r="E14" s="14">
        <f t="shared" si="0"/>
        <v>0.18282464894975048</v>
      </c>
      <c r="F14" s="14">
        <f t="shared" si="0"/>
        <v>0.19584841480964632</v>
      </c>
      <c r="G14" s="14">
        <f t="shared" si="0"/>
        <v>0.19093409095048169</v>
      </c>
      <c r="H14" s="14">
        <f t="shared" si="0"/>
        <v>0.2349227974568574</v>
      </c>
      <c r="I14" s="14">
        <f t="shared" si="0"/>
        <v>0.18435619206607215</v>
      </c>
      <c r="J14" s="14">
        <f t="shared" si="0"/>
        <v>0.16291691336096309</v>
      </c>
      <c r="K14" s="14">
        <f t="shared" si="0"/>
        <v>0.14194306333522141</v>
      </c>
    </row>
    <row r="22" s="26" customFormat="1" x14ac:dyDescent="0.25"/>
  </sheetData>
  <hyperlinks>
    <hyperlink ref="J1" r:id="rId1"/>
  </hyperlinks>
  <printOptions gridLines="1"/>
  <pageMargins left="0.7" right="0.7" top="0.75" bottom="0.75" header="0.3" footer="0.3"/>
  <pageSetup paperSize="9" scale="83" orientation="landscape" horizontalDpi="300" verticalDpi="30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25"/>
  <sheetViews>
    <sheetView zoomScaleNormal="100"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K24" sqref="K24"/>
    </sheetView>
  </sheetViews>
  <sheetFormatPr defaultColWidth="8.85546875" defaultRowHeight="15" x14ac:dyDescent="0.25"/>
  <cols>
    <col min="1" max="1" width="22.85546875" style="11" bestFit="1" customWidth="1"/>
    <col min="2" max="2" width="13.42578125" style="11" customWidth="1"/>
    <col min="3" max="11" width="15.42578125" style="11" customWidth="1"/>
    <col min="12" max="16384" width="8.85546875" style="11"/>
  </cols>
  <sheetData>
    <row r="1" spans="1:11" s="8" customFormat="1" x14ac:dyDescent="0.25">
      <c r="A1" s="8" t="str">
        <f>'Profit &amp; Loss'!A1</f>
        <v>MAITHAN ALLOYS LTD</v>
      </c>
      <c r="E1" t="str">
        <f>UPDATE</f>
        <v/>
      </c>
      <c r="G1"/>
      <c r="J1" s="4" t="s">
        <v>1</v>
      </c>
      <c r="K1" s="4"/>
    </row>
    <row r="2" spans="1:11" x14ac:dyDescent="0.25">
      <c r="G2" s="8"/>
      <c r="H2" s="8"/>
    </row>
    <row r="3" spans="1:11" s="18" customFormat="1" x14ac:dyDescent="0.25">
      <c r="A3" s="15" t="s">
        <v>2</v>
      </c>
      <c r="B3" s="16">
        <f>'Data Sheet'!B56</f>
        <v>39903</v>
      </c>
      <c r="C3" s="16">
        <f>'Data Sheet'!C56</f>
        <v>40268</v>
      </c>
      <c r="D3" s="16">
        <f>'Data Sheet'!D56</f>
        <v>40633</v>
      </c>
      <c r="E3" s="16">
        <f>'Data Sheet'!E56</f>
        <v>40999</v>
      </c>
      <c r="F3" s="16">
        <f>'Data Sheet'!F56</f>
        <v>41364</v>
      </c>
      <c r="G3" s="16">
        <f>'Data Sheet'!G56</f>
        <v>41729</v>
      </c>
      <c r="H3" s="16">
        <f>'Data Sheet'!H56</f>
        <v>42094</v>
      </c>
      <c r="I3" s="16">
        <f>'Data Sheet'!I56</f>
        <v>42460</v>
      </c>
      <c r="J3" s="16">
        <f>'Data Sheet'!J56</f>
        <v>42825</v>
      </c>
      <c r="K3" s="16">
        <f>'Data Sheet'!K56</f>
        <v>43190</v>
      </c>
    </row>
    <row r="4" spans="1:11" x14ac:dyDescent="0.25">
      <c r="A4" s="6" t="s">
        <v>24</v>
      </c>
      <c r="B4" s="19">
        <f>'Data Sheet'!B57</f>
        <v>9.7100000000000009</v>
      </c>
      <c r="C4" s="19">
        <f>'Data Sheet'!C57</f>
        <v>9.7100000000000009</v>
      </c>
      <c r="D4" s="19">
        <f>'Data Sheet'!D57</f>
        <v>14.56</v>
      </c>
      <c r="E4" s="19">
        <f>'Data Sheet'!E57</f>
        <v>14.56</v>
      </c>
      <c r="F4" s="19">
        <f>'Data Sheet'!F57</f>
        <v>14.56</v>
      </c>
      <c r="G4" s="19">
        <f>'Data Sheet'!G57</f>
        <v>14.56</v>
      </c>
      <c r="H4" s="19">
        <f>'Data Sheet'!H57</f>
        <v>14.56</v>
      </c>
      <c r="I4" s="19">
        <f>'Data Sheet'!I57</f>
        <v>29.11</v>
      </c>
      <c r="J4" s="19">
        <f>'Data Sheet'!J57</f>
        <v>29.11</v>
      </c>
      <c r="K4" s="19">
        <f>'Data Sheet'!K57</f>
        <v>29.11</v>
      </c>
    </row>
    <row r="5" spans="1:11" s="6" customFormat="1" x14ac:dyDescent="0.25">
      <c r="A5" s="6" t="s">
        <v>25</v>
      </c>
      <c r="B5" s="19">
        <f>'Data Sheet'!B58</f>
        <v>78.959999999999994</v>
      </c>
      <c r="C5" s="19">
        <f>'Data Sheet'!C58</f>
        <v>107.49</v>
      </c>
      <c r="D5" s="19">
        <f>'Data Sheet'!D58</f>
        <v>172.09</v>
      </c>
      <c r="E5" s="19">
        <f>'Data Sheet'!E58</f>
        <v>215.76</v>
      </c>
      <c r="F5" s="19">
        <f>'Data Sheet'!F58</f>
        <v>256.06</v>
      </c>
      <c r="G5" s="19">
        <f>'Data Sheet'!G58</f>
        <v>275.63</v>
      </c>
      <c r="H5" s="19">
        <f>'Data Sheet'!H58</f>
        <v>320.16000000000003</v>
      </c>
      <c r="I5" s="19">
        <f>'Data Sheet'!I58</f>
        <v>365.56</v>
      </c>
      <c r="J5" s="19">
        <f>'Data Sheet'!J58</f>
        <v>563.39</v>
      </c>
      <c r="K5" s="19">
        <f>'Data Sheet'!K58</f>
        <v>846.01</v>
      </c>
    </row>
    <row r="6" spans="1:11" x14ac:dyDescent="0.25">
      <c r="A6" s="11" t="s">
        <v>62</v>
      </c>
      <c r="B6" s="19">
        <f>'Data Sheet'!B59</f>
        <v>142.43</v>
      </c>
      <c r="C6" s="19">
        <f>'Data Sheet'!C59</f>
        <v>104.46</v>
      </c>
      <c r="D6" s="19">
        <f>'Data Sheet'!D59</f>
        <v>38.21</v>
      </c>
      <c r="E6" s="19">
        <f>'Data Sheet'!E59</f>
        <v>7</v>
      </c>
      <c r="F6" s="19">
        <f>'Data Sheet'!F59</f>
        <v>23.4</v>
      </c>
      <c r="G6" s="19">
        <f>'Data Sheet'!G59</f>
        <v>38.770000000000003</v>
      </c>
      <c r="H6" s="19">
        <f>'Data Sheet'!H59</f>
        <v>24.8</v>
      </c>
      <c r="I6" s="19">
        <f>'Data Sheet'!I59</f>
        <v>139.37</v>
      </c>
      <c r="J6" s="19">
        <f>'Data Sheet'!J59</f>
        <v>80.84</v>
      </c>
      <c r="K6" s="19">
        <f>'Data Sheet'!K59</f>
        <v>44.74</v>
      </c>
    </row>
    <row r="7" spans="1:11" s="6" customFormat="1" x14ac:dyDescent="0.25">
      <c r="A7" s="11" t="s">
        <v>63</v>
      </c>
      <c r="B7" s="19">
        <f>'Data Sheet'!B60</f>
        <v>104.93</v>
      </c>
      <c r="C7" s="19">
        <f>'Data Sheet'!C60</f>
        <v>141.16999999999999</v>
      </c>
      <c r="D7" s="19">
        <f>'Data Sheet'!D60</f>
        <v>127.43</v>
      </c>
      <c r="E7" s="19">
        <f>'Data Sheet'!E60</f>
        <v>190.59</v>
      </c>
      <c r="F7" s="19">
        <f>'Data Sheet'!F60</f>
        <v>211.27</v>
      </c>
      <c r="G7" s="19">
        <f>'Data Sheet'!G60</f>
        <v>177.84</v>
      </c>
      <c r="H7" s="19">
        <f>'Data Sheet'!H60</f>
        <v>191.36</v>
      </c>
      <c r="I7" s="19">
        <f>'Data Sheet'!I60</f>
        <v>271.19</v>
      </c>
      <c r="J7" s="19">
        <f>'Data Sheet'!J60</f>
        <v>261.08</v>
      </c>
      <c r="K7" s="19">
        <f>'Data Sheet'!K60</f>
        <v>299.47000000000003</v>
      </c>
    </row>
    <row r="8" spans="1:11" s="8" customFormat="1" x14ac:dyDescent="0.25">
      <c r="A8" s="8" t="s">
        <v>26</v>
      </c>
      <c r="B8" s="20">
        <f>'Data Sheet'!B61</f>
        <v>336.03</v>
      </c>
      <c r="C8" s="20">
        <f>'Data Sheet'!C61</f>
        <v>362.83</v>
      </c>
      <c r="D8" s="20">
        <f>'Data Sheet'!D61</f>
        <v>352.29</v>
      </c>
      <c r="E8" s="20">
        <f>'Data Sheet'!E61</f>
        <v>427.91</v>
      </c>
      <c r="F8" s="20">
        <f>'Data Sheet'!F61</f>
        <v>505.29</v>
      </c>
      <c r="G8" s="20">
        <f>'Data Sheet'!G61</f>
        <v>506.8</v>
      </c>
      <c r="H8" s="20">
        <f>'Data Sheet'!H61</f>
        <v>550.88</v>
      </c>
      <c r="I8" s="20">
        <f>'Data Sheet'!I61</f>
        <v>805.23</v>
      </c>
      <c r="J8" s="20">
        <f>'Data Sheet'!J61</f>
        <v>934.42</v>
      </c>
      <c r="K8" s="20">
        <f>'Data Sheet'!K61</f>
        <v>1219.33</v>
      </c>
    </row>
    <row r="9" spans="1:11" s="8" customFormat="1" x14ac:dyDescent="0.25"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5">
      <c r="A10" s="6" t="s">
        <v>27</v>
      </c>
      <c r="B10" s="19">
        <f>'Data Sheet'!B62</f>
        <v>47.53</v>
      </c>
      <c r="C10" s="19">
        <f>'Data Sheet'!C62</f>
        <v>109.49</v>
      </c>
      <c r="D10" s="19">
        <f>'Data Sheet'!D62</f>
        <v>83.18</v>
      </c>
      <c r="E10" s="19">
        <f>'Data Sheet'!E62</f>
        <v>71.53</v>
      </c>
      <c r="F10" s="19">
        <f>'Data Sheet'!F62</f>
        <v>62</v>
      </c>
      <c r="G10" s="19">
        <f>'Data Sheet'!G62</f>
        <v>56.97</v>
      </c>
      <c r="H10" s="19">
        <f>'Data Sheet'!H62</f>
        <v>55.12</v>
      </c>
      <c r="I10" s="19">
        <f>'Data Sheet'!I62</f>
        <v>259.83</v>
      </c>
      <c r="J10" s="19">
        <f>'Data Sheet'!J62</f>
        <v>237.6</v>
      </c>
      <c r="K10" s="19">
        <f>'Data Sheet'!K62</f>
        <v>233.38</v>
      </c>
    </row>
    <row r="11" spans="1:11" x14ac:dyDescent="0.25">
      <c r="A11" s="6" t="s">
        <v>28</v>
      </c>
      <c r="B11" s="19">
        <f>'Data Sheet'!B63</f>
        <v>72.25</v>
      </c>
      <c r="C11" s="19">
        <f>'Data Sheet'!C63</f>
        <v>6.39</v>
      </c>
      <c r="D11" s="19">
        <f>'Data Sheet'!D63</f>
        <v>0.53</v>
      </c>
      <c r="E11" s="19">
        <f>'Data Sheet'!E63</f>
        <v>0</v>
      </c>
      <c r="F11" s="19">
        <f>'Data Sheet'!F63</f>
        <v>0</v>
      </c>
      <c r="G11" s="19">
        <f>'Data Sheet'!G63</f>
        <v>0.05</v>
      </c>
      <c r="H11" s="19">
        <f>'Data Sheet'!H63</f>
        <v>0.8</v>
      </c>
      <c r="I11" s="19">
        <f>'Data Sheet'!I63</f>
        <v>0</v>
      </c>
      <c r="J11" s="19">
        <f>'Data Sheet'!J63</f>
        <v>0</v>
      </c>
      <c r="K11" s="19">
        <f>'Data Sheet'!K63</f>
        <v>0</v>
      </c>
    </row>
    <row r="12" spans="1:11" x14ac:dyDescent="0.25">
      <c r="A12" s="6" t="s">
        <v>29</v>
      </c>
      <c r="B12" s="19">
        <f>'Data Sheet'!B64</f>
        <v>5.0999999999999996</v>
      </c>
      <c r="C12" s="19">
        <f>'Data Sheet'!C64</f>
        <v>5.0999999999999996</v>
      </c>
      <c r="D12" s="19">
        <f>'Data Sheet'!D64</f>
        <v>55.11</v>
      </c>
      <c r="E12" s="19">
        <f>'Data Sheet'!E64</f>
        <v>71.62</v>
      </c>
      <c r="F12" s="19">
        <f>'Data Sheet'!F64</f>
        <v>125.96</v>
      </c>
      <c r="G12" s="19">
        <f>'Data Sheet'!G64</f>
        <v>128.25</v>
      </c>
      <c r="H12" s="19">
        <f>'Data Sheet'!H64</f>
        <v>125.25</v>
      </c>
      <c r="I12" s="19">
        <f>'Data Sheet'!I64</f>
        <v>47.29</v>
      </c>
      <c r="J12" s="19">
        <f>'Data Sheet'!J64</f>
        <v>83.68</v>
      </c>
      <c r="K12" s="19">
        <f>'Data Sheet'!K64</f>
        <v>362.5</v>
      </c>
    </row>
    <row r="13" spans="1:11" x14ac:dyDescent="0.25">
      <c r="A13" s="11" t="s">
        <v>64</v>
      </c>
      <c r="B13" s="19">
        <f>'Data Sheet'!B65</f>
        <v>211.15</v>
      </c>
      <c r="C13" s="19">
        <f>'Data Sheet'!C65</f>
        <v>241.85</v>
      </c>
      <c r="D13" s="19">
        <f>'Data Sheet'!D65</f>
        <v>213.47</v>
      </c>
      <c r="E13" s="19">
        <f>'Data Sheet'!E65</f>
        <v>284.76</v>
      </c>
      <c r="F13" s="19">
        <f>'Data Sheet'!F65</f>
        <v>317.33</v>
      </c>
      <c r="G13" s="19">
        <f>'Data Sheet'!G65</f>
        <v>321.52999999999997</v>
      </c>
      <c r="H13" s="19">
        <f>'Data Sheet'!H65</f>
        <v>369.71</v>
      </c>
      <c r="I13" s="19">
        <f>'Data Sheet'!I65</f>
        <v>498.11</v>
      </c>
      <c r="J13" s="19">
        <f>'Data Sheet'!J65</f>
        <v>613.14</v>
      </c>
      <c r="K13" s="19">
        <f>'Data Sheet'!K65</f>
        <v>623.45000000000005</v>
      </c>
    </row>
    <row r="14" spans="1:11" s="8" customFormat="1" x14ac:dyDescent="0.25">
      <c r="A14" s="8" t="s">
        <v>26</v>
      </c>
      <c r="B14" s="19">
        <f>'Data Sheet'!B66</f>
        <v>336.03</v>
      </c>
      <c r="C14" s="19">
        <f>'Data Sheet'!C66</f>
        <v>362.83</v>
      </c>
      <c r="D14" s="19">
        <f>'Data Sheet'!D66</f>
        <v>352.29</v>
      </c>
      <c r="E14" s="19">
        <f>'Data Sheet'!E66</f>
        <v>427.91</v>
      </c>
      <c r="F14" s="19">
        <f>'Data Sheet'!F66</f>
        <v>505.29</v>
      </c>
      <c r="G14" s="19">
        <f>'Data Sheet'!G66</f>
        <v>506.8</v>
      </c>
      <c r="H14" s="19">
        <f>'Data Sheet'!H66</f>
        <v>550.88</v>
      </c>
      <c r="I14" s="19">
        <f>'Data Sheet'!I66</f>
        <v>805.23</v>
      </c>
      <c r="J14" s="19">
        <f>'Data Sheet'!J66</f>
        <v>934.42</v>
      </c>
      <c r="K14" s="19">
        <f>'Data Sheet'!K66</f>
        <v>1219.33</v>
      </c>
    </row>
    <row r="15" spans="1:11" x14ac:dyDescent="0.25">
      <c r="A15" s="6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x14ac:dyDescent="0.25">
      <c r="A16" s="25" t="s">
        <v>30</v>
      </c>
      <c r="B16" s="21">
        <f>B13-B7</f>
        <v>106.22</v>
      </c>
      <c r="C16" s="21">
        <f t="shared" ref="C16:K16" si="0">C13-C7</f>
        <v>100.68</v>
      </c>
      <c r="D16" s="21">
        <f t="shared" si="0"/>
        <v>86.039999999999992</v>
      </c>
      <c r="E16" s="21">
        <f t="shared" si="0"/>
        <v>94.169999999999987</v>
      </c>
      <c r="F16" s="21">
        <f t="shared" si="0"/>
        <v>106.05999999999997</v>
      </c>
      <c r="G16" s="21">
        <f t="shared" si="0"/>
        <v>143.68999999999997</v>
      </c>
      <c r="H16" s="21">
        <f t="shared" si="0"/>
        <v>178.34999999999997</v>
      </c>
      <c r="I16" s="21">
        <f t="shared" si="0"/>
        <v>226.92000000000002</v>
      </c>
      <c r="J16" s="21">
        <f t="shared" si="0"/>
        <v>352.06</v>
      </c>
      <c r="K16" s="21">
        <f t="shared" si="0"/>
        <v>323.98</v>
      </c>
    </row>
    <row r="17" spans="1:11" x14ac:dyDescent="0.25">
      <c r="A17" s="11" t="s">
        <v>44</v>
      </c>
      <c r="B17" s="21">
        <f>'Data Sheet'!B67</f>
        <v>39.619999999999997</v>
      </c>
      <c r="C17" s="21">
        <f>'Data Sheet'!C67</f>
        <v>60.78</v>
      </c>
      <c r="D17" s="21">
        <f>'Data Sheet'!D67</f>
        <v>45.26</v>
      </c>
      <c r="E17" s="21">
        <f>'Data Sheet'!E67</f>
        <v>85.12</v>
      </c>
      <c r="F17" s="21">
        <f>'Data Sheet'!F67</f>
        <v>115.42</v>
      </c>
      <c r="G17" s="21">
        <f>'Data Sheet'!G67</f>
        <v>103.17</v>
      </c>
      <c r="H17" s="21">
        <f>'Data Sheet'!H67</f>
        <v>187.85</v>
      </c>
      <c r="I17" s="21">
        <f>'Data Sheet'!I67</f>
        <v>198.69</v>
      </c>
      <c r="J17" s="21">
        <f>'Data Sheet'!J67</f>
        <v>225.21</v>
      </c>
      <c r="K17" s="21">
        <f>'Data Sheet'!K67</f>
        <v>243.73</v>
      </c>
    </row>
    <row r="18" spans="1:11" x14ac:dyDescent="0.25">
      <c r="A18" s="11" t="s">
        <v>45</v>
      </c>
      <c r="B18" s="21">
        <f>'Data Sheet'!B68</f>
        <v>88.08</v>
      </c>
      <c r="C18" s="21">
        <f>'Data Sheet'!C68</f>
        <v>57.69</v>
      </c>
      <c r="D18" s="21">
        <f>'Data Sheet'!D68</f>
        <v>87.83</v>
      </c>
      <c r="E18" s="21">
        <f>'Data Sheet'!E68</f>
        <v>92.77</v>
      </c>
      <c r="F18" s="21">
        <f>'Data Sheet'!F68</f>
        <v>128.74</v>
      </c>
      <c r="G18" s="21">
        <f>'Data Sheet'!G68</f>
        <v>142.63999999999999</v>
      </c>
      <c r="H18" s="21">
        <f>'Data Sheet'!H68</f>
        <v>118.28</v>
      </c>
      <c r="I18" s="21">
        <f>'Data Sheet'!I68</f>
        <v>150.79</v>
      </c>
      <c r="J18" s="21">
        <f>'Data Sheet'!J68</f>
        <v>186.57</v>
      </c>
      <c r="K18" s="21">
        <f>'Data Sheet'!K68</f>
        <v>248.19</v>
      </c>
    </row>
    <row r="20" spans="1:11" x14ac:dyDescent="0.25">
      <c r="A20" s="11" t="s">
        <v>46</v>
      </c>
      <c r="B20" s="5">
        <f>IF('Profit &amp; Loss'!B4&gt;0,'Balance Sheet'!B17/('Profit &amp; Loss'!B4/365),0)</f>
        <v>22.483014878500022</v>
      </c>
      <c r="C20" s="5">
        <f>IF('Profit &amp; Loss'!C4&gt;0,'Balance Sheet'!C17/('Profit &amp; Loss'!C4/365),0)</f>
        <v>46.524410703800022</v>
      </c>
      <c r="D20" s="5">
        <f>IF('Profit &amp; Loss'!D4&gt;0,'Balance Sheet'!D17/('Profit &amp; Loss'!D4/365),0)</f>
        <v>27.300204918032787</v>
      </c>
      <c r="E20" s="5">
        <f>IF('Profit &amp; Loss'!E4&gt;0,'Balance Sheet'!E17/('Profit &amp; Loss'!E4/365),0)</f>
        <v>48.842634805848135</v>
      </c>
      <c r="F20" s="5">
        <f>IF('Profit &amp; Loss'!F4&gt;0,'Balance Sheet'!F17/('Profit &amp; Loss'!F4/365),0)</f>
        <v>49.325363837534688</v>
      </c>
      <c r="G20" s="5">
        <f>IF('Profit &amp; Loss'!G4&gt;0,'Balance Sheet'!G17/('Profit &amp; Loss'!G4/365),0)</f>
        <v>46.404823226410677</v>
      </c>
      <c r="H20" s="5">
        <f>IF('Profit &amp; Loss'!H4&gt;0,'Balance Sheet'!H17/('Profit &amp; Loss'!H4/365),0)</f>
        <v>77.746311981948267</v>
      </c>
      <c r="I20" s="5">
        <f>IF('Profit &amp; Loss'!I4&gt;0,'Balance Sheet'!I17/('Profit &amp; Loss'!I4/365),0)</f>
        <v>63.243960931368271</v>
      </c>
      <c r="J20" s="5">
        <f>IF('Profit &amp; Loss'!J4&gt;0,'Balance Sheet'!J17/('Profit &amp; Loss'!J4/365),0)</f>
        <v>61.47480481019474</v>
      </c>
      <c r="K20" s="5">
        <f>IF('Profit &amp; Loss'!K4&gt;0,'Balance Sheet'!K17/('Profit &amp; Loss'!K4/365),0)</f>
        <v>47.480039067920536</v>
      </c>
    </row>
    <row r="21" spans="1:11" x14ac:dyDescent="0.25">
      <c r="A21" s="11" t="s">
        <v>47</v>
      </c>
      <c r="B21" s="5">
        <f>IF('Balance Sheet'!B18&gt;0,'Profit &amp; Loss'!B4/'Balance Sheet'!B18,0)</f>
        <v>7.3025658492279755</v>
      </c>
      <c r="C21" s="5">
        <f>IF('Balance Sheet'!C18&gt;0,'Profit &amp; Loss'!C4/'Balance Sheet'!C18,0)</f>
        <v>8.2655572889582256</v>
      </c>
      <c r="D21" s="5">
        <f>IF('Balance Sheet'!D18&gt;0,'Profit &amp; Loss'!D4/'Balance Sheet'!D18,0)</f>
        <v>6.8896732323807353</v>
      </c>
      <c r="E21" s="5">
        <f>IF('Balance Sheet'!E18&gt;0,'Profit &amp; Loss'!E4/'Balance Sheet'!E18,0)</f>
        <v>6.856742481405627</v>
      </c>
      <c r="F21" s="5">
        <f>IF('Balance Sheet'!F18&gt;0,'Profit &amp; Loss'!F4/'Balance Sheet'!F18,0)</f>
        <v>6.6342240173994096</v>
      </c>
      <c r="G21" s="5">
        <f>IF('Balance Sheet'!G18&gt;0,'Profit &amp; Loss'!G4/'Balance Sheet'!G18,0)</f>
        <v>5.6890773976444198</v>
      </c>
      <c r="H21" s="5">
        <f>IF('Balance Sheet'!H18&gt;0,'Profit &amp; Loss'!H4/'Balance Sheet'!H18,0)</f>
        <v>7.4561210686506589</v>
      </c>
      <c r="I21" s="5">
        <f>IF('Balance Sheet'!I18&gt;0,'Profit &amp; Loss'!I4/'Balance Sheet'!I18,0)</f>
        <v>7.6046156906956703</v>
      </c>
      <c r="J21" s="5">
        <f>IF('Balance Sheet'!J18&gt;0,'Profit &amp; Loss'!J4/'Balance Sheet'!J18,0)</f>
        <v>7.1670686605563603</v>
      </c>
      <c r="K21" s="5">
        <f>IF('Balance Sheet'!K18&gt;0,'Profit &amp; Loss'!K4/'Balance Sheet'!K18,0)</f>
        <v>7.5492969096256903</v>
      </c>
    </row>
    <row r="23" spans="1:11" s="8" customFormat="1" x14ac:dyDescent="0.25">
      <c r="A23" s="8" t="s">
        <v>50</v>
      </c>
      <c r="B23" s="14">
        <f>IF(SUM('Balance Sheet'!B4:B5)&gt;0,'Profit &amp; Loss'!B12/SUM('Balance Sheet'!B4:B5),"")</f>
        <v>1.5788880117288827E-3</v>
      </c>
      <c r="C23" s="14">
        <f>IF(SUM('Balance Sheet'!C4:C5)&gt;0,'Profit &amp; Loss'!C12/SUM('Balance Sheet'!C4:C5),"")</f>
        <v>0.25802047781569964</v>
      </c>
      <c r="D23" s="14">
        <f>IF(SUM('Balance Sheet'!D4:D5)&gt;0,'Profit &amp; Loss'!D12/SUM('Balance Sheet'!D4:D5),"")</f>
        <v>0.39019555317439053</v>
      </c>
      <c r="E23" s="14">
        <f>IF(SUM('Balance Sheet'!E4:E5)&gt;0,'Profit &amp; Loss'!E12/SUM('Balance Sheet'!E4:E5),"")</f>
        <v>0.20428100034734281</v>
      </c>
      <c r="F23" s="14">
        <f>IF(SUM('Balance Sheet'!F4:F5)&gt;0,'Profit &amp; Loss'!F12/SUM('Balance Sheet'!F4:F5),"")</f>
        <v>0.1614810435296726</v>
      </c>
      <c r="G23" s="14">
        <f>IF(SUM('Balance Sheet'!G4:G5)&gt;0,'Profit &amp; Loss'!G12/SUM('Balance Sheet'!G4:G5),"")</f>
        <v>7.918949653675178E-2</v>
      </c>
      <c r="H23" s="14">
        <f>IF(SUM('Balance Sheet'!H4:H5)&gt;0,'Profit &amp; Loss'!H12/SUM('Balance Sheet'!H4:H5),"")</f>
        <v>0.15394956978967494</v>
      </c>
      <c r="I23" s="14">
        <f>IF(SUM('Balance Sheet'!I4:I5)&gt;0,'Profit &amp; Loss'!I12/SUM('Balance Sheet'!I4:I5),"")</f>
        <v>0.20024324118884129</v>
      </c>
      <c r="J23" s="14">
        <f>IF(SUM('Balance Sheet'!J4:J5)&gt;0,'Profit &amp; Loss'!J12/SUM('Balance Sheet'!J4:J5),"")</f>
        <v>0.31336708860759493</v>
      </c>
      <c r="K23" s="14">
        <f>IF(SUM('Balance Sheet'!K4:K5)&gt;0,'Profit &amp; Loss'!K12/SUM('Balance Sheet'!K4:K5),"")</f>
        <v>0.33338285035195175</v>
      </c>
    </row>
    <row r="24" spans="1:11" s="8" customFormat="1" x14ac:dyDescent="0.25">
      <c r="A24" s="8" t="s">
        <v>51</v>
      </c>
      <c r="B24" s="14"/>
      <c r="C24" s="14">
        <f>IF((B4+B5+B6+C4+C5+C6)&gt;0,('Profit &amp; Loss'!C10+'Profit &amp; Loss'!C9)*2/(B4+B5+B6+C4+C5+C6),"")</f>
        <v>0.26106546514709783</v>
      </c>
      <c r="D24" s="14">
        <f>IF((C4+C5+C6+D4+D5+D6)&gt;0,('Profit &amp; Loss'!D10+'Profit &amp; Loss'!D9)*2/(C4+C5+C6+D4+D5+D6),"")</f>
        <v>0.4724984323210607</v>
      </c>
      <c r="E24" s="14">
        <f>IF((D4+D5+D6+E4+E5+E6)&gt;0,('Profit &amp; Loss'!E10+'Profit &amp; Loss'!E9)*2/(D4+D5+D6+E4+E5+E6),"")</f>
        <v>0.28798303691202559</v>
      </c>
      <c r="F24" s="14">
        <f>IF((E4+E5+E6+F4+F5+F6)&gt;0,('Profit &amp; Loss'!F10+'Profit &amp; Loss'!F9)*2/(E4+E5+E6+F4+F5+F6),"")</f>
        <v>0.23273233710994842</v>
      </c>
      <c r="G24" s="14">
        <f>IF((F4+F5+F6+G4+G5+G6)&gt;0,('Profit &amp; Loss'!G10+'Profit &amp; Loss'!G9)*2/(F4+F5+F6+G4+G5+G6),"")</f>
        <v>0.11400044945263089</v>
      </c>
      <c r="H24" s="14">
        <f>IF((G4+G5+G6+H4+H5+H6)&gt;0,('Profit &amp; Loss'!H10+'Profit &amp; Loss'!H9)*2/(G4+G5+G6+H4+H5+H6),"")</f>
        <v>0.20450848245410175</v>
      </c>
      <c r="I24" s="14">
        <f>IF((H4+H5+H6+I4+I5+I6)&gt;0,('Profit &amp; Loss'!I10+'Profit &amp; Loss'!I9)*2/(H4+H5+H6+I4+I5+I6),"")</f>
        <v>0.25126460450333499</v>
      </c>
      <c r="J24" s="14">
        <f>IF((I4+I5+I6+J4+J5+J6)&gt;0,('Profit &amp; Loss'!J10+'Profit &amp; Loss'!J9)*2/(I4+I5+I6+J4+J5+J6),"")</f>
        <v>0.43442826616309699</v>
      </c>
      <c r="K24" s="14">
        <f>IF((J4+J5+J6+K4+K5+K6)&gt;0,('Profit &amp; Loss'!K10+'Profit &amp; Loss'!K9)*2/(J4+J5+J6+K4+K5+K6),"")</f>
        <v>0.48170976650765757</v>
      </c>
    </row>
    <row r="25" spans="1:11" s="18" customFormat="1" x14ac:dyDescent="0.25"/>
  </sheetData>
  <hyperlinks>
    <hyperlink ref="J1" r:id="rId1"/>
  </hyperlinks>
  <printOptions gridLines="1"/>
  <pageMargins left="0.7" right="0.7" top="0.75" bottom="0.75" header="0.3" footer="0.3"/>
  <pageSetup paperSize="9"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24"/>
  <sheetViews>
    <sheetView zoomScale="115" zoomScaleNormal="115" zoomScalePageLayoutView="15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5" sqref="K5"/>
    </sheetView>
  </sheetViews>
  <sheetFormatPr defaultColWidth="8.85546875" defaultRowHeight="15" x14ac:dyDescent="0.25"/>
  <cols>
    <col min="1" max="1" width="26.85546875" style="6" bestFit="1" customWidth="1"/>
    <col min="2" max="6" width="13.42578125" style="6" customWidth="1"/>
    <col min="7" max="11" width="13.42578125" style="6" bestFit="1" customWidth="1"/>
    <col min="12" max="16384" width="8.85546875" style="6"/>
  </cols>
  <sheetData>
    <row r="1" spans="1:11" s="8" customFormat="1" x14ac:dyDescent="0.25">
      <c r="A1" s="8" t="str">
        <f>'Balance Sheet'!A1</f>
        <v>MAITHAN ALLOYS LTD</v>
      </c>
      <c r="E1" t="str">
        <f>UPDATE</f>
        <v/>
      </c>
      <c r="F1"/>
      <c r="J1" s="4" t="s">
        <v>1</v>
      </c>
      <c r="K1" s="4"/>
    </row>
    <row r="3" spans="1:11" s="2" customFormat="1" x14ac:dyDescent="0.25">
      <c r="A3" s="15" t="s">
        <v>2</v>
      </c>
      <c r="B3" s="16">
        <f>'Data Sheet'!B81</f>
        <v>39903</v>
      </c>
      <c r="C3" s="16">
        <f>'Data Sheet'!C81</f>
        <v>40268</v>
      </c>
      <c r="D3" s="16">
        <f>'Data Sheet'!D81</f>
        <v>40633</v>
      </c>
      <c r="E3" s="16">
        <f>'Data Sheet'!E81</f>
        <v>40999</v>
      </c>
      <c r="F3" s="16">
        <f>'Data Sheet'!F81</f>
        <v>41364</v>
      </c>
      <c r="G3" s="16">
        <f>'Data Sheet'!G81</f>
        <v>41729</v>
      </c>
      <c r="H3" s="16">
        <f>'Data Sheet'!H81</f>
        <v>42094</v>
      </c>
      <c r="I3" s="16">
        <f>'Data Sheet'!I81</f>
        <v>42460</v>
      </c>
      <c r="J3" s="16">
        <f>'Data Sheet'!J81</f>
        <v>42825</v>
      </c>
      <c r="K3" s="16">
        <f>'Data Sheet'!K81</f>
        <v>43190</v>
      </c>
    </row>
    <row r="4" spans="1:11" s="8" customFormat="1" x14ac:dyDescent="0.25">
      <c r="A4" s="8" t="s">
        <v>32</v>
      </c>
      <c r="B4" s="1">
        <f>'Data Sheet'!B82</f>
        <v>-14.08</v>
      </c>
      <c r="C4" s="1">
        <f>'Data Sheet'!C82</f>
        <v>71.739999999999995</v>
      </c>
      <c r="D4" s="1">
        <f>'Data Sheet'!D82</f>
        <v>91.65</v>
      </c>
      <c r="E4" s="1">
        <f>'Data Sheet'!E82</f>
        <v>67.599999999999994</v>
      </c>
      <c r="F4" s="1">
        <f>'Data Sheet'!F82</f>
        <v>8.4600000000000009</v>
      </c>
      <c r="G4" s="1">
        <f>'Data Sheet'!G82</f>
        <v>-6.75</v>
      </c>
      <c r="H4" s="1">
        <f>'Data Sheet'!H82</f>
        <v>8.36</v>
      </c>
      <c r="I4" s="1">
        <f>'Data Sheet'!I82</f>
        <v>136.11000000000001</v>
      </c>
      <c r="J4" s="1">
        <f>'Data Sheet'!J82</f>
        <v>122.91</v>
      </c>
      <c r="K4" s="1">
        <f>'Data Sheet'!K82</f>
        <v>284.44</v>
      </c>
    </row>
    <row r="5" spans="1:11" x14ac:dyDescent="0.25">
      <c r="A5" s="6" t="s">
        <v>33</v>
      </c>
      <c r="B5" s="9">
        <f>'Data Sheet'!B83</f>
        <v>-18.75</v>
      </c>
      <c r="C5" s="9">
        <f>'Data Sheet'!C83</f>
        <v>-8.08</v>
      </c>
      <c r="D5" s="9">
        <f>'Data Sheet'!D83</f>
        <v>-28.02</v>
      </c>
      <c r="E5" s="9">
        <f>'Data Sheet'!E83</f>
        <v>-11.29</v>
      </c>
      <c r="F5" s="9">
        <f>'Data Sheet'!F83</f>
        <v>-41.54</v>
      </c>
      <c r="G5" s="9">
        <f>'Data Sheet'!G83</f>
        <v>1.83</v>
      </c>
      <c r="H5" s="9">
        <f>'Data Sheet'!H83</f>
        <v>4.03</v>
      </c>
      <c r="I5" s="9">
        <f>'Data Sheet'!I83</f>
        <v>-10.77</v>
      </c>
      <c r="J5" s="9">
        <f>'Data Sheet'!J83</f>
        <v>-8.41</v>
      </c>
      <c r="K5" s="9">
        <f>'Data Sheet'!K83</f>
        <v>-280.35000000000002</v>
      </c>
    </row>
    <row r="6" spans="1:11" x14ac:dyDescent="0.25">
      <c r="A6" s="6" t="s">
        <v>34</v>
      </c>
      <c r="B6" s="9">
        <f>'Data Sheet'!B84</f>
        <v>35.58</v>
      </c>
      <c r="C6" s="9">
        <f>'Data Sheet'!C84</f>
        <v>-39.22</v>
      </c>
      <c r="D6" s="9">
        <f>'Data Sheet'!D84</f>
        <v>-67.95</v>
      </c>
      <c r="E6" s="9">
        <f>'Data Sheet'!E84</f>
        <v>-34.58</v>
      </c>
      <c r="F6" s="9">
        <f>'Data Sheet'!F84</f>
        <v>7.48</v>
      </c>
      <c r="G6" s="9">
        <f>'Data Sheet'!G84</f>
        <v>7.12</v>
      </c>
      <c r="H6" s="9">
        <f>'Data Sheet'!H84</f>
        <v>-20.81</v>
      </c>
      <c r="I6" s="9">
        <f>'Data Sheet'!I84</f>
        <v>-100.78</v>
      </c>
      <c r="J6" s="9">
        <f>'Data Sheet'!J84</f>
        <v>-73.89</v>
      </c>
      <c r="K6" s="9">
        <f>'Data Sheet'!K84</f>
        <v>-54.54</v>
      </c>
    </row>
    <row r="7" spans="1:11" s="8" customFormat="1" x14ac:dyDescent="0.25">
      <c r="A7" s="8" t="s">
        <v>35</v>
      </c>
      <c r="B7" s="1">
        <f>'Data Sheet'!B85</f>
        <v>2.75</v>
      </c>
      <c r="C7" s="1">
        <f>'Data Sheet'!C85</f>
        <v>24.44</v>
      </c>
      <c r="D7" s="1">
        <f>'Data Sheet'!D85</f>
        <v>-4.32</v>
      </c>
      <c r="E7" s="1">
        <f>'Data Sheet'!E85</f>
        <v>21.73</v>
      </c>
      <c r="F7" s="1">
        <f>'Data Sheet'!F85</f>
        <v>-25.6</v>
      </c>
      <c r="G7" s="1">
        <f>'Data Sheet'!G85</f>
        <v>2.2000000000000002</v>
      </c>
      <c r="H7" s="1">
        <f>'Data Sheet'!H85</f>
        <v>-8.41</v>
      </c>
      <c r="I7" s="1">
        <f>'Data Sheet'!I85</f>
        <v>24.56</v>
      </c>
      <c r="J7" s="1">
        <f>'Data Sheet'!J85</f>
        <v>40.61</v>
      </c>
      <c r="K7" s="1">
        <f>'Data Sheet'!K85</f>
        <v>-50.46</v>
      </c>
    </row>
    <row r="8" spans="1:11" x14ac:dyDescent="0.25">
      <c r="A8" s="25"/>
      <c r="B8" s="9"/>
      <c r="C8" s="9"/>
      <c r="D8" s="9"/>
      <c r="E8" s="9"/>
      <c r="F8" s="9"/>
      <c r="G8" s="9"/>
      <c r="H8" s="9"/>
      <c r="I8" s="9"/>
      <c r="J8" s="9"/>
      <c r="K8" s="9"/>
    </row>
    <row r="24" s="25" customFormat="1" x14ac:dyDescent="0.25"/>
  </sheetData>
  <hyperlinks>
    <hyperlink ref="J1" r:id="rId1"/>
  </hyperlinks>
  <printOptions gridLines="1"/>
  <pageMargins left="0.7" right="0.7" top="0.75" bottom="0.75" header="0.3" footer="0.3"/>
  <pageSetup paperSize="9" orientation="landscape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N102"/>
  <sheetViews>
    <sheetView tabSelected="1" topLeftCell="A54" zoomScale="85" zoomScaleNormal="85" zoomScalePageLayoutView="150" workbookViewId="0">
      <selection activeCell="B72" sqref="B72"/>
    </sheetView>
  </sheetViews>
  <sheetFormatPr defaultColWidth="8.7109375" defaultRowHeight="15" x14ac:dyDescent="0.25"/>
  <cols>
    <col min="1" max="1" width="33.7109375" style="91" customWidth="1"/>
    <col min="2" max="2" width="14.7109375" style="29" customWidth="1"/>
    <col min="3" max="3" width="14.85546875" style="29" customWidth="1"/>
    <col min="4" max="4" width="18" style="29" customWidth="1"/>
    <col min="5" max="8" width="10.42578125" style="29" customWidth="1"/>
    <col min="9" max="9" width="10.140625" style="29" customWidth="1"/>
    <col min="10" max="10" width="10.7109375" style="29" customWidth="1"/>
    <col min="11" max="11" width="11.140625" style="29" customWidth="1"/>
    <col min="12" max="12" width="14.7109375" style="29" customWidth="1"/>
    <col min="13" max="13" width="23.28515625" style="29" customWidth="1"/>
    <col min="14" max="20" width="11.140625" style="29" customWidth="1"/>
    <col min="21" max="16384" width="8.7109375" style="29"/>
  </cols>
  <sheetData>
    <row r="1" spans="1:14" x14ac:dyDescent="0.25">
      <c r="A1" s="81" t="str">
        <f>'Data Sheet'!B1</f>
        <v>MAITHAN ALLOYS LTD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x14ac:dyDescent="0.25">
      <c r="A2" s="82"/>
      <c r="B2" s="28"/>
      <c r="C2" s="28"/>
      <c r="D2" s="28"/>
      <c r="E2" s="28"/>
      <c r="F2" s="28"/>
      <c r="G2" s="28"/>
      <c r="H2" s="28"/>
      <c r="I2" s="28"/>
      <c r="J2" s="28"/>
      <c r="K2" s="28"/>
      <c r="M2" s="29" t="s">
        <v>121</v>
      </c>
    </row>
    <row r="3" spans="1:14" ht="15" customHeight="1" x14ac:dyDescent="0.25">
      <c r="A3" s="107"/>
      <c r="M3" s="29" t="s">
        <v>121</v>
      </c>
    </row>
    <row r="4" spans="1:14" ht="30" customHeight="1" x14ac:dyDescent="0.25">
      <c r="A4" s="45"/>
      <c r="B4" s="45" t="s">
        <v>122</v>
      </c>
      <c r="C4" s="45" t="s">
        <v>123</v>
      </c>
      <c r="D4" s="45" t="s">
        <v>124</v>
      </c>
      <c r="F4" s="138" t="s">
        <v>125</v>
      </c>
      <c r="G4" s="138"/>
      <c r="H4" s="138"/>
      <c r="I4" s="138"/>
      <c r="J4" s="138"/>
      <c r="K4" s="138"/>
      <c r="M4" s="138" t="s">
        <v>126</v>
      </c>
      <c r="N4" s="139"/>
    </row>
    <row r="5" spans="1:14" ht="15" customHeight="1" x14ac:dyDescent="0.25">
      <c r="A5" s="108" t="s">
        <v>127</v>
      </c>
      <c r="B5" s="46">
        <f>'Calculated Data'!K11-'Calculated Data'!B11</f>
        <v>786.45</v>
      </c>
      <c r="C5" s="46">
        <f>'Calculated Data'!K26-'Calculated Data'!B26</f>
        <v>2454.5965989355227</v>
      </c>
      <c r="D5" s="47">
        <f>C5/B5</f>
        <v>3.1211095415290515</v>
      </c>
      <c r="F5" s="48"/>
      <c r="G5" s="49" t="s">
        <v>128</v>
      </c>
      <c r="H5" s="49" t="s">
        <v>129</v>
      </c>
      <c r="I5" s="50" t="s">
        <v>109</v>
      </c>
      <c r="J5" s="50" t="s">
        <v>130</v>
      </c>
      <c r="K5" s="50" t="s">
        <v>131</v>
      </c>
      <c r="M5" s="51" t="s">
        <v>132</v>
      </c>
      <c r="N5" s="52">
        <v>0.09</v>
      </c>
    </row>
    <row r="6" spans="1:14" ht="15" customHeight="1" x14ac:dyDescent="0.25">
      <c r="A6" s="108" t="s">
        <v>133</v>
      </c>
      <c r="B6" s="46">
        <f>'Calculated Data'!K11-'Calculated Data'!E11</f>
        <v>644.79999999999995</v>
      </c>
      <c r="C6" s="46">
        <f>'Calculated Data'!K26-'Calculated Data'!E26</f>
        <v>2426.7845983910975</v>
      </c>
      <c r="D6" s="47">
        <f>C6/B6</f>
        <v>3.763623756810015</v>
      </c>
      <c r="F6" s="53" t="s">
        <v>134</v>
      </c>
      <c r="G6" s="54">
        <f>MIN('Calculated Data'!B31:K31)</f>
        <v>1.3026271421707665</v>
      </c>
      <c r="H6" s="54">
        <f>MIN('Calculated Data'!B32:K32)</f>
        <v>0.1728182599772132</v>
      </c>
      <c r="I6" s="54">
        <f>MIN('Calculated Data'!B35:K35)</f>
        <v>0.32847003221103072</v>
      </c>
      <c r="J6" s="54">
        <f>MIN('Calculated Data'!B34:K34)</f>
        <v>6.1800060213665603E-2</v>
      </c>
      <c r="K6" s="55">
        <f>MAX('Calculated Data'!B36:K36)</f>
        <v>5.80257708192599E-2</v>
      </c>
      <c r="M6" s="56" t="s">
        <v>135</v>
      </c>
      <c r="N6" s="54">
        <f>('Profit &amp; Loss'!$L$10/'Data Sheet'!$B$61)/N5</f>
        <v>11.400767788590306</v>
      </c>
    </row>
    <row r="7" spans="1:14" ht="15" customHeight="1" x14ac:dyDescent="0.25">
      <c r="A7" s="108" t="s">
        <v>136</v>
      </c>
      <c r="B7" s="46">
        <f>'Calculated Data'!K11-'Calculated Data'!G11</f>
        <v>584.93000000000006</v>
      </c>
      <c r="C7" s="46">
        <f>'Calculated Data'!K26-'Calculated Data'!G26</f>
        <v>2444.5086947067725</v>
      </c>
      <c r="D7" s="47">
        <f>C7/B7</f>
        <v>4.1791474102999882</v>
      </c>
      <c r="F7" s="53" t="s">
        <v>137</v>
      </c>
      <c r="G7" s="54">
        <f>MAX('Calculated Data'!B31:K31)</f>
        <v>286.15876167169642</v>
      </c>
      <c r="H7" s="54">
        <f>MAX('Calculated Data'!B32:K32)</f>
        <v>2.850647711821876</v>
      </c>
      <c r="I7" s="54">
        <f>MAX('Calculated Data'!B35:K35)</f>
        <v>6.450881048423228</v>
      </c>
      <c r="J7" s="54">
        <f>MAX('Calculated Data'!B34:K34)</f>
        <v>1.3314362400700019</v>
      </c>
      <c r="K7" s="55">
        <f>MIN('Calculated Data'!B36:K36)</f>
        <v>3.4994765258158449E-3</v>
      </c>
      <c r="M7" s="57" t="s">
        <v>138</v>
      </c>
      <c r="N7" s="55">
        <f>('Profit &amp; Loss'!$L$6/'Data Sheet'!$B$6)/'Data Sheet'!$B$8</f>
        <v>0.23676606727073804</v>
      </c>
    </row>
    <row r="8" spans="1:14" ht="15" customHeight="1" x14ac:dyDescent="0.25">
      <c r="A8" s="108" t="s">
        <v>139</v>
      </c>
      <c r="B8" s="46">
        <f>'Calculated Data'!K11-'Calculated Data'!I11</f>
        <v>480.45</v>
      </c>
      <c r="C8" s="46">
        <f>'Calculated Data'!K26-'Calculated Data'!I26</f>
        <v>2046.84657661458</v>
      </c>
      <c r="D8" s="47">
        <f>C8/B8</f>
        <v>4.2602696984380897</v>
      </c>
      <c r="F8" s="53" t="s">
        <v>140</v>
      </c>
      <c r="G8" s="54">
        <f>'Data Sheet'!B8/'Profit &amp; Loss'!L13</f>
        <v>5.2012840154665501</v>
      </c>
      <c r="H8" s="54">
        <f>'Calculated Data'!L26/'Calculated Data'!K11</f>
        <v>1.629353688636987</v>
      </c>
      <c r="I8" s="54">
        <f>'Calculated Data'!K35</f>
        <v>6.2346840332929832</v>
      </c>
      <c r="J8" s="54">
        <f>'Calculated Data'!L26/'Data Sheet'!K17</f>
        <v>0.76101320410319906</v>
      </c>
      <c r="K8" s="55">
        <f>'Data Sheet'!K31/'Calculated Data'!L26</f>
        <v>6.1225348556680787E-3</v>
      </c>
      <c r="M8" s="50"/>
      <c r="N8" s="58"/>
    </row>
    <row r="9" spans="1:14" ht="15" customHeight="1" x14ac:dyDescent="0.25">
      <c r="A9" s="108" t="s">
        <v>141</v>
      </c>
      <c r="B9" s="46">
        <f>'Calculated Data'!K11-'Calculated Data'!J11</f>
        <v>282.62</v>
      </c>
      <c r="C9" s="46">
        <f>'Calculated Data'!K26-'Calculated Data'!J26</f>
        <v>1181.0767417745401</v>
      </c>
      <c r="D9" s="47">
        <f>C9/B9</f>
        <v>4.179027463642135</v>
      </c>
      <c r="F9" s="48"/>
      <c r="G9" s="59"/>
      <c r="H9" s="48"/>
      <c r="I9" s="48"/>
      <c r="J9" s="48"/>
      <c r="K9" s="48"/>
      <c r="M9" s="60" t="s">
        <v>121</v>
      </c>
      <c r="N9" s="48"/>
    </row>
    <row r="10" spans="1:14" ht="15" customHeight="1" x14ac:dyDescent="0.25">
      <c r="A10" s="140" t="s">
        <v>142</v>
      </c>
      <c r="B10" s="140"/>
      <c r="C10" s="140"/>
      <c r="D10" s="140"/>
      <c r="E10" s="140"/>
      <c r="F10" s="140"/>
      <c r="G10" s="140"/>
      <c r="H10" s="140"/>
      <c r="I10" s="140"/>
      <c r="J10" s="140"/>
    </row>
    <row r="11" spans="1:14" ht="15" customHeight="1" x14ac:dyDescent="0.25">
      <c r="A11" s="109"/>
      <c r="B11" s="61"/>
      <c r="C11" s="61"/>
      <c r="D11" s="61"/>
      <c r="E11" s="61"/>
      <c r="F11" s="61"/>
      <c r="G11" s="61"/>
      <c r="H11" s="61"/>
      <c r="I11" s="61"/>
      <c r="J11" s="61"/>
    </row>
    <row r="12" spans="1:14" x14ac:dyDescent="0.25">
      <c r="A12" s="45" t="str">
        <f>A1</f>
        <v>MAITHAN ALLOYS LTD</v>
      </c>
      <c r="B12" s="16" t="s">
        <v>143</v>
      </c>
      <c r="C12" s="16" t="s">
        <v>144</v>
      </c>
      <c r="D12" s="16" t="s">
        <v>82</v>
      </c>
      <c r="E12" s="16" t="s">
        <v>85</v>
      </c>
      <c r="F12" s="16" t="s">
        <v>145</v>
      </c>
      <c r="G12" s="16" t="s">
        <v>146</v>
      </c>
      <c r="H12" s="16" t="s">
        <v>147</v>
      </c>
      <c r="I12" s="16" t="s">
        <v>148</v>
      </c>
      <c r="J12" s="16" t="s">
        <v>149</v>
      </c>
      <c r="K12" s="16" t="s">
        <v>150</v>
      </c>
      <c r="L12" s="16" t="s">
        <v>151</v>
      </c>
    </row>
    <row r="13" spans="1:14" x14ac:dyDescent="0.25">
      <c r="A13" s="110" t="s">
        <v>152</v>
      </c>
      <c r="B13" s="62">
        <f>POWER('Data Sheet'!$K17/'Data Sheet'!$B17, 1/9)-1</f>
        <v>0.12614188290860717</v>
      </c>
      <c r="C13" s="62">
        <f>POWER('Calculated Data'!$K4/'Calculated Data'!$B4, 1/9)-1</f>
        <v>0.24162310539080001</v>
      </c>
      <c r="D13" s="62">
        <f>POWER('Calculated Data'!$K5/'Calculated Data'!$B5, 1/9)-1</f>
        <v>0.38487522071521019</v>
      </c>
      <c r="E13" s="62">
        <f>POWER('Calculated Data'!$K8/'Calculated Data'!$B8, 1/9)-1</f>
        <v>1.337570720291676</v>
      </c>
      <c r="F13" s="62">
        <f>POWER('Calculated Data'!$K9/'Calculated Data'!$B9, 1/9)-1</f>
        <v>0.27651800700924167</v>
      </c>
      <c r="G13" s="62">
        <f>POWER('Calculated Data'!$K24/'Calculated Data'!$B24, 1/9)-1</f>
        <v>-2.2847109194849144</v>
      </c>
      <c r="H13" s="62">
        <f>POWER('Calculated Data'!$K26/'Calculated Data'!$B26, 1/9)-1</f>
        <v>0.58257393420707149</v>
      </c>
      <c r="I13" s="62">
        <f>POWER('Calculated Data'!$K17/'Calculated Data'!$B17, 1/9)-1</f>
        <v>-2.3965069866538435</v>
      </c>
      <c r="J13" s="62">
        <f>POWER('Calculated Data'!$K19/'Calculated Data'!$C19, 1/8)-1</f>
        <v>0.19972230042512762</v>
      </c>
      <c r="K13" s="62">
        <f>POWER('Calculated Data'!$K11/'Calculated Data'!$B11, 1/9)-1</f>
        <v>0.28966456350394409</v>
      </c>
      <c r="L13" s="62">
        <f>POWER('Calculated Data'!$K27/'Calculated Data'!$B27, 1/9)-1</f>
        <v>0.57898547893373431</v>
      </c>
    </row>
    <row r="14" spans="1:14" x14ac:dyDescent="0.25">
      <c r="A14" s="110" t="s">
        <v>153</v>
      </c>
      <c r="B14" s="62">
        <f>POWER('Data Sheet'!$K17/'Data Sheet'!$G17, 1/4)-1</f>
        <v>0.23268440950090952</v>
      </c>
      <c r="C14" s="62">
        <f>POWER('Calculated Data'!$K4/'Calculated Data'!$G4, 1/4)-1</f>
        <v>0.34937997919313912</v>
      </c>
      <c r="D14" s="62">
        <f>POWER('Calculated Data'!$K5/'Calculated Data'!$G5, 1/4)-1</f>
        <v>0.81308752751310731</v>
      </c>
      <c r="E14" s="62">
        <f>POWER('Calculated Data'!$K8/'Calculated Data'!$G8, 1/4)-1</f>
        <v>0.88762278123534277</v>
      </c>
      <c r="F14" s="62">
        <f>POWER('Calculated Data'!$K9/'Calculated Data'!$G9, 1/4)-1</f>
        <v>0.3160740129524926</v>
      </c>
      <c r="G14" s="62">
        <f>POWER('Calculated Data'!$K24/'Calculated Data'!$G24, 1/4)-1</f>
        <v>1.8163678898560249</v>
      </c>
      <c r="H14" s="62">
        <f>POWER('Calculated Data'!$K26/'Calculated Data'!$G26, 1/4)-1</f>
        <v>1.6557352135108538</v>
      </c>
      <c r="I14" s="62" t="e">
        <f>POWER('Calculated Data'!$K17/'Calculated Data'!$G17, 1/4)-1</f>
        <v>#NUM!</v>
      </c>
      <c r="J14" s="62" t="e">
        <f>POWER('Calculated Data'!$K19/'Calculated Data'!$G19, 1/4)-1</f>
        <v>#NUM!</v>
      </c>
      <c r="K14" s="62">
        <f>POWER('Calculated Data'!$K11/'Calculated Data'!$G11, 1/4)-1</f>
        <v>0.31779025522085425</v>
      </c>
      <c r="L14" s="62">
        <f>POWER('Calculated Data'!$K27/'Calculated Data'!$G27, 1/4)-1</f>
        <v>1.6208369204211843</v>
      </c>
    </row>
    <row r="15" spans="1:14" x14ac:dyDescent="0.25">
      <c r="A15" s="110" t="s">
        <v>154</v>
      </c>
      <c r="B15" s="62">
        <f>POWER('Data Sheet'!$K17/'Data Sheet'!$I17, 1/2)-1</f>
        <v>0.27826378935071805</v>
      </c>
      <c r="C15" s="62">
        <f>POWER('Calculated Data'!$K4/'Calculated Data'!$I4, 1/2)-1</f>
        <v>0.27055114350248011</v>
      </c>
      <c r="D15" s="62">
        <f>POWER('Calculated Data'!$K5/'Calculated Data'!$I5, 1/2)-1</f>
        <v>0.84884438172480658</v>
      </c>
      <c r="E15" s="62">
        <f>POWER('Calculated Data'!$K8/'Calculated Data'!$I8, 1/2)-1</f>
        <v>0.92136308061794647</v>
      </c>
      <c r="F15" s="62">
        <f>POWER('Calculated Data'!$K9/'Calculated Data'!$I9, 1/2)-1</f>
        <v>0.22474487139158894</v>
      </c>
      <c r="G15" s="62">
        <f>POWER('Calculated Data'!$K24/'Calculated Data'!$I24, 1/2)-1</f>
        <v>1.5960429451567486</v>
      </c>
      <c r="H15" s="62">
        <f>POWER('Calculated Data'!$K26/'Calculated Data'!$I26, 1/2)-1</f>
        <v>1.3602477659021455</v>
      </c>
      <c r="I15" s="62">
        <f>POWER('Calculated Data'!$K17/'Calculated Data'!$I17, 1/2)-1</f>
        <v>0.44560725120530043</v>
      </c>
      <c r="J15" s="62" t="e">
        <f>POWER('Calculated Data'!$K19/'Calculated Data'!$I19, 1/2)-1</f>
        <v>#NUM!</v>
      </c>
      <c r="K15" s="62">
        <f>POWER('Calculated Data'!$K11/'Calculated Data'!$I11, 1/2)-1</f>
        <v>0.48907559824182401</v>
      </c>
      <c r="L15" s="62">
        <f>POWER('Calculated Data'!$K27/'Calculated Data'!$I27, 1/2)-1</f>
        <v>1.3491578185943496</v>
      </c>
    </row>
    <row r="16" spans="1:14" x14ac:dyDescent="0.25">
      <c r="A16" s="110" t="s">
        <v>155</v>
      </c>
      <c r="B16" s="62">
        <f>('Data Sheet'!$K17-'Data Sheet'!$J17)/'Data Sheet'!$J17</f>
        <v>0.40122348858775314</v>
      </c>
      <c r="C16" s="62">
        <f>('Calculated Data'!$K4-'Calculated Data'!$J4)/'Calculated Data'!$J4</f>
        <v>0.31224226990580634</v>
      </c>
      <c r="D16" s="62">
        <f>('Calculated Data'!$K5-'Calculated Data'!$J5)/'Calculated Data'!$J5</f>
        <v>0.4631663234957677</v>
      </c>
      <c r="E16" s="62">
        <f>('Calculated Data'!$K8-'Calculated Data'!$J8)/'Calculated Data'!$J8</f>
        <v>0.57133624171917929</v>
      </c>
      <c r="F16" s="62">
        <f>('Calculated Data'!$K9-'Calculated Data'!$J9)/'Calculated Data'!$J9</f>
        <v>0.19917582417582419</v>
      </c>
      <c r="G16" s="62">
        <f>('Calculated Data'!$K24-'Calculated Data'!$J24)/'Calculated Data'!$J24</f>
        <v>0.86109357742571535</v>
      </c>
      <c r="H16" s="62">
        <f>('Calculated Data'!$K26-'Calculated Data'!$J26)/'Calculated Data'!$J26</f>
        <v>0.89912671339299655</v>
      </c>
      <c r="I16" s="62">
        <f>('Calculated Data'!$K17-'Calculated Data'!$J17)/'Calculated Data'!$J17</f>
        <v>1.3142136522658856</v>
      </c>
      <c r="J16" s="62">
        <f>('Calculated Data'!$K19-'Calculated Data'!$J19)/'Calculated Data'!$J19</f>
        <v>1.2802537139041894</v>
      </c>
      <c r="K16" s="62">
        <f>('Calculated Data'!$K11-'Calculated Data'!$J11)/'Calculated Data'!$J11</f>
        <v>0.47699578059071729</v>
      </c>
      <c r="L16" s="62">
        <f>('Calculated Data'!$K27-'Calculated Data'!$J27)/'Calculated Data'!$J27</f>
        <v>0.89526889770124729</v>
      </c>
    </row>
    <row r="17" spans="1:13" x14ac:dyDescent="0.25">
      <c r="A17" s="89" t="s">
        <v>156</v>
      </c>
      <c r="B17" s="63"/>
    </row>
    <row r="18" spans="1:13" x14ac:dyDescent="0.25">
      <c r="A18" s="45" t="str">
        <f>A1</f>
        <v>MAITHAN ALLOYS LTD</v>
      </c>
      <c r="B18" s="16">
        <f>'Data Sheet'!B16</f>
        <v>39903</v>
      </c>
      <c r="C18" s="16">
        <f>'Data Sheet'!C16</f>
        <v>40268</v>
      </c>
      <c r="D18" s="16">
        <f>'Data Sheet'!D16</f>
        <v>40633</v>
      </c>
      <c r="E18" s="16">
        <f>'Data Sheet'!E16</f>
        <v>40999</v>
      </c>
      <c r="F18" s="16">
        <f>'Data Sheet'!F16</f>
        <v>41364</v>
      </c>
      <c r="G18" s="16">
        <f>'Data Sheet'!G16</f>
        <v>41729</v>
      </c>
      <c r="H18" s="16">
        <f>'Data Sheet'!H16</f>
        <v>42094</v>
      </c>
      <c r="I18" s="16">
        <f>'Data Sheet'!I16</f>
        <v>42460</v>
      </c>
      <c r="J18" s="16">
        <f>'Data Sheet'!J16</f>
        <v>42825</v>
      </c>
      <c r="K18" s="16">
        <f>'Data Sheet'!K16</f>
        <v>43190</v>
      </c>
      <c r="L18" s="16"/>
      <c r="M18" s="29" t="s">
        <v>157</v>
      </c>
    </row>
    <row r="19" spans="1:13" ht="30" x14ac:dyDescent="0.25">
      <c r="A19" s="110" t="s">
        <v>158</v>
      </c>
      <c r="B19" s="64">
        <f>'Calculated Data'!B15/'Calculated Data'!B11</f>
        <v>3.7896695612946885</v>
      </c>
      <c r="C19" s="64">
        <f>'Calculated Data'!C15/'Calculated Data'!C11</f>
        <v>3.0958191126279866</v>
      </c>
      <c r="D19" s="64">
        <f>'Calculated Data'!D15/'Calculated Data'!D11</f>
        <v>1.8874363782480579</v>
      </c>
      <c r="E19" s="64">
        <f>'Calculated Data'!E15/'Calculated Data'!E11</f>
        <v>1.8578933657519974</v>
      </c>
      <c r="F19" s="64">
        <f>'Calculated Data'!F15/'Calculated Data'!F11</f>
        <v>1.8671568989727294</v>
      </c>
      <c r="G19" s="64">
        <f>'Calculated Data'!G15/'Calculated Data'!G11</f>
        <v>1.7464419862848479</v>
      </c>
      <c r="H19" s="64">
        <f>'Calculated Data'!H15/'Calculated Data'!H11</f>
        <v>1.6457934990439769</v>
      </c>
      <c r="I19" s="64">
        <f>'Calculated Data'!I15/'Calculated Data'!I11</f>
        <v>2.0402614842780045</v>
      </c>
      <c r="J19" s="64">
        <f>'Calculated Data'!J15/'Calculated Data'!J11</f>
        <v>1.5770801687763711</v>
      </c>
      <c r="K19" s="64">
        <f>'Calculated Data'!K15/'Calculated Data'!K11</f>
        <v>1.3933289148916719</v>
      </c>
      <c r="L19" s="29" t="s">
        <v>121</v>
      </c>
    </row>
    <row r="20" spans="1:13" x14ac:dyDescent="0.25">
      <c r="A20" s="110" t="s">
        <v>159</v>
      </c>
      <c r="B20" s="64">
        <f>'Data Sheet'!B59/'Data Sheet'!B30</f>
        <v>1017.3571428571428</v>
      </c>
      <c r="C20" s="64">
        <f>'Data Sheet'!C59/'Data Sheet'!C30</f>
        <v>3.4543650793650795</v>
      </c>
      <c r="D20" s="64">
        <f>'Data Sheet'!D59/'Data Sheet'!D30</f>
        <v>0.52464643690786761</v>
      </c>
      <c r="E20" s="64">
        <f>'Data Sheet'!E59/'Data Sheet'!E30</f>
        <v>0.14877789585547291</v>
      </c>
      <c r="F20" s="64">
        <f>'Data Sheet'!F59/'Data Sheet'!F30</f>
        <v>0.53546910755148736</v>
      </c>
      <c r="G20" s="64">
        <f>'Data Sheet'!G59/'Data Sheet'!G30</f>
        <v>1.6871192341166232</v>
      </c>
      <c r="H20" s="64">
        <f>'Data Sheet'!H59/'Data Sheet'!H30</f>
        <v>0.48127304482825539</v>
      </c>
      <c r="I20" s="64">
        <f>'Data Sheet'!I59/'Data Sheet'!I30</f>
        <v>1.7635075287865367</v>
      </c>
      <c r="J20" s="64">
        <f>'Data Sheet'!J59/'Data Sheet'!J30</f>
        <v>0.43539613292400503</v>
      </c>
      <c r="K20" s="64">
        <f>'Data Sheet'!K59/'Data Sheet'!K30</f>
        <v>0.15335047129391602</v>
      </c>
    </row>
    <row r="21" spans="1:13" x14ac:dyDescent="0.25">
      <c r="A21" s="110" t="s">
        <v>160</v>
      </c>
      <c r="B21" s="64">
        <f>'Data Sheet'!B60/'Data Sheet'!B30</f>
        <v>749.5</v>
      </c>
      <c r="C21" s="64">
        <f>'Data Sheet'!C60/'Data Sheet'!C30</f>
        <v>4.668320105820106</v>
      </c>
      <c r="D21" s="64">
        <f>'Data Sheet'!D60/'Data Sheet'!D30</f>
        <v>1.7496910613758068</v>
      </c>
      <c r="E21" s="64">
        <f>'Data Sheet'!E60/'Data Sheet'!E30</f>
        <v>4.0507970244420832</v>
      </c>
      <c r="F21" s="64">
        <f>'Data Sheet'!F60/'Data Sheet'!F30</f>
        <v>4.8345537757437071</v>
      </c>
      <c r="G21" s="64">
        <f>'Data Sheet'!G60/'Data Sheet'!G30</f>
        <v>7.7389033942558747</v>
      </c>
      <c r="H21" s="64">
        <f>'Data Sheet'!H60/'Data Sheet'!H30</f>
        <v>3.7135649136425384</v>
      </c>
      <c r="I21" s="64">
        <f>'Data Sheet'!I60/'Data Sheet'!I30</f>
        <v>3.4314817158041251</v>
      </c>
      <c r="J21" s="64">
        <f>'Data Sheet'!J60/'Data Sheet'!J30</f>
        <v>1.406150697474013</v>
      </c>
      <c r="K21" s="64">
        <f>'Data Sheet'!K60/'Data Sheet'!K30</f>
        <v>1.0264610111396744</v>
      </c>
    </row>
    <row r="22" spans="1:13" x14ac:dyDescent="0.25">
      <c r="A22" s="110" t="s">
        <v>161</v>
      </c>
      <c r="B22" s="64">
        <f>('Data Sheet'!B59+'Data Sheet'!B60)/'Data Sheet'!B30</f>
        <v>1766.8571428571429</v>
      </c>
      <c r="C22" s="64">
        <f>('Data Sheet'!C59+'Data Sheet'!C60)/'Data Sheet'!C30</f>
        <v>8.1226851851851851</v>
      </c>
      <c r="D22" s="64">
        <f>('Data Sheet'!D59+'Data Sheet'!D60)/'Data Sheet'!D30</f>
        <v>2.2743374982836744</v>
      </c>
      <c r="E22" s="64">
        <f>('Data Sheet'!E59+'Data Sheet'!E60)/'Data Sheet'!E30</f>
        <v>4.1995749202975565</v>
      </c>
      <c r="F22" s="64">
        <f>('Data Sheet'!F59+'Data Sheet'!F60)/'Data Sheet'!F30</f>
        <v>5.3700228832951948</v>
      </c>
      <c r="G22" s="64">
        <f>('Data Sheet'!G59+'Data Sheet'!G60)/'Data Sheet'!G30</f>
        <v>9.4260226283724986</v>
      </c>
      <c r="H22" s="64">
        <f>('Data Sheet'!H59+'Data Sheet'!H60)/'Data Sheet'!H30</f>
        <v>4.194837958470794</v>
      </c>
      <c r="I22" s="64">
        <f>('Data Sheet'!I59+'Data Sheet'!I60)/'Data Sheet'!I30</f>
        <v>5.194989244590662</v>
      </c>
      <c r="J22" s="64">
        <f>('Data Sheet'!J59+'Data Sheet'!J60)/'Data Sheet'!J30</f>
        <v>1.8415468303980178</v>
      </c>
      <c r="K22" s="64">
        <f>('Data Sheet'!K59+'Data Sheet'!K60)/'Data Sheet'!K30</f>
        <v>1.1798114824335906</v>
      </c>
      <c r="L22" s="65"/>
    </row>
    <row r="23" spans="1:13" x14ac:dyDescent="0.25">
      <c r="A23" s="111" t="s">
        <v>162</v>
      </c>
      <c r="B23" s="64">
        <f>'Data Sheet'!B59/'Calculated Data'!B11</f>
        <v>1.6062929965038912</v>
      </c>
      <c r="C23" s="64">
        <f>'Data Sheet'!C59/'Calculated Data'!C11</f>
        <v>0.89129692832764507</v>
      </c>
      <c r="D23" s="64">
        <f>'Data Sheet'!D59/'Calculated Data'!D11</f>
        <v>0.20471470667023842</v>
      </c>
      <c r="E23" s="64">
        <f>'Data Sheet'!E59/'Calculated Data'!E11</f>
        <v>3.0392497394928795E-2</v>
      </c>
      <c r="F23" s="64">
        <f>'Data Sheet'!F59/'Calculated Data'!F11</f>
        <v>8.6468110265316672E-2</v>
      </c>
      <c r="G23" s="64">
        <f>'Data Sheet'!G59/'Calculated Data'!G11</f>
        <v>0.13360212274716565</v>
      </c>
      <c r="H23" s="64">
        <f>'Data Sheet'!H59/'Calculated Data'!H11</f>
        <v>7.4091778202676858E-2</v>
      </c>
      <c r="I23" s="64">
        <f>'Data Sheet'!I59/'Calculated Data'!I11</f>
        <v>0.35313046342513998</v>
      </c>
      <c r="J23" s="64">
        <f>'Data Sheet'!J59/'Calculated Data'!J11</f>
        <v>0.13643881856540085</v>
      </c>
      <c r="K23" s="64">
        <f>'Data Sheet'!K59/'Calculated Data'!K11</f>
        <v>5.1124417222780875E-2</v>
      </c>
    </row>
    <row r="24" spans="1:13" x14ac:dyDescent="0.25">
      <c r="A24" s="111" t="s">
        <v>163</v>
      </c>
      <c r="B24" s="64">
        <f>'Calculated Data'!B5/'Data Sheet'!B27</f>
        <v>1.0507952796305797</v>
      </c>
      <c r="C24" s="64">
        <f>'Calculated Data'!C5/'Data Sheet'!C27</f>
        <v>3.9009900990099009</v>
      </c>
      <c r="D24" s="64">
        <f>'Calculated Data'!D5/'Data Sheet'!D27</f>
        <v>11.72111111111111</v>
      </c>
      <c r="E24" s="64">
        <f>'Calculated Data'!E5/'Data Sheet'!E27</f>
        <v>15.334101382488479</v>
      </c>
      <c r="F24" s="64">
        <f>'Calculated Data'!F5/'Data Sheet'!F27</f>
        <v>8.3554054054054046</v>
      </c>
      <c r="G24" s="64">
        <f>'Calculated Data'!G5/'Data Sheet'!G27</f>
        <v>5.8117839607201303</v>
      </c>
      <c r="H24" s="64">
        <f>'Calculated Data'!H5/'Data Sheet'!H27</f>
        <v>11.428571428571427</v>
      </c>
      <c r="I24" s="64">
        <f>'Calculated Data'!I5/'Data Sheet'!I27</f>
        <v>6.7912885662431943</v>
      </c>
      <c r="J24" s="64">
        <f>'Calculated Data'!J5/'Data Sheet'!J27</f>
        <v>21.235627530364372</v>
      </c>
      <c r="K24" s="64">
        <f>'Calculated Data'!K5/'Data Sheet'!K27</f>
        <v>49.070332480818415</v>
      </c>
    </row>
    <row r="25" spans="1:13" s="44" customFormat="1" x14ac:dyDescent="0.25">
      <c r="A25" s="110" t="s">
        <v>164</v>
      </c>
      <c r="B25" s="66">
        <f>'Calculated Data'!B12/'Data Sheet'!B17</f>
        <v>0.16514046734348034</v>
      </c>
      <c r="C25" s="66">
        <f>'Calculated Data'!C12/'Data Sheet'!C17</f>
        <v>0.21114000503313482</v>
      </c>
      <c r="D25" s="66">
        <f>'Calculated Data'!D12/'Data Sheet'!D17</f>
        <v>0.14218667371760971</v>
      </c>
      <c r="E25" s="66">
        <f>'Calculated Data'!E12/'Data Sheet'!E17</f>
        <v>0.14804276057223703</v>
      </c>
      <c r="F25" s="66">
        <f>'Calculated Data'!F12/'Data Sheet'!F17</f>
        <v>0.12417895069606244</v>
      </c>
      <c r="G25" s="66">
        <f>'Calculated Data'!G12/'Data Sheet'!G17</f>
        <v>0.17706934158153517</v>
      </c>
      <c r="H25" s="66">
        <f>'Calculated Data'!H12/'Data Sheet'!H17</f>
        <v>0.20223152022315199</v>
      </c>
      <c r="I25" s="66">
        <f>'Calculated Data'!I12/'Data Sheet'!I17</f>
        <v>0.19788959623266766</v>
      </c>
      <c r="J25" s="66">
        <f>'Calculated Data'!J12/'Data Sheet'!J17</f>
        <v>0.26328935953812554</v>
      </c>
      <c r="K25" s="66">
        <f>'Calculated Data'!K12/'Data Sheet'!K17</f>
        <v>0.17291290842522122</v>
      </c>
      <c r="L25" s="29" t="s">
        <v>165</v>
      </c>
    </row>
    <row r="26" spans="1:13" s="44" customFormat="1" x14ac:dyDescent="0.25">
      <c r="A26" s="110" t="s">
        <v>166</v>
      </c>
      <c r="B26" s="64">
        <f t="shared" ref="B26:K26" si="0">365/B27</f>
        <v>49.982431865176217</v>
      </c>
      <c r="C26" s="64">
        <f t="shared" si="0"/>
        <v>44.159151916785504</v>
      </c>
      <c r="D26" s="64">
        <f t="shared" si="0"/>
        <v>52.977839106292969</v>
      </c>
      <c r="E26" s="64">
        <f t="shared" si="0"/>
        <v>53.232274799559818</v>
      </c>
      <c r="F26" s="64">
        <f t="shared" si="0"/>
        <v>55.017738177475444</v>
      </c>
      <c r="G26" s="64">
        <f t="shared" si="0"/>
        <v>64.158030289960436</v>
      </c>
      <c r="H26" s="64">
        <f t="shared" si="0"/>
        <v>48.953067773355563</v>
      </c>
      <c r="I26" s="64">
        <f t="shared" si="0"/>
        <v>47.997165780064527</v>
      </c>
      <c r="J26" s="64">
        <f t="shared" si="0"/>
        <v>50.927375931077805</v>
      </c>
      <c r="K26" s="64">
        <f t="shared" si="0"/>
        <v>48.348873328138509</v>
      </c>
    </row>
    <row r="27" spans="1:13" s="44" customFormat="1" x14ac:dyDescent="0.25">
      <c r="A27" s="110" t="s">
        <v>167</v>
      </c>
      <c r="B27" s="67">
        <f>'Balance Sheet'!B21</f>
        <v>7.3025658492279755</v>
      </c>
      <c r="C27" s="67">
        <f>'Balance Sheet'!C21</f>
        <v>8.2655572889582256</v>
      </c>
      <c r="D27" s="67">
        <f>'Balance Sheet'!D21</f>
        <v>6.8896732323807353</v>
      </c>
      <c r="E27" s="67">
        <f>'Balance Sheet'!E21</f>
        <v>6.856742481405627</v>
      </c>
      <c r="F27" s="67">
        <f>'Balance Sheet'!F21</f>
        <v>6.6342240173994096</v>
      </c>
      <c r="G27" s="67">
        <f>'Balance Sheet'!G21</f>
        <v>5.6890773976444198</v>
      </c>
      <c r="H27" s="67">
        <f>'Balance Sheet'!H21</f>
        <v>7.4561210686506589</v>
      </c>
      <c r="I27" s="67">
        <f>'Balance Sheet'!I21</f>
        <v>7.6046156906956703</v>
      </c>
      <c r="J27" s="67">
        <f>'Balance Sheet'!J21</f>
        <v>7.1670686605563603</v>
      </c>
      <c r="K27" s="67">
        <f>'Balance Sheet'!K21</f>
        <v>7.5492969096256903</v>
      </c>
    </row>
    <row r="28" spans="1:13" s="44" customFormat="1" x14ac:dyDescent="0.25">
      <c r="A28" s="110" t="s">
        <v>46</v>
      </c>
      <c r="B28" s="67">
        <f>'Balance Sheet'!B20</f>
        <v>22.483014878500022</v>
      </c>
      <c r="C28" s="67">
        <f>'Balance Sheet'!C20</f>
        <v>46.524410703800022</v>
      </c>
      <c r="D28" s="67">
        <f>'Balance Sheet'!D20</f>
        <v>27.300204918032787</v>
      </c>
      <c r="E28" s="67">
        <f>'Balance Sheet'!E20</f>
        <v>48.842634805848135</v>
      </c>
      <c r="F28" s="67">
        <f>'Balance Sheet'!F20</f>
        <v>49.325363837534688</v>
      </c>
      <c r="G28" s="67">
        <f>'Balance Sheet'!G20</f>
        <v>46.404823226410677</v>
      </c>
      <c r="H28" s="67">
        <f>'Balance Sheet'!H20</f>
        <v>77.746311981948267</v>
      </c>
      <c r="I28" s="67">
        <f>'Balance Sheet'!I20</f>
        <v>63.243960931368271</v>
      </c>
      <c r="J28" s="67">
        <f>'Balance Sheet'!J20</f>
        <v>61.47480481019474</v>
      </c>
      <c r="K28" s="67">
        <f>'Balance Sheet'!K20</f>
        <v>47.480039067920536</v>
      </c>
    </row>
    <row r="29" spans="1:13" s="44" customFormat="1" x14ac:dyDescent="0.25">
      <c r="A29" s="110" t="s">
        <v>168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29" t="s">
        <v>169</v>
      </c>
    </row>
    <row r="30" spans="1:13" s="44" customFormat="1" x14ac:dyDescent="0.25">
      <c r="A30" s="110" t="s">
        <v>170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3" s="44" customFormat="1" x14ac:dyDescent="0.25">
      <c r="A31" s="110" t="s">
        <v>171</v>
      </c>
      <c r="B31" s="64">
        <f>('Data Sheet'!B67+'Data Sheet'!B69)/'Data Sheet'!B60</f>
        <v>0.46116458591441911</v>
      </c>
      <c r="C31" s="64">
        <f>('Data Sheet'!C67+'Data Sheet'!C69)/'Data Sheet'!C60</f>
        <v>0.66572217893320118</v>
      </c>
      <c r="D31" s="64">
        <f>('Data Sheet'!D67+'Data Sheet'!D69)/'Data Sheet'!D60</f>
        <v>0.58188809542493924</v>
      </c>
      <c r="E31" s="64">
        <f>('Data Sheet'!E67+'Data Sheet'!E69)/'Data Sheet'!E60</f>
        <v>0.71220945485072673</v>
      </c>
      <c r="F31" s="64">
        <f>('Data Sheet'!F67+'Data Sheet'!F69)/'Data Sheet'!F60</f>
        <v>0.66848109054764038</v>
      </c>
      <c r="G31" s="64">
        <f>('Data Sheet'!G67+'Data Sheet'!G69)/'Data Sheet'!G60</f>
        <v>0.72357174988753936</v>
      </c>
      <c r="H31" s="64">
        <f>('Data Sheet'!H67+'Data Sheet'!H69)/'Data Sheet'!H60</f>
        <v>1.0685096153846152</v>
      </c>
      <c r="I31" s="64">
        <f>('Data Sheet'!I67+'Data Sheet'!I69)/'Data Sheet'!I60</f>
        <v>0.93049153729857292</v>
      </c>
      <c r="J31" s="64">
        <f>('Data Sheet'!J67+'Data Sheet'!J69)/'Data Sheet'!J60</f>
        <v>1.2076758081814005</v>
      </c>
      <c r="K31" s="64">
        <f>('Data Sheet'!K67+'Data Sheet'!K69)/'Data Sheet'!K60</f>
        <v>0.98317026747253478</v>
      </c>
      <c r="M31" s="44" t="s">
        <v>172</v>
      </c>
    </row>
    <row r="32" spans="1:13" s="44" customFormat="1" x14ac:dyDescent="0.25">
      <c r="A32" s="110" t="s">
        <v>173</v>
      </c>
      <c r="B32" s="64">
        <f>'Data Sheet'!B65/'Data Sheet'!B60</f>
        <v>2.0122939102258646</v>
      </c>
      <c r="C32" s="64">
        <f>'Data Sheet'!C65/'Data Sheet'!C60</f>
        <v>1.7131826875398457</v>
      </c>
      <c r="D32" s="64">
        <f>'Data Sheet'!D65/'Data Sheet'!D60</f>
        <v>1.6751942242799969</v>
      </c>
      <c r="E32" s="64">
        <f>'Data Sheet'!E65/'Data Sheet'!E60</f>
        <v>1.4940972768770659</v>
      </c>
      <c r="F32" s="64">
        <f>'Data Sheet'!F65/'Data Sheet'!F60</f>
        <v>1.502011643868036</v>
      </c>
      <c r="G32" s="64">
        <f>'Data Sheet'!G65/'Data Sheet'!G60</f>
        <v>1.8079734592892487</v>
      </c>
      <c r="H32" s="64">
        <f>'Data Sheet'!H65/'Data Sheet'!H60</f>
        <v>1.9320129598662206</v>
      </c>
      <c r="I32" s="64">
        <f>'Data Sheet'!I65/'Data Sheet'!I60</f>
        <v>1.836756517570707</v>
      </c>
      <c r="J32" s="64">
        <f>'Data Sheet'!J65/'Data Sheet'!J60</f>
        <v>2.3484755630458096</v>
      </c>
      <c r="K32" s="64">
        <f>'Data Sheet'!K65/'Data Sheet'!K60</f>
        <v>2.0818445921127324</v>
      </c>
      <c r="L32" s="44" t="s">
        <v>121</v>
      </c>
    </row>
    <row r="33" spans="1:14" s="44" customFormat="1" x14ac:dyDescent="0.25">
      <c r="A33" s="112" t="s">
        <v>174</v>
      </c>
      <c r="B33" s="64">
        <f>'Calculated Data'!B17/'Calculated Data'!B8</f>
        <v>-100.57142857142857</v>
      </c>
      <c r="C33" s="64">
        <f>'Calculated Data'!C17/'Calculated Data'!C8</f>
        <v>2.3723544973544972</v>
      </c>
      <c r="D33" s="64">
        <f>'Calculated Data'!D17/'Calculated Data'!D8</f>
        <v>1.2584099958808184</v>
      </c>
      <c r="E33" s="64">
        <f>'Calculated Data'!E17/'Calculated Data'!E8</f>
        <v>1.4367693942614239</v>
      </c>
      <c r="F33" s="64">
        <f>'Calculated Data'!F17/'Calculated Data'!F8</f>
        <v>0.19359267734553776</v>
      </c>
      <c r="G33" s="64">
        <f>'Calculated Data'!G17/'Calculated Data'!G8</f>
        <v>-0.29373368146214096</v>
      </c>
      <c r="H33" s="64">
        <f>'Calculated Data'!H17/'Calculated Data'!H8</f>
        <v>0.16223559091791187</v>
      </c>
      <c r="I33" s="64">
        <f>'Calculated Data'!I17/'Calculated Data'!I8</f>
        <v>1.7222573706187525</v>
      </c>
      <c r="J33" s="64">
        <f>'Calculated Data'!J17/'Calculated Data'!J8</f>
        <v>0.66198093391501056</v>
      </c>
      <c r="K33" s="64">
        <f>'Calculated Data'!K17/'Calculated Data'!K8</f>
        <v>0.9749443016281063</v>
      </c>
    </row>
    <row r="34" spans="1:14" x14ac:dyDescent="0.25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7"/>
      <c r="L34" s="29" t="s">
        <v>121</v>
      </c>
    </row>
    <row r="35" spans="1:14" x14ac:dyDescent="0.25">
      <c r="A35" s="113" t="s">
        <v>175</v>
      </c>
      <c r="B35" s="68">
        <f>'Calculated Data'!B4/'Data Sheet'!B17</f>
        <v>0.20105408808942654</v>
      </c>
      <c r="C35" s="68">
        <f>'Calculated Data'!C4/'Data Sheet'!C17</f>
        <v>0.5179724855297374</v>
      </c>
      <c r="D35" s="68">
        <f>'Calculated Data'!D4/'Data Sheet'!D17</f>
        <v>0.40299444738233742</v>
      </c>
      <c r="E35" s="68">
        <f>'Calculated Data'!E4/'Data Sheet'!E17</f>
        <v>0.39919823927055492</v>
      </c>
      <c r="F35" s="68">
        <f>'Calculated Data'!F4/'Data Sheet'!F17</f>
        <v>0.33093702068868619</v>
      </c>
      <c r="G35" s="68">
        <f>'Calculated Data'!G4/'Data Sheet'!G17</f>
        <v>0.33709595928477237</v>
      </c>
      <c r="H35" s="68">
        <f>'Calculated Data'!H4/'Data Sheet'!H17</f>
        <v>0.33230148201063597</v>
      </c>
      <c r="I35" s="68">
        <f>'Calculated Data'!I4/'Data Sheet'!I17</f>
        <v>0.48993633905991107</v>
      </c>
      <c r="J35" s="68">
        <f>'Calculated Data'!J4/'Data Sheet'!J17</f>
        <v>0.51686410003290562</v>
      </c>
      <c r="K35" s="68">
        <f>'Calculated Data'!K4/'Data Sheet'!K17</f>
        <v>0.48404192863166212</v>
      </c>
      <c r="L35" s="69"/>
      <c r="M35" s="69"/>
      <c r="N35" s="69"/>
    </row>
    <row r="36" spans="1:14" x14ac:dyDescent="0.25">
      <c r="A36" s="113" t="s">
        <v>176</v>
      </c>
      <c r="B36" s="68">
        <f>'Calculated Data'!B5/'Data Sheet'!B17</f>
        <v>3.1840300990345294E-2</v>
      </c>
      <c r="C36" s="68">
        <f>'Calculated Data'!C5/'Data Sheet'!C17</f>
        <v>0.12394094455163158</v>
      </c>
      <c r="D36" s="68">
        <f>'Calculated Data'!D5/'Data Sheet'!D17</f>
        <v>0.17432905869910101</v>
      </c>
      <c r="E36" s="68">
        <f>'Calculated Data'!E5/'Data Sheet'!E17</f>
        <v>0.10462191479327149</v>
      </c>
      <c r="F36" s="68">
        <f>'Calculated Data'!F5/'Data Sheet'!F17</f>
        <v>7.2392839162149183E-2</v>
      </c>
      <c r="G36" s="68">
        <f>'Calculated Data'!G5/'Data Sheet'!G17</f>
        <v>4.3759011201616779E-2</v>
      </c>
      <c r="H36" s="68">
        <f>'Calculated Data'!H5/'Data Sheet'!H17</f>
        <v>7.982673968999103E-2</v>
      </c>
      <c r="I36" s="68">
        <f>'Calculated Data'!I5/'Data Sheet'!I17</f>
        <v>9.7898316909392172E-2</v>
      </c>
      <c r="J36" s="68">
        <f>'Calculated Data'!J5/'Data Sheet'!J17</f>
        <v>0.19613210087050165</v>
      </c>
      <c r="K36" s="68">
        <f>'Calculated Data'!K5/'Data Sheet'!K17</f>
        <v>0.20480236542382288</v>
      </c>
      <c r="L36" s="69"/>
      <c r="M36" s="69"/>
      <c r="N36" s="69"/>
    </row>
    <row r="37" spans="1:14" x14ac:dyDescent="0.25">
      <c r="A37" s="110" t="s">
        <v>177</v>
      </c>
      <c r="B37" s="62">
        <f>'Calculated Data'!B6/'Data Sheet'!B17</f>
        <v>4.1868130159667907E-2</v>
      </c>
      <c r="C37" s="62">
        <f>'Calculated Data'!C6/'Data Sheet'!C17</f>
        <v>0.14906467578223304</v>
      </c>
      <c r="D37" s="62">
        <f>'Calculated Data'!D6/'Data Sheet'!D17</f>
        <v>0.19120174510840823</v>
      </c>
      <c r="E37" s="62">
        <f>'Calculated Data'!E6/'Data Sheet'!E17</f>
        <v>0.11608237698475082</v>
      </c>
      <c r="F37" s="62">
        <f>'Calculated Data'!F6/'Data Sheet'!F17</f>
        <v>8.0050111814914116E-2</v>
      </c>
      <c r="G37" s="62">
        <f>'Calculated Data'!G6/'Data Sheet'!G17</f>
        <v>5.0931003462766022E-2</v>
      </c>
      <c r="H37" s="62">
        <f>'Calculated Data'!H6/'Data Sheet'!H17</f>
        <v>8.365933031715253E-2</v>
      </c>
      <c r="I37" s="62">
        <f>'Calculated Data'!I6/'Data Sheet'!I17</f>
        <v>0.11820877300078486</v>
      </c>
      <c r="J37" s="62">
        <f>'Calculated Data'!J6/'Data Sheet'!J17</f>
        <v>0.2150677555415956</v>
      </c>
      <c r="K37" s="62">
        <f>'Calculated Data'!K6/'Data Sheet'!K17</f>
        <v>0.21304292134111846</v>
      </c>
      <c r="L37" s="69"/>
      <c r="M37" s="69"/>
      <c r="N37" s="69"/>
    </row>
    <row r="38" spans="1:14" x14ac:dyDescent="0.25">
      <c r="A38" s="110" t="s">
        <v>178</v>
      </c>
      <c r="B38" s="62">
        <f>'Calculated Data'!B7/'Data Sheet'!B17</f>
        <v>2.695853609241149E-2</v>
      </c>
      <c r="C38" s="62">
        <f>'Calculated Data'!C7/'Data Sheet'!C17</f>
        <v>0.11725106954114588</v>
      </c>
      <c r="D38" s="62">
        <f>'Calculated Data'!D7/'Data Sheet'!D17</f>
        <v>0.17898929138022207</v>
      </c>
      <c r="E38" s="62">
        <f>'Calculated Data'!E7/'Data Sheet'!E17</f>
        <v>0.10669706021065871</v>
      </c>
      <c r="F38" s="62">
        <f>'Calculated Data'!F7/'Data Sheet'!F17</f>
        <v>7.4851596435972792E-2</v>
      </c>
      <c r="G38" s="62">
        <f>'Calculated Data'!G7/'Data Sheet'!G17</f>
        <v>4.8417109268136388E-2</v>
      </c>
      <c r="H38" s="62">
        <f>'Calculated Data'!H7/'Data Sheet'!H17</f>
        <v>8.018958850676372E-2</v>
      </c>
      <c r="I38" s="62">
        <f>'Calculated Data'!I7/'Data Sheet'!I17</f>
        <v>0.11474666434115288</v>
      </c>
      <c r="J38" s="62">
        <f>'Calculated Data'!J7/'Data Sheet'!J17</f>
        <v>0.2089577911394298</v>
      </c>
      <c r="K38" s="62">
        <f>'Calculated Data'!K7/'Data Sheet'!K17</f>
        <v>0.20474365680005976</v>
      </c>
      <c r="L38" s="69"/>
      <c r="M38" s="69"/>
      <c r="N38" s="69"/>
    </row>
    <row r="39" spans="1:14" x14ac:dyDescent="0.25">
      <c r="A39" s="110" t="s">
        <v>179</v>
      </c>
      <c r="B39" s="62">
        <f>'Calculated Data'!B8/'Data Sheet'!B17</f>
        <v>2.1765830755118859E-4</v>
      </c>
      <c r="C39" s="62">
        <f>'Calculated Data'!C8/'Data Sheet'!C17</f>
        <v>6.3417498532002348E-2</v>
      </c>
      <c r="D39" s="62">
        <f>'Calculated Data'!D8/'Data Sheet'!D17</f>
        <v>0.12035629296668429</v>
      </c>
      <c r="E39" s="62">
        <f>'Calculated Data'!E8/'Data Sheet'!E17</f>
        <v>7.3966357490960533E-2</v>
      </c>
      <c r="F39" s="62">
        <f>'Calculated Data'!F8/'Data Sheet'!F17</f>
        <v>5.1165568031472097E-2</v>
      </c>
      <c r="G39" s="62">
        <f>'Calculated Data'!G8/'Data Sheet'!G17</f>
        <v>2.8318278721857323E-2</v>
      </c>
      <c r="H39" s="62">
        <f>'Calculated Data'!H8/'Data Sheet'!H17</f>
        <v>5.8429998525926688E-2</v>
      </c>
      <c r="I39" s="62">
        <f>'Calculated Data'!I8/'Data Sheet'!I17</f>
        <v>6.8919508153832743E-2</v>
      </c>
      <c r="J39" s="62">
        <f>'Calculated Data'!J8/'Data Sheet'!J17</f>
        <v>0.13885398905142241</v>
      </c>
      <c r="K39" s="62">
        <f>'Calculated Data'!K8/'Data Sheet'!K17</f>
        <v>0.15571128166262821</v>
      </c>
      <c r="L39" s="69"/>
      <c r="M39" s="69"/>
      <c r="N39" s="69"/>
    </row>
    <row r="40" spans="1:14" x14ac:dyDescent="0.25">
      <c r="A40" s="110" t="s">
        <v>180</v>
      </c>
      <c r="B40" s="62">
        <f>'Calculated Data'!B17/'Data Sheet'!B17</f>
        <v>-2.1890206930862393E-2</v>
      </c>
      <c r="C40" s="62">
        <f>'Calculated Data'!C17/'Data Sheet'!C17</f>
        <v>0.15044878785336802</v>
      </c>
      <c r="D40" s="62">
        <f>'Calculated Data'!D17/'Data Sheet'!D17</f>
        <v>0.15145756213643577</v>
      </c>
      <c r="E40" s="62">
        <f>'Calculated Data'!E17/'Data Sheet'!E17</f>
        <v>0.10627259864801131</v>
      </c>
      <c r="F40" s="62">
        <f>'Calculated Data'!F17/'Data Sheet'!F17</f>
        <v>9.9052793031179382E-3</v>
      </c>
      <c r="G40" s="62">
        <f>'Calculated Data'!G17/'Data Sheet'!G17</f>
        <v>-8.318032261642164E-3</v>
      </c>
      <c r="H40" s="62">
        <f>'Calculated Data'!H17/'Data Sheet'!H17</f>
        <v>9.4794253381864351E-3</v>
      </c>
      <c r="I40" s="62">
        <f>'Calculated Data'!I17/'Data Sheet'!I17</f>
        <v>0.11869713089735764</v>
      </c>
      <c r="J40" s="62">
        <f>'Calculated Data'!J17/'Data Sheet'!J17</f>
        <v>9.1918693350085248E-2</v>
      </c>
      <c r="K40" s="62">
        <f>'Calculated Data'!K17/'Data Sheet'!K17</f>
        <v>0.15180982675618843</v>
      </c>
      <c r="L40" s="69"/>
      <c r="M40" s="69"/>
      <c r="N40" s="69"/>
    </row>
    <row r="41" spans="1:14" x14ac:dyDescent="0.25">
      <c r="A41" s="110" t="s">
        <v>181</v>
      </c>
      <c r="B41" s="62">
        <f>'Calculated Data'!B19/'Data Sheet'!B17</f>
        <v>0</v>
      </c>
      <c r="C41" s="62">
        <f>'Calculated Data'!C19/'Data Sheet'!C17</f>
        <v>0.13350390067947321</v>
      </c>
      <c r="D41" s="62">
        <f>'Calculated Data'!D19/'Data Sheet'!D17</f>
        <v>0.18774788471708087</v>
      </c>
      <c r="E41" s="62">
        <f>'Calculated Data'!E19/'Data Sheet'!E17</f>
        <v>0.1139600691715139</v>
      </c>
      <c r="F41" s="62">
        <f>'Calculated Data'!F19/'Data Sheet'!F17</f>
        <v>1.3406081326323926E-2</v>
      </c>
      <c r="G41" s="62">
        <f>'Calculated Data'!G19/'Data Sheet'!G17</f>
        <v>-9.3531651653131886E-3</v>
      </c>
      <c r="H41" s="62">
        <f>'Calculated Data'!H19/'Data Sheet'!H17</f>
        <v>6.8941275186810459E-3</v>
      </c>
      <c r="I41" s="62">
        <f>'Calculated Data'!I19/'Data Sheet'!I17</f>
        <v>-7.9436644283596355E-2</v>
      </c>
      <c r="J41" s="62">
        <f>'Calculated Data'!J19/'Data Sheet'!J17</f>
        <v>8.9607825540698183E-2</v>
      </c>
      <c r="K41" s="62">
        <f>'Calculated Data'!K19/'Data Sheet'!K17</f>
        <v>0.14582154713235057</v>
      </c>
      <c r="L41" s="69"/>
      <c r="M41" s="69"/>
      <c r="N41" s="69"/>
    </row>
    <row r="42" spans="1:14" x14ac:dyDescent="0.25">
      <c r="A42" s="110" t="s">
        <v>182</v>
      </c>
      <c r="B42" s="62">
        <f>'Calculated Data'!B24/'Data Sheet'!B17</f>
        <v>-3.7660854750141297E-2</v>
      </c>
      <c r="C42" s="62">
        <f>'Calculated Data'!C24/'Data Sheet'!C17</f>
        <v>3.0779354298620637E-2</v>
      </c>
      <c r="D42" s="62">
        <f>'Calculated Data'!D24/'Data Sheet'!D17</f>
        <v>9.791965095420381E-2</v>
      </c>
      <c r="E42" s="62">
        <f>'Calculated Data'!E24/'Data Sheet'!E17</f>
        <v>4.7867288561007651E-2</v>
      </c>
      <c r="F42" s="62">
        <f>'Calculated Data'!F24/'Data Sheet'!F17</f>
        <v>3.4522554340320082E-2</v>
      </c>
      <c r="G42" s="62">
        <f>'Calculated Data'!G24/'Data Sheet'!G17</f>
        <v>4.5232541500253654E-3</v>
      </c>
      <c r="H42" s="62">
        <f>'Calculated Data'!H24/'Data Sheet'!H17</f>
        <v>3.2156152982404471E-2</v>
      </c>
      <c r="I42" s="62">
        <f>'Calculated Data'!I24/'Data Sheet'!I17</f>
        <v>2.988258350772182E-2</v>
      </c>
      <c r="J42" s="62">
        <f>'Calculated Data'!J24/'Data Sheet'!J17</f>
        <v>9.2798319680825025E-2</v>
      </c>
      <c r="K42" s="62">
        <f>'Calculated Data'!K24/'Data Sheet'!K17</f>
        <v>0.12325396923509101</v>
      </c>
      <c r="L42" s="69"/>
      <c r="M42" s="69"/>
      <c r="N42" s="69"/>
    </row>
    <row r="43" spans="1:14" x14ac:dyDescent="0.25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7"/>
    </row>
    <row r="44" spans="1:14" ht="30" x14ac:dyDescent="0.25">
      <c r="A44" s="110" t="s">
        <v>183</v>
      </c>
      <c r="B44" s="64">
        <f>'Data Sheet'!B17/'Calculated Data'!B13</f>
        <v>2.8460619469026551</v>
      </c>
      <c r="C44" s="64">
        <f>'Data Sheet'!C17/'Calculated Data'!C13</f>
        <v>2.2018840044329515</v>
      </c>
      <c r="D44" s="64">
        <f>'Data Sheet'!D17/'Calculated Data'!D13</f>
        <v>3.5647717231222384</v>
      </c>
      <c r="E44" s="64">
        <f>'Data Sheet'!E17/'Calculated Data'!E13</f>
        <v>3.8388654194327101</v>
      </c>
      <c r="F44" s="64">
        <f>'Data Sheet'!F17/'Calculated Data'!F13</f>
        <v>5.0820540283232187</v>
      </c>
      <c r="G44" s="64">
        <f>'Data Sheet'!G17/'Calculated Data'!G13</f>
        <v>4.0430970056300142</v>
      </c>
      <c r="H44" s="64">
        <f>'Data Sheet'!H17/'Calculated Data'!H13</f>
        <v>3.76450249711871</v>
      </c>
      <c r="I44" s="64">
        <f>'Data Sheet'!I17/'Calculated Data'!I13</f>
        <v>2.3558294812532101</v>
      </c>
      <c r="J44" s="64">
        <f>'Data Sheet'!J17/'Calculated Data'!J13</f>
        <v>2.2676796798154872</v>
      </c>
      <c r="K44" s="64">
        <f>'Data Sheet'!K17/'Calculated Data'!K13</f>
        <v>3.3616692981197072</v>
      </c>
    </row>
    <row r="45" spans="1:14" s="44" customFormat="1" ht="30" x14ac:dyDescent="0.25">
      <c r="A45" s="110" t="s">
        <v>184</v>
      </c>
      <c r="B45" s="64">
        <f>'Data Sheet'!B17/'Data Sheet'!B62</f>
        <v>13.532716179255207</v>
      </c>
      <c r="C45" s="64">
        <f>'Data Sheet'!C17/'Data Sheet'!C62</f>
        <v>4.3551009224586723</v>
      </c>
      <c r="D45" s="64">
        <f>'Data Sheet'!D17/'Data Sheet'!D62</f>
        <v>7.2748256792498189</v>
      </c>
      <c r="E45" s="64">
        <f>'Data Sheet'!E17/'Data Sheet'!E62</f>
        <v>8.8927722633859929</v>
      </c>
      <c r="F45" s="64">
        <f>'Data Sheet'!F17/'Data Sheet'!F62</f>
        <v>13.775645161290322</v>
      </c>
      <c r="G45" s="64">
        <f>'Data Sheet'!G17/'Data Sheet'!G62</f>
        <v>14.244163594874495</v>
      </c>
      <c r="H45" s="64">
        <f>'Data Sheet'!H17/'Data Sheet'!H62</f>
        <v>15.999818577648767</v>
      </c>
      <c r="I45" s="64">
        <f>'Data Sheet'!I17/'Data Sheet'!I62</f>
        <v>4.4132702151406695</v>
      </c>
      <c r="J45" s="64">
        <f>'Data Sheet'!J17/'Data Sheet'!J62</f>
        <v>5.6277777777777782</v>
      </c>
      <c r="K45" s="64">
        <f>'Data Sheet'!K17/'Data Sheet'!K62</f>
        <v>8.0283657554203458</v>
      </c>
    </row>
    <row r="46" spans="1:14" x14ac:dyDescent="0.25">
      <c r="A46" s="110" t="s">
        <v>185</v>
      </c>
      <c r="B46" s="64">
        <f>'Data Sheet'!B17/'Calculated Data'!B15</f>
        <v>1.91414457042526</v>
      </c>
      <c r="C46" s="64">
        <f>'Data Sheet'!C17/'Calculated Data'!C15</f>
        <v>1.3142242923683267</v>
      </c>
      <c r="D46" s="64">
        <f>'Data Sheet'!D17/'Calculated Data'!D15</f>
        <v>1.7176757784779584</v>
      </c>
      <c r="E46" s="64">
        <f>'Data Sheet'!E17/'Calculated Data'!E15</f>
        <v>1.4865275408380267</v>
      </c>
      <c r="F46" s="64">
        <f>'Data Sheet'!F17/'Calculated Data'!F15</f>
        <v>1.6902966613232004</v>
      </c>
      <c r="G46" s="64">
        <f>'Data Sheet'!G17/'Calculated Data'!G15</f>
        <v>1.60120363062352</v>
      </c>
      <c r="H46" s="64">
        <f>'Data Sheet'!H17/'Calculated Data'!H15</f>
        <v>1.60091126924194</v>
      </c>
      <c r="I46" s="64">
        <f>'Data Sheet'!I17/'Calculated Data'!I15</f>
        <v>1.4240651739254624</v>
      </c>
      <c r="J46" s="64">
        <f>'Data Sheet'!J17/'Calculated Data'!J15</f>
        <v>1.4310053295092144</v>
      </c>
      <c r="K46" s="64">
        <f>'Data Sheet'!K17/'Calculated Data'!K15</f>
        <v>1.5366307726374322</v>
      </c>
    </row>
    <row r="47" spans="1:14" x14ac:dyDescent="0.25">
      <c r="A47" s="110" t="s">
        <v>186</v>
      </c>
      <c r="B47" s="62">
        <f>B39*B46</f>
        <v>4.1662946760705899E-4</v>
      </c>
      <c r="C47" s="62">
        <f t="shared" ref="C47:K47" si="1">C39*C46</f>
        <v>8.3344817131990184E-2</v>
      </c>
      <c r="D47" s="62">
        <f t="shared" si="1"/>
        <v>0.20673308921627068</v>
      </c>
      <c r="E47" s="62">
        <f t="shared" si="1"/>
        <v>0.10995302750578392</v>
      </c>
      <c r="F47" s="62">
        <f t="shared" si="1"/>
        <v>8.6484988818302369E-2</v>
      </c>
      <c r="G47" s="62">
        <f t="shared" si="1"/>
        <v>4.534333070244672E-2</v>
      </c>
      <c r="H47" s="62">
        <f t="shared" si="1"/>
        <v>9.3541243101945976E-2</v>
      </c>
      <c r="I47" s="62">
        <f t="shared" si="1"/>
        <v>9.8145871365945145E-2</v>
      </c>
      <c r="J47" s="62">
        <f t="shared" si="1"/>
        <v>0.19870079835619958</v>
      </c>
      <c r="K47" s="62">
        <f t="shared" si="1"/>
        <v>0.23927074704960921</v>
      </c>
      <c r="L47" s="29" t="s">
        <v>187</v>
      </c>
    </row>
    <row r="48" spans="1:14" ht="30" x14ac:dyDescent="0.25">
      <c r="A48" s="110" t="s">
        <v>188</v>
      </c>
      <c r="B48" s="62">
        <f t="shared" ref="B48:K48" si="2">B39*B46*B19</f>
        <v>1.5788880117288829E-3</v>
      </c>
      <c r="C48" s="62">
        <f t="shared" si="2"/>
        <v>0.25802047781569964</v>
      </c>
      <c r="D48" s="62">
        <f t="shared" si="2"/>
        <v>0.39019555317439053</v>
      </c>
      <c r="E48" s="62">
        <f t="shared" si="2"/>
        <v>0.20428100034734284</v>
      </c>
      <c r="F48" s="62">
        <f t="shared" si="2"/>
        <v>0.16148104352967263</v>
      </c>
      <c r="G48" s="62">
        <f t="shared" si="2"/>
        <v>7.918949653675178E-2</v>
      </c>
      <c r="H48" s="62">
        <f t="shared" si="2"/>
        <v>0.15394956978967494</v>
      </c>
      <c r="I48" s="62">
        <f t="shared" si="2"/>
        <v>0.20024324118884135</v>
      </c>
      <c r="J48" s="62">
        <f t="shared" si="2"/>
        <v>0.31336708860759493</v>
      </c>
      <c r="K48" s="62">
        <f t="shared" si="2"/>
        <v>0.3333828503519517</v>
      </c>
      <c r="L48" s="29" t="s">
        <v>189</v>
      </c>
    </row>
    <row r="49" spans="1:12" x14ac:dyDescent="0.25">
      <c r="A49" s="110" t="s">
        <v>190</v>
      </c>
      <c r="B49" s="62">
        <f>'Calculated Data'!B5/'Calculated Data'!B14</f>
        <v>8.8619645175248798E-2</v>
      </c>
      <c r="C49" s="62">
        <f>'Calculated Data'!C5/'Calculated Data'!C14</f>
        <v>0.26662456013714703</v>
      </c>
      <c r="D49" s="62">
        <f>'Calculated Data'!D5/'Calculated Data'!D14</f>
        <v>0.46913635150760469</v>
      </c>
      <c r="E49" s="62">
        <f>'Calculated Data'!E5/'Calculated Data'!E14</f>
        <v>0.28042305747513907</v>
      </c>
      <c r="F49" s="62">
        <f>'Calculated Data'!F5/'Calculated Data'!F14</f>
        <v>0.21029181688320522</v>
      </c>
      <c r="G49" s="62">
        <f>'Calculated Data'!G5/'Calculated Data'!G14</f>
        <v>0.10794625486381323</v>
      </c>
      <c r="H49" s="62">
        <f>'Calculated Data'!H5/'Calculated Data'!H14</f>
        <v>0.1958166444147752</v>
      </c>
      <c r="I49" s="62">
        <f>'Calculated Data'!I5/'Calculated Data'!I14</f>
        <v>0.21020897311062844</v>
      </c>
      <c r="J49" s="62">
        <f>'Calculated Data'!J5/'Calculated Data'!J14</f>
        <v>0.38949119315650338</v>
      </c>
      <c r="K49" s="62">
        <f>'Calculated Data'!K5/'Calculated Data'!K14</f>
        <v>0.4171613071554367</v>
      </c>
    </row>
    <row r="50" spans="1:12" ht="30" x14ac:dyDescent="0.25">
      <c r="A50" s="110" t="s">
        <v>191</v>
      </c>
      <c r="B50" s="62">
        <f>B36*B44*(1-'Calculated Data'!B20)</f>
        <v>1.2814874407794762E-2</v>
      </c>
      <c r="C50" s="62">
        <f>C36*C44*(1-'Calculated Data'!C20)</f>
        <v>0.18777256789690738</v>
      </c>
      <c r="D50" s="62">
        <f>D36*D44*(1-'Calculated Data'!D20)</f>
        <v>0.46906120285954528</v>
      </c>
      <c r="E50" s="62">
        <f>E36*E44*(1-'Calculated Data'!E20)</f>
        <v>0.30375607877885918</v>
      </c>
      <c r="F50" s="62">
        <f>F36*F44*(1-'Calculated Data'!F20)</f>
        <v>0.29544548635323087</v>
      </c>
      <c r="G50" s="62">
        <f>G36*G44*(1-'Calculated Data'!G20)</f>
        <v>0.13828795530967111</v>
      </c>
      <c r="H50" s="62">
        <f>H36*H44*(1-'Calculated Data'!H20)</f>
        <v>0.24105191819999286</v>
      </c>
      <c r="I50" s="62">
        <f>I36*I44*(1-'Calculated Data'!I20)</f>
        <v>0.19039827120350203</v>
      </c>
      <c r="J50" s="62">
        <f>J36*J44*(1-'Calculated Data'!J20)</f>
        <v>0.33043686386122856</v>
      </c>
      <c r="K50" s="62">
        <f>K36*K44*(1-'Calculated Data'!K20)</f>
        <v>0.53433908424899623</v>
      </c>
      <c r="L50" s="29" t="s">
        <v>192</v>
      </c>
    </row>
    <row r="51" spans="1:12" x14ac:dyDescent="0.25">
      <c r="A51" s="135"/>
      <c r="B51" s="136"/>
      <c r="C51" s="136"/>
      <c r="D51" s="136"/>
      <c r="E51" s="136"/>
      <c r="F51" s="136"/>
      <c r="G51" s="136"/>
      <c r="H51" s="136"/>
      <c r="I51" s="136"/>
      <c r="J51" s="136"/>
      <c r="K51" s="137"/>
    </row>
    <row r="52" spans="1:12" x14ac:dyDescent="0.25">
      <c r="A52" s="114" t="s">
        <v>117</v>
      </c>
      <c r="B52" s="70">
        <f>'Calculated Data'!B43</f>
        <v>2.5626680236301</v>
      </c>
      <c r="C52" s="70">
        <f>'Calculated Data'!C43</f>
        <v>2.4443707945663675</v>
      </c>
      <c r="D52" s="70">
        <f>'Calculated Data'!D43</f>
        <v>3.4513505305080256</v>
      </c>
      <c r="E52" s="70">
        <f>'Calculated Data'!E43</f>
        <v>2.5034225334932056</v>
      </c>
      <c r="F52" s="70">
        <f>'Calculated Data'!F43</f>
        <v>2.526592419536736</v>
      </c>
      <c r="G52" s="70">
        <f>'Calculated Data'!G43</f>
        <v>2.2874685842890141</v>
      </c>
      <c r="H52" s="70">
        <f>'Calculated Data'!H43</f>
        <v>2.6972615900127974</v>
      </c>
      <c r="I52" s="70">
        <f>'Calculated Data'!I43</f>
        <v>2.6832623590439848</v>
      </c>
      <c r="J52" s="70">
        <f>'Calculated Data'!J43</f>
        <v>3.9200629805408829</v>
      </c>
      <c r="K52" s="70">
        <f>'Calculated Data'!K43</f>
        <v>4.4465143114183494</v>
      </c>
    </row>
    <row r="53" spans="1:12" x14ac:dyDescent="0.25">
      <c r="A53" s="115" t="s">
        <v>17</v>
      </c>
      <c r="B53" s="71">
        <f>'Data Sheet'!B31/'Data Sheet'!B30</f>
        <v>6.9285714285714279</v>
      </c>
      <c r="C53" s="71">
        <f>'Data Sheet'!C31/'Data Sheet'!C30</f>
        <v>3.2076719576719578E-2</v>
      </c>
      <c r="D53" s="71">
        <f>'Data Sheet'!D31/'Data Sheet'!D30</f>
        <v>3.9956062062336949E-2</v>
      </c>
      <c r="E53" s="71">
        <f>'Data Sheet'!E31/'Data Sheet'!E30</f>
        <v>6.1849096705632316E-2</v>
      </c>
      <c r="F53" s="71">
        <f>'Data Sheet'!F31/'Data Sheet'!F30</f>
        <v>6.6590389016018312E-2</v>
      </c>
      <c r="G53" s="71">
        <f>'Data Sheet'!G31/'Data Sheet'!G30</f>
        <v>0.12663185378590078</v>
      </c>
      <c r="H53" s="71">
        <f>'Data Sheet'!H31/'Data Sheet'!H30</f>
        <v>5.647195808267029E-2</v>
      </c>
      <c r="I53" s="71">
        <f>'Data Sheet'!I31/'Data Sheet'!I30</f>
        <v>7.3642920409970905E-2</v>
      </c>
      <c r="J53" s="71">
        <f>'Data Sheet'!J31/'Data Sheet'!J30</f>
        <v>3.920934992190446E-2</v>
      </c>
      <c r="K53" s="71">
        <f>'Data Sheet'!K31/'Data Sheet'!K30</f>
        <v>2.9922879177377893E-2</v>
      </c>
    </row>
    <row r="54" spans="1:12" x14ac:dyDescent="0.25">
      <c r="A54" s="115" t="s">
        <v>193</v>
      </c>
      <c r="B54" s="72">
        <f>'Data Sheet'!B69/'Data Sheet'!B61</f>
        <v>2.6098860220813619E-2</v>
      </c>
      <c r="C54" s="72">
        <f>'Data Sheet'!C69/'Data Sheet'!C61</f>
        <v>9.1502907697819921E-2</v>
      </c>
      <c r="D54" s="72">
        <f>'Data Sheet'!D69/'Data Sheet'!D61</f>
        <v>8.2006301626500896E-2</v>
      </c>
      <c r="E54" s="72">
        <f>'Data Sheet'!E69/'Data Sheet'!E61</f>
        <v>0.11829590334416114</v>
      </c>
      <c r="F54" s="72">
        <f>'Data Sheet'!F69/'Data Sheet'!F61</f>
        <v>5.1079578064082011E-2</v>
      </c>
      <c r="G54" s="72">
        <f>'Data Sheet'!G69/'Data Sheet'!G61</f>
        <v>5.0335438042620362E-2</v>
      </c>
      <c r="H54" s="72">
        <f>'Data Sheet'!H69/'Data Sheet'!H61</f>
        <v>3.0169909962242232E-2</v>
      </c>
      <c r="I54" s="72">
        <f>'Data Sheet'!I69/'Data Sheet'!I61</f>
        <v>6.6626926468214054E-2</v>
      </c>
      <c r="J54" s="72">
        <f>'Data Sheet'!J69/'Data Sheet'!J61</f>
        <v>9.6412748014811339E-2</v>
      </c>
      <c r="K54" s="72">
        <f>'Data Sheet'!K69/'Data Sheet'!K61</f>
        <v>4.1580212083685307E-2</v>
      </c>
    </row>
    <row r="55" spans="1:12" x14ac:dyDescent="0.25">
      <c r="A55" s="115" t="s">
        <v>194</v>
      </c>
      <c r="B55" s="71">
        <f>'Calculated Data'!B5/'Calculated Data'!B13</f>
        <v>9.061946902654866E-2</v>
      </c>
      <c r="C55" s="71">
        <f>'Calculated Data'!C5/'Calculated Data'!C13</f>
        <v>0.27290358330254894</v>
      </c>
      <c r="D55" s="71">
        <f>'Calculated Data'!D5/'Calculated Data'!D13</f>
        <v>0.62144329896907213</v>
      </c>
      <c r="E55" s="71">
        <f>'Calculated Data'!E5/'Calculated Data'!E13</f>
        <v>0.4016294508147254</v>
      </c>
      <c r="F55" s="71">
        <f>'Calculated Data'!F5/'Calculated Data'!F13</f>
        <v>0.36790431988575512</v>
      </c>
      <c r="G55" s="71">
        <f>'Calculated Data'!G5/'Calculated Data'!G13</f>
        <v>0.17692192715858701</v>
      </c>
      <c r="H55" s="71">
        <f>'Calculated Data'!H5/'Calculated Data'!H13</f>
        <v>0.30050796089981646</v>
      </c>
      <c r="I55" s="71">
        <f>'Calculated Data'!I5/'Calculated Data'!I13</f>
        <v>0.23063174114021573</v>
      </c>
      <c r="J55" s="71">
        <f>'Calculated Data'!J5/'Calculated Data'!J13</f>
        <v>0.44476477970355799</v>
      </c>
      <c r="K55" s="71">
        <f>'Calculated Data'!K5/'Calculated Data'!K13</f>
        <v>0.68847782402755853</v>
      </c>
      <c r="L55" s="29" t="s">
        <v>195</v>
      </c>
    </row>
    <row r="56" spans="1:12" x14ac:dyDescent="0.25">
      <c r="A56" s="115" t="s">
        <v>196</v>
      </c>
      <c r="B56" s="73">
        <f>'Calculated Data'!B24</f>
        <v>-24.223838383838384</v>
      </c>
      <c r="C56" s="73">
        <f>'Calculated Data'!C24</f>
        <v>14.676827303754264</v>
      </c>
      <c r="D56" s="73">
        <f>'Calculated Data'!D24</f>
        <v>59.253139185407811</v>
      </c>
      <c r="E56" s="73">
        <f>'Calculated Data'!E24</f>
        <v>30.448382253656966</v>
      </c>
      <c r="F56" s="73">
        <f>'Calculated Data'!F24</f>
        <v>29.485368436523977</v>
      </c>
      <c r="G56" s="73">
        <f>'Calculated Data'!G24</f>
        <v>3.6705755102040838</v>
      </c>
      <c r="H56" s="73">
        <f>'Calculated Data'!H24</f>
        <v>28.358832876712324</v>
      </c>
      <c r="I56" s="73">
        <f>'Calculated Data'!I24</f>
        <v>34.266358508304613</v>
      </c>
      <c r="J56" s="73">
        <f>'Calculated Data'!J24</f>
        <v>124.086201144412</v>
      </c>
      <c r="K56" s="73">
        <f>'Calculated Data'!K24</f>
        <v>230.93603199702062</v>
      </c>
      <c r="L56" s="29" t="s">
        <v>197</v>
      </c>
    </row>
    <row r="57" spans="1:12" ht="15" customHeight="1" x14ac:dyDescent="0.25">
      <c r="A57" s="116" t="s">
        <v>101</v>
      </c>
      <c r="B57" s="74">
        <f>'Calculated Data'!B26</f>
        <v>40.062226634037501</v>
      </c>
      <c r="C57" s="74">
        <f>'Calculated Data'!C26</f>
        <v>88.711758987525002</v>
      </c>
      <c r="D57" s="74">
        <f>'Calculated Data'!D26</f>
        <v>102.50546398778751</v>
      </c>
      <c r="E57" s="74">
        <f>'Calculated Data'!E26</f>
        <v>67.874227178462505</v>
      </c>
      <c r="F57" s="74">
        <f>'Calculated Data'!F26</f>
        <v>56.924806112862498</v>
      </c>
      <c r="G57" s="74">
        <f>'Calculated Data'!G26</f>
        <v>50.150130862787499</v>
      </c>
      <c r="H57" s="74">
        <f>'Calculated Data'!H26</f>
        <v>149.24910784375001</v>
      </c>
      <c r="I57" s="74">
        <f>'Calculated Data'!I26</f>
        <v>447.81224895497996</v>
      </c>
      <c r="J57" s="74">
        <f>'Calculated Data'!J26</f>
        <v>1313.58208379502</v>
      </c>
      <c r="K57" s="74">
        <f>'Calculated Data'!K26</f>
        <v>2494.6588255695601</v>
      </c>
    </row>
    <row r="58" spans="1:12" ht="15" customHeight="1" x14ac:dyDescent="0.25">
      <c r="A58" s="117" t="s">
        <v>198</v>
      </c>
      <c r="B58" s="75"/>
      <c r="C58" s="76">
        <f>C57-B57</f>
        <v>48.649532353487501</v>
      </c>
      <c r="D58" s="76">
        <f t="shared" ref="D58:K58" si="3">D57-C57</f>
        <v>13.793705000262506</v>
      </c>
      <c r="E58" s="76">
        <f t="shared" si="3"/>
        <v>-34.631236809325003</v>
      </c>
      <c r="F58" s="76">
        <f t="shared" si="3"/>
        <v>-10.949421065600006</v>
      </c>
      <c r="G58" s="76">
        <f t="shared" si="3"/>
        <v>-6.7746752500749992</v>
      </c>
      <c r="H58" s="76">
        <f t="shared" si="3"/>
        <v>99.098976980962505</v>
      </c>
      <c r="I58" s="76">
        <f t="shared" si="3"/>
        <v>298.56314111122992</v>
      </c>
      <c r="J58" s="76">
        <f t="shared" si="3"/>
        <v>865.76983484004006</v>
      </c>
      <c r="K58" s="76">
        <f t="shared" si="3"/>
        <v>1181.0767417745401</v>
      </c>
    </row>
    <row r="59" spans="1:12" x14ac:dyDescent="0.25">
      <c r="A59" s="118" t="s">
        <v>199</v>
      </c>
      <c r="B59" s="59"/>
      <c r="C59" s="59">
        <f t="shared" ref="C59:K59" si="4">C58-C56</f>
        <v>33.972705049733236</v>
      </c>
      <c r="D59" s="59">
        <f t="shared" si="4"/>
        <v>-45.459434185145305</v>
      </c>
      <c r="E59" s="59">
        <f t="shared" si="4"/>
        <v>-65.079619062981976</v>
      </c>
      <c r="F59" s="59">
        <f t="shared" si="4"/>
        <v>-40.434789502123984</v>
      </c>
      <c r="G59" s="59">
        <f t="shared" si="4"/>
        <v>-10.445250760279084</v>
      </c>
      <c r="H59" s="59">
        <f t="shared" si="4"/>
        <v>70.740144104250177</v>
      </c>
      <c r="I59" s="59">
        <f t="shared" si="4"/>
        <v>264.2967826029253</v>
      </c>
      <c r="J59" s="59">
        <f t="shared" si="4"/>
        <v>741.68363369562803</v>
      </c>
      <c r="K59" s="59">
        <f t="shared" si="4"/>
        <v>950.14070977751953</v>
      </c>
    </row>
    <row r="60" spans="1:12" x14ac:dyDescent="0.25">
      <c r="A60" s="119"/>
      <c r="B60" s="77"/>
      <c r="C60" s="77"/>
      <c r="D60" s="77"/>
      <c r="E60" s="77"/>
      <c r="F60" s="77"/>
      <c r="G60" s="77"/>
      <c r="H60" s="77"/>
      <c r="I60" s="77"/>
      <c r="J60" s="77"/>
      <c r="K60" s="77"/>
    </row>
    <row r="62" spans="1:12" x14ac:dyDescent="0.25">
      <c r="A62" s="120" t="s">
        <v>206</v>
      </c>
      <c r="B62" s="29">
        <f>'Data Sheet'!B57+'Data Sheet'!B58</f>
        <v>88.669999999999987</v>
      </c>
      <c r="C62" s="29">
        <f>'Data Sheet'!C57+'Data Sheet'!C58</f>
        <v>117.19999999999999</v>
      </c>
      <c r="D62" s="29">
        <f>'Data Sheet'!D57+'Data Sheet'!D58</f>
        <v>186.65</v>
      </c>
      <c r="E62" s="29">
        <f>'Data Sheet'!E57+'Data Sheet'!E58</f>
        <v>230.32</v>
      </c>
      <c r="F62" s="29">
        <f>'Data Sheet'!F57+'Data Sheet'!F58</f>
        <v>270.62</v>
      </c>
      <c r="G62" s="29">
        <f>'Data Sheet'!G57+'Data Sheet'!G58</f>
        <v>290.19</v>
      </c>
      <c r="H62" s="29">
        <f>'Data Sheet'!H57+'Data Sheet'!H58</f>
        <v>334.72</v>
      </c>
      <c r="I62" s="29">
        <f>'Data Sheet'!I57+'Data Sheet'!I58</f>
        <v>394.67</v>
      </c>
      <c r="J62" s="29">
        <f>'Data Sheet'!J57+'Data Sheet'!J58</f>
        <v>592.5</v>
      </c>
      <c r="K62" s="29">
        <f>'Data Sheet'!K57+'Data Sheet'!K58</f>
        <v>875.12</v>
      </c>
    </row>
    <row r="63" spans="1:12" x14ac:dyDescent="0.25">
      <c r="A63" s="120" t="s">
        <v>207</v>
      </c>
      <c r="B63" s="29">
        <f>'Data Sheet'!B59</f>
        <v>142.43</v>
      </c>
      <c r="C63" s="29">
        <f>'Data Sheet'!C59</f>
        <v>104.46</v>
      </c>
      <c r="D63" s="29">
        <f>'Data Sheet'!D59</f>
        <v>38.21</v>
      </c>
      <c r="E63" s="29">
        <f>'Data Sheet'!E59</f>
        <v>7</v>
      </c>
      <c r="F63" s="29">
        <f>'Data Sheet'!F59</f>
        <v>23.4</v>
      </c>
      <c r="G63" s="29">
        <f>'Data Sheet'!G59</f>
        <v>38.770000000000003</v>
      </c>
      <c r="H63" s="29">
        <f>'Data Sheet'!H59</f>
        <v>24.8</v>
      </c>
      <c r="I63" s="29">
        <f>'Data Sheet'!I59</f>
        <v>139.37</v>
      </c>
      <c r="J63" s="29">
        <f>'Data Sheet'!J59</f>
        <v>80.84</v>
      </c>
      <c r="K63" s="29">
        <f>'Data Sheet'!K59</f>
        <v>44.74</v>
      </c>
    </row>
    <row r="64" spans="1:12" x14ac:dyDescent="0.25">
      <c r="A64" s="121" t="s">
        <v>208</v>
      </c>
      <c r="B64" s="65">
        <f>'Calculated Data'!B19</f>
        <v>0</v>
      </c>
      <c r="C64" s="65">
        <f>'Calculated Data'!C19</f>
        <v>63.66</v>
      </c>
      <c r="D64" s="65">
        <f>'Calculated Data'!D19</f>
        <v>113.60999999999999</v>
      </c>
      <c r="E64" s="65">
        <f>'Calculated Data'!E19</f>
        <v>72.489999999999995</v>
      </c>
      <c r="F64" s="65">
        <f>'Calculated Data'!F19</f>
        <v>11.450000000000003</v>
      </c>
      <c r="G64" s="65">
        <f>'Calculated Data'!G19</f>
        <v>-7.589999999999999</v>
      </c>
      <c r="H64" s="65">
        <f>'Calculated Data'!H19</f>
        <v>6.080000000000001</v>
      </c>
      <c r="I64" s="65">
        <f>'Calculated Data'!I19</f>
        <v>-91.089999999999947</v>
      </c>
      <c r="J64" s="65">
        <f>'Calculated Data'!J19</f>
        <v>119.82</v>
      </c>
      <c r="K64" s="65">
        <f>'Calculated Data'!K19</f>
        <v>273.21999999999997</v>
      </c>
    </row>
    <row r="66" spans="1:13" x14ac:dyDescent="0.25">
      <c r="A66" s="120" t="s">
        <v>213</v>
      </c>
      <c r="B66" s="69">
        <f>'Data Sheet'!B30/'Data Sheet'!B17</f>
        <v>2.1765830755118859E-4</v>
      </c>
      <c r="C66" s="69">
        <f>'Data Sheet'!C30/'Data Sheet'!C17</f>
        <v>6.3417498532002348E-2</v>
      </c>
      <c r="D66" s="69">
        <f>'Data Sheet'!D30/'Data Sheet'!D17</f>
        <v>0.12035629296668429</v>
      </c>
      <c r="E66" s="69">
        <f>'Data Sheet'!E30/'Data Sheet'!E17</f>
        <v>7.3966357490960533E-2</v>
      </c>
      <c r="F66" s="69">
        <f>'Data Sheet'!F30/'Data Sheet'!F17</f>
        <v>5.1165568031472097E-2</v>
      </c>
      <c r="G66" s="69">
        <f>'Data Sheet'!G30/'Data Sheet'!G17</f>
        <v>2.8318278721857323E-2</v>
      </c>
      <c r="H66" s="69">
        <f>'Data Sheet'!H30/'Data Sheet'!H17</f>
        <v>5.8429998525926688E-2</v>
      </c>
      <c r="I66" s="69">
        <f>'Data Sheet'!I30/'Data Sheet'!I17</f>
        <v>6.8919508153832743E-2</v>
      </c>
      <c r="J66" s="69">
        <f>'Data Sheet'!J30/'Data Sheet'!J17</f>
        <v>0.13885398905142241</v>
      </c>
      <c r="K66" s="69">
        <f>'Data Sheet'!K30/'Data Sheet'!K17</f>
        <v>0.15571128166262821</v>
      </c>
    </row>
    <row r="67" spans="1:13" x14ac:dyDescent="0.25">
      <c r="A67" s="120" t="s">
        <v>8</v>
      </c>
      <c r="B67" s="96">
        <f>'Profit &amp; Loss'!C6</f>
        <v>55.909999999999968</v>
      </c>
      <c r="C67" s="96">
        <f>'Profit &amp; Loss'!D6</f>
        <v>108.31000000000006</v>
      </c>
      <c r="D67" s="96">
        <f>'Profit &amp; Loss'!E6</f>
        <v>67.869999999999891</v>
      </c>
      <c r="E67" s="96">
        <f>'Profit &amp; Loss'!F6</f>
        <v>63.930000000000064</v>
      </c>
      <c r="F67" s="96">
        <f>'Profit &amp; Loss'!G6</f>
        <v>39.300000000000068</v>
      </c>
      <c r="G67" s="96">
        <f>'Profit &amp; Loss'!H6</f>
        <v>70.719999999999914</v>
      </c>
      <c r="H67" s="96">
        <f>'Profit &amp; Loss'!I6</f>
        <v>131.58000000000004</v>
      </c>
      <c r="I67" s="96">
        <f>'Profit &amp; Loss'!J6</f>
        <v>279.41000000000008</v>
      </c>
      <c r="J67" s="96">
        <f>'Profit &amp; Loss'!K6</f>
        <v>383.61999999999989</v>
      </c>
      <c r="K67" s="96">
        <f>'Profit &amp; Loss'!L6</f>
        <v>337.6</v>
      </c>
    </row>
    <row r="68" spans="1:13" x14ac:dyDescent="0.25">
      <c r="A68" s="120" t="s">
        <v>214</v>
      </c>
      <c r="B68" s="69">
        <f>B67/'Data Sheet'!B17</f>
        <v>8.6923399822763897E-2</v>
      </c>
      <c r="C68" s="69">
        <f>C67/'Data Sheet'!C17</f>
        <v>0.22714117943125589</v>
      </c>
      <c r="D68" s="69">
        <f>D67/'Data Sheet'!D17</f>
        <v>0.11215957165520871</v>
      </c>
      <c r="E68" s="69">
        <f>E67/'Data Sheet'!E17</f>
        <v>0.10050306555573033</v>
      </c>
      <c r="F68" s="69">
        <f>F67/'Data Sheet'!F17</f>
        <v>4.6013886124413199E-2</v>
      </c>
      <c r="G68" s="69">
        <f>G67/'Data Sheet'!G17</f>
        <v>8.7148332080493801E-2</v>
      </c>
      <c r="H68" s="69">
        <f>H67/'Data Sheet'!H17</f>
        <v>0.14919889784671911</v>
      </c>
      <c r="I68" s="69">
        <f>I67/'Data Sheet'!I17</f>
        <v>0.24366442835964078</v>
      </c>
      <c r="J68" s="69">
        <f>J67/'Data Sheet'!J17</f>
        <v>0.2868916210475933</v>
      </c>
      <c r="K68" s="69">
        <f>K67/'Data Sheet'!K17</f>
        <v>0.18018210347661795</v>
      </c>
    </row>
    <row r="70" spans="1:13" x14ac:dyDescent="0.25">
      <c r="A70" s="126" t="s">
        <v>209</v>
      </c>
      <c r="B70" s="106">
        <f>SUM('Profit &amp; Loss'!I25:K25)/3 * SUM('Profit &amp; Loss'!M13:N13)/2</f>
        <v>525.48054654431405</v>
      </c>
      <c r="D70" s="131" t="s">
        <v>200</v>
      </c>
      <c r="E70" s="132"/>
      <c r="F70" s="105">
        <f>SUM('Calculated Data'!B$18:K$18)/SUM('Calculated Data'!B$8:K$8)</f>
        <v>0.27017165300877655</v>
      </c>
    </row>
    <row r="71" spans="1:13" x14ac:dyDescent="0.25">
      <c r="A71" s="123" t="s">
        <v>210</v>
      </c>
      <c r="B71" s="100">
        <v>342.08</v>
      </c>
      <c r="D71" s="131" t="s">
        <v>201</v>
      </c>
      <c r="E71" s="132"/>
      <c r="F71" s="105">
        <f>SUM('Calculated Data'!E$18:K$18)/SUM('Calculated Data'!E$8:K$8)</f>
        <v>0.32804034861648018</v>
      </c>
    </row>
    <row r="72" spans="1:13" x14ac:dyDescent="0.25">
      <c r="A72" s="126" t="s">
        <v>211</v>
      </c>
      <c r="B72" s="100">
        <f>SQRT(22.5*'Profit &amp; Loss'!L13*Customization!B71)</f>
        <v>851.35209035388925</v>
      </c>
      <c r="D72" s="131" t="s">
        <v>202</v>
      </c>
      <c r="E72" s="132"/>
      <c r="F72" s="105">
        <f>SUM('Calculated Data'!G$18:K$18)/SUM('Calculated Data'!G$8:K$8)</f>
        <v>0.38771078990744257</v>
      </c>
    </row>
    <row r="73" spans="1:13" x14ac:dyDescent="0.25">
      <c r="A73" s="126" t="s">
        <v>212</v>
      </c>
      <c r="B73" s="100">
        <f>(B70+B72)/2</f>
        <v>688.41631844910171</v>
      </c>
      <c r="D73" s="131" t="s">
        <v>203</v>
      </c>
      <c r="E73" s="132"/>
      <c r="F73" s="105">
        <f>SUM('Calculated Data'!I$18:K$18)/SUM('Calculated Data'!I$8:K$8)</f>
        <v>0.43401922904124351</v>
      </c>
    </row>
    <row r="74" spans="1:13" x14ac:dyDescent="0.25">
      <c r="A74" s="126" t="s">
        <v>232</v>
      </c>
      <c r="B74" s="100">
        <f>B73*0.75</f>
        <v>516.31223883682628</v>
      </c>
      <c r="D74" s="133" t="s">
        <v>204</v>
      </c>
      <c r="E74" s="134"/>
      <c r="F74" s="105">
        <f>SUM('Calculated Data'!B$18:K$18)/SUM('Data Sheet'!B26:K26)</f>
        <v>1.9259419287936395</v>
      </c>
      <c r="M74"/>
    </row>
    <row r="75" spans="1:13" x14ac:dyDescent="0.25">
      <c r="A75" s="126" t="s">
        <v>43</v>
      </c>
      <c r="B75" s="100">
        <f>'Data Sheet'!B8</f>
        <v>489.8</v>
      </c>
      <c r="M75"/>
    </row>
    <row r="76" spans="1:13" x14ac:dyDescent="0.25">
      <c r="A76" s="127" t="s">
        <v>233</v>
      </c>
      <c r="B76" s="29">
        <f>B99</f>
        <v>1242.2165527473514</v>
      </c>
      <c r="M76"/>
    </row>
    <row r="77" spans="1:13" ht="17.25" x14ac:dyDescent="0.3">
      <c r="D77" s="130" t="s">
        <v>216</v>
      </c>
      <c r="E77" s="130"/>
      <c r="F77" s="98" t="s">
        <v>217</v>
      </c>
      <c r="G77" s="98" t="s">
        <v>218</v>
      </c>
      <c r="M77"/>
    </row>
    <row r="78" spans="1:13" x14ac:dyDescent="0.25">
      <c r="A78" s="122" t="s">
        <v>215</v>
      </c>
      <c r="B78" s="101">
        <f>(I64+J64+K64)/3*10^6</f>
        <v>100650000.00000001</v>
      </c>
      <c r="D78" s="128" t="s">
        <v>219</v>
      </c>
      <c r="E78" s="129"/>
      <c r="F78" s="103">
        <f>'Profit &amp; Loss'!J23</f>
        <v>0.1701389334728507</v>
      </c>
      <c r="G78" s="103">
        <f>'Profit &amp; Loss'!H23</f>
        <v>0.12614188290860717</v>
      </c>
      <c r="M78"/>
    </row>
    <row r="79" spans="1:13" ht="17.25" x14ac:dyDescent="0.3">
      <c r="A79" s="122" t="s">
        <v>222</v>
      </c>
      <c r="B79" s="101">
        <f>'Data Sheet'!B6*10^6</f>
        <v>2911147.4071049411</v>
      </c>
      <c r="D79" s="128" t="s">
        <v>220</v>
      </c>
      <c r="E79" s="129"/>
      <c r="F79" s="103">
        <f>'Profit &amp; Loss'!N23/2</f>
        <v>6.3070941454303586E-2</v>
      </c>
      <c r="G79" s="104"/>
      <c r="M79"/>
    </row>
    <row r="80" spans="1:13" ht="17.25" x14ac:dyDescent="0.3">
      <c r="A80" s="124"/>
      <c r="B80" s="100"/>
      <c r="C80" s="100"/>
      <c r="D80" s="128" t="s">
        <v>221</v>
      </c>
      <c r="E80" s="129"/>
      <c r="F80" s="103">
        <v>0.12</v>
      </c>
      <c r="G80" s="104"/>
      <c r="M80"/>
    </row>
    <row r="81" spans="1:5" ht="17.25" x14ac:dyDescent="0.3">
      <c r="A81" s="125"/>
      <c r="B81" s="97"/>
      <c r="C81" s="97"/>
      <c r="D81" s="97"/>
    </row>
    <row r="82" spans="1:5" ht="17.25" x14ac:dyDescent="0.3">
      <c r="A82" s="125"/>
      <c r="B82" s="97"/>
      <c r="C82" s="97"/>
      <c r="D82" s="97"/>
    </row>
    <row r="83" spans="1:5" x14ac:dyDescent="0.25">
      <c r="A83" s="122" t="s">
        <v>223</v>
      </c>
      <c r="B83" s="99" t="s">
        <v>224</v>
      </c>
      <c r="C83" s="99" t="s">
        <v>225</v>
      </c>
      <c r="D83" s="99" t="s">
        <v>226</v>
      </c>
    </row>
    <row r="84" spans="1:5" x14ac:dyDescent="0.25">
      <c r="A84" s="122">
        <v>1</v>
      </c>
      <c r="B84" s="99">
        <f>(B78*C84)+B78</f>
        <v>117774483.65404244</v>
      </c>
      <c r="C84" s="102">
        <f>F78</f>
        <v>0.1701389334728507</v>
      </c>
      <c r="D84" s="99">
        <f>B84/((1+F80)^A84)</f>
        <v>105155788.9768236</v>
      </c>
    </row>
    <row r="85" spans="1:5" x14ac:dyDescent="0.25">
      <c r="A85" s="122">
        <v>2</v>
      </c>
      <c r="B85" s="99">
        <f t="shared" ref="B85:B93" si="5">(B84*C85)+B84</f>
        <v>137812508.69325691</v>
      </c>
      <c r="C85" s="102">
        <f>F78</f>
        <v>0.1701389334728507</v>
      </c>
      <c r="D85" s="99">
        <f>B85/((1+F80)^A85)</f>
        <v>109863288.18021117</v>
      </c>
    </row>
    <row r="86" spans="1:5" x14ac:dyDescent="0.25">
      <c r="A86" s="122">
        <v>3</v>
      </c>
      <c r="B86" s="99">
        <f t="shared" si="5"/>
        <v>161259781.94154561</v>
      </c>
      <c r="C86" s="102">
        <f>F78</f>
        <v>0.1701389334728507</v>
      </c>
      <c r="D86" s="99">
        <f>B86/((1+F80)^A86)</f>
        <v>114781527.55268992</v>
      </c>
    </row>
    <row r="87" spans="1:5" x14ac:dyDescent="0.25">
      <c r="A87" s="122">
        <v>4</v>
      </c>
      <c r="B87" s="99">
        <f t="shared" si="5"/>
        <v>188696349.25314465</v>
      </c>
      <c r="C87" s="102">
        <f>F78</f>
        <v>0.1701389334728507</v>
      </c>
      <c r="D87" s="99">
        <f>B87/((1+F80)^A87)</f>
        <v>119919941.27936539</v>
      </c>
    </row>
    <row r="88" spans="1:5" x14ac:dyDescent="0.25">
      <c r="A88" s="122">
        <v>5</v>
      </c>
      <c r="B88" s="99">
        <f t="shared" si="5"/>
        <v>220800944.86529523</v>
      </c>
      <c r="C88" s="102">
        <f>F78</f>
        <v>0.1701389334728507</v>
      </c>
      <c r="D88" s="99">
        <f>B88/((1+F80)^A88)</f>
        <v>125288385.88461027</v>
      </c>
    </row>
    <row r="89" spans="1:5" x14ac:dyDescent="0.25">
      <c r="A89" s="122">
        <v>6</v>
      </c>
      <c r="B89" s="99">
        <f t="shared" si="5"/>
        <v>248653191.79860312</v>
      </c>
      <c r="C89" s="102">
        <f>G78</f>
        <v>0.12614188290860717</v>
      </c>
      <c r="D89" s="99">
        <f>B89/((1+F80)^A89)</f>
        <v>125975445.34524566</v>
      </c>
    </row>
    <row r="90" spans="1:5" x14ac:dyDescent="0.25">
      <c r="A90" s="122">
        <v>7</v>
      </c>
      <c r="B90" s="99">
        <f t="shared" si="5"/>
        <v>280018773.60331392</v>
      </c>
      <c r="C90" s="102">
        <f>G78</f>
        <v>0.12614188290860717</v>
      </c>
      <c r="D90" s="99">
        <f>B90/((1+F80)^A90)</f>
        <v>126666272.51905826</v>
      </c>
      <c r="E90" s="91"/>
    </row>
    <row r="91" spans="1:5" x14ac:dyDescent="0.25">
      <c r="A91" s="122">
        <v>8</v>
      </c>
      <c r="B91" s="99">
        <f t="shared" si="5"/>
        <v>315340868.95539492</v>
      </c>
      <c r="C91" s="102">
        <f>G78</f>
        <v>0.12614188290860717</v>
      </c>
      <c r="D91" s="99">
        <f>B91/((1+F80)^A91)</f>
        <v>127360888.06752414</v>
      </c>
    </row>
    <row r="92" spans="1:5" x14ac:dyDescent="0.25">
      <c r="A92" s="122">
        <v>9</v>
      </c>
      <c r="B92" s="99">
        <f t="shared" si="5"/>
        <v>355118559.92346478</v>
      </c>
      <c r="C92" s="102">
        <f>G78</f>
        <v>0.12614188290860717</v>
      </c>
      <c r="D92" s="99">
        <f>B92/((1+F80)^A92)</f>
        <v>128059312.76542319</v>
      </c>
    </row>
    <row r="93" spans="1:5" x14ac:dyDescent="0.25">
      <c r="A93" s="122">
        <v>10</v>
      </c>
      <c r="B93" s="99">
        <f t="shared" si="5"/>
        <v>399913883.72800368</v>
      </c>
      <c r="C93" s="102">
        <f>G78</f>
        <v>0.12614188290860717</v>
      </c>
      <c r="D93" s="99">
        <f>B93/((1+F80)^A93)</f>
        <v>128761567.50146063</v>
      </c>
    </row>
    <row r="94" spans="1:5" x14ac:dyDescent="0.25">
      <c r="A94" s="122"/>
      <c r="B94" s="99"/>
      <c r="C94" s="99"/>
      <c r="D94" s="99"/>
    </row>
    <row r="95" spans="1:5" x14ac:dyDescent="0.25">
      <c r="A95" s="122" t="s">
        <v>227</v>
      </c>
      <c r="B95" s="99">
        <f>(B93*F79)+B93</f>
        <v>425136828.87537575</v>
      </c>
      <c r="C95" s="99"/>
      <c r="D95" s="99"/>
    </row>
    <row r="96" spans="1:5" ht="30" x14ac:dyDescent="0.25">
      <c r="A96" s="122" t="s">
        <v>230</v>
      </c>
      <c r="B96" s="99">
        <f>SUM(D84:D93)</f>
        <v>1211832418.0724123</v>
      </c>
      <c r="C96" s="99"/>
      <c r="D96" s="99"/>
    </row>
    <row r="97" spans="1:4" x14ac:dyDescent="0.25">
      <c r="A97" s="122" t="s">
        <v>228</v>
      </c>
      <c r="B97" s="99">
        <f>((B95)/(F80-F79))/(1+F80)^A93</f>
        <v>2404443078.5208783</v>
      </c>
      <c r="C97" s="99"/>
      <c r="D97" s="99"/>
    </row>
    <row r="98" spans="1:4" x14ac:dyDescent="0.25">
      <c r="A98" s="122" t="s">
        <v>231</v>
      </c>
      <c r="B98" s="99">
        <f>B96+B97</f>
        <v>3616275496.5932903</v>
      </c>
      <c r="C98" s="99"/>
      <c r="D98" s="99"/>
    </row>
    <row r="99" spans="1:4" x14ac:dyDescent="0.25">
      <c r="A99" s="122" t="s">
        <v>229</v>
      </c>
      <c r="B99" s="99">
        <f>B98/B79</f>
        <v>1242.2165527473514</v>
      </c>
      <c r="C99" s="99"/>
      <c r="D99" s="99"/>
    </row>
    <row r="100" spans="1:4" x14ac:dyDescent="0.25">
      <c r="A100" s="122"/>
      <c r="B100" s="99"/>
      <c r="C100" s="99"/>
      <c r="D100" s="99"/>
    </row>
    <row r="101" spans="1:4" x14ac:dyDescent="0.25">
      <c r="A101" s="122"/>
      <c r="B101" s="99"/>
      <c r="C101" s="99"/>
      <c r="D101" s="99"/>
    </row>
    <row r="102" spans="1:4" x14ac:dyDescent="0.25">
      <c r="A102" s="122"/>
      <c r="B102" s="99"/>
      <c r="C102" s="99"/>
      <c r="D102" s="99"/>
    </row>
  </sheetData>
  <mergeCells count="15">
    <mergeCell ref="A51:K51"/>
    <mergeCell ref="F4:K4"/>
    <mergeCell ref="M4:N4"/>
    <mergeCell ref="A10:J10"/>
    <mergeCell ref="A34:K34"/>
    <mergeCell ref="A43:K43"/>
    <mergeCell ref="D78:E78"/>
    <mergeCell ref="D79:E79"/>
    <mergeCell ref="D80:E80"/>
    <mergeCell ref="D77:E77"/>
    <mergeCell ref="D70:E70"/>
    <mergeCell ref="D71:E71"/>
    <mergeCell ref="D72:E72"/>
    <mergeCell ref="D73:E73"/>
    <mergeCell ref="D74:E74"/>
  </mergeCells>
  <hyperlinks>
    <hyperlink ref="C8" r:id="rId1" display=" http://www.screener.in/excel"/>
  </hyperlinks>
  <pageMargins left="0.7" right="0.7" top="0.75" bottom="0.75" header="0.3" footer="0.3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zoomScale="120" zoomScaleNormal="120" zoomScalePageLayoutView="12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57" sqref="B57"/>
    </sheetView>
  </sheetViews>
  <sheetFormatPr defaultColWidth="8.85546875" defaultRowHeight="15" x14ac:dyDescent="0.25"/>
  <cols>
    <col min="1" max="1" width="27.7109375" style="5" bestFit="1" customWidth="1"/>
    <col min="2" max="11" width="13.42578125" style="5" bestFit="1" customWidth="1"/>
    <col min="12" max="16384" width="8.85546875" style="5"/>
  </cols>
  <sheetData>
    <row r="1" spans="1:11" s="1" customFormat="1" x14ac:dyDescent="0.25">
      <c r="A1" s="1" t="s">
        <v>0</v>
      </c>
      <c r="B1" s="1" t="s">
        <v>54</v>
      </c>
      <c r="E1" s="141" t="str">
        <f>IF(B2&lt;&gt;B3, "A NEW VERSION OF THE WORKSHEET IS AVAILABLE", "")</f>
        <v/>
      </c>
      <c r="F1" s="141"/>
      <c r="G1" s="141"/>
      <c r="H1" s="141"/>
      <c r="I1" s="141"/>
      <c r="J1" s="141"/>
      <c r="K1" s="141"/>
    </row>
    <row r="2" spans="1:11" x14ac:dyDescent="0.25">
      <c r="A2" s="1" t="s">
        <v>52</v>
      </c>
      <c r="B2" s="5">
        <v>2.1</v>
      </c>
      <c r="E2" s="142" t="s">
        <v>36</v>
      </c>
      <c r="F2" s="142"/>
      <c r="G2" s="142"/>
      <c r="H2" s="142"/>
      <c r="I2" s="142"/>
      <c r="J2" s="142"/>
      <c r="K2" s="142"/>
    </row>
    <row r="3" spans="1:11" x14ac:dyDescent="0.25">
      <c r="A3" s="1" t="s">
        <v>53</v>
      </c>
      <c r="B3" s="5">
        <v>2.1</v>
      </c>
    </row>
    <row r="4" spans="1:11" x14ac:dyDescent="0.25">
      <c r="A4" s="1"/>
    </row>
    <row r="5" spans="1:11" x14ac:dyDescent="0.25">
      <c r="A5" s="1" t="s">
        <v>55</v>
      </c>
    </row>
    <row r="6" spans="1:11" x14ac:dyDescent="0.25">
      <c r="A6" s="5" t="s">
        <v>42</v>
      </c>
      <c r="B6" s="5">
        <f>IF(B9&gt;0, B9/B8, 0)</f>
        <v>2.911147407104941</v>
      </c>
    </row>
    <row r="7" spans="1:11" x14ac:dyDescent="0.25">
      <c r="A7" s="5" t="s">
        <v>31</v>
      </c>
      <c r="B7">
        <v>10</v>
      </c>
    </row>
    <row r="8" spans="1:11" x14ac:dyDescent="0.25">
      <c r="A8" s="5" t="s">
        <v>43</v>
      </c>
      <c r="B8">
        <v>489.8</v>
      </c>
    </row>
    <row r="9" spans="1:11" x14ac:dyDescent="0.25">
      <c r="A9" s="5" t="s">
        <v>70</v>
      </c>
      <c r="B9">
        <v>1425.88</v>
      </c>
    </row>
    <row r="15" spans="1:11" x14ac:dyDescent="0.25">
      <c r="A15" s="1" t="s">
        <v>37</v>
      </c>
    </row>
    <row r="16" spans="1:11" s="24" customFormat="1" x14ac:dyDescent="0.25">
      <c r="A16" s="23" t="s">
        <v>38</v>
      </c>
      <c r="B16" s="16">
        <v>39903</v>
      </c>
      <c r="C16" s="16">
        <v>40268</v>
      </c>
      <c r="D16" s="16">
        <v>40633</v>
      </c>
      <c r="E16" s="16">
        <v>40999</v>
      </c>
      <c r="F16" s="16">
        <v>41364</v>
      </c>
      <c r="G16" s="16">
        <v>41729</v>
      </c>
      <c r="H16" s="16">
        <v>42094</v>
      </c>
      <c r="I16" s="16">
        <v>42460</v>
      </c>
      <c r="J16" s="16">
        <v>42825</v>
      </c>
      <c r="K16" s="16">
        <v>43190</v>
      </c>
    </row>
    <row r="17" spans="1:11" s="9" customFormat="1" x14ac:dyDescent="0.25">
      <c r="A17" s="9" t="s">
        <v>6</v>
      </c>
      <c r="B17">
        <v>643.21</v>
      </c>
      <c r="C17">
        <v>476.84</v>
      </c>
      <c r="D17">
        <v>605.12</v>
      </c>
      <c r="E17">
        <v>636.1</v>
      </c>
      <c r="F17">
        <v>854.09</v>
      </c>
      <c r="G17">
        <v>811.49</v>
      </c>
      <c r="H17">
        <v>881.91</v>
      </c>
      <c r="I17">
        <v>1146.7</v>
      </c>
      <c r="J17">
        <v>1337.16</v>
      </c>
      <c r="K17">
        <v>1873.66</v>
      </c>
    </row>
    <row r="18" spans="1:11" s="9" customFormat="1" x14ac:dyDescent="0.25">
      <c r="A18" s="5" t="s">
        <v>71</v>
      </c>
      <c r="B18">
        <v>513.89</v>
      </c>
      <c r="C18">
        <v>229.85</v>
      </c>
      <c r="D18">
        <v>361.26</v>
      </c>
      <c r="E18">
        <v>382.17</v>
      </c>
      <c r="F18">
        <v>571.44000000000005</v>
      </c>
      <c r="G18">
        <v>537.94000000000005</v>
      </c>
      <c r="H18">
        <v>588.85</v>
      </c>
      <c r="I18">
        <v>584.89</v>
      </c>
      <c r="J18">
        <v>646.03</v>
      </c>
      <c r="K18">
        <v>966.73</v>
      </c>
    </row>
    <row r="19" spans="1:11" s="9" customFormat="1" x14ac:dyDescent="0.25">
      <c r="A19" s="5" t="s">
        <v>72</v>
      </c>
      <c r="B19">
        <v>18.489999999999998</v>
      </c>
      <c r="C19">
        <v>-26.75</v>
      </c>
      <c r="D19">
        <v>5.56</v>
      </c>
      <c r="E19">
        <v>6.79</v>
      </c>
      <c r="F19">
        <v>2.3199999999999998</v>
      </c>
      <c r="G19">
        <v>-4.17</v>
      </c>
      <c r="H19">
        <v>11.49</v>
      </c>
      <c r="I19">
        <v>-11.76</v>
      </c>
      <c r="J19">
        <v>18.48</v>
      </c>
      <c r="K19">
        <v>-2.86</v>
      </c>
    </row>
    <row r="20" spans="1:11" s="9" customFormat="1" x14ac:dyDescent="0.25">
      <c r="A20" s="5" t="s">
        <v>73</v>
      </c>
      <c r="B20">
        <v>77.48</v>
      </c>
      <c r="C20">
        <v>127.83</v>
      </c>
      <c r="D20">
        <v>104.5</v>
      </c>
      <c r="E20">
        <v>148.30000000000001</v>
      </c>
      <c r="F20">
        <v>168.38</v>
      </c>
      <c r="G20">
        <v>177.63</v>
      </c>
      <c r="H20">
        <v>177.83</v>
      </c>
      <c r="I20">
        <v>314.55</v>
      </c>
      <c r="J20">
        <v>278.35000000000002</v>
      </c>
      <c r="K20">
        <v>364.65</v>
      </c>
    </row>
    <row r="21" spans="1:11" s="9" customFormat="1" x14ac:dyDescent="0.25">
      <c r="A21" s="5" t="s">
        <v>74</v>
      </c>
      <c r="B21">
        <v>9.2100000000000009</v>
      </c>
      <c r="C21">
        <v>12.8</v>
      </c>
      <c r="D21">
        <v>11.21</v>
      </c>
      <c r="E21">
        <v>11.72</v>
      </c>
      <c r="F21">
        <v>10.06</v>
      </c>
      <c r="G21">
        <v>12.52</v>
      </c>
      <c r="H21">
        <v>13.04</v>
      </c>
      <c r="I21">
        <v>23.06</v>
      </c>
      <c r="J21">
        <v>31.75</v>
      </c>
      <c r="K21">
        <v>30.64</v>
      </c>
    </row>
    <row r="22" spans="1:11" s="9" customFormat="1" x14ac:dyDescent="0.25">
      <c r="A22" s="5" t="s">
        <v>75</v>
      </c>
      <c r="B22">
        <v>2.42</v>
      </c>
      <c r="C22">
        <v>3.5</v>
      </c>
      <c r="D22">
        <v>4.7</v>
      </c>
      <c r="E22">
        <v>5.83</v>
      </c>
      <c r="F22">
        <v>6.75</v>
      </c>
      <c r="G22">
        <v>7.74</v>
      </c>
      <c r="H22">
        <v>9.99</v>
      </c>
      <c r="I22">
        <v>15.73</v>
      </c>
      <c r="J22">
        <v>19.100000000000001</v>
      </c>
      <c r="K22">
        <v>25.83</v>
      </c>
    </row>
    <row r="23" spans="1:11" s="9" customFormat="1" x14ac:dyDescent="0.25">
      <c r="A23" s="5" t="s">
        <v>76</v>
      </c>
      <c r="B23">
        <v>20.89</v>
      </c>
      <c r="C23">
        <v>15.21</v>
      </c>
      <c r="D23">
        <v>20.260000000000002</v>
      </c>
      <c r="E23">
        <v>22.86</v>
      </c>
      <c r="F23">
        <v>32.65</v>
      </c>
      <c r="G23">
        <v>29.38</v>
      </c>
      <c r="H23">
        <v>30.75</v>
      </c>
      <c r="I23">
        <v>55.56</v>
      </c>
      <c r="J23">
        <v>93.09</v>
      </c>
      <c r="K23">
        <v>92.69</v>
      </c>
    </row>
    <row r="24" spans="1:11" s="9" customFormat="1" x14ac:dyDescent="0.25">
      <c r="A24" s="5" t="s">
        <v>77</v>
      </c>
      <c r="B24">
        <v>20.47</v>
      </c>
      <c r="C24">
        <v>4.99</v>
      </c>
      <c r="D24">
        <v>0.44</v>
      </c>
      <c r="E24">
        <v>4.1399999999999997</v>
      </c>
      <c r="F24">
        <v>3.2</v>
      </c>
      <c r="G24">
        <v>2.81</v>
      </c>
      <c r="H24">
        <v>2.2200000000000002</v>
      </c>
      <c r="I24">
        <v>9.57</v>
      </c>
      <c r="J24">
        <v>7.91</v>
      </c>
      <c r="K24">
        <v>6.64</v>
      </c>
    </row>
    <row r="25" spans="1:11" s="9" customFormat="1" x14ac:dyDescent="0.25">
      <c r="A25" s="9" t="s">
        <v>9</v>
      </c>
      <c r="B25">
        <v>9.59</v>
      </c>
      <c r="C25">
        <v>15.17</v>
      </c>
      <c r="D25">
        <v>7.39</v>
      </c>
      <c r="E25">
        <v>5.97</v>
      </c>
      <c r="F25">
        <v>4.4400000000000004</v>
      </c>
      <c r="G25">
        <v>2.04</v>
      </c>
      <c r="H25">
        <v>3.06</v>
      </c>
      <c r="I25">
        <v>3.97</v>
      </c>
      <c r="J25">
        <v>8.17</v>
      </c>
      <c r="K25">
        <v>15.55</v>
      </c>
    </row>
    <row r="26" spans="1:11" s="9" customFormat="1" x14ac:dyDescent="0.25">
      <c r="A26" s="9" t="s">
        <v>10</v>
      </c>
      <c r="B26">
        <v>6.45</v>
      </c>
      <c r="C26">
        <v>11.98</v>
      </c>
      <c r="D26">
        <v>10.210000000000001</v>
      </c>
      <c r="E26">
        <v>7.29</v>
      </c>
      <c r="F26">
        <v>6.54</v>
      </c>
      <c r="G26">
        <v>5.82</v>
      </c>
      <c r="H26">
        <v>3.38</v>
      </c>
      <c r="I26">
        <v>23.29</v>
      </c>
      <c r="J26">
        <v>25.32</v>
      </c>
      <c r="K26">
        <v>15.44</v>
      </c>
    </row>
    <row r="27" spans="1:11" s="9" customFormat="1" x14ac:dyDescent="0.25">
      <c r="A27" s="9" t="s">
        <v>11</v>
      </c>
      <c r="B27">
        <v>19.489999999999998</v>
      </c>
      <c r="C27">
        <v>15.15</v>
      </c>
      <c r="D27">
        <v>9</v>
      </c>
      <c r="E27">
        <v>4.34</v>
      </c>
      <c r="F27">
        <v>7.4</v>
      </c>
      <c r="G27">
        <v>6.11</v>
      </c>
      <c r="H27">
        <v>6.16</v>
      </c>
      <c r="I27">
        <v>16.53</v>
      </c>
      <c r="J27">
        <v>12.35</v>
      </c>
      <c r="K27">
        <v>7.82</v>
      </c>
    </row>
    <row r="28" spans="1:11" s="9" customFormat="1" x14ac:dyDescent="0.25">
      <c r="A28" s="9" t="s">
        <v>12</v>
      </c>
      <c r="B28">
        <v>0.99</v>
      </c>
      <c r="C28">
        <v>43.95</v>
      </c>
      <c r="D28">
        <v>96.49</v>
      </c>
      <c r="E28">
        <v>62.21</v>
      </c>
      <c r="F28">
        <v>54.43</v>
      </c>
      <c r="G28">
        <v>29.4</v>
      </c>
      <c r="H28">
        <v>64.239999999999995</v>
      </c>
      <c r="I28">
        <v>95.73</v>
      </c>
      <c r="J28">
        <v>249.91</v>
      </c>
      <c r="K28">
        <v>375.91</v>
      </c>
    </row>
    <row r="29" spans="1:11" s="9" customFormat="1" x14ac:dyDescent="0.25">
      <c r="A29" s="9" t="s">
        <v>13</v>
      </c>
      <c r="B29">
        <v>0.85</v>
      </c>
      <c r="C29">
        <v>13.71</v>
      </c>
      <c r="D29">
        <v>23.66</v>
      </c>
      <c r="E29">
        <v>15.16</v>
      </c>
      <c r="F29">
        <v>10.72</v>
      </c>
      <c r="G29">
        <v>6.42</v>
      </c>
      <c r="H29">
        <v>12.71</v>
      </c>
      <c r="I29">
        <v>16.7</v>
      </c>
      <c r="J29">
        <v>64.239999999999995</v>
      </c>
      <c r="K29">
        <v>84.16</v>
      </c>
    </row>
    <row r="30" spans="1:11" s="9" customFormat="1" x14ac:dyDescent="0.25">
      <c r="A30" s="9" t="s">
        <v>14</v>
      </c>
      <c r="B30">
        <v>0.14000000000000001</v>
      </c>
      <c r="C30">
        <v>30.24</v>
      </c>
      <c r="D30">
        <v>72.83</v>
      </c>
      <c r="E30">
        <v>47.05</v>
      </c>
      <c r="F30">
        <v>43.7</v>
      </c>
      <c r="G30">
        <v>22.98</v>
      </c>
      <c r="H30">
        <v>51.53</v>
      </c>
      <c r="I30">
        <v>79.03</v>
      </c>
      <c r="J30">
        <v>185.67</v>
      </c>
      <c r="K30">
        <v>291.75</v>
      </c>
    </row>
    <row r="31" spans="1:11" s="9" customFormat="1" x14ac:dyDescent="0.25">
      <c r="A31" s="9" t="s">
        <v>61</v>
      </c>
      <c r="B31">
        <v>0.97</v>
      </c>
      <c r="C31">
        <v>0.97</v>
      </c>
      <c r="D31">
        <v>2.91</v>
      </c>
      <c r="E31">
        <v>2.91</v>
      </c>
      <c r="F31">
        <v>2.91</v>
      </c>
      <c r="G31">
        <v>2.91</v>
      </c>
      <c r="H31">
        <v>2.91</v>
      </c>
      <c r="I31">
        <v>5.82</v>
      </c>
      <c r="J31">
        <v>7.28</v>
      </c>
      <c r="K31">
        <v>8.73</v>
      </c>
    </row>
    <row r="32" spans="1:11" s="9" customFormat="1" x14ac:dyDescent="0.25"/>
    <row r="33" spans="1:11" x14ac:dyDescent="0.25">
      <c r="A33" s="9"/>
    </row>
    <row r="34" spans="1:11" x14ac:dyDescent="0.25">
      <c r="A34" s="9"/>
    </row>
    <row r="35" spans="1:11" x14ac:dyDescent="0.25">
      <c r="A35" s="9"/>
    </row>
    <row r="36" spans="1:11" x14ac:dyDescent="0.25">
      <c r="A36" s="9"/>
    </row>
    <row r="37" spans="1:11" x14ac:dyDescent="0.25">
      <c r="A37" s="9"/>
    </row>
    <row r="38" spans="1:11" x14ac:dyDescent="0.25">
      <c r="A38" s="9"/>
    </row>
    <row r="39" spans="1:11" x14ac:dyDescent="0.25">
      <c r="A39" s="9"/>
    </row>
    <row r="40" spans="1:11" x14ac:dyDescent="0.25">
      <c r="A40" s="1" t="s">
        <v>39</v>
      </c>
    </row>
    <row r="41" spans="1:11" s="24" customFormat="1" x14ac:dyDescent="0.25">
      <c r="A41" s="23" t="s">
        <v>38</v>
      </c>
      <c r="B41" s="16">
        <v>42643</v>
      </c>
      <c r="C41" s="16">
        <v>42735</v>
      </c>
      <c r="D41" s="16">
        <v>42825</v>
      </c>
      <c r="E41" s="16">
        <v>42916</v>
      </c>
      <c r="F41" s="16">
        <v>43008</v>
      </c>
      <c r="G41" s="16">
        <v>43100</v>
      </c>
      <c r="H41" s="16">
        <v>43190</v>
      </c>
      <c r="I41" s="16">
        <v>43281</v>
      </c>
      <c r="J41" s="16">
        <v>43373</v>
      </c>
      <c r="K41" s="16">
        <v>43465</v>
      </c>
    </row>
    <row r="42" spans="1:11" s="9" customFormat="1" x14ac:dyDescent="0.25">
      <c r="A42" s="9" t="s">
        <v>6</v>
      </c>
      <c r="B42">
        <v>293.89999999999998</v>
      </c>
      <c r="C42">
        <v>318.12</v>
      </c>
      <c r="D42">
        <v>474.64</v>
      </c>
      <c r="E42">
        <v>430.85</v>
      </c>
      <c r="F42">
        <v>458.62</v>
      </c>
      <c r="G42">
        <v>549.09</v>
      </c>
      <c r="H42">
        <v>440.4</v>
      </c>
      <c r="I42">
        <v>455.26</v>
      </c>
      <c r="J42">
        <v>506.7</v>
      </c>
      <c r="K42">
        <v>476.67</v>
      </c>
    </row>
    <row r="43" spans="1:11" s="9" customFormat="1" x14ac:dyDescent="0.25">
      <c r="A43" s="9" t="s">
        <v>7</v>
      </c>
      <c r="B43">
        <v>274.85000000000002</v>
      </c>
      <c r="C43">
        <v>237.26</v>
      </c>
      <c r="D43">
        <v>328.99</v>
      </c>
      <c r="E43">
        <v>352.08</v>
      </c>
      <c r="F43">
        <v>368.8</v>
      </c>
      <c r="G43">
        <v>444.25</v>
      </c>
      <c r="H43">
        <v>336.94</v>
      </c>
      <c r="I43">
        <v>371.33</v>
      </c>
      <c r="J43">
        <v>424.15</v>
      </c>
      <c r="K43">
        <v>409.01</v>
      </c>
    </row>
    <row r="44" spans="1:11" s="9" customFormat="1" x14ac:dyDescent="0.25">
      <c r="A44" s="9" t="s">
        <v>9</v>
      </c>
      <c r="B44">
        <v>2.2799999999999998</v>
      </c>
      <c r="C44">
        <v>13.62</v>
      </c>
      <c r="D44">
        <v>-10</v>
      </c>
      <c r="E44">
        <v>1.88</v>
      </c>
      <c r="F44">
        <v>2.1</v>
      </c>
      <c r="G44">
        <v>4.9400000000000004</v>
      </c>
      <c r="H44">
        <v>9.59</v>
      </c>
      <c r="I44">
        <v>6.23</v>
      </c>
      <c r="J44">
        <v>6.31</v>
      </c>
      <c r="K44">
        <v>6.32</v>
      </c>
    </row>
    <row r="45" spans="1:11" s="9" customFormat="1" x14ac:dyDescent="0.25">
      <c r="A45" s="9" t="s">
        <v>10</v>
      </c>
      <c r="B45">
        <v>5.89</v>
      </c>
      <c r="C45">
        <v>6.41</v>
      </c>
      <c r="D45">
        <v>6.46</v>
      </c>
      <c r="E45">
        <v>3.76</v>
      </c>
      <c r="F45">
        <v>4.0599999999999996</v>
      </c>
      <c r="G45">
        <v>3.97</v>
      </c>
      <c r="H45">
        <v>3.66</v>
      </c>
      <c r="I45">
        <v>3.88</v>
      </c>
      <c r="J45">
        <v>3.93</v>
      </c>
      <c r="K45">
        <v>3.93</v>
      </c>
    </row>
    <row r="46" spans="1:11" s="9" customFormat="1" x14ac:dyDescent="0.25">
      <c r="A46" s="9" t="s">
        <v>11</v>
      </c>
      <c r="B46">
        <v>3.03</v>
      </c>
      <c r="C46">
        <v>1.4</v>
      </c>
      <c r="D46">
        <v>2.69</v>
      </c>
      <c r="E46">
        <v>0.77</v>
      </c>
      <c r="F46">
        <v>0.63</v>
      </c>
      <c r="G46">
        <v>1.34</v>
      </c>
      <c r="H46">
        <v>1.31</v>
      </c>
      <c r="I46">
        <v>1.1299999999999999</v>
      </c>
      <c r="J46">
        <v>1.35</v>
      </c>
      <c r="K46">
        <v>2.0699999999999998</v>
      </c>
    </row>
    <row r="47" spans="1:11" s="9" customFormat="1" x14ac:dyDescent="0.25">
      <c r="A47" s="9" t="s">
        <v>12</v>
      </c>
      <c r="B47">
        <v>12.41</v>
      </c>
      <c r="C47">
        <v>86.67</v>
      </c>
      <c r="D47">
        <v>126.5</v>
      </c>
      <c r="E47">
        <v>76.12</v>
      </c>
      <c r="F47">
        <v>87.23</v>
      </c>
      <c r="G47">
        <v>104.47</v>
      </c>
      <c r="H47">
        <v>108.08</v>
      </c>
      <c r="I47">
        <v>85.15</v>
      </c>
      <c r="J47">
        <v>83.58</v>
      </c>
      <c r="K47">
        <v>67.98</v>
      </c>
    </row>
    <row r="48" spans="1:11" s="9" customFormat="1" x14ac:dyDescent="0.25">
      <c r="A48" s="9" t="s">
        <v>13</v>
      </c>
      <c r="B48">
        <v>2.68</v>
      </c>
      <c r="C48">
        <v>20.07</v>
      </c>
      <c r="D48">
        <v>36.119999999999997</v>
      </c>
      <c r="E48">
        <v>16.940000000000001</v>
      </c>
      <c r="F48">
        <v>21.98</v>
      </c>
      <c r="G48">
        <v>26.15</v>
      </c>
      <c r="H48">
        <v>19.11</v>
      </c>
      <c r="I48">
        <v>19.71</v>
      </c>
      <c r="J48">
        <v>17.79</v>
      </c>
      <c r="K48">
        <v>14.03</v>
      </c>
    </row>
    <row r="49" spans="1:11" s="9" customFormat="1" x14ac:dyDescent="0.25">
      <c r="A49" s="9" t="s">
        <v>14</v>
      </c>
      <c r="B49">
        <v>9.73</v>
      </c>
      <c r="C49">
        <v>66.599999999999994</v>
      </c>
      <c r="D49">
        <v>90.39</v>
      </c>
      <c r="E49">
        <v>59.19</v>
      </c>
      <c r="F49">
        <v>65.25</v>
      </c>
      <c r="G49">
        <v>78.33</v>
      </c>
      <c r="H49">
        <v>88.98</v>
      </c>
      <c r="I49">
        <v>65.44</v>
      </c>
      <c r="J49">
        <v>65.78</v>
      </c>
      <c r="K49">
        <v>53.94</v>
      </c>
    </row>
    <row r="50" spans="1:11" x14ac:dyDescent="0.25">
      <c r="A50" s="9" t="s">
        <v>8</v>
      </c>
      <c r="B50">
        <v>19.05</v>
      </c>
      <c r="C50">
        <v>80.86</v>
      </c>
      <c r="D50">
        <v>145.65</v>
      </c>
      <c r="E50">
        <v>78.77</v>
      </c>
      <c r="F50">
        <v>89.82</v>
      </c>
      <c r="G50">
        <v>104.84</v>
      </c>
      <c r="H50">
        <v>103.46</v>
      </c>
      <c r="I50">
        <v>83.93</v>
      </c>
      <c r="J50">
        <v>82.55</v>
      </c>
      <c r="K50">
        <v>67.66</v>
      </c>
    </row>
    <row r="51" spans="1:11" x14ac:dyDescent="0.25">
      <c r="A51" s="9"/>
    </row>
    <row r="52" spans="1:11" x14ac:dyDescent="0.25">
      <c r="A52" s="9"/>
    </row>
    <row r="53" spans="1:11" x14ac:dyDescent="0.25">
      <c r="A53" s="9"/>
    </row>
    <row r="54" spans="1:11" x14ac:dyDescent="0.25">
      <c r="A54" s="9"/>
    </row>
    <row r="55" spans="1:11" x14ac:dyDescent="0.25">
      <c r="A55" s="1" t="s">
        <v>40</v>
      </c>
    </row>
    <row r="56" spans="1:11" s="24" customFormat="1" x14ac:dyDescent="0.25">
      <c r="A56" s="23" t="s">
        <v>38</v>
      </c>
      <c r="B56" s="16">
        <v>39903</v>
      </c>
      <c r="C56" s="16">
        <v>40268</v>
      </c>
      <c r="D56" s="16">
        <v>40633</v>
      </c>
      <c r="E56" s="16">
        <v>40999</v>
      </c>
      <c r="F56" s="16">
        <v>41364</v>
      </c>
      <c r="G56" s="16">
        <v>41729</v>
      </c>
      <c r="H56" s="16">
        <v>42094</v>
      </c>
      <c r="I56" s="16">
        <v>42460</v>
      </c>
      <c r="J56" s="16">
        <v>42825</v>
      </c>
      <c r="K56" s="16">
        <v>43190</v>
      </c>
    </row>
    <row r="57" spans="1:11" x14ac:dyDescent="0.25">
      <c r="A57" s="9" t="s">
        <v>24</v>
      </c>
      <c r="B57">
        <v>9.7100000000000009</v>
      </c>
      <c r="C57">
        <v>9.7100000000000009</v>
      </c>
      <c r="D57">
        <v>14.56</v>
      </c>
      <c r="E57">
        <v>14.56</v>
      </c>
      <c r="F57">
        <v>14.56</v>
      </c>
      <c r="G57">
        <v>14.56</v>
      </c>
      <c r="H57">
        <v>14.56</v>
      </c>
      <c r="I57">
        <v>29.11</v>
      </c>
      <c r="J57">
        <v>29.11</v>
      </c>
      <c r="K57">
        <v>29.11</v>
      </c>
    </row>
    <row r="58" spans="1:11" x14ac:dyDescent="0.25">
      <c r="A58" s="9" t="s">
        <v>25</v>
      </c>
      <c r="B58">
        <v>78.959999999999994</v>
      </c>
      <c r="C58">
        <v>107.49</v>
      </c>
      <c r="D58">
        <v>172.09</v>
      </c>
      <c r="E58">
        <v>215.76</v>
      </c>
      <c r="F58">
        <v>256.06</v>
      </c>
      <c r="G58">
        <v>275.63</v>
      </c>
      <c r="H58">
        <v>320.16000000000003</v>
      </c>
      <c r="I58">
        <v>365.56</v>
      </c>
      <c r="J58">
        <v>563.39</v>
      </c>
      <c r="K58">
        <v>846.01</v>
      </c>
    </row>
    <row r="59" spans="1:11" x14ac:dyDescent="0.25">
      <c r="A59" s="9" t="s">
        <v>62</v>
      </c>
      <c r="B59">
        <v>142.43</v>
      </c>
      <c r="C59">
        <v>104.46</v>
      </c>
      <c r="D59">
        <v>38.21</v>
      </c>
      <c r="E59">
        <v>7</v>
      </c>
      <c r="F59">
        <v>23.4</v>
      </c>
      <c r="G59">
        <v>38.770000000000003</v>
      </c>
      <c r="H59">
        <v>24.8</v>
      </c>
      <c r="I59">
        <v>139.37</v>
      </c>
      <c r="J59">
        <v>80.84</v>
      </c>
      <c r="K59">
        <v>44.74</v>
      </c>
    </row>
    <row r="60" spans="1:11" x14ac:dyDescent="0.25">
      <c r="A60" s="9" t="s">
        <v>63</v>
      </c>
      <c r="B60">
        <v>104.93</v>
      </c>
      <c r="C60">
        <v>141.16999999999999</v>
      </c>
      <c r="D60">
        <v>127.43</v>
      </c>
      <c r="E60">
        <v>190.59</v>
      </c>
      <c r="F60">
        <v>211.27</v>
      </c>
      <c r="G60">
        <v>177.84</v>
      </c>
      <c r="H60">
        <v>191.36</v>
      </c>
      <c r="I60">
        <v>271.19</v>
      </c>
      <c r="J60">
        <v>261.08</v>
      </c>
      <c r="K60">
        <v>299.47000000000003</v>
      </c>
    </row>
    <row r="61" spans="1:11" s="1" customFormat="1" x14ac:dyDescent="0.25">
      <c r="A61" s="1" t="s">
        <v>26</v>
      </c>
      <c r="B61">
        <v>336.03</v>
      </c>
      <c r="C61">
        <v>362.83</v>
      </c>
      <c r="D61">
        <v>352.29</v>
      </c>
      <c r="E61">
        <v>427.91</v>
      </c>
      <c r="F61">
        <v>505.29</v>
      </c>
      <c r="G61">
        <v>506.8</v>
      </c>
      <c r="H61">
        <v>550.88</v>
      </c>
      <c r="I61">
        <v>805.23</v>
      </c>
      <c r="J61">
        <v>934.42</v>
      </c>
      <c r="K61">
        <v>1219.33</v>
      </c>
    </row>
    <row r="62" spans="1:11" x14ac:dyDescent="0.25">
      <c r="A62" s="9" t="s">
        <v>27</v>
      </c>
      <c r="B62">
        <v>47.53</v>
      </c>
      <c r="C62">
        <v>109.49</v>
      </c>
      <c r="D62">
        <v>83.18</v>
      </c>
      <c r="E62">
        <v>71.53</v>
      </c>
      <c r="F62">
        <v>62</v>
      </c>
      <c r="G62">
        <v>56.97</v>
      </c>
      <c r="H62">
        <v>55.12</v>
      </c>
      <c r="I62">
        <v>259.83</v>
      </c>
      <c r="J62">
        <v>237.6</v>
      </c>
      <c r="K62">
        <v>233.38</v>
      </c>
    </row>
    <row r="63" spans="1:11" x14ac:dyDescent="0.25">
      <c r="A63" s="9" t="s">
        <v>28</v>
      </c>
      <c r="B63">
        <v>72.25</v>
      </c>
      <c r="C63">
        <v>6.39</v>
      </c>
      <c r="D63">
        <v>0.53</v>
      </c>
      <c r="E63"/>
      <c r="F63"/>
      <c r="G63">
        <v>0.05</v>
      </c>
      <c r="H63">
        <v>0.8</v>
      </c>
      <c r="I63"/>
      <c r="J63"/>
      <c r="K63"/>
    </row>
    <row r="64" spans="1:11" x14ac:dyDescent="0.25">
      <c r="A64" s="9" t="s">
        <v>29</v>
      </c>
      <c r="B64">
        <v>5.0999999999999996</v>
      </c>
      <c r="C64">
        <v>5.0999999999999996</v>
      </c>
      <c r="D64">
        <v>55.11</v>
      </c>
      <c r="E64">
        <v>71.62</v>
      </c>
      <c r="F64">
        <v>125.96</v>
      </c>
      <c r="G64">
        <v>128.25</v>
      </c>
      <c r="H64">
        <v>125.25</v>
      </c>
      <c r="I64">
        <v>47.29</v>
      </c>
      <c r="J64">
        <v>83.68</v>
      </c>
      <c r="K64">
        <v>362.5</v>
      </c>
    </row>
    <row r="65" spans="1:11" x14ac:dyDescent="0.25">
      <c r="A65" s="9" t="s">
        <v>64</v>
      </c>
      <c r="B65">
        <v>211.15</v>
      </c>
      <c r="C65">
        <v>241.85</v>
      </c>
      <c r="D65">
        <v>213.47</v>
      </c>
      <c r="E65">
        <v>284.76</v>
      </c>
      <c r="F65">
        <v>317.33</v>
      </c>
      <c r="G65">
        <v>321.52999999999997</v>
      </c>
      <c r="H65">
        <v>369.71</v>
      </c>
      <c r="I65">
        <v>498.11</v>
      </c>
      <c r="J65">
        <v>613.14</v>
      </c>
      <c r="K65">
        <v>623.45000000000005</v>
      </c>
    </row>
    <row r="66" spans="1:11" s="1" customFormat="1" x14ac:dyDescent="0.25">
      <c r="A66" s="1" t="s">
        <v>26</v>
      </c>
      <c r="B66">
        <v>336.03</v>
      </c>
      <c r="C66">
        <v>362.83</v>
      </c>
      <c r="D66">
        <v>352.29</v>
      </c>
      <c r="E66">
        <v>427.91</v>
      </c>
      <c r="F66">
        <v>505.29</v>
      </c>
      <c r="G66">
        <v>506.8</v>
      </c>
      <c r="H66">
        <v>550.88</v>
      </c>
      <c r="I66">
        <v>805.23</v>
      </c>
      <c r="J66">
        <v>934.42</v>
      </c>
      <c r="K66">
        <v>1219.33</v>
      </c>
    </row>
    <row r="67" spans="1:11" s="9" customFormat="1" x14ac:dyDescent="0.25">
      <c r="A67" s="9" t="s">
        <v>69</v>
      </c>
      <c r="B67">
        <v>39.619999999999997</v>
      </c>
      <c r="C67">
        <v>60.78</v>
      </c>
      <c r="D67">
        <v>45.26</v>
      </c>
      <c r="E67">
        <v>85.12</v>
      </c>
      <c r="F67">
        <v>115.42</v>
      </c>
      <c r="G67">
        <v>103.17</v>
      </c>
      <c r="H67">
        <v>187.85</v>
      </c>
      <c r="I67">
        <v>198.69</v>
      </c>
      <c r="J67">
        <v>225.21</v>
      </c>
      <c r="K67">
        <v>243.73</v>
      </c>
    </row>
    <row r="68" spans="1:11" x14ac:dyDescent="0.25">
      <c r="A68" s="9" t="s">
        <v>45</v>
      </c>
      <c r="B68">
        <v>88.08</v>
      </c>
      <c r="C68">
        <v>57.69</v>
      </c>
      <c r="D68">
        <v>87.83</v>
      </c>
      <c r="E68">
        <v>92.77</v>
      </c>
      <c r="F68">
        <v>128.74</v>
      </c>
      <c r="G68">
        <v>142.63999999999999</v>
      </c>
      <c r="H68">
        <v>118.28</v>
      </c>
      <c r="I68">
        <v>150.79</v>
      </c>
      <c r="J68">
        <v>186.57</v>
      </c>
      <c r="K68">
        <v>248.19</v>
      </c>
    </row>
    <row r="69" spans="1:11" x14ac:dyDescent="0.25">
      <c r="A69" s="5" t="s">
        <v>78</v>
      </c>
      <c r="B69">
        <v>8.77</v>
      </c>
      <c r="C69">
        <v>33.200000000000003</v>
      </c>
      <c r="D69">
        <v>28.89</v>
      </c>
      <c r="E69">
        <v>50.62</v>
      </c>
      <c r="F69">
        <v>25.81</v>
      </c>
      <c r="G69">
        <v>25.51</v>
      </c>
      <c r="H69">
        <v>16.62</v>
      </c>
      <c r="I69">
        <v>53.65</v>
      </c>
      <c r="J69">
        <v>90.09</v>
      </c>
      <c r="K69">
        <v>50.7</v>
      </c>
    </row>
    <row r="70" spans="1:11" x14ac:dyDescent="0.25">
      <c r="A70" s="5" t="s">
        <v>65</v>
      </c>
      <c r="B70">
        <v>9711450</v>
      </c>
      <c r="C70">
        <v>9711450</v>
      </c>
      <c r="D70">
        <v>14563375</v>
      </c>
      <c r="E70">
        <v>14563375</v>
      </c>
      <c r="F70">
        <v>14563375</v>
      </c>
      <c r="G70">
        <v>14563375</v>
      </c>
      <c r="H70">
        <v>14563375</v>
      </c>
      <c r="I70">
        <v>29111550</v>
      </c>
      <c r="J70">
        <v>29111550</v>
      </c>
      <c r="K70">
        <v>29111550</v>
      </c>
    </row>
    <row r="71" spans="1:11" x14ac:dyDescent="0.25">
      <c r="A71" s="5" t="s">
        <v>66</v>
      </c>
      <c r="D71">
        <v>4851925</v>
      </c>
    </row>
    <row r="72" spans="1:11" x14ac:dyDescent="0.25">
      <c r="A72" s="5" t="s">
        <v>79</v>
      </c>
      <c r="B72">
        <v>10</v>
      </c>
      <c r="C72">
        <v>10</v>
      </c>
      <c r="D72">
        <v>10</v>
      </c>
      <c r="E72">
        <v>10</v>
      </c>
      <c r="F72">
        <v>10</v>
      </c>
      <c r="G72">
        <v>10</v>
      </c>
      <c r="H72">
        <v>10</v>
      </c>
      <c r="I72">
        <v>10</v>
      </c>
      <c r="J72">
        <v>10</v>
      </c>
      <c r="K72">
        <v>10</v>
      </c>
    </row>
    <row r="74" spans="1:11" x14ac:dyDescent="0.25">
      <c r="A74" s="9"/>
    </row>
    <row r="75" spans="1:11" x14ac:dyDescent="0.25">
      <c r="A75" s="9"/>
    </row>
    <row r="76" spans="1:11" x14ac:dyDescent="0.25">
      <c r="A76" s="9"/>
    </row>
    <row r="77" spans="1:11" x14ac:dyDescent="0.25">
      <c r="A77" s="9"/>
    </row>
    <row r="78" spans="1:11" x14ac:dyDescent="0.25">
      <c r="A78" s="9"/>
    </row>
    <row r="79" spans="1:11" x14ac:dyDescent="0.25">
      <c r="A79" s="9"/>
    </row>
    <row r="80" spans="1:11" x14ac:dyDescent="0.25">
      <c r="A80" s="1" t="s">
        <v>41</v>
      </c>
    </row>
    <row r="81" spans="1:11" s="24" customFormat="1" x14ac:dyDescent="0.25">
      <c r="A81" s="23" t="s">
        <v>38</v>
      </c>
      <c r="B81" s="16">
        <v>39903</v>
      </c>
      <c r="C81" s="16">
        <v>40268</v>
      </c>
      <c r="D81" s="16">
        <v>40633</v>
      </c>
      <c r="E81" s="16">
        <v>40999</v>
      </c>
      <c r="F81" s="16">
        <v>41364</v>
      </c>
      <c r="G81" s="16">
        <v>41729</v>
      </c>
      <c r="H81" s="16">
        <v>42094</v>
      </c>
      <c r="I81" s="16">
        <v>42460</v>
      </c>
      <c r="J81" s="16">
        <v>42825</v>
      </c>
      <c r="K81" s="16">
        <v>43190</v>
      </c>
    </row>
    <row r="82" spans="1:11" s="1" customFormat="1" x14ac:dyDescent="0.25">
      <c r="A82" s="9" t="s">
        <v>32</v>
      </c>
      <c r="B82">
        <v>-14.08</v>
      </c>
      <c r="C82">
        <v>71.739999999999995</v>
      </c>
      <c r="D82">
        <v>91.65</v>
      </c>
      <c r="E82">
        <v>67.599999999999994</v>
      </c>
      <c r="F82">
        <v>8.4600000000000009</v>
      </c>
      <c r="G82">
        <v>-6.75</v>
      </c>
      <c r="H82">
        <v>8.36</v>
      </c>
      <c r="I82">
        <v>136.11000000000001</v>
      </c>
      <c r="J82">
        <v>122.91</v>
      </c>
      <c r="K82">
        <v>284.44</v>
      </c>
    </row>
    <row r="83" spans="1:11" s="9" customFormat="1" x14ac:dyDescent="0.25">
      <c r="A83" s="9" t="s">
        <v>33</v>
      </c>
      <c r="B83">
        <v>-18.75</v>
      </c>
      <c r="C83">
        <v>-8.08</v>
      </c>
      <c r="D83">
        <v>-28.02</v>
      </c>
      <c r="E83">
        <v>-11.29</v>
      </c>
      <c r="F83">
        <v>-41.54</v>
      </c>
      <c r="G83">
        <v>1.83</v>
      </c>
      <c r="H83">
        <v>4.03</v>
      </c>
      <c r="I83">
        <v>-10.77</v>
      </c>
      <c r="J83">
        <v>-8.41</v>
      </c>
      <c r="K83">
        <v>-280.35000000000002</v>
      </c>
    </row>
    <row r="84" spans="1:11" s="9" customFormat="1" x14ac:dyDescent="0.25">
      <c r="A84" s="9" t="s">
        <v>34</v>
      </c>
      <c r="B84">
        <v>35.58</v>
      </c>
      <c r="C84">
        <v>-39.22</v>
      </c>
      <c r="D84">
        <v>-67.95</v>
      </c>
      <c r="E84">
        <v>-34.58</v>
      </c>
      <c r="F84">
        <v>7.48</v>
      </c>
      <c r="G84">
        <v>7.12</v>
      </c>
      <c r="H84">
        <v>-20.81</v>
      </c>
      <c r="I84">
        <v>-100.78</v>
      </c>
      <c r="J84">
        <v>-73.89</v>
      </c>
      <c r="K84">
        <v>-54.54</v>
      </c>
    </row>
    <row r="85" spans="1:11" s="1" customFormat="1" x14ac:dyDescent="0.25">
      <c r="A85" s="9" t="s">
        <v>35</v>
      </c>
      <c r="B85">
        <v>2.75</v>
      </c>
      <c r="C85">
        <v>24.44</v>
      </c>
      <c r="D85">
        <v>-4.32</v>
      </c>
      <c r="E85">
        <v>21.73</v>
      </c>
      <c r="F85">
        <v>-25.6</v>
      </c>
      <c r="G85">
        <v>2.2000000000000002</v>
      </c>
      <c r="H85">
        <v>-8.41</v>
      </c>
      <c r="I85">
        <v>24.56</v>
      </c>
      <c r="J85">
        <v>40.61</v>
      </c>
      <c r="K85">
        <v>-50.46</v>
      </c>
    </row>
    <row r="86" spans="1:11" x14ac:dyDescent="0.25">
      <c r="A86" s="9"/>
    </row>
    <row r="87" spans="1:11" x14ac:dyDescent="0.25">
      <c r="A87" s="9"/>
    </row>
    <row r="88" spans="1:11" x14ac:dyDescent="0.25">
      <c r="A88" s="9"/>
    </row>
    <row r="89" spans="1:11" x14ac:dyDescent="0.25">
      <c r="A89" s="9"/>
    </row>
    <row r="90" spans="1:11" s="1" customFormat="1" x14ac:dyDescent="0.25">
      <c r="A90" s="1" t="s">
        <v>68</v>
      </c>
      <c r="B90">
        <v>27.508889</v>
      </c>
      <c r="C90">
        <v>60.914285999999997</v>
      </c>
      <c r="D90">
        <v>70.385789000000003</v>
      </c>
      <c r="E90">
        <v>46.606110999999999</v>
      </c>
      <c r="F90">
        <v>39.087646999999997</v>
      </c>
      <c r="G90">
        <v>34.435789</v>
      </c>
      <c r="H90">
        <v>102.4825</v>
      </c>
      <c r="I90">
        <v>153.82631599999999</v>
      </c>
      <c r="J90">
        <v>451.22368399999999</v>
      </c>
      <c r="K90">
        <v>856.93095200000005</v>
      </c>
    </row>
    <row r="92" spans="1:11" s="1" customFormat="1" x14ac:dyDescent="0.25">
      <c r="A92" s="1" t="s">
        <v>67</v>
      </c>
    </row>
    <row r="93" spans="1:11" x14ac:dyDescent="0.25">
      <c r="A93" s="5" t="s">
        <v>80</v>
      </c>
      <c r="B93" s="27">
        <f>IF($B7&gt;0,(B70*B72/$B7)+SUM(C71:$K71),0)/10000000</f>
        <v>1.4563375000000001</v>
      </c>
      <c r="C93" s="27">
        <f>IF($B7&gt;0,(C70*C72/$B7)+SUM(D71:$K71),0)/10000000</f>
        <v>1.4563375000000001</v>
      </c>
      <c r="D93" s="27">
        <f>IF($B7&gt;0,(D70*D72/$B7)+SUM(E71:$K71),0)/10000000</f>
        <v>1.4563375000000001</v>
      </c>
      <c r="E93" s="27">
        <f>IF($B7&gt;0,(E70*E72/$B7)+SUM(F71:$K71),0)/10000000</f>
        <v>1.4563375000000001</v>
      </c>
      <c r="F93" s="27">
        <f>IF($B7&gt;0,(F70*F72/$B7)+SUM(G71:$K71),0)/10000000</f>
        <v>1.4563375000000001</v>
      </c>
      <c r="G93" s="27">
        <f>IF($B7&gt;0,(G70*G72/$B7)+SUM(H71:$K71),0)/10000000</f>
        <v>1.4563375000000001</v>
      </c>
      <c r="H93" s="27">
        <f>IF($B7&gt;0,(H70*H72/$B7)+SUM(I71:$K71),0)/10000000</f>
        <v>1.4563375000000001</v>
      </c>
      <c r="I93" s="27">
        <f>IF($B7&gt;0,(I70*I72/$B7)+SUM(J71:$K71),0)/10000000</f>
        <v>2.9111549999999999</v>
      </c>
      <c r="J93" s="27">
        <f>IF($B7&gt;0,(J70*J72/$B7)+SUM(K71:$K71),0)/10000000</f>
        <v>2.9111549999999999</v>
      </c>
      <c r="K93" s="27">
        <f>IF($B7&gt;0,(K70*K72/$B7),0)/10000000</f>
        <v>2.9111549999999999</v>
      </c>
    </row>
  </sheetData>
  <mergeCells count="2">
    <mergeCell ref="E1:K1"/>
    <mergeCell ref="E2:K2"/>
  </mergeCells>
  <conditionalFormatting sqref="E1:K1">
    <cfRule type="cellIs" dxfId="0" priority="1" operator="notEqual">
      <formula>""</formula>
    </cfRule>
  </conditionalFormatting>
  <hyperlinks>
    <hyperlink ref="E1:K1" r:id="rId1" display="https://www.screener.in/excel/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opLeftCell="A15" workbookViewId="0">
      <selection activeCell="C19" sqref="C19"/>
    </sheetView>
  </sheetViews>
  <sheetFormatPr defaultColWidth="8.85546875" defaultRowHeight="12.75" x14ac:dyDescent="0.2"/>
  <cols>
    <col min="1" max="1" width="18.140625" style="89" customWidth="1"/>
    <col min="2" max="2" width="9.7109375" style="31" customWidth="1"/>
    <col min="3" max="3" width="10.28515625" style="31" customWidth="1"/>
    <col min="4" max="11" width="8.85546875" style="31"/>
    <col min="12" max="12" width="9.140625" style="31" customWidth="1"/>
    <col min="13" max="13" width="16" style="89" customWidth="1"/>
    <col min="14" max="15" width="8.85546875" style="31"/>
    <col min="16" max="16" width="9.7109375" style="31" customWidth="1"/>
    <col min="17" max="16384" width="8.85546875" style="31"/>
  </cols>
  <sheetData>
    <row r="1" spans="1:22" s="29" customFormat="1" ht="15" x14ac:dyDescent="0.25">
      <c r="A1" s="81" t="str">
        <f>'Data Sheet'!A1</f>
        <v>COMPANY NAME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91"/>
    </row>
    <row r="2" spans="1:22" s="29" customFormat="1" ht="15" x14ac:dyDescent="0.25">
      <c r="A2" s="82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91"/>
    </row>
    <row r="3" spans="1:22" ht="15" x14ac:dyDescent="0.25">
      <c r="A3" s="45" t="str">
        <f>A1</f>
        <v>COMPANY NAME</v>
      </c>
      <c r="B3" s="16">
        <f>'Data Sheet'!B16</f>
        <v>39903</v>
      </c>
      <c r="C3" s="16">
        <f>'Data Sheet'!C16</f>
        <v>40268</v>
      </c>
      <c r="D3" s="16">
        <f>'Data Sheet'!D16</f>
        <v>40633</v>
      </c>
      <c r="E3" s="16">
        <f>'Data Sheet'!E16</f>
        <v>40999</v>
      </c>
      <c r="F3" s="16">
        <f>'Data Sheet'!F16</f>
        <v>41364</v>
      </c>
      <c r="G3" s="16">
        <f>'Data Sheet'!G16</f>
        <v>41729</v>
      </c>
      <c r="H3" s="16">
        <f>'Data Sheet'!H16</f>
        <v>42094</v>
      </c>
      <c r="I3" s="16">
        <f>'Data Sheet'!I16</f>
        <v>42460</v>
      </c>
      <c r="J3" s="16">
        <f>'Data Sheet'!J16</f>
        <v>42825</v>
      </c>
      <c r="K3" s="16">
        <f>'Data Sheet'!K16</f>
        <v>43190</v>
      </c>
      <c r="L3" s="30"/>
      <c r="M3" s="95" t="s">
        <v>205</v>
      </c>
      <c r="N3" s="78">
        <f t="shared" ref="N3:U3" si="0">C3</f>
        <v>40268</v>
      </c>
      <c r="O3" s="78">
        <f t="shared" si="0"/>
        <v>40633</v>
      </c>
      <c r="P3" s="78">
        <f t="shared" si="0"/>
        <v>40999</v>
      </c>
      <c r="Q3" s="78">
        <f t="shared" si="0"/>
        <v>41364</v>
      </c>
      <c r="R3" s="78">
        <f t="shared" si="0"/>
        <v>41729</v>
      </c>
      <c r="S3" s="78">
        <f t="shared" si="0"/>
        <v>42094</v>
      </c>
      <c r="T3" s="78">
        <f t="shared" si="0"/>
        <v>42460</v>
      </c>
      <c r="U3" s="78">
        <f t="shared" si="0"/>
        <v>42825</v>
      </c>
      <c r="V3" s="78">
        <f>K3</f>
        <v>43190</v>
      </c>
    </row>
    <row r="4" spans="1:22" x14ac:dyDescent="0.2">
      <c r="A4" s="83" t="s">
        <v>81</v>
      </c>
      <c r="B4" s="32">
        <f>'Data Sheet'!B17-'Data Sheet'!B18</f>
        <v>129.32000000000005</v>
      </c>
      <c r="C4" s="32">
        <f>'Data Sheet'!C17-'Data Sheet'!C18</f>
        <v>246.98999999999998</v>
      </c>
      <c r="D4" s="32">
        <f>'Data Sheet'!D17-'Data Sheet'!D18</f>
        <v>243.86</v>
      </c>
      <c r="E4" s="32">
        <f>'Data Sheet'!E17-'Data Sheet'!E18</f>
        <v>253.93</v>
      </c>
      <c r="F4" s="32">
        <f>'Data Sheet'!F17-'Data Sheet'!F18</f>
        <v>282.64999999999998</v>
      </c>
      <c r="G4" s="32">
        <f>'Data Sheet'!G17-'Data Sheet'!G18</f>
        <v>273.54999999999995</v>
      </c>
      <c r="H4" s="32">
        <f>'Data Sheet'!H17-'Data Sheet'!H18</f>
        <v>293.05999999999995</v>
      </c>
      <c r="I4" s="32">
        <f>'Data Sheet'!I17-'Data Sheet'!I18</f>
        <v>561.81000000000006</v>
      </c>
      <c r="J4" s="32">
        <f>'Data Sheet'!J17-'Data Sheet'!J18</f>
        <v>691.13000000000011</v>
      </c>
      <c r="K4" s="32">
        <f>'Data Sheet'!K17-'Data Sheet'!K18</f>
        <v>906.93000000000006</v>
      </c>
      <c r="L4" s="92"/>
      <c r="M4" s="95" t="str">
        <f>A4</f>
        <v>Gross Profit</v>
      </c>
      <c r="N4" s="80">
        <f>(C4-B4)/B4</f>
        <v>0.90991339313331188</v>
      </c>
      <c r="O4" s="80">
        <f t="shared" ref="O4:V9" si="1">(D4-C4)/C4</f>
        <v>-1.2672577837159266E-2</v>
      </c>
      <c r="P4" s="80">
        <f t="shared" si="1"/>
        <v>4.1294185188222719E-2</v>
      </c>
      <c r="Q4" s="80">
        <f t="shared" si="1"/>
        <v>0.1131020359941715</v>
      </c>
      <c r="R4" s="80">
        <f t="shared" si="1"/>
        <v>-3.2195294533875901E-2</v>
      </c>
      <c r="S4" s="80">
        <f t="shared" si="1"/>
        <v>7.1321513434472655E-2</v>
      </c>
      <c r="T4" s="80">
        <f t="shared" si="1"/>
        <v>0.91704770354193732</v>
      </c>
      <c r="U4" s="80">
        <f t="shared" si="1"/>
        <v>0.230184581976113</v>
      </c>
      <c r="V4" s="80">
        <f t="shared" si="1"/>
        <v>0.31224226990580634</v>
      </c>
    </row>
    <row r="5" spans="1:22" x14ac:dyDescent="0.2">
      <c r="A5" s="83" t="s">
        <v>82</v>
      </c>
      <c r="B5" s="32">
        <f>'Data Sheet'!B28+'Data Sheet'!B27</f>
        <v>20.479999999999997</v>
      </c>
      <c r="C5" s="32">
        <f>'Data Sheet'!C28+'Data Sheet'!C27</f>
        <v>59.1</v>
      </c>
      <c r="D5" s="32">
        <f>'Data Sheet'!D28+'Data Sheet'!D27</f>
        <v>105.49</v>
      </c>
      <c r="E5" s="32">
        <f>'Data Sheet'!E28+'Data Sheet'!E27</f>
        <v>66.55</v>
      </c>
      <c r="F5" s="32">
        <f>'Data Sheet'!F28+'Data Sheet'!F27</f>
        <v>61.83</v>
      </c>
      <c r="G5" s="32">
        <f>'Data Sheet'!G28+'Data Sheet'!G27</f>
        <v>35.51</v>
      </c>
      <c r="H5" s="32">
        <f>'Data Sheet'!H28+'Data Sheet'!H27</f>
        <v>70.399999999999991</v>
      </c>
      <c r="I5" s="32">
        <f>'Data Sheet'!I28+'Data Sheet'!I27</f>
        <v>112.26</v>
      </c>
      <c r="J5" s="32">
        <f>'Data Sheet'!J28+'Data Sheet'!J27</f>
        <v>262.26</v>
      </c>
      <c r="K5" s="32">
        <f>'Data Sheet'!K28+'Data Sheet'!K27</f>
        <v>383.73</v>
      </c>
      <c r="L5" s="93"/>
      <c r="M5" s="95" t="str">
        <f t="shared" ref="M5:M43" si="2">A5</f>
        <v>EBIT</v>
      </c>
      <c r="N5" s="80">
        <f t="shared" ref="N5:N9" si="3">(C5-B5)/B5</f>
        <v>1.8857421875000004</v>
      </c>
      <c r="O5" s="80">
        <f t="shared" si="1"/>
        <v>0.78494077834179343</v>
      </c>
      <c r="P5" s="80">
        <f t="shared" si="1"/>
        <v>-0.36913451511991657</v>
      </c>
      <c r="Q5" s="80">
        <f t="shared" si="1"/>
        <v>-7.0924117205108925E-2</v>
      </c>
      <c r="R5" s="80">
        <f t="shared" si="1"/>
        <v>-0.42568332524664404</v>
      </c>
      <c r="S5" s="80">
        <f t="shared" si="1"/>
        <v>0.98254012954097425</v>
      </c>
      <c r="T5" s="80">
        <f t="shared" si="1"/>
        <v>0.59460227272727295</v>
      </c>
      <c r="U5" s="80">
        <f t="shared" si="1"/>
        <v>1.3361838588989845</v>
      </c>
      <c r="V5" s="80">
        <f t="shared" si="1"/>
        <v>0.4631663234957677</v>
      </c>
    </row>
    <row r="6" spans="1:22" x14ac:dyDescent="0.2">
      <c r="A6" s="83" t="s">
        <v>83</v>
      </c>
      <c r="B6" s="32">
        <f>'Calculated Data'!B5+'Data Sheet'!B26</f>
        <v>26.929999999999996</v>
      </c>
      <c r="C6" s="32">
        <f>'Calculated Data'!C5+'Data Sheet'!C26</f>
        <v>71.08</v>
      </c>
      <c r="D6" s="32">
        <f>'Calculated Data'!D5+'Data Sheet'!D26</f>
        <v>115.69999999999999</v>
      </c>
      <c r="E6" s="32">
        <f>'Calculated Data'!E5+'Data Sheet'!E26</f>
        <v>73.84</v>
      </c>
      <c r="F6" s="32">
        <f>'Calculated Data'!F5+'Data Sheet'!F26</f>
        <v>68.37</v>
      </c>
      <c r="G6" s="32">
        <f>'Calculated Data'!G5+'Data Sheet'!G26</f>
        <v>41.33</v>
      </c>
      <c r="H6" s="32">
        <f>'Calculated Data'!H5+'Data Sheet'!H26</f>
        <v>73.779999999999987</v>
      </c>
      <c r="I6" s="32">
        <f>'Calculated Data'!I5+'Data Sheet'!I26</f>
        <v>135.55000000000001</v>
      </c>
      <c r="J6" s="32">
        <f>'Calculated Data'!J5+'Data Sheet'!J26</f>
        <v>287.58</v>
      </c>
      <c r="K6" s="32">
        <f>'Calculated Data'!K5+'Data Sheet'!K26</f>
        <v>399.17</v>
      </c>
      <c r="L6" s="92"/>
      <c r="M6" s="95" t="str">
        <f t="shared" si="2"/>
        <v>EBITDA</v>
      </c>
      <c r="N6" s="80">
        <f t="shared" si="3"/>
        <v>1.639435573709618</v>
      </c>
      <c r="O6" s="80">
        <f t="shared" si="1"/>
        <v>0.62774338773213267</v>
      </c>
      <c r="P6" s="80">
        <f t="shared" si="1"/>
        <v>-0.36179775280898868</v>
      </c>
      <c r="Q6" s="80">
        <f t="shared" si="1"/>
        <v>-7.4079089924160332E-2</v>
      </c>
      <c r="R6" s="80">
        <f t="shared" si="1"/>
        <v>-0.39549510019014195</v>
      </c>
      <c r="S6" s="80">
        <f t="shared" si="1"/>
        <v>0.7851439632228403</v>
      </c>
      <c r="T6" s="80">
        <f t="shared" si="1"/>
        <v>0.83721875847113092</v>
      </c>
      <c r="U6" s="80">
        <f t="shared" si="1"/>
        <v>1.1215787532275909</v>
      </c>
      <c r="V6" s="80">
        <f t="shared" si="1"/>
        <v>0.38803115654774339</v>
      </c>
    </row>
    <row r="7" spans="1:22" ht="35.25" customHeight="1" x14ac:dyDescent="0.2">
      <c r="A7" s="83" t="s">
        <v>84</v>
      </c>
      <c r="B7" s="32">
        <f>B6-'Data Sheet'!B25</f>
        <v>17.339999999999996</v>
      </c>
      <c r="C7" s="32">
        <f>C6-'Data Sheet'!C25</f>
        <v>55.91</v>
      </c>
      <c r="D7" s="32">
        <f>D6-'Data Sheet'!D25</f>
        <v>108.30999999999999</v>
      </c>
      <c r="E7" s="32">
        <f>E6-'Data Sheet'!E25</f>
        <v>67.87</v>
      </c>
      <c r="F7" s="32">
        <f>F6-'Data Sheet'!F25</f>
        <v>63.930000000000007</v>
      </c>
      <c r="G7" s="32">
        <f>G6-'Data Sheet'!G25</f>
        <v>39.29</v>
      </c>
      <c r="H7" s="32">
        <f>H6-'Data Sheet'!H25</f>
        <v>70.719999999999985</v>
      </c>
      <c r="I7" s="32">
        <f>I6-'Data Sheet'!I25</f>
        <v>131.58000000000001</v>
      </c>
      <c r="J7" s="32">
        <f>J6-'Data Sheet'!J25</f>
        <v>279.40999999999997</v>
      </c>
      <c r="K7" s="32">
        <f>K6-'Data Sheet'!K25</f>
        <v>383.62</v>
      </c>
      <c r="L7" s="92"/>
      <c r="M7" s="95" t="str">
        <f t="shared" si="2"/>
        <v>Operating Profit (excl Other Income)</v>
      </c>
      <c r="N7" s="80">
        <f t="shared" si="3"/>
        <v>2.2243367935409464</v>
      </c>
      <c r="O7" s="80">
        <f t="shared" si="1"/>
        <v>0.93722053299946328</v>
      </c>
      <c r="P7" s="80">
        <f t="shared" si="1"/>
        <v>-0.37337272643338554</v>
      </c>
      <c r="Q7" s="80">
        <f t="shared" si="1"/>
        <v>-5.8052158538382165E-2</v>
      </c>
      <c r="R7" s="80">
        <f t="shared" si="1"/>
        <v>-0.3854215548255906</v>
      </c>
      <c r="S7" s="80">
        <f t="shared" si="1"/>
        <v>0.7999490964622038</v>
      </c>
      <c r="T7" s="80">
        <f t="shared" si="1"/>
        <v>0.86057692307692368</v>
      </c>
      <c r="U7" s="80">
        <f t="shared" si="1"/>
        <v>1.1234990120079036</v>
      </c>
      <c r="V7" s="80">
        <f t="shared" si="1"/>
        <v>0.3729644608281738</v>
      </c>
    </row>
    <row r="8" spans="1:22" x14ac:dyDescent="0.2">
      <c r="A8" s="84" t="s">
        <v>85</v>
      </c>
      <c r="B8" s="33">
        <f>'Data Sheet'!B30</f>
        <v>0.14000000000000001</v>
      </c>
      <c r="C8" s="33">
        <f>'Data Sheet'!C30</f>
        <v>30.24</v>
      </c>
      <c r="D8" s="33">
        <f>'Data Sheet'!D30</f>
        <v>72.83</v>
      </c>
      <c r="E8" s="33">
        <f>'Data Sheet'!E30</f>
        <v>47.05</v>
      </c>
      <c r="F8" s="33">
        <f>'Data Sheet'!F30</f>
        <v>43.7</v>
      </c>
      <c r="G8" s="33">
        <f>'Data Sheet'!G30</f>
        <v>22.98</v>
      </c>
      <c r="H8" s="33">
        <f>'Data Sheet'!H30</f>
        <v>51.53</v>
      </c>
      <c r="I8" s="33">
        <f>'Data Sheet'!I30</f>
        <v>79.03</v>
      </c>
      <c r="J8" s="33">
        <f>'Data Sheet'!J30</f>
        <v>185.67</v>
      </c>
      <c r="K8" s="33">
        <f>'Data Sheet'!K30</f>
        <v>291.75</v>
      </c>
      <c r="L8" s="79"/>
      <c r="M8" s="95" t="str">
        <f t="shared" si="2"/>
        <v>PAT</v>
      </c>
      <c r="N8" s="80">
        <f t="shared" si="3"/>
        <v>214.99999999999997</v>
      </c>
      <c r="O8" s="80">
        <f t="shared" si="1"/>
        <v>1.4083994708994712</v>
      </c>
      <c r="P8" s="80">
        <f t="shared" si="1"/>
        <v>-0.35397501029795414</v>
      </c>
      <c r="Q8" s="80">
        <f t="shared" si="1"/>
        <v>-7.1200850159404777E-2</v>
      </c>
      <c r="R8" s="80">
        <f t="shared" si="1"/>
        <v>-0.474141876430206</v>
      </c>
      <c r="S8" s="80">
        <f t="shared" si="1"/>
        <v>1.2423846823324629</v>
      </c>
      <c r="T8" s="80">
        <f t="shared" si="1"/>
        <v>0.53366970696681548</v>
      </c>
      <c r="U8" s="80">
        <f t="shared" si="1"/>
        <v>1.3493610021510816</v>
      </c>
      <c r="V8" s="80">
        <f t="shared" si="1"/>
        <v>0.57133624171917929</v>
      </c>
    </row>
    <row r="9" spans="1:22" x14ac:dyDescent="0.2">
      <c r="A9" s="85" t="s">
        <v>86</v>
      </c>
      <c r="B9" s="34">
        <f>'Data Sheet'!B31</f>
        <v>0.97</v>
      </c>
      <c r="C9" s="34">
        <f>'Data Sheet'!C31</f>
        <v>0.97</v>
      </c>
      <c r="D9" s="34">
        <f>'Data Sheet'!D31</f>
        <v>2.91</v>
      </c>
      <c r="E9" s="34">
        <f>'Data Sheet'!E31</f>
        <v>2.91</v>
      </c>
      <c r="F9" s="34">
        <f>'Data Sheet'!F31</f>
        <v>2.91</v>
      </c>
      <c r="G9" s="34">
        <f>'Data Sheet'!G31</f>
        <v>2.91</v>
      </c>
      <c r="H9" s="34">
        <f>'Data Sheet'!H31</f>
        <v>2.91</v>
      </c>
      <c r="I9" s="34">
        <f>'Data Sheet'!I31</f>
        <v>5.82</v>
      </c>
      <c r="J9" s="34">
        <f>'Data Sheet'!J31</f>
        <v>7.28</v>
      </c>
      <c r="K9" s="34">
        <f>'Data Sheet'!K31</f>
        <v>8.73</v>
      </c>
      <c r="L9" s="79"/>
      <c r="M9" s="95" t="str">
        <f t="shared" si="2"/>
        <v>Dividend</v>
      </c>
      <c r="N9" s="80">
        <f t="shared" si="3"/>
        <v>0</v>
      </c>
      <c r="O9" s="80">
        <f t="shared" si="1"/>
        <v>2.0000000000000004</v>
      </c>
      <c r="P9" s="80">
        <f t="shared" si="1"/>
        <v>0</v>
      </c>
      <c r="Q9" s="80">
        <f t="shared" si="1"/>
        <v>0</v>
      </c>
      <c r="R9" s="80">
        <f t="shared" si="1"/>
        <v>0</v>
      </c>
      <c r="S9" s="80">
        <f t="shared" si="1"/>
        <v>0</v>
      </c>
      <c r="T9" s="80">
        <f t="shared" si="1"/>
        <v>1</v>
      </c>
      <c r="U9" s="80">
        <f t="shared" si="1"/>
        <v>0.25085910652920962</v>
      </c>
      <c r="V9" s="80">
        <f t="shared" si="1"/>
        <v>0.19917582417582419</v>
      </c>
    </row>
    <row r="10" spans="1:22" ht="15" x14ac:dyDescent="0.25">
      <c r="A10" s="45"/>
      <c r="B10" s="16">
        <f>B3</f>
        <v>39903</v>
      </c>
      <c r="C10" s="16">
        <f t="shared" ref="C10:K10" si="4">C3</f>
        <v>40268</v>
      </c>
      <c r="D10" s="16">
        <f t="shared" si="4"/>
        <v>40633</v>
      </c>
      <c r="E10" s="16">
        <f t="shared" si="4"/>
        <v>40999</v>
      </c>
      <c r="F10" s="16">
        <f t="shared" si="4"/>
        <v>41364</v>
      </c>
      <c r="G10" s="16">
        <f t="shared" si="4"/>
        <v>41729</v>
      </c>
      <c r="H10" s="16">
        <f t="shared" si="4"/>
        <v>42094</v>
      </c>
      <c r="I10" s="16">
        <f t="shared" si="4"/>
        <v>42460</v>
      </c>
      <c r="J10" s="16">
        <f t="shared" si="4"/>
        <v>42825</v>
      </c>
      <c r="K10" s="16">
        <f t="shared" si="4"/>
        <v>43190</v>
      </c>
      <c r="L10" s="79"/>
      <c r="M10" s="95" t="s">
        <v>205</v>
      </c>
      <c r="N10" s="80"/>
      <c r="O10" s="80"/>
      <c r="P10" s="80"/>
      <c r="Q10" s="80"/>
      <c r="R10" s="80"/>
      <c r="S10" s="80"/>
      <c r="T10" s="80"/>
      <c r="U10" s="80"/>
      <c r="V10" s="80"/>
    </row>
    <row r="11" spans="1:22" x14ac:dyDescent="0.2">
      <c r="A11" s="86" t="s">
        <v>87</v>
      </c>
      <c r="B11" s="32">
        <f>'Data Sheet'!B57+'Data Sheet'!B58</f>
        <v>88.669999999999987</v>
      </c>
      <c r="C11" s="32">
        <f>'Data Sheet'!C57+'Data Sheet'!C58</f>
        <v>117.19999999999999</v>
      </c>
      <c r="D11" s="32">
        <f>'Data Sheet'!D57+'Data Sheet'!D58</f>
        <v>186.65</v>
      </c>
      <c r="E11" s="32">
        <f>'Data Sheet'!E57+'Data Sheet'!E58</f>
        <v>230.32</v>
      </c>
      <c r="F11" s="32">
        <f>'Data Sheet'!F57+'Data Sheet'!F58</f>
        <v>270.62</v>
      </c>
      <c r="G11" s="32">
        <f>'Data Sheet'!G57+'Data Sheet'!G58</f>
        <v>290.19</v>
      </c>
      <c r="H11" s="32">
        <f>'Data Sheet'!H57+'Data Sheet'!H58</f>
        <v>334.72</v>
      </c>
      <c r="I11" s="32">
        <f>'Data Sheet'!I57+'Data Sheet'!I58</f>
        <v>394.67</v>
      </c>
      <c r="J11" s="32">
        <f>'Data Sheet'!J57+'Data Sheet'!J58</f>
        <v>592.5</v>
      </c>
      <c r="K11" s="32">
        <f>'Data Sheet'!K57+'Data Sheet'!K58</f>
        <v>875.12</v>
      </c>
      <c r="L11" s="79"/>
      <c r="M11" s="95" t="str">
        <f t="shared" si="2"/>
        <v>Networth</v>
      </c>
      <c r="N11" s="80">
        <f t="shared" ref="N11:V15" si="5">(C11-B11)/B11</f>
        <v>0.32175482124732158</v>
      </c>
      <c r="O11" s="80">
        <f t="shared" si="5"/>
        <v>0.5925767918088739</v>
      </c>
      <c r="P11" s="80">
        <f t="shared" si="5"/>
        <v>0.23396731851058122</v>
      </c>
      <c r="Q11" s="80">
        <f t="shared" si="5"/>
        <v>0.17497394928794727</v>
      </c>
      <c r="R11" s="80">
        <f t="shared" si="5"/>
        <v>7.2315423841549015E-2</v>
      </c>
      <c r="S11" s="80">
        <f t="shared" si="5"/>
        <v>0.15345118715324452</v>
      </c>
      <c r="T11" s="80">
        <f t="shared" si="5"/>
        <v>0.1791049235181644</v>
      </c>
      <c r="U11" s="80">
        <f t="shared" si="5"/>
        <v>0.50125421237996293</v>
      </c>
      <c r="V11" s="80">
        <f t="shared" si="5"/>
        <v>0.47699578059071729</v>
      </c>
    </row>
    <row r="12" spans="1:22" x14ac:dyDescent="0.2">
      <c r="A12" s="83" t="s">
        <v>30</v>
      </c>
      <c r="B12" s="32">
        <f>'Data Sheet'!B65-'Data Sheet'!B60</f>
        <v>106.22</v>
      </c>
      <c r="C12" s="32">
        <f>'Data Sheet'!C65-'Data Sheet'!C60</f>
        <v>100.68</v>
      </c>
      <c r="D12" s="32">
        <f>'Data Sheet'!D65-'Data Sheet'!D60</f>
        <v>86.039999999999992</v>
      </c>
      <c r="E12" s="32">
        <f>'Data Sheet'!E65-'Data Sheet'!E60</f>
        <v>94.169999999999987</v>
      </c>
      <c r="F12" s="32">
        <f>'Data Sheet'!F65-'Data Sheet'!F60</f>
        <v>106.05999999999997</v>
      </c>
      <c r="G12" s="32">
        <f>'Data Sheet'!G65-'Data Sheet'!G60</f>
        <v>143.68999999999997</v>
      </c>
      <c r="H12" s="32">
        <f>'Data Sheet'!H65-'Data Sheet'!H60</f>
        <v>178.34999999999997</v>
      </c>
      <c r="I12" s="32">
        <f>'Data Sheet'!I65-'Data Sheet'!I60</f>
        <v>226.92000000000002</v>
      </c>
      <c r="J12" s="32">
        <f>'Data Sheet'!J65-'Data Sheet'!J60</f>
        <v>352.06</v>
      </c>
      <c r="K12" s="32">
        <f>'Data Sheet'!K65-'Data Sheet'!K60</f>
        <v>323.98</v>
      </c>
      <c r="L12" s="79"/>
      <c r="M12" s="95" t="str">
        <f t="shared" si="2"/>
        <v>Working Capital</v>
      </c>
      <c r="N12" s="80">
        <f t="shared" si="5"/>
        <v>-5.215590284315564E-2</v>
      </c>
      <c r="O12" s="80">
        <f t="shared" si="5"/>
        <v>-0.1454112038140645</v>
      </c>
      <c r="P12" s="80">
        <f t="shared" si="5"/>
        <v>9.44909344490934E-2</v>
      </c>
      <c r="Q12" s="80">
        <f t="shared" si="5"/>
        <v>0.12626101730912168</v>
      </c>
      <c r="R12" s="80">
        <f t="shared" si="5"/>
        <v>0.35479917028097308</v>
      </c>
      <c r="S12" s="80">
        <f t="shared" si="5"/>
        <v>0.24121372398914331</v>
      </c>
      <c r="T12" s="80">
        <f t="shared" si="5"/>
        <v>0.27232968881412983</v>
      </c>
      <c r="U12" s="80">
        <f t="shared" si="5"/>
        <v>0.55147188436453365</v>
      </c>
      <c r="V12" s="80">
        <f t="shared" si="5"/>
        <v>-7.9759131966142094E-2</v>
      </c>
    </row>
    <row r="13" spans="1:22" x14ac:dyDescent="0.2">
      <c r="A13" s="83" t="s">
        <v>88</v>
      </c>
      <c r="B13" s="32">
        <f>'Data Sheet'!B62+'Data Sheet'!B63+'Calculated Data'!B12</f>
        <v>226</v>
      </c>
      <c r="C13" s="32">
        <f>'Data Sheet'!C62+'Data Sheet'!C63+'Calculated Data'!C12</f>
        <v>216.56</v>
      </c>
      <c r="D13" s="32">
        <f>'Data Sheet'!D62+'Data Sheet'!D63+'Calculated Data'!D12</f>
        <v>169.75</v>
      </c>
      <c r="E13" s="32">
        <f>'Data Sheet'!E62+'Data Sheet'!E63+'Calculated Data'!E12</f>
        <v>165.7</v>
      </c>
      <c r="F13" s="32">
        <f>'Data Sheet'!F62+'Data Sheet'!F63+'Calculated Data'!F12</f>
        <v>168.05999999999997</v>
      </c>
      <c r="G13" s="32">
        <f>'Data Sheet'!G62+'Data Sheet'!G63+'Calculated Data'!G12</f>
        <v>200.70999999999998</v>
      </c>
      <c r="H13" s="32">
        <f>'Data Sheet'!H62+'Data Sheet'!H63+'Calculated Data'!H12</f>
        <v>234.26999999999995</v>
      </c>
      <c r="I13" s="32">
        <f>'Data Sheet'!I62+'Data Sheet'!I63+'Calculated Data'!I12</f>
        <v>486.75</v>
      </c>
      <c r="J13" s="32">
        <f>'Data Sheet'!J62+'Data Sheet'!J63+'Calculated Data'!J12</f>
        <v>589.66</v>
      </c>
      <c r="K13" s="32">
        <f>'Data Sheet'!K62+'Data Sheet'!K63+'Calculated Data'!K12</f>
        <v>557.36</v>
      </c>
      <c r="L13" s="79"/>
      <c r="M13" s="95" t="str">
        <f t="shared" si="2"/>
        <v>Invested Capital</v>
      </c>
      <c r="N13" s="80">
        <f t="shared" si="5"/>
        <v>-4.1769911504424766E-2</v>
      </c>
      <c r="O13" s="80">
        <f t="shared" si="5"/>
        <v>-0.2161525674178057</v>
      </c>
      <c r="P13" s="80">
        <f t="shared" si="5"/>
        <v>-2.3858615611192999E-2</v>
      </c>
      <c r="Q13" s="80">
        <f t="shared" si="5"/>
        <v>1.4242607121303472E-2</v>
      </c>
      <c r="R13" s="80">
        <f t="shared" si="5"/>
        <v>0.19427585386171611</v>
      </c>
      <c r="S13" s="80">
        <f t="shared" si="5"/>
        <v>0.16720641721887289</v>
      </c>
      <c r="T13" s="80">
        <f t="shared" si="5"/>
        <v>1.0777308234088876</v>
      </c>
      <c r="U13" s="80">
        <f t="shared" si="5"/>
        <v>0.21142270159219306</v>
      </c>
      <c r="V13" s="80">
        <f t="shared" si="5"/>
        <v>-5.4777329308414946E-2</v>
      </c>
    </row>
    <row r="14" spans="1:22" x14ac:dyDescent="0.2">
      <c r="A14" s="83" t="s">
        <v>89</v>
      </c>
      <c r="B14" s="32">
        <f>B11+'Data Sheet'!B59</f>
        <v>231.1</v>
      </c>
      <c r="C14" s="32">
        <f>C11+'Data Sheet'!C59</f>
        <v>221.65999999999997</v>
      </c>
      <c r="D14" s="32">
        <f>D11+'Data Sheet'!D59</f>
        <v>224.86</v>
      </c>
      <c r="E14" s="32">
        <f>E11+'Data Sheet'!E59</f>
        <v>237.32</v>
      </c>
      <c r="F14" s="32">
        <f>F11+'Data Sheet'!F59</f>
        <v>294.02</v>
      </c>
      <c r="G14" s="32">
        <f>G11+'Data Sheet'!G59</f>
        <v>328.96</v>
      </c>
      <c r="H14" s="32">
        <f>H11+'Data Sheet'!H59</f>
        <v>359.52000000000004</v>
      </c>
      <c r="I14" s="32">
        <f>I11+'Data Sheet'!I59</f>
        <v>534.04</v>
      </c>
      <c r="J14" s="32">
        <f>J11+'Data Sheet'!J59</f>
        <v>673.34</v>
      </c>
      <c r="K14" s="32">
        <f>K11+'Data Sheet'!K59</f>
        <v>919.86</v>
      </c>
      <c r="L14" s="79"/>
      <c r="M14" s="95" t="str">
        <f t="shared" si="2"/>
        <v>Capital Employed</v>
      </c>
      <c r="N14" s="80">
        <f t="shared" si="5"/>
        <v>-4.0848117697966362E-2</v>
      </c>
      <c r="O14" s="80">
        <f t="shared" si="5"/>
        <v>1.4436524406749283E-2</v>
      </c>
      <c r="P14" s="80">
        <f t="shared" si="5"/>
        <v>5.5412256515164897E-2</v>
      </c>
      <c r="Q14" s="80">
        <f t="shared" si="5"/>
        <v>0.2389179167368953</v>
      </c>
      <c r="R14" s="80">
        <f t="shared" si="5"/>
        <v>0.11883545337051901</v>
      </c>
      <c r="S14" s="80">
        <f t="shared" si="5"/>
        <v>9.2898832684825086E-2</v>
      </c>
      <c r="T14" s="80">
        <f t="shared" si="5"/>
        <v>0.48542501112594544</v>
      </c>
      <c r="U14" s="80">
        <f t="shared" si="5"/>
        <v>0.26084188450303364</v>
      </c>
      <c r="V14" s="80">
        <f t="shared" si="5"/>
        <v>0.36611518697834672</v>
      </c>
    </row>
    <row r="15" spans="1:22" ht="15" x14ac:dyDescent="0.25">
      <c r="A15" s="83" t="s">
        <v>90</v>
      </c>
      <c r="B15" s="35">
        <f>'Data Sheet'!B61</f>
        <v>336.03</v>
      </c>
      <c r="C15" s="35">
        <f>'Data Sheet'!C61</f>
        <v>362.83</v>
      </c>
      <c r="D15" s="35">
        <f>'Data Sheet'!D61</f>
        <v>352.29</v>
      </c>
      <c r="E15" s="35">
        <f>'Data Sheet'!E61</f>
        <v>427.91</v>
      </c>
      <c r="F15" s="35">
        <f>'Data Sheet'!F61</f>
        <v>505.29</v>
      </c>
      <c r="G15" s="35">
        <f>'Data Sheet'!G61</f>
        <v>506.8</v>
      </c>
      <c r="H15" s="35">
        <f>'Data Sheet'!H61</f>
        <v>550.88</v>
      </c>
      <c r="I15" s="35">
        <f>'Data Sheet'!I61</f>
        <v>805.23</v>
      </c>
      <c r="J15" s="35">
        <f>'Data Sheet'!J61</f>
        <v>934.42</v>
      </c>
      <c r="K15" s="35">
        <f>'Data Sheet'!K61</f>
        <v>1219.33</v>
      </c>
      <c r="L15" s="79"/>
      <c r="M15" s="95" t="str">
        <f t="shared" si="2"/>
        <v>Total Assets</v>
      </c>
      <c r="N15" s="80">
        <f t="shared" si="5"/>
        <v>7.9754783799065601E-2</v>
      </c>
      <c r="O15" s="80">
        <f t="shared" si="5"/>
        <v>-2.9049417082380079E-2</v>
      </c>
      <c r="P15" s="80">
        <f t="shared" si="5"/>
        <v>0.21465270089982685</v>
      </c>
      <c r="Q15" s="80">
        <f t="shared" si="5"/>
        <v>0.18083241803182909</v>
      </c>
      <c r="R15" s="80">
        <f t="shared" si="5"/>
        <v>2.9883829088246171E-3</v>
      </c>
      <c r="S15" s="80">
        <f t="shared" si="5"/>
        <v>8.6977111286503525E-2</v>
      </c>
      <c r="T15" s="80">
        <f t="shared" si="5"/>
        <v>0.46171580017426667</v>
      </c>
      <c r="U15" s="80">
        <f t="shared" si="5"/>
        <v>0.16043863244042067</v>
      </c>
      <c r="V15" s="80">
        <f t="shared" si="5"/>
        <v>0.30490571691530571</v>
      </c>
    </row>
    <row r="16" spans="1:22" ht="15" x14ac:dyDescent="0.25">
      <c r="A16" s="45"/>
      <c r="B16" s="16">
        <f>B3</f>
        <v>39903</v>
      </c>
      <c r="C16" s="16">
        <f t="shared" ref="C16:K16" si="6">C3</f>
        <v>40268</v>
      </c>
      <c r="D16" s="16">
        <f t="shared" si="6"/>
        <v>40633</v>
      </c>
      <c r="E16" s="16">
        <f t="shared" si="6"/>
        <v>40999</v>
      </c>
      <c r="F16" s="16">
        <f t="shared" si="6"/>
        <v>41364</v>
      </c>
      <c r="G16" s="16">
        <f t="shared" si="6"/>
        <v>41729</v>
      </c>
      <c r="H16" s="16">
        <f t="shared" si="6"/>
        <v>42094</v>
      </c>
      <c r="I16" s="16">
        <f t="shared" si="6"/>
        <v>42460</v>
      </c>
      <c r="J16" s="16">
        <f t="shared" si="6"/>
        <v>42825</v>
      </c>
      <c r="K16" s="16">
        <f t="shared" si="6"/>
        <v>43190</v>
      </c>
      <c r="L16" s="79"/>
      <c r="M16" s="95" t="s">
        <v>205</v>
      </c>
      <c r="N16" s="80"/>
      <c r="O16" s="80"/>
      <c r="P16" s="80"/>
      <c r="Q16" s="80"/>
      <c r="R16" s="80"/>
      <c r="S16" s="80"/>
      <c r="T16" s="80"/>
      <c r="U16" s="80"/>
      <c r="V16" s="80"/>
    </row>
    <row r="17" spans="1:22" x14ac:dyDescent="0.2">
      <c r="A17" s="86" t="s">
        <v>91</v>
      </c>
      <c r="B17" s="32">
        <f>'Data Sheet'!B82</f>
        <v>-14.08</v>
      </c>
      <c r="C17" s="32">
        <f>'Data Sheet'!C82</f>
        <v>71.739999999999995</v>
      </c>
      <c r="D17" s="32">
        <f>'Data Sheet'!D82</f>
        <v>91.65</v>
      </c>
      <c r="E17" s="32">
        <f>'Data Sheet'!E82</f>
        <v>67.599999999999994</v>
      </c>
      <c r="F17" s="32">
        <f>'Data Sheet'!F82</f>
        <v>8.4600000000000009</v>
      </c>
      <c r="G17" s="32">
        <f>'Data Sheet'!G82</f>
        <v>-6.75</v>
      </c>
      <c r="H17" s="32">
        <f>'Data Sheet'!H82</f>
        <v>8.36</v>
      </c>
      <c r="I17" s="32">
        <f>'Data Sheet'!I82</f>
        <v>136.11000000000001</v>
      </c>
      <c r="J17" s="32">
        <f>'Data Sheet'!J82</f>
        <v>122.91</v>
      </c>
      <c r="K17" s="32">
        <f>'Data Sheet'!K82</f>
        <v>284.44</v>
      </c>
      <c r="L17" s="79"/>
      <c r="M17" s="95" t="str">
        <f t="shared" si="2"/>
        <v>Operating Cash Flow</v>
      </c>
      <c r="N17" s="80">
        <f t="shared" ref="N17:V17" si="7">(C17-B17)/B17</f>
        <v>-6.0951704545454541</v>
      </c>
      <c r="O17" s="80">
        <f t="shared" si="7"/>
        <v>0.27752996933370522</v>
      </c>
      <c r="P17" s="80">
        <f t="shared" si="7"/>
        <v>-0.2624113475177306</v>
      </c>
      <c r="Q17" s="80">
        <f t="shared" si="7"/>
        <v>-0.87485207100591711</v>
      </c>
      <c r="R17" s="80">
        <f t="shared" si="7"/>
        <v>-1.7978723404255319</v>
      </c>
      <c r="S17" s="80">
        <f t="shared" si="7"/>
        <v>-2.2385185185185184</v>
      </c>
      <c r="T17" s="80">
        <f t="shared" si="7"/>
        <v>15.281100478468902</v>
      </c>
      <c r="U17" s="80">
        <f t="shared" si="7"/>
        <v>-9.698038351333492E-2</v>
      </c>
      <c r="V17" s="80">
        <f t="shared" si="7"/>
        <v>1.3142136522658856</v>
      </c>
    </row>
    <row r="18" spans="1:22" x14ac:dyDescent="0.2">
      <c r="A18" s="86" t="s">
        <v>92</v>
      </c>
      <c r="B18" s="32">
        <v>0</v>
      </c>
      <c r="C18" s="32">
        <f>('Data Sheet'!C62-'Data Sheet'!B62)+('Data Sheet'!C63-'Data Sheet'!B63)+'Data Sheet'!C26</f>
        <v>8.0799999999999947</v>
      </c>
      <c r="D18" s="32">
        <f>('Data Sheet'!D62-'Data Sheet'!C62)+('Data Sheet'!D63-'Data Sheet'!C63)+'Data Sheet'!D26</f>
        <v>-21.959999999999987</v>
      </c>
      <c r="E18" s="32">
        <f>('Data Sheet'!E62-'Data Sheet'!D62)+('Data Sheet'!E63-'Data Sheet'!D63)+'Data Sheet'!E26</f>
        <v>-4.890000000000005</v>
      </c>
      <c r="F18" s="32">
        <f>('Data Sheet'!F62-'Data Sheet'!E62)+('Data Sheet'!F63-'Data Sheet'!E63)+'Data Sheet'!F26</f>
        <v>-2.9900000000000011</v>
      </c>
      <c r="G18" s="32">
        <f>('Data Sheet'!G62-'Data Sheet'!F62)+('Data Sheet'!G63-'Data Sheet'!F63)+'Data Sheet'!G26</f>
        <v>0.83999999999999897</v>
      </c>
      <c r="H18" s="32">
        <f>('Data Sheet'!H62-'Data Sheet'!G62)+('Data Sheet'!H63-'Data Sheet'!G63)+'Data Sheet'!H26</f>
        <v>2.2799999999999985</v>
      </c>
      <c r="I18" s="32">
        <f>('Data Sheet'!I62-'Data Sheet'!H62)+('Data Sheet'!I63-'Data Sheet'!H63)+'Data Sheet'!I26</f>
        <v>227.19999999999996</v>
      </c>
      <c r="J18" s="32">
        <f>('Data Sheet'!J62-'Data Sheet'!I62)+('Data Sheet'!J63-'Data Sheet'!I63)+'Data Sheet'!J26</f>
        <v>3.0900000000000105</v>
      </c>
      <c r="K18" s="32">
        <f>('Data Sheet'!K62-'Data Sheet'!J62)+('Data Sheet'!K63-'Data Sheet'!J63)+'Data Sheet'!K26</f>
        <v>11.22</v>
      </c>
      <c r="L18" s="79" t="s">
        <v>93</v>
      </c>
      <c r="M18" s="95" t="str">
        <f t="shared" si="2"/>
        <v>Capex</v>
      </c>
      <c r="N18" s="80">
        <f>IF(B18=0,0,(C18-B18)/B18)</f>
        <v>0</v>
      </c>
      <c r="O18" s="80">
        <f t="shared" ref="O18:V24" si="8">(D18-C18)/C18</f>
        <v>-3.717821782178218</v>
      </c>
      <c r="P18" s="80">
        <f t="shared" si="8"/>
        <v>-0.7773224043715844</v>
      </c>
      <c r="Q18" s="80">
        <f t="shared" si="8"/>
        <v>-0.38854805725971409</v>
      </c>
      <c r="R18" s="80">
        <f t="shared" si="8"/>
        <v>-1.2809364548494979</v>
      </c>
      <c r="S18" s="80">
        <f t="shared" si="8"/>
        <v>1.7142857142857157</v>
      </c>
      <c r="T18" s="80">
        <f t="shared" si="8"/>
        <v>98.649122807017591</v>
      </c>
      <c r="U18" s="80">
        <f t="shared" si="8"/>
        <v>-0.98639964788732393</v>
      </c>
      <c r="V18" s="80">
        <f t="shared" si="8"/>
        <v>2.6310679611650363</v>
      </c>
    </row>
    <row r="19" spans="1:22" x14ac:dyDescent="0.2">
      <c r="A19" s="86" t="s">
        <v>94</v>
      </c>
      <c r="B19" s="36">
        <v>0</v>
      </c>
      <c r="C19" s="36">
        <f>C17-C18</f>
        <v>63.66</v>
      </c>
      <c r="D19" s="36">
        <f t="shared" ref="D19:K19" si="9">D17-D18</f>
        <v>113.60999999999999</v>
      </c>
      <c r="E19" s="36">
        <f t="shared" si="9"/>
        <v>72.489999999999995</v>
      </c>
      <c r="F19" s="36">
        <f t="shared" si="9"/>
        <v>11.450000000000003</v>
      </c>
      <c r="G19" s="36">
        <f t="shared" si="9"/>
        <v>-7.589999999999999</v>
      </c>
      <c r="H19" s="36">
        <f t="shared" si="9"/>
        <v>6.080000000000001</v>
      </c>
      <c r="I19" s="36">
        <f t="shared" si="9"/>
        <v>-91.089999999999947</v>
      </c>
      <c r="J19" s="36">
        <f t="shared" si="9"/>
        <v>119.82</v>
      </c>
      <c r="K19" s="36">
        <f t="shared" si="9"/>
        <v>273.21999999999997</v>
      </c>
      <c r="L19" s="79"/>
      <c r="M19" s="95" t="str">
        <f t="shared" si="2"/>
        <v>Free Cash Flow</v>
      </c>
      <c r="N19" s="80">
        <f>IF(B19=0,0,(C19-B19)/B19)</f>
        <v>0</v>
      </c>
      <c r="O19" s="80">
        <f t="shared" si="8"/>
        <v>0.78463713477851071</v>
      </c>
      <c r="P19" s="80">
        <f t="shared" si="8"/>
        <v>-0.36193997007305689</v>
      </c>
      <c r="Q19" s="80">
        <f t="shared" si="8"/>
        <v>-0.84204717892123049</v>
      </c>
      <c r="R19" s="80">
        <f t="shared" si="8"/>
        <v>-1.6628820960698689</v>
      </c>
      <c r="S19" s="80">
        <f t="shared" si="8"/>
        <v>-1.801054018445323</v>
      </c>
      <c r="T19" s="80">
        <f t="shared" si="8"/>
        <v>-15.98190789473683</v>
      </c>
      <c r="U19" s="80">
        <f t="shared" si="8"/>
        <v>-2.3154023493248443</v>
      </c>
      <c r="V19" s="80">
        <f t="shared" si="8"/>
        <v>1.2802537139041894</v>
      </c>
    </row>
    <row r="20" spans="1:22" x14ac:dyDescent="0.2">
      <c r="A20" s="86" t="s">
        <v>95</v>
      </c>
      <c r="B20" s="37">
        <f>'Data Sheet'!B29/'Data Sheet'!B28</f>
        <v>0.85858585858585856</v>
      </c>
      <c r="C20" s="37">
        <f>'Data Sheet'!C29/'Data Sheet'!C28</f>
        <v>0.31194539249146758</v>
      </c>
      <c r="D20" s="37">
        <f>'Data Sheet'!D29/'Data Sheet'!D28</f>
        <v>0.24520675717690954</v>
      </c>
      <c r="E20" s="37">
        <f>'Data Sheet'!E29/'Data Sheet'!E28</f>
        <v>0.24369072496383218</v>
      </c>
      <c r="F20" s="37">
        <f>'Data Sheet'!F29/'Data Sheet'!F28</f>
        <v>0.19695021128054382</v>
      </c>
      <c r="G20" s="37">
        <f>'Data Sheet'!G29/'Data Sheet'!G28</f>
        <v>0.21836734693877552</v>
      </c>
      <c r="H20" s="37">
        <f>'Data Sheet'!H29/'Data Sheet'!H28</f>
        <v>0.1978518057285181</v>
      </c>
      <c r="I20" s="37">
        <f>'Data Sheet'!I29/'Data Sheet'!I28</f>
        <v>0.17444897106445209</v>
      </c>
      <c r="J20" s="37">
        <f>'Data Sheet'!J29/'Data Sheet'!J28</f>
        <v>0.25705253891400903</v>
      </c>
      <c r="K20" s="37">
        <f>'Data Sheet'!K29/'Data Sheet'!K28</f>
        <v>0.22388337634008137</v>
      </c>
      <c r="L20" s="79"/>
      <c r="M20" s="95" t="str">
        <f t="shared" si="2"/>
        <v>Tax Rate</v>
      </c>
      <c r="N20" s="80">
        <f>(C20-B20)/B20</f>
        <v>-0.63667536639229072</v>
      </c>
      <c r="O20" s="80">
        <f t="shared" si="8"/>
        <v>-0.21394332764951318</v>
      </c>
      <c r="P20" s="80">
        <f t="shared" si="8"/>
        <v>-6.1826689873133826E-3</v>
      </c>
      <c r="Q20" s="80">
        <f t="shared" si="8"/>
        <v>-0.19180259605787392</v>
      </c>
      <c r="R20" s="80">
        <f t="shared" si="8"/>
        <v>0.10874390801096559</v>
      </c>
      <c r="S20" s="80">
        <f t="shared" si="8"/>
        <v>-9.3949674701178834E-2</v>
      </c>
      <c r="T20" s="80">
        <f t="shared" si="8"/>
        <v>-0.11828466552475217</v>
      </c>
      <c r="U20" s="80">
        <f t="shared" si="8"/>
        <v>0.47351135031365787</v>
      </c>
      <c r="V20" s="80">
        <f t="shared" si="8"/>
        <v>-0.12903651025607504</v>
      </c>
    </row>
    <row r="21" spans="1:22" x14ac:dyDescent="0.2">
      <c r="A21" s="86" t="s">
        <v>96</v>
      </c>
      <c r="B21" s="36">
        <f t="shared" ref="B21:K21" si="10">B5*(1-B20)</f>
        <v>2.8961616161616162</v>
      </c>
      <c r="C21" s="36">
        <f t="shared" si="10"/>
        <v>40.664027303754267</v>
      </c>
      <c r="D21" s="36">
        <f t="shared" si="10"/>
        <v>79.623139185407808</v>
      </c>
      <c r="E21" s="36">
        <f t="shared" si="10"/>
        <v>50.332382253656966</v>
      </c>
      <c r="F21" s="36">
        <f t="shared" si="10"/>
        <v>49.652568436523978</v>
      </c>
      <c r="G21" s="36">
        <f t="shared" si="10"/>
        <v>27.755775510204082</v>
      </c>
      <c r="H21" s="36">
        <f t="shared" si="10"/>
        <v>56.471232876712314</v>
      </c>
      <c r="I21" s="36">
        <f t="shared" si="10"/>
        <v>92.676358508304602</v>
      </c>
      <c r="J21" s="36">
        <f t="shared" si="10"/>
        <v>194.84540114441199</v>
      </c>
      <c r="K21" s="36">
        <f t="shared" si="10"/>
        <v>297.81923199702061</v>
      </c>
      <c r="L21" s="79"/>
      <c r="M21" s="95" t="str">
        <f t="shared" si="2"/>
        <v>NOPLAT</v>
      </c>
      <c r="N21" s="80">
        <f>(C21-B21)/B21</f>
        <v>13.040662329351537</v>
      </c>
      <c r="O21" s="80">
        <f t="shared" si="8"/>
        <v>0.95807312912306353</v>
      </c>
      <c r="P21" s="80">
        <f t="shared" si="8"/>
        <v>-0.36786739673181379</v>
      </c>
      <c r="Q21" s="80">
        <f t="shared" si="8"/>
        <v>-1.3506489991015582E-2</v>
      </c>
      <c r="R21" s="80">
        <f t="shared" si="8"/>
        <v>-0.44100020635010728</v>
      </c>
      <c r="S21" s="80">
        <f t="shared" si="8"/>
        <v>1.0345759337890355</v>
      </c>
      <c r="T21" s="80">
        <f t="shared" si="8"/>
        <v>0.64112511427960361</v>
      </c>
      <c r="U21" s="80">
        <f t="shared" si="8"/>
        <v>1.1024283245543378</v>
      </c>
      <c r="V21" s="80">
        <f t="shared" si="8"/>
        <v>0.52848992199866363</v>
      </c>
    </row>
    <row r="22" spans="1:22" x14ac:dyDescent="0.2">
      <c r="A22" s="86" t="s">
        <v>97</v>
      </c>
      <c r="B22" s="37">
        <f>(B5/B13)*(1-B20)</f>
        <v>1.2814874407794762E-2</v>
      </c>
      <c r="C22" s="37">
        <f t="shared" ref="C22:K22" si="11">(C5/C13)*(1-C20)</f>
        <v>0.18777256789690738</v>
      </c>
      <c r="D22" s="37">
        <f t="shared" si="11"/>
        <v>0.46906120285954528</v>
      </c>
      <c r="E22" s="37">
        <f t="shared" si="11"/>
        <v>0.30375607877885918</v>
      </c>
      <c r="F22" s="37">
        <f t="shared" si="11"/>
        <v>0.29544548635323087</v>
      </c>
      <c r="G22" s="37">
        <f t="shared" si="11"/>
        <v>0.13828795530967108</v>
      </c>
      <c r="H22" s="37">
        <f t="shared" si="11"/>
        <v>0.24105191819999286</v>
      </c>
      <c r="I22" s="37">
        <f t="shared" si="11"/>
        <v>0.19039827120350203</v>
      </c>
      <c r="J22" s="37">
        <f t="shared" si="11"/>
        <v>0.3304368638612285</v>
      </c>
      <c r="K22" s="37">
        <f t="shared" si="11"/>
        <v>0.53433908424899634</v>
      </c>
      <c r="L22" s="79"/>
      <c r="M22" s="95" t="str">
        <f t="shared" si="2"/>
        <v>RoIC</v>
      </c>
      <c r="N22" s="80">
        <f>(C22-B22)/B22</f>
        <v>13.652704499600326</v>
      </c>
      <c r="O22" s="80">
        <f t="shared" si="8"/>
        <v>1.4980283760995032</v>
      </c>
      <c r="P22" s="80">
        <f t="shared" si="8"/>
        <v>-0.35241696195066619</v>
      </c>
      <c r="Q22" s="80">
        <f t="shared" si="8"/>
        <v>-2.7359427534876107E-2</v>
      </c>
      <c r="R22" s="80">
        <f t="shared" si="8"/>
        <v>-0.53193410731502677</v>
      </c>
      <c r="S22" s="80">
        <f t="shared" si="8"/>
        <v>0.74311578806845691</v>
      </c>
      <c r="T22" s="80">
        <f t="shared" si="8"/>
        <v>-0.21013583868046701</v>
      </c>
      <c r="U22" s="80">
        <f t="shared" si="8"/>
        <v>0.73550348841166746</v>
      </c>
      <c r="V22" s="80">
        <f t="shared" si="8"/>
        <v>0.61706862244461735</v>
      </c>
    </row>
    <row r="23" spans="1:22" x14ac:dyDescent="0.2">
      <c r="A23" s="83" t="s">
        <v>98</v>
      </c>
      <c r="B23" s="38">
        <v>0.12</v>
      </c>
      <c r="C23" s="38">
        <v>0.12</v>
      </c>
      <c r="D23" s="38">
        <v>0.12</v>
      </c>
      <c r="E23" s="38">
        <v>0.12</v>
      </c>
      <c r="F23" s="38">
        <v>0.12</v>
      </c>
      <c r="G23" s="38">
        <v>0.12</v>
      </c>
      <c r="H23" s="38">
        <v>0.12</v>
      </c>
      <c r="I23" s="38">
        <v>0.12</v>
      </c>
      <c r="J23" s="38">
        <v>0.12</v>
      </c>
      <c r="K23" s="38">
        <v>0.12</v>
      </c>
      <c r="L23" s="79"/>
      <c r="M23" s="95" t="str">
        <f t="shared" si="2"/>
        <v>WACC</v>
      </c>
      <c r="N23" s="80">
        <f>(C23-B23)/B23</f>
        <v>0</v>
      </c>
      <c r="O23" s="80">
        <f t="shared" si="8"/>
        <v>0</v>
      </c>
      <c r="P23" s="80">
        <f t="shared" si="8"/>
        <v>0</v>
      </c>
      <c r="Q23" s="80">
        <f t="shared" si="8"/>
        <v>0</v>
      </c>
      <c r="R23" s="80">
        <f t="shared" si="8"/>
        <v>0</v>
      </c>
      <c r="S23" s="80">
        <f t="shared" si="8"/>
        <v>0</v>
      </c>
      <c r="T23" s="80">
        <f t="shared" si="8"/>
        <v>0</v>
      </c>
      <c r="U23" s="80">
        <f t="shared" si="8"/>
        <v>0</v>
      </c>
      <c r="V23" s="80">
        <f t="shared" si="8"/>
        <v>0</v>
      </c>
    </row>
    <row r="24" spans="1:22" ht="25.5" x14ac:dyDescent="0.2">
      <c r="A24" s="83" t="s">
        <v>99</v>
      </c>
      <c r="B24" s="36">
        <f>B13*(B22-B23)</f>
        <v>-24.223838383838384</v>
      </c>
      <c r="C24" s="36">
        <f t="shared" ref="C24:K24" si="12">C13*(C22-C23)</f>
        <v>14.676827303754264</v>
      </c>
      <c r="D24" s="36">
        <f t="shared" si="12"/>
        <v>59.253139185407811</v>
      </c>
      <c r="E24" s="36">
        <f t="shared" si="12"/>
        <v>30.448382253656966</v>
      </c>
      <c r="F24" s="36">
        <f t="shared" si="12"/>
        <v>29.485368436523977</v>
      </c>
      <c r="G24" s="36">
        <f t="shared" si="12"/>
        <v>3.6705755102040838</v>
      </c>
      <c r="H24" s="36">
        <f t="shared" si="12"/>
        <v>28.358832876712324</v>
      </c>
      <c r="I24" s="36">
        <f t="shared" si="12"/>
        <v>34.266358508304613</v>
      </c>
      <c r="J24" s="36">
        <f t="shared" si="12"/>
        <v>124.086201144412</v>
      </c>
      <c r="K24" s="36">
        <f t="shared" si="12"/>
        <v>230.93603199702062</v>
      </c>
      <c r="L24" s="79"/>
      <c r="M24" s="95" t="str">
        <f t="shared" si="2"/>
        <v>EPA (Economic Profit Added)</v>
      </c>
      <c r="N24" s="80">
        <f>(C24-B24)/B24</f>
        <v>-1.6058836370682825</v>
      </c>
      <c r="O24" s="80">
        <f t="shared" si="8"/>
        <v>3.0371899157150355</v>
      </c>
      <c r="P24" s="80">
        <f t="shared" si="8"/>
        <v>-0.4861304789543463</v>
      </c>
      <c r="Q24" s="80">
        <f t="shared" si="8"/>
        <v>-3.1627749845965211E-2</v>
      </c>
      <c r="R24" s="80">
        <f t="shared" si="8"/>
        <v>-0.8755119672963867</v>
      </c>
      <c r="S24" s="80">
        <f t="shared" si="8"/>
        <v>6.7259908692453445</v>
      </c>
      <c r="T24" s="80">
        <f t="shared" si="8"/>
        <v>0.20831342591829388</v>
      </c>
      <c r="U24" s="80">
        <f t="shared" si="8"/>
        <v>2.6212252058922201</v>
      </c>
      <c r="V24" s="80">
        <f t="shared" si="8"/>
        <v>0.86109357742571535</v>
      </c>
    </row>
    <row r="25" spans="1:22" ht="15" x14ac:dyDescent="0.25">
      <c r="A25" s="45"/>
      <c r="B25" s="16">
        <f>B3</f>
        <v>39903</v>
      </c>
      <c r="C25" s="16">
        <f t="shared" ref="C25:K25" si="13">C3</f>
        <v>40268</v>
      </c>
      <c r="D25" s="16">
        <f t="shared" si="13"/>
        <v>40633</v>
      </c>
      <c r="E25" s="16">
        <f t="shared" si="13"/>
        <v>40999</v>
      </c>
      <c r="F25" s="16">
        <f t="shared" si="13"/>
        <v>41364</v>
      </c>
      <c r="G25" s="16">
        <f t="shared" si="13"/>
        <v>41729</v>
      </c>
      <c r="H25" s="16">
        <f t="shared" si="13"/>
        <v>42094</v>
      </c>
      <c r="I25" s="16">
        <f t="shared" si="13"/>
        <v>42460</v>
      </c>
      <c r="J25" s="16">
        <f t="shared" si="13"/>
        <v>42825</v>
      </c>
      <c r="K25" s="16">
        <f t="shared" si="13"/>
        <v>43190</v>
      </c>
      <c r="L25" s="16" t="s">
        <v>100</v>
      </c>
      <c r="M25" s="95" t="s">
        <v>205</v>
      </c>
      <c r="N25" s="80"/>
      <c r="O25" s="80"/>
      <c r="P25" s="80"/>
      <c r="Q25" s="80"/>
      <c r="R25" s="80"/>
      <c r="S25" s="80"/>
      <c r="T25" s="80"/>
      <c r="U25" s="80"/>
      <c r="V25" s="80"/>
    </row>
    <row r="26" spans="1:22" x14ac:dyDescent="0.2">
      <c r="A26" s="85" t="s">
        <v>101</v>
      </c>
      <c r="B26" s="39">
        <f>'Data Sheet'!B90*'Data Sheet'!B93</f>
        <v>40.062226634037501</v>
      </c>
      <c r="C26" s="39">
        <f>'Data Sheet'!C90*'Data Sheet'!C93</f>
        <v>88.711758987525002</v>
      </c>
      <c r="D26" s="39">
        <f>'Data Sheet'!D90*'Data Sheet'!D93</f>
        <v>102.50546398778751</v>
      </c>
      <c r="E26" s="39">
        <f>'Data Sheet'!E90*'Data Sheet'!E93</f>
        <v>67.874227178462505</v>
      </c>
      <c r="F26" s="39">
        <f>'Data Sheet'!F90*'Data Sheet'!F93</f>
        <v>56.924806112862498</v>
      </c>
      <c r="G26" s="39">
        <f>'Data Sheet'!G90*'Data Sheet'!G93</f>
        <v>50.150130862787499</v>
      </c>
      <c r="H26" s="39">
        <f>'Data Sheet'!H90*'Data Sheet'!H93</f>
        <v>149.24910784375001</v>
      </c>
      <c r="I26" s="39">
        <f>'Data Sheet'!I90*'Data Sheet'!I93</f>
        <v>447.81224895497996</v>
      </c>
      <c r="J26" s="39">
        <f>'Data Sheet'!J90*'Data Sheet'!J93</f>
        <v>1313.58208379502</v>
      </c>
      <c r="K26" s="39">
        <f>'Data Sheet'!K90*'Data Sheet'!K93</f>
        <v>2494.6588255695601</v>
      </c>
      <c r="L26" s="94">
        <f>'Data Sheet'!B9</f>
        <v>1425.88</v>
      </c>
      <c r="M26" s="95" t="str">
        <f t="shared" si="2"/>
        <v>MktCap</v>
      </c>
      <c r="N26" s="80">
        <f t="shared" ref="N26:V29" si="14">(C26-B26)/B26</f>
        <v>1.2143491872754295</v>
      </c>
      <c r="O26" s="80">
        <f t="shared" si="14"/>
        <v>0.15548902600614908</v>
      </c>
      <c r="P26" s="80">
        <f t="shared" si="14"/>
        <v>-0.3378477152539982</v>
      </c>
      <c r="Q26" s="80">
        <f t="shared" si="14"/>
        <v>-0.1613192742041919</v>
      </c>
      <c r="R26" s="80">
        <f t="shared" si="14"/>
        <v>-0.11901094993003798</v>
      </c>
      <c r="S26" s="80">
        <f t="shared" si="14"/>
        <v>1.9760462291135541</v>
      </c>
      <c r="T26" s="80">
        <f t="shared" si="14"/>
        <v>2.0004350138146076</v>
      </c>
      <c r="U26" s="80">
        <f t="shared" si="14"/>
        <v>1.9333321874522436</v>
      </c>
      <c r="V26" s="80">
        <f t="shared" si="14"/>
        <v>0.89912671339299655</v>
      </c>
    </row>
    <row r="27" spans="1:22" x14ac:dyDescent="0.2">
      <c r="A27" s="87" t="s">
        <v>102</v>
      </c>
      <c r="B27" s="36">
        <f>B26+'Data Sheet'!B31</f>
        <v>41.032226634037499</v>
      </c>
      <c r="C27" s="36">
        <f>C26+'Data Sheet'!C31</f>
        <v>89.681758987525001</v>
      </c>
      <c r="D27" s="36">
        <f>D26+'Data Sheet'!D31</f>
        <v>105.4154639877875</v>
      </c>
      <c r="E27" s="36">
        <f>E26+'Data Sheet'!E31</f>
        <v>70.784227178462501</v>
      </c>
      <c r="F27" s="36">
        <f>F26+'Data Sheet'!F31</f>
        <v>59.834806112862495</v>
      </c>
      <c r="G27" s="36">
        <f>G26+'Data Sheet'!G31</f>
        <v>53.060130862787503</v>
      </c>
      <c r="H27" s="36">
        <f>H26+'Data Sheet'!H31</f>
        <v>152.15910784375001</v>
      </c>
      <c r="I27" s="36">
        <f>I26+'Data Sheet'!I31</f>
        <v>453.63224895497996</v>
      </c>
      <c r="J27" s="36">
        <f>J26+'Data Sheet'!J31</f>
        <v>1320.86208379502</v>
      </c>
      <c r="K27" s="36">
        <f>K26+'Data Sheet'!K31</f>
        <v>2503.3888255695601</v>
      </c>
      <c r="M27" s="95" t="str">
        <f t="shared" si="2"/>
        <v>MktCap+Dividend</v>
      </c>
      <c r="N27" s="80">
        <f t="shared" si="14"/>
        <v>1.1856420268728778</v>
      </c>
      <c r="O27" s="80">
        <f t="shared" si="14"/>
        <v>0.17543929978504447</v>
      </c>
      <c r="P27" s="80">
        <f t="shared" si="14"/>
        <v>-0.32852140947116704</v>
      </c>
      <c r="Q27" s="80">
        <f t="shared" si="14"/>
        <v>-0.15468730114117266</v>
      </c>
      <c r="R27" s="80">
        <f t="shared" si="14"/>
        <v>-0.11322298324651314</v>
      </c>
      <c r="S27" s="80">
        <f t="shared" si="14"/>
        <v>1.8676730601594367</v>
      </c>
      <c r="T27" s="80">
        <f t="shared" si="14"/>
        <v>1.981301976486405</v>
      </c>
      <c r="U27" s="80">
        <f t="shared" si="14"/>
        <v>1.9117464352189539</v>
      </c>
      <c r="V27" s="80">
        <f t="shared" si="14"/>
        <v>0.89526889770124729</v>
      </c>
    </row>
    <row r="28" spans="1:22" x14ac:dyDescent="0.2">
      <c r="A28" s="83" t="s">
        <v>103</v>
      </c>
      <c r="B28" s="32">
        <f>'Data Sheet'!B30-'Data Sheet'!B31</f>
        <v>-0.83</v>
      </c>
      <c r="C28" s="32">
        <f>'Data Sheet'!C30-'Data Sheet'!C31</f>
        <v>29.27</v>
      </c>
      <c r="D28" s="32">
        <f>'Data Sheet'!D30-'Data Sheet'!D31</f>
        <v>69.92</v>
      </c>
      <c r="E28" s="32">
        <f>'Data Sheet'!E30-'Data Sheet'!E31</f>
        <v>44.14</v>
      </c>
      <c r="F28" s="32">
        <f>'Data Sheet'!F30-'Data Sheet'!F31</f>
        <v>40.790000000000006</v>
      </c>
      <c r="G28" s="32">
        <f>'Data Sheet'!G30-'Data Sheet'!G31</f>
        <v>20.07</v>
      </c>
      <c r="H28" s="32">
        <f>'Data Sheet'!H30-'Data Sheet'!H31</f>
        <v>48.620000000000005</v>
      </c>
      <c r="I28" s="32">
        <f>'Data Sheet'!I30-'Data Sheet'!I31</f>
        <v>73.210000000000008</v>
      </c>
      <c r="J28" s="32">
        <f>'Data Sheet'!J30-'Data Sheet'!J31</f>
        <v>178.39</v>
      </c>
      <c r="K28" s="32">
        <f>'Data Sheet'!K30-'Data Sheet'!K31</f>
        <v>283.02</v>
      </c>
      <c r="M28" s="95" t="str">
        <f t="shared" si="2"/>
        <v>Retained Profit</v>
      </c>
      <c r="N28" s="80">
        <f t="shared" si="14"/>
        <v>-36.265060240963855</v>
      </c>
      <c r="O28" s="80">
        <f t="shared" si="14"/>
        <v>1.3887939870174242</v>
      </c>
      <c r="P28" s="80">
        <f t="shared" si="14"/>
        <v>-0.36870709382151029</v>
      </c>
      <c r="Q28" s="80">
        <f t="shared" si="14"/>
        <v>-7.5894879927503267E-2</v>
      </c>
      <c r="R28" s="80">
        <f t="shared" si="14"/>
        <v>-0.50796763912723719</v>
      </c>
      <c r="S28" s="80">
        <f t="shared" si="14"/>
        <v>1.4225211758844047</v>
      </c>
      <c r="T28" s="80">
        <f t="shared" si="14"/>
        <v>0.50575894693541756</v>
      </c>
      <c r="U28" s="80">
        <f t="shared" si="14"/>
        <v>1.4366889769157214</v>
      </c>
      <c r="V28" s="80">
        <f t="shared" si="14"/>
        <v>0.58652390829082346</v>
      </c>
    </row>
    <row r="29" spans="1:22" x14ac:dyDescent="0.2">
      <c r="A29" s="88" t="s">
        <v>104</v>
      </c>
      <c r="B29" s="40">
        <f>B26+'Data Sheet'!B59-'Data Sheet'!B69</f>
        <v>173.7222266340375</v>
      </c>
      <c r="C29" s="40">
        <f>C26+'Data Sheet'!C59-'Data Sheet'!C69</f>
        <v>159.97175898752499</v>
      </c>
      <c r="D29" s="40">
        <f>D26+'Data Sheet'!D59-'Data Sheet'!D69</f>
        <v>111.8254639877875</v>
      </c>
      <c r="E29" s="40">
        <f>E26+'Data Sheet'!E59-'Data Sheet'!E69</f>
        <v>24.254227178462507</v>
      </c>
      <c r="F29" s="40">
        <f>F26+'Data Sheet'!F59-'Data Sheet'!F69</f>
        <v>54.514806112862487</v>
      </c>
      <c r="G29" s="40">
        <f>G26+'Data Sheet'!G59-'Data Sheet'!G69</f>
        <v>63.410130862787497</v>
      </c>
      <c r="H29" s="40">
        <f>H26+'Data Sheet'!H59-'Data Sheet'!H69</f>
        <v>157.42910784375002</v>
      </c>
      <c r="I29" s="40">
        <f>I26+'Data Sheet'!I59-'Data Sheet'!I69</f>
        <v>533.53224895497999</v>
      </c>
      <c r="J29" s="40">
        <f>J26+'Data Sheet'!J59-'Data Sheet'!J69</f>
        <v>1304.33208379502</v>
      </c>
      <c r="K29" s="40">
        <f>K26+'Data Sheet'!K59-'Data Sheet'!K69</f>
        <v>2488.6988255695601</v>
      </c>
      <c r="M29" s="95" t="str">
        <f t="shared" si="2"/>
        <v>EV</v>
      </c>
      <c r="N29" s="80">
        <f t="shared" si="14"/>
        <v>-7.9152034330524562E-2</v>
      </c>
      <c r="O29" s="80">
        <f t="shared" si="14"/>
        <v>-0.30096746641069355</v>
      </c>
      <c r="P29" s="80">
        <f t="shared" si="14"/>
        <v>-0.78310640248171637</v>
      </c>
      <c r="Q29" s="80">
        <f t="shared" si="14"/>
        <v>1.2476414404690268</v>
      </c>
      <c r="R29" s="80">
        <f t="shared" si="14"/>
        <v>0.16317263848483549</v>
      </c>
      <c r="S29" s="80">
        <f t="shared" si="14"/>
        <v>1.4827122370147632</v>
      </c>
      <c r="T29" s="80">
        <f t="shared" si="14"/>
        <v>2.3890317760329061</v>
      </c>
      <c r="U29" s="80">
        <f t="shared" si="14"/>
        <v>1.4447108611518644</v>
      </c>
      <c r="V29" s="80">
        <f t="shared" si="14"/>
        <v>0.90802546106859938</v>
      </c>
    </row>
    <row r="30" spans="1:22" ht="15" x14ac:dyDescent="0.25">
      <c r="A30" s="45"/>
      <c r="B30" s="16">
        <f>B3</f>
        <v>39903</v>
      </c>
      <c r="C30" s="16">
        <f t="shared" ref="C30:K30" si="15">C3</f>
        <v>40268</v>
      </c>
      <c r="D30" s="16">
        <f t="shared" si="15"/>
        <v>40633</v>
      </c>
      <c r="E30" s="16">
        <f t="shared" si="15"/>
        <v>40999</v>
      </c>
      <c r="F30" s="16">
        <f t="shared" si="15"/>
        <v>41364</v>
      </c>
      <c r="G30" s="16">
        <f t="shared" si="15"/>
        <v>41729</v>
      </c>
      <c r="H30" s="16">
        <f t="shared" si="15"/>
        <v>42094</v>
      </c>
      <c r="I30" s="16">
        <f t="shared" si="15"/>
        <v>42460</v>
      </c>
      <c r="J30" s="16">
        <f t="shared" si="15"/>
        <v>42825</v>
      </c>
      <c r="K30" s="16">
        <f t="shared" si="15"/>
        <v>43190</v>
      </c>
      <c r="M30" s="95" t="s">
        <v>205</v>
      </c>
      <c r="N30" s="80"/>
      <c r="O30" s="80"/>
      <c r="P30" s="80"/>
      <c r="Q30" s="80"/>
      <c r="R30" s="80"/>
      <c r="S30" s="80"/>
      <c r="T30" s="80"/>
      <c r="U30" s="80"/>
      <c r="V30" s="80"/>
    </row>
    <row r="31" spans="1:22" x14ac:dyDescent="0.2">
      <c r="A31" s="89" t="s">
        <v>105</v>
      </c>
      <c r="B31" s="41">
        <f>B26/'Data Sheet'!B30</f>
        <v>286.15876167169642</v>
      </c>
      <c r="C31" s="41">
        <f>C26/'Data Sheet'!C30</f>
        <v>2.933589913608631</v>
      </c>
      <c r="D31" s="41">
        <f>D26/'Data Sheet'!D30</f>
        <v>1.4074620896304753</v>
      </c>
      <c r="E31" s="41">
        <f>E26/'Data Sheet'!E30</f>
        <v>1.442597814632572</v>
      </c>
      <c r="F31" s="41">
        <f>F26/'Data Sheet'!F30</f>
        <v>1.3026271421707665</v>
      </c>
      <c r="G31" s="41">
        <f>G26/'Data Sheet'!G30</f>
        <v>2.1823381576495864</v>
      </c>
      <c r="H31" s="41">
        <f>H26/'Data Sheet'!H30</f>
        <v>2.8963537326557347</v>
      </c>
      <c r="I31" s="41">
        <f>I26/'Data Sheet'!I30</f>
        <v>5.6663576990380866</v>
      </c>
      <c r="J31" s="41">
        <f>J26/'Data Sheet'!J30</f>
        <v>7.0748213701460658</v>
      </c>
      <c r="K31" s="41">
        <f>K26/'Data Sheet'!K30</f>
        <v>8.5506729239744992</v>
      </c>
      <c r="M31" s="95" t="str">
        <f t="shared" si="2"/>
        <v>Price/Earnings</v>
      </c>
      <c r="N31" s="80">
        <f t="shared" ref="N31:N43" si="16">(C31-B31)/B31</f>
        <v>-0.98974838339224347</v>
      </c>
      <c r="O31" s="80">
        <f t="shared" ref="O31:O43" si="17">(D31-C31)/C31</f>
        <v>-0.52022534468727244</v>
      </c>
      <c r="P31" s="80">
        <f t="shared" ref="P31:P43" si="18">(E31-D31)/D31</f>
        <v>2.4963887312461464E-2</v>
      </c>
      <c r="Q31" s="80">
        <f t="shared" ref="Q31:Q43" si="19">(F31-E31)/E31</f>
        <v>-9.7026815819387519E-2</v>
      </c>
      <c r="R31" s="80">
        <f t="shared" ref="R31:R43" si="20">(G31-F31)/F31</f>
        <v>0.67533600905384417</v>
      </c>
      <c r="S31" s="80">
        <f t="shared" ref="S31:S43" si="21">(H31-G31)/G31</f>
        <v>0.32717916446787271</v>
      </c>
      <c r="T31" s="80">
        <f t="shared" ref="T31:T43" si="22">(I31-H31)/H31</f>
        <v>0.95637626549243016</v>
      </c>
      <c r="U31" s="80">
        <f t="shared" ref="U31:U43" si="23">(J31-I31)/I31</f>
        <v>0.2485659652843798</v>
      </c>
      <c r="V31" s="80">
        <f t="shared" ref="V31:V43" si="24">(K31-J31)/J31</f>
        <v>0.20860619323282831</v>
      </c>
    </row>
    <row r="32" spans="1:22" x14ac:dyDescent="0.2">
      <c r="A32" s="90" t="s">
        <v>106</v>
      </c>
      <c r="B32" s="42">
        <f t="shared" ref="B32:K32" si="25">B26/B11</f>
        <v>0.45181263825462398</v>
      </c>
      <c r="C32" s="42">
        <f t="shared" si="25"/>
        <v>0.75692627122461609</v>
      </c>
      <c r="D32" s="42">
        <f t="shared" si="25"/>
        <v>0.54918544863534691</v>
      </c>
      <c r="E32" s="42">
        <f t="shared" si="25"/>
        <v>0.29469532467203241</v>
      </c>
      <c r="F32" s="42">
        <f t="shared" si="25"/>
        <v>0.21034959024781058</v>
      </c>
      <c r="G32" s="42">
        <f t="shared" si="25"/>
        <v>0.1728182599772132</v>
      </c>
      <c r="H32" s="42">
        <f t="shared" si="25"/>
        <v>0.44589241110106953</v>
      </c>
      <c r="I32" s="42">
        <f t="shared" si="25"/>
        <v>1.1346498313907314</v>
      </c>
      <c r="J32" s="42">
        <f t="shared" si="25"/>
        <v>2.2170161751814685</v>
      </c>
      <c r="K32" s="42">
        <f t="shared" si="25"/>
        <v>2.850647711821876</v>
      </c>
      <c r="M32" s="95" t="str">
        <f t="shared" si="2"/>
        <v>Price/Book</v>
      </c>
      <c r="N32" s="80">
        <f t="shared" si="16"/>
        <v>0.67531008904191381</v>
      </c>
      <c r="O32" s="80">
        <f t="shared" si="17"/>
        <v>-0.2744531805629753</v>
      </c>
      <c r="P32" s="80">
        <f t="shared" si="18"/>
        <v>-0.4633956063396959</v>
      </c>
      <c r="Q32" s="80">
        <f t="shared" si="19"/>
        <v>-0.28621334430089967</v>
      </c>
      <c r="R32" s="80">
        <f t="shared" si="20"/>
        <v>-0.17842359581676448</v>
      </c>
      <c r="S32" s="80">
        <f t="shared" si="21"/>
        <v>1.5801232529471267</v>
      </c>
      <c r="T32" s="80">
        <f t="shared" si="22"/>
        <v>1.5446717709074052</v>
      </c>
      <c r="U32" s="80">
        <f t="shared" si="23"/>
        <v>0.95392103699877984</v>
      </c>
      <c r="V32" s="80">
        <f t="shared" si="24"/>
        <v>0.28580374998325986</v>
      </c>
    </row>
    <row r="33" spans="1:22" x14ac:dyDescent="0.2">
      <c r="A33" s="90" t="s">
        <v>107</v>
      </c>
      <c r="B33" s="42">
        <f t="shared" ref="B33:K33" si="26">B26/B17</f>
        <v>-2.8453285961674362</v>
      </c>
      <c r="C33" s="42">
        <f t="shared" si="26"/>
        <v>1.2365731668180235</v>
      </c>
      <c r="D33" s="42">
        <f t="shared" si="26"/>
        <v>1.1184447789174849</v>
      </c>
      <c r="E33" s="42">
        <f t="shared" si="26"/>
        <v>1.0040566150660135</v>
      </c>
      <c r="F33" s="42">
        <f t="shared" si="26"/>
        <v>6.7287004861539588</v>
      </c>
      <c r="G33" s="42">
        <f t="shared" si="26"/>
        <v>-7.4296490167092593</v>
      </c>
      <c r="H33" s="42">
        <f t="shared" si="26"/>
        <v>17.852764096142348</v>
      </c>
      <c r="I33" s="42">
        <f t="shared" si="26"/>
        <v>3.2900760337593118</v>
      </c>
      <c r="J33" s="42">
        <f t="shared" si="26"/>
        <v>10.687349148116672</v>
      </c>
      <c r="K33" s="42">
        <f t="shared" si="26"/>
        <v>8.7704219714862894</v>
      </c>
      <c r="M33" s="95" t="str">
        <f t="shared" si="2"/>
        <v>Price/CashFlow</v>
      </c>
      <c r="N33" s="80">
        <f t="shared" si="16"/>
        <v>-1.4345976659720945</v>
      </c>
      <c r="O33" s="80">
        <f t="shared" si="17"/>
        <v>-9.5528830052579158E-2</v>
      </c>
      <c r="P33" s="80">
        <f t="shared" si="18"/>
        <v>-0.10227430625782429</v>
      </c>
      <c r="Q33" s="80">
        <f t="shared" si="19"/>
        <v>5.7015150193613016</v>
      </c>
      <c r="R33" s="80">
        <f t="shared" si="20"/>
        <v>-2.1041729427543525</v>
      </c>
      <c r="S33" s="80">
        <f t="shared" si="21"/>
        <v>-3.4029081395354654</v>
      </c>
      <c r="T33" s="80">
        <f t="shared" si="22"/>
        <v>-0.81571055238050016</v>
      </c>
      <c r="U33" s="80">
        <f t="shared" si="23"/>
        <v>2.2483593201051577</v>
      </c>
      <c r="V33" s="80">
        <f t="shared" si="24"/>
        <v>-0.17936413885834207</v>
      </c>
    </row>
    <row r="34" spans="1:22" x14ac:dyDescent="0.2">
      <c r="A34" s="90" t="s">
        <v>108</v>
      </c>
      <c r="B34" s="42">
        <f>B26/'Data Sheet'!B17</f>
        <v>6.2284831756405368E-2</v>
      </c>
      <c r="C34" s="42">
        <f>C26/'Data Sheet'!C17</f>
        <v>0.18604093403977226</v>
      </c>
      <c r="D34" s="42">
        <f>D26/'Data Sheet'!D17</f>
        <v>0.16939691959906714</v>
      </c>
      <c r="E34" s="42">
        <f>E26/'Data Sheet'!E17</f>
        <v>0.10670370567279124</v>
      </c>
      <c r="F34" s="42">
        <f>F26/'Data Sheet'!F17</f>
        <v>6.6649657662380429E-2</v>
      </c>
      <c r="G34" s="42">
        <f>G26/'Data Sheet'!G17</f>
        <v>6.1800060213665603E-2</v>
      </c>
      <c r="H34" s="42">
        <f>H26/'Data Sheet'!H17</f>
        <v>0.16923394432963684</v>
      </c>
      <c r="I34" s="42">
        <f>I26/'Data Sheet'!I17</f>
        <v>0.39052258564138831</v>
      </c>
      <c r="J34" s="42">
        <f>J26/'Data Sheet'!J17</f>
        <v>0.98236716907103105</v>
      </c>
      <c r="K34" s="42">
        <f>K26/'Data Sheet'!K17</f>
        <v>1.3314362400700019</v>
      </c>
      <c r="M34" s="95" t="str">
        <f t="shared" si="2"/>
        <v>Price/Sales</v>
      </c>
      <c r="N34" s="80">
        <f t="shared" si="16"/>
        <v>1.9869380520665825</v>
      </c>
      <c r="O34" s="80">
        <f t="shared" si="17"/>
        <v>-8.9464259715804947E-2</v>
      </c>
      <c r="P34" s="80">
        <f t="shared" si="18"/>
        <v>-0.37009654056673386</v>
      </c>
      <c r="Q34" s="80">
        <f t="shared" si="19"/>
        <v>-0.37537635415622056</v>
      </c>
      <c r="R34" s="80">
        <f t="shared" si="20"/>
        <v>-7.2762526002472197E-2</v>
      </c>
      <c r="S34" s="80">
        <f t="shared" si="21"/>
        <v>1.7384106705484215</v>
      </c>
      <c r="T34" s="80">
        <f t="shared" si="22"/>
        <v>1.3075901657218458</v>
      </c>
      <c r="U34" s="80">
        <f t="shared" si="23"/>
        <v>1.5155194736243136</v>
      </c>
      <c r="V34" s="80">
        <f t="shared" si="24"/>
        <v>0.3553346263893018</v>
      </c>
    </row>
    <row r="35" spans="1:22" x14ac:dyDescent="0.2">
      <c r="A35" s="90" t="s">
        <v>109</v>
      </c>
      <c r="B35" s="42">
        <f t="shared" ref="B35:K35" si="27">B29/B6</f>
        <v>6.450881048423228</v>
      </c>
      <c r="C35" s="42">
        <f t="shared" si="27"/>
        <v>2.2505874927901659</v>
      </c>
      <c r="D35" s="42">
        <f t="shared" si="27"/>
        <v>0.96651222115633117</v>
      </c>
      <c r="E35" s="42">
        <f t="shared" si="27"/>
        <v>0.32847003221103072</v>
      </c>
      <c r="F35" s="42">
        <f t="shared" si="27"/>
        <v>0.7973498041957362</v>
      </c>
      <c r="G35" s="42">
        <f t="shared" si="27"/>
        <v>1.534239798276978</v>
      </c>
      <c r="H35" s="42">
        <f t="shared" si="27"/>
        <v>2.1337639989665229</v>
      </c>
      <c r="I35" s="42">
        <f t="shared" si="27"/>
        <v>3.9360549535594243</v>
      </c>
      <c r="J35" s="42">
        <f t="shared" si="27"/>
        <v>4.5355451832360387</v>
      </c>
      <c r="K35" s="42">
        <f t="shared" si="27"/>
        <v>6.2346840332929832</v>
      </c>
      <c r="M35" s="95" t="str">
        <f t="shared" si="2"/>
        <v>EV/EBITDA</v>
      </c>
      <c r="N35" s="80">
        <f t="shared" si="16"/>
        <v>-0.65111936247215851</v>
      </c>
      <c r="O35" s="80">
        <f t="shared" si="17"/>
        <v>-0.57055114531090823</v>
      </c>
      <c r="P35" s="80">
        <f t="shared" si="18"/>
        <v>-0.66014911656466124</v>
      </c>
      <c r="Q35" s="80">
        <f t="shared" si="19"/>
        <v>1.4274659055760264</v>
      </c>
      <c r="R35" s="80">
        <f t="shared" si="20"/>
        <v>0.92417404532320857</v>
      </c>
      <c r="S35" s="80">
        <f t="shared" si="21"/>
        <v>0.39076303545432611</v>
      </c>
      <c r="T35" s="80">
        <f t="shared" si="22"/>
        <v>0.84465337097534277</v>
      </c>
      <c r="U35" s="80">
        <f t="shared" si="23"/>
        <v>0.15230738309039304</v>
      </c>
      <c r="V35" s="80">
        <f t="shared" si="24"/>
        <v>0.37462725679311526</v>
      </c>
    </row>
    <row r="36" spans="1:22" x14ac:dyDescent="0.2">
      <c r="A36" s="90" t="s">
        <v>110</v>
      </c>
      <c r="B36" s="43">
        <f>'Data Sheet'!B31/'Calculated Data'!B26</f>
        <v>2.4212333699292505E-2</v>
      </c>
      <c r="C36" s="43">
        <f>'Data Sheet'!C31/'Calculated Data'!C26</f>
        <v>1.0934288882000471E-2</v>
      </c>
      <c r="D36" s="43">
        <f>'Data Sheet'!D31/'Calculated Data'!D26</f>
        <v>2.838873057875917E-2</v>
      </c>
      <c r="E36" s="43">
        <f>'Data Sheet'!E31/'Calculated Data'!E26</f>
        <v>4.2873416331484747E-2</v>
      </c>
      <c r="F36" s="43">
        <f>'Data Sheet'!F31/'Calculated Data'!F26</f>
        <v>5.1120068713637098E-2</v>
      </c>
      <c r="G36" s="43">
        <f>'Data Sheet'!G31/'Calculated Data'!G26</f>
        <v>5.80257708192599E-2</v>
      </c>
      <c r="H36" s="43">
        <f>'Data Sheet'!H31/'Calculated Data'!H26</f>
        <v>1.9497603985991666E-2</v>
      </c>
      <c r="I36" s="43">
        <f>'Data Sheet'!I31/'Calculated Data'!I26</f>
        <v>1.2996518102355668E-2</v>
      </c>
      <c r="J36" s="43">
        <f>'Data Sheet'!J31/'Calculated Data'!J26</f>
        <v>5.5420975132118343E-3</v>
      </c>
      <c r="K36" s="43">
        <f>'Data Sheet'!K31/'Calculated Data'!K26</f>
        <v>3.4994765258158449E-3</v>
      </c>
      <c r="M36" s="95" t="str">
        <f t="shared" si="2"/>
        <v>Dividend Yield</v>
      </c>
      <c r="N36" s="80">
        <f t="shared" si="16"/>
        <v>-0.54840004198686654</v>
      </c>
      <c r="O36" s="80">
        <f t="shared" si="17"/>
        <v>1.5963033248089327</v>
      </c>
      <c r="P36" s="80">
        <f t="shared" si="18"/>
        <v>0.51022660955341248</v>
      </c>
      <c r="Q36" s="80">
        <f t="shared" si="19"/>
        <v>0.19234885128797857</v>
      </c>
      <c r="R36" s="80">
        <f t="shared" si="20"/>
        <v>0.13508788777861316</v>
      </c>
      <c r="S36" s="80">
        <f t="shared" si="21"/>
        <v>-0.6639837142926841</v>
      </c>
      <c r="T36" s="80">
        <f t="shared" si="22"/>
        <v>-0.33342998905438825</v>
      </c>
      <c r="U36" s="80">
        <f t="shared" si="23"/>
        <v>-0.57357059255683962</v>
      </c>
      <c r="V36" s="80">
        <f t="shared" si="24"/>
        <v>-0.36856460618503645</v>
      </c>
    </row>
    <row r="37" spans="1:22" ht="15" x14ac:dyDescent="0.25">
      <c r="A37" s="45"/>
      <c r="B37" s="16">
        <f>B3</f>
        <v>39903</v>
      </c>
      <c r="C37" s="16">
        <f t="shared" ref="C37:K37" si="28">C3</f>
        <v>40268</v>
      </c>
      <c r="D37" s="16">
        <f t="shared" si="28"/>
        <v>40633</v>
      </c>
      <c r="E37" s="16">
        <f t="shared" si="28"/>
        <v>40999</v>
      </c>
      <c r="F37" s="16">
        <f t="shared" si="28"/>
        <v>41364</v>
      </c>
      <c r="G37" s="16">
        <f t="shared" si="28"/>
        <v>41729</v>
      </c>
      <c r="H37" s="16">
        <f t="shared" si="28"/>
        <v>42094</v>
      </c>
      <c r="I37" s="16">
        <f t="shared" si="28"/>
        <v>42460</v>
      </c>
      <c r="J37" s="16">
        <f t="shared" si="28"/>
        <v>42825</v>
      </c>
      <c r="K37" s="16">
        <f t="shared" si="28"/>
        <v>43190</v>
      </c>
      <c r="L37" s="31" t="s">
        <v>111</v>
      </c>
      <c r="M37" s="95" t="s">
        <v>205</v>
      </c>
      <c r="N37" s="80"/>
      <c r="O37" s="80"/>
      <c r="P37" s="80"/>
      <c r="Q37" s="80"/>
      <c r="R37" s="80"/>
      <c r="S37" s="80"/>
      <c r="T37" s="80"/>
      <c r="U37" s="80"/>
      <c r="V37" s="80"/>
    </row>
    <row r="38" spans="1:22" ht="12.75" customHeight="1" x14ac:dyDescent="0.2">
      <c r="A38" s="83" t="s">
        <v>112</v>
      </c>
      <c r="B38" s="36">
        <f t="shared" ref="B38:K38" si="29">B12/B15</f>
        <v>0.31610272892301283</v>
      </c>
      <c r="C38" s="36">
        <f t="shared" si="29"/>
        <v>0.27748532370531659</v>
      </c>
      <c r="D38" s="36">
        <f t="shared" si="29"/>
        <v>0.24423060546708675</v>
      </c>
      <c r="E38" s="36">
        <f t="shared" si="29"/>
        <v>0.22006964081232031</v>
      </c>
      <c r="F38" s="36">
        <f t="shared" si="29"/>
        <v>0.20989926576817267</v>
      </c>
      <c r="G38" s="36">
        <f t="shared" si="29"/>
        <v>0.28352407261247031</v>
      </c>
      <c r="H38" s="36">
        <f t="shared" si="29"/>
        <v>0.32375471972117331</v>
      </c>
      <c r="I38" s="36">
        <f t="shared" si="29"/>
        <v>0.28180768227711339</v>
      </c>
      <c r="J38" s="36">
        <f t="shared" si="29"/>
        <v>0.37676847670212538</v>
      </c>
      <c r="K38" s="36">
        <f t="shared" si="29"/>
        <v>0.26570329607243326</v>
      </c>
      <c r="L38" s="94">
        <v>1.2</v>
      </c>
      <c r="M38" s="95" t="str">
        <f t="shared" si="2"/>
        <v>Working Capital/Total Assets</v>
      </c>
      <c r="N38" s="80">
        <f t="shared" si="16"/>
        <v>-0.12216726299475117</v>
      </c>
      <c r="O38" s="80">
        <f t="shared" si="17"/>
        <v>-0.11984316069107004</v>
      </c>
      <c r="P38" s="80">
        <f t="shared" si="18"/>
        <v>-9.8926850746486175E-2</v>
      </c>
      <c r="Q38" s="80">
        <f t="shared" si="19"/>
        <v>-4.6214348360849707E-2</v>
      </c>
      <c r="R38" s="80">
        <f t="shared" si="20"/>
        <v>0.35076257448948867</v>
      </c>
      <c r="S38" s="80">
        <f t="shared" si="21"/>
        <v>0.14189499585698856</v>
      </c>
      <c r="T38" s="80">
        <f t="shared" si="22"/>
        <v>-0.12956424999822672</v>
      </c>
      <c r="U38" s="80">
        <f t="shared" si="23"/>
        <v>0.33697021194629118</v>
      </c>
      <c r="V38" s="80">
        <f t="shared" si="24"/>
        <v>-0.29478363371015426</v>
      </c>
    </row>
    <row r="39" spans="1:22" ht="12.75" customHeight="1" x14ac:dyDescent="0.2">
      <c r="A39" s="83" t="s">
        <v>113</v>
      </c>
      <c r="B39" s="36">
        <f t="shared" ref="B39:K39" si="30">B28/B15</f>
        <v>-2.470017557956135E-3</v>
      </c>
      <c r="C39" s="36">
        <f t="shared" si="30"/>
        <v>8.0671388804674365E-2</v>
      </c>
      <c r="D39" s="36">
        <f t="shared" si="30"/>
        <v>0.19847284907320673</v>
      </c>
      <c r="E39" s="36">
        <f t="shared" si="30"/>
        <v>0.10315253207450165</v>
      </c>
      <c r="F39" s="36">
        <f t="shared" si="30"/>
        <v>8.0725919768845619E-2</v>
      </c>
      <c r="G39" s="36">
        <f t="shared" si="30"/>
        <v>3.9601420678768748E-2</v>
      </c>
      <c r="H39" s="36">
        <f t="shared" si="30"/>
        <v>8.8258785942492021E-2</v>
      </c>
      <c r="I39" s="36">
        <f t="shared" si="30"/>
        <v>9.0918122772375598E-2</v>
      </c>
      <c r="J39" s="36">
        <f t="shared" si="30"/>
        <v>0.19090986922368955</v>
      </c>
      <c r="K39" s="36">
        <f t="shared" si="30"/>
        <v>0.23211107739496281</v>
      </c>
      <c r="L39" s="94">
        <v>1.4</v>
      </c>
      <c r="M39" s="95" t="str">
        <f t="shared" si="2"/>
        <v>Retained Profits/Total Assets</v>
      </c>
      <c r="N39" s="80">
        <f t="shared" si="16"/>
        <v>-33.660249132571955</v>
      </c>
      <c r="O39" s="80">
        <f t="shared" si="17"/>
        <v>1.4602631988121488</v>
      </c>
      <c r="P39" s="80">
        <f t="shared" si="18"/>
        <v>-0.48026879970643327</v>
      </c>
      <c r="Q39" s="80">
        <f t="shared" si="19"/>
        <v>-0.21741213574339083</v>
      </c>
      <c r="R39" s="80">
        <f t="shared" si="20"/>
        <v>-0.50943363925533069</v>
      </c>
      <c r="S39" s="80">
        <f t="shared" si="21"/>
        <v>1.2286772653540086</v>
      </c>
      <c r="T39" s="80">
        <f t="shared" si="22"/>
        <v>3.0131128606463692E-2</v>
      </c>
      <c r="U39" s="80">
        <f t="shared" si="23"/>
        <v>1.0997999452942431</v>
      </c>
      <c r="V39" s="80">
        <f t="shared" si="24"/>
        <v>0.21581497247267875</v>
      </c>
    </row>
    <row r="40" spans="1:22" ht="12.75" customHeight="1" x14ac:dyDescent="0.2">
      <c r="A40" s="83" t="s">
        <v>114</v>
      </c>
      <c r="B40" s="36">
        <f t="shared" ref="B40:K40" si="31">B5/B15</f>
        <v>6.0946939261375468E-2</v>
      </c>
      <c r="C40" s="36">
        <f t="shared" si="31"/>
        <v>0.16288620014883004</v>
      </c>
      <c r="D40" s="36">
        <f t="shared" si="31"/>
        <v>0.29944080161230802</v>
      </c>
      <c r="E40" s="36">
        <f t="shared" si="31"/>
        <v>0.15552335771540743</v>
      </c>
      <c r="F40" s="36">
        <f t="shared" si="31"/>
        <v>0.1223653743394882</v>
      </c>
      <c r="G40" s="36">
        <f t="shared" si="31"/>
        <v>7.0067087608524065E-2</v>
      </c>
      <c r="H40" s="36">
        <f t="shared" si="31"/>
        <v>0.12779552715654952</v>
      </c>
      <c r="I40" s="36">
        <f t="shared" si="31"/>
        <v>0.13941358369658358</v>
      </c>
      <c r="J40" s="36">
        <f t="shared" si="31"/>
        <v>0.28066608163352669</v>
      </c>
      <c r="K40" s="36">
        <f t="shared" si="31"/>
        <v>0.3147056170191827</v>
      </c>
      <c r="L40" s="94">
        <v>3.3</v>
      </c>
      <c r="M40" s="95" t="str">
        <f t="shared" si="2"/>
        <v>EBIT/Total Assets</v>
      </c>
      <c r="N40" s="80">
        <f t="shared" si="16"/>
        <v>1.6725903240239923</v>
      </c>
      <c r="O40" s="80">
        <f t="shared" si="17"/>
        <v>0.83834358796943675</v>
      </c>
      <c r="P40" s="80">
        <f t="shared" si="18"/>
        <v>-0.48062068736789376</v>
      </c>
      <c r="Q40" s="80">
        <f t="shared" si="19"/>
        <v>-0.21320259453628246</v>
      </c>
      <c r="R40" s="80">
        <f t="shared" si="20"/>
        <v>-0.42739448976692335</v>
      </c>
      <c r="S40" s="80">
        <f t="shared" si="21"/>
        <v>0.82390237011938328</v>
      </c>
      <c r="T40" s="80">
        <f t="shared" si="22"/>
        <v>9.0911292425766524E-2</v>
      </c>
      <c r="U40" s="80">
        <f t="shared" si="23"/>
        <v>1.0131903519843641</v>
      </c>
      <c r="V40" s="80">
        <f t="shared" si="24"/>
        <v>0.12128125774065696</v>
      </c>
    </row>
    <row r="41" spans="1:22" ht="12.75" customHeight="1" x14ac:dyDescent="0.2">
      <c r="A41" s="83" t="s">
        <v>115</v>
      </c>
      <c r="B41" s="36">
        <f>B26/B15</f>
        <v>0.11922217252637414</v>
      </c>
      <c r="C41" s="36">
        <f t="shared" ref="C41:K41" si="32">C26/C15</f>
        <v>0.24449951488996224</v>
      </c>
      <c r="D41" s="36">
        <f t="shared" si="32"/>
        <v>0.2909689857440958</v>
      </c>
      <c r="E41" s="36">
        <f t="shared" si="32"/>
        <v>0.15861799719207895</v>
      </c>
      <c r="F41" s="36">
        <f t="shared" si="32"/>
        <v>0.1126576938250559</v>
      </c>
      <c r="G41" s="36">
        <f t="shared" si="32"/>
        <v>9.8954480786873522E-2</v>
      </c>
      <c r="H41" s="36">
        <f t="shared" si="32"/>
        <v>0.27092852861557876</v>
      </c>
      <c r="I41" s="36">
        <f t="shared" si="32"/>
        <v>0.5561296138432249</v>
      </c>
      <c r="J41" s="36">
        <f t="shared" si="32"/>
        <v>1.4057726544755249</v>
      </c>
      <c r="K41" s="36">
        <f t="shared" si="32"/>
        <v>2.0459258982962449</v>
      </c>
      <c r="L41" s="94">
        <v>0.6</v>
      </c>
      <c r="M41" s="95" t="str">
        <f t="shared" si="2"/>
        <v>Market Cap/Total Liabilities</v>
      </c>
      <c r="N41" s="80">
        <f t="shared" si="16"/>
        <v>1.0507889573634004</v>
      </c>
      <c r="O41" s="80">
        <f t="shared" si="17"/>
        <v>0.19005956259278176</v>
      </c>
      <c r="P41" s="80">
        <f t="shared" si="18"/>
        <v>-0.45486287211523696</v>
      </c>
      <c r="Q41" s="80">
        <f t="shared" si="19"/>
        <v>-0.28975465697859792</v>
      </c>
      <c r="R41" s="80">
        <f t="shared" si="20"/>
        <v>-0.12163583837835214</v>
      </c>
      <c r="S41" s="80">
        <f t="shared" si="21"/>
        <v>1.7379106682303758</v>
      </c>
      <c r="T41" s="80">
        <f t="shared" si="22"/>
        <v>1.0526801540059252</v>
      </c>
      <c r="U41" s="80">
        <f t="shared" si="23"/>
        <v>1.5277788117786111</v>
      </c>
      <c r="V41" s="80">
        <f t="shared" si="24"/>
        <v>0.45537465946764538</v>
      </c>
    </row>
    <row r="42" spans="1:22" ht="12.75" customHeight="1" x14ac:dyDescent="0.2">
      <c r="A42" s="83" t="s">
        <v>116</v>
      </c>
      <c r="B42" s="36">
        <f>'Data Sheet'!B17/'Calculated Data'!B15</f>
        <v>1.91414457042526</v>
      </c>
      <c r="C42" s="36">
        <f>'Data Sheet'!C17/'Calculated Data'!C15</f>
        <v>1.3142242923683267</v>
      </c>
      <c r="D42" s="36">
        <f>'Data Sheet'!D17/'Calculated Data'!D15</f>
        <v>1.7176757784779584</v>
      </c>
      <c r="E42" s="36">
        <f>'Data Sheet'!E17/'Calculated Data'!E15</f>
        <v>1.4865275408380267</v>
      </c>
      <c r="F42" s="36">
        <f>'Data Sheet'!F17/'Calculated Data'!F15</f>
        <v>1.6902966613232004</v>
      </c>
      <c r="G42" s="36">
        <f>'Data Sheet'!G17/'Calculated Data'!G15</f>
        <v>1.60120363062352</v>
      </c>
      <c r="H42" s="36">
        <f>'Data Sheet'!H17/'Calculated Data'!H15</f>
        <v>1.60091126924194</v>
      </c>
      <c r="I42" s="36">
        <f>'Data Sheet'!I17/'Calculated Data'!I15</f>
        <v>1.4240651739254624</v>
      </c>
      <c r="J42" s="36">
        <f>'Data Sheet'!J17/'Calculated Data'!J15</f>
        <v>1.4310053295092144</v>
      </c>
      <c r="K42" s="36">
        <f>'Data Sheet'!K17/'Calculated Data'!K15</f>
        <v>1.5366307726374322</v>
      </c>
      <c r="L42" s="94">
        <v>1</v>
      </c>
      <c r="M42" s="95" t="str">
        <f t="shared" si="2"/>
        <v>Sales/Total Assets</v>
      </c>
      <c r="N42" s="80">
        <f t="shared" si="16"/>
        <v>-0.31341429865125114</v>
      </c>
      <c r="O42" s="80">
        <f t="shared" si="17"/>
        <v>0.30698830363467339</v>
      </c>
      <c r="P42" s="80">
        <f t="shared" si="18"/>
        <v>-0.1345703540424569</v>
      </c>
      <c r="Q42" s="80">
        <f t="shared" si="19"/>
        <v>0.13707725883793534</v>
      </c>
      <c r="R42" s="80">
        <f t="shared" si="20"/>
        <v>-5.2708517231487936E-2</v>
      </c>
      <c r="S42" s="80">
        <f t="shared" si="21"/>
        <v>-1.8258850778779802E-4</v>
      </c>
      <c r="T42" s="80">
        <f t="shared" si="22"/>
        <v>-0.11046589446535499</v>
      </c>
      <c r="U42" s="80">
        <f t="shared" si="23"/>
        <v>4.8734817133554223E-3</v>
      </c>
      <c r="V42" s="80">
        <f t="shared" si="24"/>
        <v>7.3812054329974883E-2</v>
      </c>
    </row>
    <row r="43" spans="1:22" ht="12.75" customHeight="1" x14ac:dyDescent="0.2">
      <c r="A43" s="83" t="s">
        <v>117</v>
      </c>
      <c r="B43" s="36">
        <f>$L$38*B38+$L$39*B39+$L$40*B40+$L$41*B41+$L$42*B42</f>
        <v>2.5626680236301</v>
      </c>
      <c r="C43" s="36">
        <f t="shared" ref="C43:K43" si="33">$L$38*C38+$L$39*C39+$L$40*C40+$L$41*C41+$L$42*C42</f>
        <v>2.4443707945663675</v>
      </c>
      <c r="D43" s="36">
        <f t="shared" si="33"/>
        <v>3.4513505305080256</v>
      </c>
      <c r="E43" s="36">
        <f t="shared" si="33"/>
        <v>2.5034225334932056</v>
      </c>
      <c r="F43" s="36">
        <f t="shared" si="33"/>
        <v>2.526592419536736</v>
      </c>
      <c r="G43" s="36">
        <f t="shared" si="33"/>
        <v>2.2874685842890141</v>
      </c>
      <c r="H43" s="36">
        <f t="shared" si="33"/>
        <v>2.6972615900127974</v>
      </c>
      <c r="I43" s="36">
        <f t="shared" si="33"/>
        <v>2.6832623590439848</v>
      </c>
      <c r="J43" s="36">
        <f t="shared" si="33"/>
        <v>3.9200629805408829</v>
      </c>
      <c r="K43" s="36">
        <f t="shared" si="33"/>
        <v>4.4465143114183494</v>
      </c>
      <c r="L43" s="94"/>
      <c r="M43" s="95" t="str">
        <f t="shared" si="2"/>
        <v>Altman Z-Score</v>
      </c>
      <c r="N43" s="80">
        <f t="shared" si="16"/>
        <v>-4.6161745482803801E-2</v>
      </c>
      <c r="O43" s="80">
        <f t="shared" si="17"/>
        <v>0.41195866771935341</v>
      </c>
      <c r="P43" s="80">
        <f t="shared" si="18"/>
        <v>-0.27465422263999612</v>
      </c>
      <c r="Q43" s="80">
        <f t="shared" si="19"/>
        <v>9.2552838098807506E-3</v>
      </c>
      <c r="R43" s="80">
        <f t="shared" si="20"/>
        <v>-9.4642821453397086E-2</v>
      </c>
      <c r="S43" s="80">
        <f t="shared" si="21"/>
        <v>0.1791469437168923</v>
      </c>
      <c r="T43" s="80">
        <f t="shared" si="22"/>
        <v>-5.1901643580466346E-3</v>
      </c>
      <c r="U43" s="80">
        <f t="shared" si="23"/>
        <v>0.46093167793609113</v>
      </c>
      <c r="V43" s="80">
        <f t="shared" si="24"/>
        <v>0.13429665122493206</v>
      </c>
    </row>
    <row r="44" spans="1:22" x14ac:dyDescent="0.2">
      <c r="A44" s="89" t="s">
        <v>118</v>
      </c>
    </row>
    <row r="45" spans="1:22" ht="25.5" x14ac:dyDescent="0.2">
      <c r="A45" s="89" t="s">
        <v>119</v>
      </c>
    </row>
    <row r="46" spans="1:22" ht="25.5" x14ac:dyDescent="0.2">
      <c r="A46" s="89" t="s">
        <v>120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Profit &amp; Loss</vt:lpstr>
      <vt:lpstr>Quarters</vt:lpstr>
      <vt:lpstr>Balance Sheet</vt:lpstr>
      <vt:lpstr>Cash Flow</vt:lpstr>
      <vt:lpstr>Customization</vt:lpstr>
      <vt:lpstr>Data Sheet</vt:lpstr>
      <vt:lpstr>Calculated Data</vt:lpstr>
      <vt:lpstr>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Pratyush</dc:creator>
  <cp:lastModifiedBy>raj</cp:lastModifiedBy>
  <cp:lastPrinted>2012-12-06T18:14:13Z</cp:lastPrinted>
  <dcterms:created xsi:type="dcterms:W3CDTF">2012-08-17T09:55:37Z</dcterms:created>
  <dcterms:modified xsi:type="dcterms:W3CDTF">2019-03-22T09:26:02Z</dcterms:modified>
</cp:coreProperties>
</file>