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xl/charts/chart5.xml" ContentType="application/vnd.openxmlformats-officedocument.drawingml.chart+xml"/>
  <Override PartName="/xl/charts/chart6.xml" ContentType="application/vnd.openxmlformats-officedocument.drawingml.chart+xml"/>
  <Override PartName="/xl/theme/themeOverride4.xml" ContentType="application/vnd.openxmlformats-officedocument.themeOverride+xml"/>
  <Override PartName="/xl/charts/chart7.xml" ContentType="application/vnd.openxmlformats-officedocument.drawingml.chart+xml"/>
  <Override PartName="/xl/theme/themeOverride5.xml" ContentType="application/vnd.openxmlformats-officedocument.themeOverride+xml"/>
  <Override PartName="/xl/charts/chart8.xml" ContentType="application/vnd.openxmlformats-officedocument.drawingml.chart+xml"/>
  <Override PartName="/xl/theme/themeOverride6.xml" ContentType="application/vnd.openxmlformats-officedocument.themeOverride+xml"/>
  <Override PartName="/xl/charts/chart9.xml" ContentType="application/vnd.openxmlformats-officedocument.drawingml.chart+xml"/>
  <Override PartName="/xl/theme/themeOverride7.xml" ContentType="application/vnd.openxmlformats-officedocument.themeOverride+xml"/>
  <Override PartName="/xl/charts/chart10.xml" ContentType="application/vnd.openxmlformats-officedocument.drawingml.chart+xml"/>
  <Override PartName="/xl/theme/themeOverride8.xml" ContentType="application/vnd.openxmlformats-officedocument.themeOverride+xml"/>
  <Override PartName="/xl/charts/chart11.xml" ContentType="application/vnd.openxmlformats-officedocument.drawingml.chart+xml"/>
  <Override PartName="/xl/theme/themeOverride9.xml" ContentType="application/vnd.openxmlformats-officedocument.themeOverride+xml"/>
  <Override PartName="/xl/charts/chart12.xml" ContentType="application/vnd.openxmlformats-officedocument.drawingml.chart+xml"/>
  <Override PartName="/xl/theme/themeOverride10.xml" ContentType="application/vnd.openxmlformats-officedocument.themeOverride+xml"/>
  <Override PartName="/xl/charts/chart13.xml" ContentType="application/vnd.openxmlformats-officedocument.drawingml.chart+xml"/>
  <Override PartName="/xl/theme/themeOverride11.xml" ContentType="application/vnd.openxmlformats-officedocument.themeOverride+xml"/>
  <Override PartName="/xl/charts/chart14.xml" ContentType="application/vnd.openxmlformats-officedocument.drawingml.chart+xml"/>
  <Override PartName="/xl/theme/themeOverride12.xml" ContentType="application/vnd.openxmlformats-officedocument.themeOverride+xml"/>
  <Override PartName="/xl/charts/chart15.xml" ContentType="application/vnd.openxmlformats-officedocument.drawingml.chart+xml"/>
  <Override PartName="/xl/theme/themeOverride13.xml" ContentType="application/vnd.openxmlformats-officedocument.themeOverride+xml"/>
  <Override PartName="/xl/charts/chart16.xml" ContentType="application/vnd.openxmlformats-officedocument.drawingml.chart+xml"/>
  <Override PartName="/xl/theme/themeOverride14.xml" ContentType="application/vnd.openxmlformats-officedocument.themeOverride+xml"/>
  <Override PartName="/xl/charts/chart17.xml" ContentType="application/vnd.openxmlformats-officedocument.drawingml.chart+xml"/>
  <Override PartName="/xl/theme/themeOverride15.xml" ContentType="application/vnd.openxmlformats-officedocument.themeOverride+xml"/>
  <Override PartName="/xl/charts/chart18.xml" ContentType="application/vnd.openxmlformats-officedocument.drawingml.chart+xml"/>
  <Override PartName="/xl/theme/themeOverride16.xml" ContentType="application/vnd.openxmlformats-officedocument.themeOverride+xml"/>
  <Override PartName="/xl/charts/chart19.xml" ContentType="application/vnd.openxmlformats-officedocument.drawingml.chart+xml"/>
  <Override PartName="/xl/theme/themeOverride17.xml" ContentType="application/vnd.openxmlformats-officedocument.themeOverride+xml"/>
  <Override PartName="/xl/charts/chart20.xml" ContentType="application/vnd.openxmlformats-officedocument.drawingml.chart+xml"/>
  <Override PartName="/xl/theme/themeOverride18.xml" ContentType="application/vnd.openxmlformats-officedocument.themeOverride+xml"/>
  <Override PartName="/xl/charts/chart21.xml" ContentType="application/vnd.openxmlformats-officedocument.drawingml.chart+xml"/>
  <Override PartName="/xl/theme/themeOverride19.xml" ContentType="application/vnd.openxmlformats-officedocument.themeOverride+xml"/>
  <Override PartName="/xl/charts/chart22.xml" ContentType="application/vnd.openxmlformats-officedocument.drawingml.chart+xml"/>
  <Override PartName="/xl/theme/themeOverride20.xml" ContentType="application/vnd.openxmlformats-officedocument.themeOverride+xml"/>
  <Override PartName="/xl/charts/chart23.xml" ContentType="application/vnd.openxmlformats-officedocument.drawingml.chart+xml"/>
  <Override PartName="/xl/theme/themeOverride21.xml" ContentType="application/vnd.openxmlformats-officedocument.themeOverride+xml"/>
  <Override PartName="/xl/charts/chart24.xml" ContentType="application/vnd.openxmlformats-officedocument.drawingml.chart+xml"/>
  <Override PartName="/xl/theme/themeOverride22.xml" ContentType="application/vnd.openxmlformats-officedocument.themeOverride+xml"/>
  <Override PartName="/xl/charts/chart25.xml" ContentType="application/vnd.openxmlformats-officedocument.drawingml.chart+xml"/>
  <Override PartName="/xl/theme/themeOverride23.xml" ContentType="application/vnd.openxmlformats-officedocument.themeOverride+xml"/>
  <Override PartName="/xl/charts/chart26.xml" ContentType="application/vnd.openxmlformats-officedocument.drawingml.chart+xml"/>
  <Override PartName="/xl/theme/themeOverride24.xml" ContentType="application/vnd.openxmlformats-officedocument.themeOverride+xml"/>
  <Override PartName="/xl/charts/chart27.xml" ContentType="application/vnd.openxmlformats-officedocument.drawingml.chart+xml"/>
  <Override PartName="/xl/theme/themeOverride25.xml" ContentType="application/vnd.openxmlformats-officedocument.themeOverride+xml"/>
  <Override PartName="/xl/charts/chart28.xml" ContentType="application/vnd.openxmlformats-officedocument.drawingml.chart+xml"/>
  <Override PartName="/xl/theme/themeOverride26.xml" ContentType="application/vnd.openxmlformats-officedocument.themeOverride+xml"/>
  <Override PartName="/xl/charts/chart29.xml" ContentType="application/vnd.openxmlformats-officedocument.drawingml.chart+xml"/>
  <Override PartName="/xl/theme/themeOverride27.xml" ContentType="application/vnd.openxmlformats-officedocument.themeOverride+xml"/>
  <Override PartName="/xl/charts/chart30.xml" ContentType="application/vnd.openxmlformats-officedocument.drawingml.chart+xml"/>
  <Override PartName="/xl/theme/themeOverride28.xml" ContentType="application/vnd.openxmlformats-officedocument.themeOverride+xml"/>
  <Override PartName="/xl/charts/chart31.xml" ContentType="application/vnd.openxmlformats-officedocument.drawingml.chart+xml"/>
  <Override PartName="/xl/theme/themeOverride29.xml" ContentType="application/vnd.openxmlformats-officedocument.themeOverride+xml"/>
  <Override PartName="/xl/charts/chart32.xml" ContentType="application/vnd.openxmlformats-officedocument.drawingml.chart+xml"/>
  <Override PartName="/xl/theme/themeOverride30.xml" ContentType="application/vnd.openxmlformats-officedocument.themeOverride+xml"/>
  <Override PartName="/xl/charts/chart33.xml" ContentType="application/vnd.openxmlformats-officedocument.drawingml.chart+xml"/>
  <Override PartName="/xl/theme/themeOverride31.xml" ContentType="application/vnd.openxmlformats-officedocument.themeOverride+xml"/>
  <Override PartName="/xl/charts/chart34.xml" ContentType="application/vnd.openxmlformats-officedocument.drawingml.chart+xml"/>
  <Override PartName="/xl/theme/themeOverride32.xml" ContentType="application/vnd.openxmlformats-officedocument.themeOverride+xml"/>
  <Override PartName="/xl/charts/chart35.xml" ContentType="application/vnd.openxmlformats-officedocument.drawingml.chart+xml"/>
  <Override PartName="/xl/theme/themeOverride33.xml" ContentType="application/vnd.openxmlformats-officedocument.themeOverride+xml"/>
  <Override PartName="/xl/charts/chart36.xml" ContentType="application/vnd.openxmlformats-officedocument.drawingml.chart+xml"/>
  <Override PartName="/xl/theme/themeOverride34.xml" ContentType="application/vnd.openxmlformats-officedocument.themeOverride+xml"/>
  <Override PartName="/xl/charts/chart37.xml" ContentType="application/vnd.openxmlformats-officedocument.drawingml.chart+xml"/>
  <Override PartName="/xl/theme/themeOverride35.xml" ContentType="application/vnd.openxmlformats-officedocument.themeOverride+xml"/>
  <Override PartName="/xl/charts/chart38.xml" ContentType="application/vnd.openxmlformats-officedocument.drawingml.chart+xml"/>
  <Override PartName="/xl/theme/themeOverride36.xml" ContentType="application/vnd.openxmlformats-officedocument.themeOverride+xml"/>
  <Override PartName="/xl/charts/chart39.xml" ContentType="application/vnd.openxmlformats-officedocument.drawingml.chart+xml"/>
  <Override PartName="/xl/theme/themeOverride37.xml" ContentType="application/vnd.openxmlformats-officedocument.themeOverride+xml"/>
  <Override PartName="/xl/charts/chart40.xml" ContentType="application/vnd.openxmlformats-officedocument.drawingml.chart+xml"/>
  <Override PartName="/xl/drawings/drawing2.xml" ContentType="application/vnd.openxmlformats-officedocument.drawing+xml"/>
  <Override PartName="/xl/charts/chart41.xml" ContentType="application/vnd.openxmlformats-officedocument.drawingml.chart+xml"/>
  <Override PartName="/xl/theme/themeOverride38.xml" ContentType="application/vnd.openxmlformats-officedocument.themeOverride+xml"/>
  <Override PartName="/xl/charts/chart42.xml" ContentType="application/vnd.openxmlformats-officedocument.drawingml.chart+xml"/>
  <Override PartName="/xl/theme/themeOverride39.xml" ContentType="application/vnd.openxmlformats-officedocument.themeOverride+xml"/>
  <Override PartName="/xl/charts/chart43.xml" ContentType="application/vnd.openxmlformats-officedocument.drawingml.chart+xml"/>
  <Override PartName="/xl/theme/themeOverride40.xml" ContentType="application/vnd.openxmlformats-officedocument.themeOverride+xml"/>
  <Override PartName="/xl/charts/chart44.xml" ContentType="application/vnd.openxmlformats-officedocument.drawingml.chart+xml"/>
  <Override PartName="/xl/theme/themeOverride41.xml" ContentType="application/vnd.openxmlformats-officedocument.themeOverride+xml"/>
  <Override PartName="/xl/charts/chart45.xml" ContentType="application/vnd.openxmlformats-officedocument.drawingml.chart+xml"/>
  <Override PartName="/xl/theme/themeOverride42.xml" ContentType="application/vnd.openxmlformats-officedocument.themeOverride+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375" yWindow="-225" windowWidth="19440" windowHeight="7935" tabRatio="875" activeTab="1"/>
  </bookViews>
  <sheets>
    <sheet name="How-To-Use" sheetId="5" r:id="rId1"/>
    <sheet name="Overview" sheetId="20" r:id="rId2"/>
    <sheet name="Data Sheet" sheetId="6" r:id="rId3"/>
    <sheet name="Others" sheetId="19" r:id="rId4"/>
    <sheet name="DrVM_Comparison" sheetId="25" r:id="rId5"/>
    <sheet name="Financial Analysis" sheetId="15" r:id="rId6"/>
    <sheet name="Price" sheetId="22" r:id="rId7"/>
    <sheet name="CAPM-EquityReqRet" sheetId="21" r:id="rId8"/>
    <sheet name="Profit &amp; Loss" sheetId="1" r:id="rId9"/>
    <sheet name="Balance Sheet" sheetId="2" r:id="rId10"/>
    <sheet name="Trend" sheetId="13" r:id="rId11"/>
    <sheet name="Quarters" sheetId="3" r:id="rId12"/>
    <sheet name="Alt D S" sheetId="24" r:id="rId13"/>
    <sheet name="Investment_Ratio" sheetId="18" r:id="rId14"/>
    <sheet name="Asset_Ratio" sheetId="17" r:id="rId15"/>
    <sheet name="Other_input_data" sheetId="14" r:id="rId16"/>
    <sheet name="Model_Input2" sheetId="12" r:id="rId17"/>
    <sheet name="Comparative" sheetId="10" r:id="rId18"/>
    <sheet name="Analysis2" sheetId="9" r:id="rId19"/>
    <sheet name="Cash Flow" sheetId="4" r:id="rId20"/>
    <sheet name="Valuation" sheetId="8" r:id="rId21"/>
    <sheet name="PE Forecast" sheetId="7" r:id="rId22"/>
    <sheet name="Comparative1" sheetId="11" r:id="rId23"/>
  </sheets>
  <externalReferences>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12">'Data Sheet'!$E$1</definedName>
    <definedName name="UPDATE" localSheetId="18">'[1]Data Sheet'!$E$1</definedName>
    <definedName name="UPDATE" localSheetId="14">'Data Sheet'!$E$1</definedName>
    <definedName name="UPDATE" localSheetId="17">'Data Sheet'!$E$1</definedName>
    <definedName name="UPDATE" localSheetId="22">'Data Sheet'!$E$1</definedName>
    <definedName name="UPDATE" localSheetId="5">'[1]Data Sheet'!$E$1</definedName>
    <definedName name="UPDATE" localSheetId="13">'Data Sheet'!$E$1</definedName>
    <definedName name="UPDATE" localSheetId="16">'Data Sheet'!$E$1</definedName>
    <definedName name="UPDATE" localSheetId="15">'[1]Data Sheet'!$E$1</definedName>
    <definedName name="UPDATE" localSheetId="3">'Data Sheet'!$E$1</definedName>
    <definedName name="UPDATE" localSheetId="1">'Data Sheet'!$E$1</definedName>
    <definedName name="UPDATE" localSheetId="21">'Data Sheet'!$E$1</definedName>
    <definedName name="UPDATE" localSheetId="10">'Data Sheet'!$E$1</definedName>
    <definedName name="UPDATE" localSheetId="20">'[1]Data Sheet'!$E$1</definedName>
    <definedName name="UPDATE">'Data Sheet'!$E$1</definedName>
  </definedNames>
  <calcPr calcId="144525"/>
</workbook>
</file>

<file path=xl/calcChain.xml><?xml version="1.0" encoding="utf-8"?>
<calcChain xmlns="http://schemas.openxmlformats.org/spreadsheetml/2006/main">
  <c r="D66" i="19" l="1"/>
  <c r="E66" i="19"/>
  <c r="F66" i="19"/>
  <c r="G66" i="19"/>
  <c r="H66" i="19"/>
  <c r="I66" i="19"/>
  <c r="J66" i="19"/>
  <c r="K66" i="19"/>
  <c r="C66" i="19"/>
  <c r="D65" i="19"/>
  <c r="E65" i="19"/>
  <c r="F65" i="19"/>
  <c r="G65" i="19"/>
  <c r="H65" i="19"/>
  <c r="I65" i="19"/>
  <c r="J65" i="19"/>
  <c r="K65" i="19"/>
  <c r="C65" i="19"/>
  <c r="D64" i="19"/>
  <c r="E64" i="19"/>
  <c r="F64" i="19"/>
  <c r="G64" i="19"/>
  <c r="H64" i="19"/>
  <c r="I64" i="19"/>
  <c r="J64" i="19"/>
  <c r="K64" i="19"/>
  <c r="C64" i="19"/>
  <c r="E7" i="25" l="1"/>
  <c r="F7" i="25"/>
  <c r="G7" i="25"/>
  <c r="H7" i="25"/>
  <c r="I7" i="25"/>
  <c r="J7" i="25"/>
  <c r="K7" i="25"/>
  <c r="D7" i="25"/>
  <c r="B5" i="25"/>
  <c r="F6" i="25"/>
  <c r="G6" i="25"/>
  <c r="H6" i="25"/>
  <c r="I6" i="25"/>
  <c r="J6" i="25"/>
  <c r="K6" i="25"/>
  <c r="E6" i="25"/>
  <c r="F62" i="15"/>
  <c r="G62" i="15"/>
  <c r="H62" i="15"/>
  <c r="I62" i="15"/>
  <c r="J62" i="15"/>
  <c r="K62" i="15"/>
  <c r="E62" i="15"/>
  <c r="B18" i="25"/>
  <c r="C18" i="25"/>
  <c r="D18" i="25"/>
  <c r="E18" i="25"/>
  <c r="F18" i="25"/>
  <c r="G18" i="25"/>
  <c r="H18" i="25"/>
  <c r="I18" i="25"/>
  <c r="J18" i="25"/>
  <c r="K18" i="25"/>
  <c r="B20" i="25"/>
  <c r="C19" i="25"/>
  <c r="D19" i="25"/>
  <c r="E19" i="25"/>
  <c r="F19" i="25"/>
  <c r="G19" i="25"/>
  <c r="H19" i="25"/>
  <c r="I19" i="25"/>
  <c r="J19" i="25"/>
  <c r="K19" i="25"/>
  <c r="B19" i="25"/>
  <c r="C3" i="25"/>
  <c r="D3" i="25"/>
  <c r="E3" i="25"/>
  <c r="F3" i="25"/>
  <c r="G3" i="25"/>
  <c r="H3" i="25"/>
  <c r="I3" i="25"/>
  <c r="J3" i="25"/>
  <c r="K3" i="25"/>
  <c r="B3" i="25"/>
  <c r="D15" i="25"/>
  <c r="E15" i="25"/>
  <c r="F15" i="25"/>
  <c r="G15" i="25"/>
  <c r="H15" i="25"/>
  <c r="I15" i="25"/>
  <c r="J15" i="25"/>
  <c r="K15" i="25"/>
  <c r="C15" i="25"/>
  <c r="D14" i="25"/>
  <c r="E14" i="25"/>
  <c r="F14" i="25"/>
  <c r="G14" i="25"/>
  <c r="H14" i="25"/>
  <c r="I14" i="25"/>
  <c r="J14" i="25"/>
  <c r="K14" i="25"/>
  <c r="C14" i="25"/>
  <c r="D13" i="25"/>
  <c r="E13" i="25"/>
  <c r="F13" i="25"/>
  <c r="G13" i="25"/>
  <c r="H13" i="25"/>
  <c r="I13" i="25"/>
  <c r="J13" i="25"/>
  <c r="K13" i="25"/>
  <c r="C13" i="25"/>
  <c r="D11" i="25"/>
  <c r="E11" i="25"/>
  <c r="F11" i="25"/>
  <c r="G11" i="25"/>
  <c r="H11" i="25"/>
  <c r="I11" i="25"/>
  <c r="J11" i="25"/>
  <c r="K11" i="25"/>
  <c r="C11" i="25"/>
  <c r="C58" i="15"/>
  <c r="L19" i="25" l="1"/>
  <c r="L18" i="25"/>
  <c r="K93" i="24"/>
  <c r="J93" i="24"/>
  <c r="I93" i="24"/>
  <c r="H93" i="24"/>
  <c r="G93" i="24"/>
  <c r="F93" i="24"/>
  <c r="E93" i="24"/>
  <c r="D93" i="24"/>
  <c r="C93" i="24"/>
  <c r="B93" i="24"/>
  <c r="A93" i="24"/>
  <c r="A92" i="24"/>
  <c r="K90" i="24"/>
  <c r="J90" i="24"/>
  <c r="I90" i="24"/>
  <c r="H90" i="24"/>
  <c r="G90" i="24"/>
  <c r="F90" i="24"/>
  <c r="E90" i="24"/>
  <c r="D90" i="24"/>
  <c r="C90" i="24"/>
  <c r="B90" i="24"/>
  <c r="A90" i="24"/>
  <c r="K85" i="24"/>
  <c r="J85" i="24"/>
  <c r="I85" i="24"/>
  <c r="H85" i="24"/>
  <c r="G85" i="24"/>
  <c r="F85" i="24"/>
  <c r="E85" i="24"/>
  <c r="D85" i="24"/>
  <c r="C85" i="24"/>
  <c r="B85" i="24"/>
  <c r="A85" i="24"/>
  <c r="K84" i="24"/>
  <c r="J84" i="24"/>
  <c r="I84" i="24"/>
  <c r="H84" i="24"/>
  <c r="G84" i="24"/>
  <c r="F84" i="24"/>
  <c r="E84" i="24"/>
  <c r="D84" i="24"/>
  <c r="C84" i="24"/>
  <c r="B84" i="24"/>
  <c r="A84" i="24"/>
  <c r="K83" i="24"/>
  <c r="J83" i="24"/>
  <c r="I83" i="24"/>
  <c r="H83" i="24"/>
  <c r="G83" i="24"/>
  <c r="F83" i="24"/>
  <c r="E83" i="24"/>
  <c r="D83" i="24"/>
  <c r="C83" i="24"/>
  <c r="B83" i="24"/>
  <c r="A83" i="24"/>
  <c r="K82" i="24"/>
  <c r="J82" i="24"/>
  <c r="I82" i="24"/>
  <c r="H82" i="24"/>
  <c r="G82" i="24"/>
  <c r="F82" i="24"/>
  <c r="E82" i="24"/>
  <c r="D82" i="24"/>
  <c r="C82" i="24"/>
  <c r="B82" i="24"/>
  <c r="A82" i="24"/>
  <c r="K81" i="24"/>
  <c r="J81" i="24"/>
  <c r="I81" i="24"/>
  <c r="H81" i="24"/>
  <c r="G81" i="24"/>
  <c r="F81" i="24"/>
  <c r="E81" i="24"/>
  <c r="D81" i="24"/>
  <c r="C81" i="24"/>
  <c r="B81" i="24"/>
  <c r="A81" i="24"/>
  <c r="A80" i="24"/>
  <c r="K72" i="24"/>
  <c r="J72" i="24"/>
  <c r="I72" i="24"/>
  <c r="H72" i="24"/>
  <c r="G72" i="24"/>
  <c r="F72" i="24"/>
  <c r="E72" i="24"/>
  <c r="D72" i="24"/>
  <c r="C72" i="24"/>
  <c r="B72" i="24"/>
  <c r="A72" i="24"/>
  <c r="K71" i="24"/>
  <c r="J71" i="24"/>
  <c r="I71" i="24"/>
  <c r="H71" i="24"/>
  <c r="G71" i="24"/>
  <c r="F71" i="24"/>
  <c r="E71" i="24"/>
  <c r="D71" i="24"/>
  <c r="C71" i="24"/>
  <c r="B71" i="24"/>
  <c r="A71" i="24"/>
  <c r="K70" i="24"/>
  <c r="J70" i="24"/>
  <c r="I70" i="24"/>
  <c r="H70" i="24"/>
  <c r="G70" i="24"/>
  <c r="F70" i="24"/>
  <c r="E70" i="24"/>
  <c r="D70" i="24"/>
  <c r="C70" i="24"/>
  <c r="B70" i="24"/>
  <c r="A70" i="24"/>
  <c r="K69" i="24"/>
  <c r="J69" i="24"/>
  <c r="I69" i="24"/>
  <c r="H69" i="24"/>
  <c r="G69" i="24"/>
  <c r="F69" i="24"/>
  <c r="E69" i="24"/>
  <c r="D69" i="24"/>
  <c r="C69" i="24"/>
  <c r="B69" i="24"/>
  <c r="A69" i="24"/>
  <c r="K68" i="24"/>
  <c r="J68" i="24"/>
  <c r="I68" i="24"/>
  <c r="H68" i="24"/>
  <c r="G68" i="24"/>
  <c r="F68" i="24"/>
  <c r="E68" i="24"/>
  <c r="D68" i="24"/>
  <c r="C68" i="24"/>
  <c r="B68" i="24"/>
  <c r="A68" i="24"/>
  <c r="K67" i="24"/>
  <c r="J67" i="24"/>
  <c r="I67" i="24"/>
  <c r="H67" i="24"/>
  <c r="G67" i="24"/>
  <c r="F67" i="24"/>
  <c r="E67" i="24"/>
  <c r="D67" i="24"/>
  <c r="C67" i="24"/>
  <c r="B67" i="24"/>
  <c r="A67" i="24"/>
  <c r="K66" i="24"/>
  <c r="J66" i="24"/>
  <c r="I66" i="24"/>
  <c r="H66" i="24"/>
  <c r="G66" i="24"/>
  <c r="F66" i="24"/>
  <c r="E66" i="24"/>
  <c r="D66" i="24"/>
  <c r="C66" i="24"/>
  <c r="B66" i="24"/>
  <c r="A66" i="24"/>
  <c r="K65" i="24"/>
  <c r="J65" i="24"/>
  <c r="I65" i="24"/>
  <c r="H65" i="24"/>
  <c r="G65" i="24"/>
  <c r="F65" i="24"/>
  <c r="E65" i="24"/>
  <c r="D65" i="24"/>
  <c r="C65" i="24"/>
  <c r="B65" i="24"/>
  <c r="A65" i="24"/>
  <c r="K64" i="24"/>
  <c r="J64" i="24"/>
  <c r="I64" i="24"/>
  <c r="H64" i="24"/>
  <c r="G64" i="24"/>
  <c r="F64" i="24"/>
  <c r="E64" i="24"/>
  <c r="D64" i="24"/>
  <c r="C64" i="24"/>
  <c r="B64" i="24"/>
  <c r="A64" i="24"/>
  <c r="K63" i="24"/>
  <c r="J63" i="24"/>
  <c r="I63" i="24"/>
  <c r="H63" i="24"/>
  <c r="G63" i="24"/>
  <c r="F63" i="24"/>
  <c r="E63" i="24"/>
  <c r="D63" i="24"/>
  <c r="C63" i="24"/>
  <c r="B63" i="24"/>
  <c r="A63" i="24"/>
  <c r="K62" i="24"/>
  <c r="J62" i="24"/>
  <c r="I62" i="24"/>
  <c r="H62" i="24"/>
  <c r="G62" i="24"/>
  <c r="F62" i="24"/>
  <c r="E62" i="24"/>
  <c r="D62" i="24"/>
  <c r="C62" i="24"/>
  <c r="B62" i="24"/>
  <c r="A62" i="24"/>
  <c r="K61" i="24"/>
  <c r="J61" i="24"/>
  <c r="I61" i="24"/>
  <c r="H61" i="24"/>
  <c r="G61" i="24"/>
  <c r="F61" i="24"/>
  <c r="E61" i="24"/>
  <c r="D61" i="24"/>
  <c r="C61" i="24"/>
  <c r="B61" i="24"/>
  <c r="A61" i="24"/>
  <c r="K60" i="24"/>
  <c r="J60" i="24"/>
  <c r="I60" i="24"/>
  <c r="H60" i="24"/>
  <c r="G60" i="24"/>
  <c r="F60" i="24"/>
  <c r="E60" i="24"/>
  <c r="D60" i="24"/>
  <c r="C60" i="24"/>
  <c r="B60" i="24"/>
  <c r="A60" i="24"/>
  <c r="K59" i="24"/>
  <c r="J59" i="24"/>
  <c r="I59" i="24"/>
  <c r="H59" i="24"/>
  <c r="G59" i="24"/>
  <c r="F59" i="24"/>
  <c r="E59" i="24"/>
  <c r="D59" i="24"/>
  <c r="C59" i="24"/>
  <c r="B59" i="24"/>
  <c r="A59" i="24"/>
  <c r="K58" i="24"/>
  <c r="J58" i="24"/>
  <c r="I58" i="24"/>
  <c r="H58" i="24"/>
  <c r="G58" i="24"/>
  <c r="F58" i="24"/>
  <c r="E58" i="24"/>
  <c r="D58" i="24"/>
  <c r="C58" i="24"/>
  <c r="B58" i="24"/>
  <c r="A58" i="24"/>
  <c r="K57" i="24"/>
  <c r="J57" i="24"/>
  <c r="I57" i="24"/>
  <c r="H57" i="24"/>
  <c r="G57" i="24"/>
  <c r="F57" i="24"/>
  <c r="E57" i="24"/>
  <c r="D57" i="24"/>
  <c r="C57" i="24"/>
  <c r="B57" i="24"/>
  <c r="A57" i="24"/>
  <c r="K56" i="24"/>
  <c r="J56" i="24"/>
  <c r="I56" i="24"/>
  <c r="H56" i="24"/>
  <c r="G56" i="24"/>
  <c r="F56" i="24"/>
  <c r="E56" i="24"/>
  <c r="D56" i="24"/>
  <c r="C56" i="24"/>
  <c r="B56" i="24"/>
  <c r="A56" i="24"/>
  <c r="A55" i="24"/>
  <c r="K50" i="24"/>
  <c r="M50" i="24" s="1"/>
  <c r="J50" i="24"/>
  <c r="I50" i="24"/>
  <c r="H50" i="24"/>
  <c r="G50" i="24"/>
  <c r="F50" i="24"/>
  <c r="E50" i="24"/>
  <c r="D50" i="24"/>
  <c r="C50" i="24"/>
  <c r="B50" i="24"/>
  <c r="A50" i="24"/>
  <c r="K49" i="24"/>
  <c r="J49" i="24"/>
  <c r="M49" i="24" s="1"/>
  <c r="M30" i="24" s="1"/>
  <c r="I49" i="24"/>
  <c r="H49" i="24"/>
  <c r="G49" i="24"/>
  <c r="F49" i="24"/>
  <c r="E49" i="24"/>
  <c r="D49" i="24"/>
  <c r="C49" i="24"/>
  <c r="B49" i="24"/>
  <c r="A49" i="24"/>
  <c r="K48" i="24"/>
  <c r="M48" i="24" s="1"/>
  <c r="M29" i="24" s="1"/>
  <c r="J48" i="24"/>
  <c r="I48" i="24"/>
  <c r="H48" i="24"/>
  <c r="G48" i="24"/>
  <c r="F48" i="24"/>
  <c r="E48" i="24"/>
  <c r="D48" i="24"/>
  <c r="C48" i="24"/>
  <c r="B48" i="24"/>
  <c r="A48" i="24"/>
  <c r="K47" i="24"/>
  <c r="J47" i="24"/>
  <c r="M47" i="24" s="1"/>
  <c r="M28" i="24" s="1"/>
  <c r="I47" i="24"/>
  <c r="H47" i="24"/>
  <c r="G47" i="24"/>
  <c r="F47" i="24"/>
  <c r="E47" i="24"/>
  <c r="D47" i="24"/>
  <c r="C47" i="24"/>
  <c r="B47" i="24"/>
  <c r="A47" i="24"/>
  <c r="K46" i="24"/>
  <c r="M46" i="24" s="1"/>
  <c r="M27" i="24" s="1"/>
  <c r="J46" i="24"/>
  <c r="I46" i="24"/>
  <c r="H46" i="24"/>
  <c r="G46" i="24"/>
  <c r="F46" i="24"/>
  <c r="E46" i="24"/>
  <c r="D46" i="24"/>
  <c r="C46" i="24"/>
  <c r="B46" i="24"/>
  <c r="A46" i="24"/>
  <c r="K45" i="24"/>
  <c r="J45" i="24"/>
  <c r="M45" i="24" s="1"/>
  <c r="M26" i="24" s="1"/>
  <c r="I45" i="24"/>
  <c r="H45" i="24"/>
  <c r="G45" i="24"/>
  <c r="F45" i="24"/>
  <c r="E45" i="24"/>
  <c r="D45" i="24"/>
  <c r="C45" i="24"/>
  <c r="B45" i="24"/>
  <c r="A45" i="24"/>
  <c r="K44" i="24"/>
  <c r="M44" i="24" s="1"/>
  <c r="M25" i="24" s="1"/>
  <c r="J44" i="24"/>
  <c r="I44" i="24"/>
  <c r="H44" i="24"/>
  <c r="G44" i="24"/>
  <c r="F44" i="24"/>
  <c r="E44" i="24"/>
  <c r="D44" i="24"/>
  <c r="C44" i="24"/>
  <c r="B44" i="24"/>
  <c r="A44" i="24"/>
  <c r="K43" i="24"/>
  <c r="J43" i="24"/>
  <c r="M43" i="24" s="1"/>
  <c r="I43" i="24"/>
  <c r="H43" i="24"/>
  <c r="G43" i="24"/>
  <c r="F43" i="24"/>
  <c r="E43" i="24"/>
  <c r="D43" i="24"/>
  <c r="C43" i="24"/>
  <c r="B43" i="24"/>
  <c r="A43" i="24"/>
  <c r="K42" i="24"/>
  <c r="M42" i="24" s="1"/>
  <c r="M17" i="24" s="1"/>
  <c r="J42" i="24"/>
  <c r="I42" i="24"/>
  <c r="H42" i="24"/>
  <c r="G42" i="24"/>
  <c r="F42" i="24"/>
  <c r="E42" i="24"/>
  <c r="D42" i="24"/>
  <c r="C42" i="24"/>
  <c r="B42" i="24"/>
  <c r="A42" i="24"/>
  <c r="K41" i="24"/>
  <c r="J41" i="24"/>
  <c r="I41" i="24"/>
  <c r="H41" i="24"/>
  <c r="G41" i="24"/>
  <c r="F41" i="24"/>
  <c r="E41" i="24"/>
  <c r="D41" i="24"/>
  <c r="C41" i="24"/>
  <c r="B41" i="24"/>
  <c r="A41" i="24"/>
  <c r="A40" i="24"/>
  <c r="K31" i="24"/>
  <c r="J31" i="24"/>
  <c r="I31" i="24"/>
  <c r="H31" i="24"/>
  <c r="G31" i="24"/>
  <c r="F31" i="24"/>
  <c r="E31" i="24"/>
  <c r="D31" i="24"/>
  <c r="C31" i="24"/>
  <c r="B31" i="24"/>
  <c r="A31" i="24"/>
  <c r="K30" i="24"/>
  <c r="J30" i="24"/>
  <c r="I30" i="24"/>
  <c r="H30" i="24"/>
  <c r="G30" i="24"/>
  <c r="F30" i="24"/>
  <c r="E30" i="24"/>
  <c r="D30" i="24"/>
  <c r="C30" i="24"/>
  <c r="B30" i="24"/>
  <c r="A30" i="24"/>
  <c r="K29" i="24"/>
  <c r="J29" i="24"/>
  <c r="I29" i="24"/>
  <c r="H29" i="24"/>
  <c r="G29" i="24"/>
  <c r="F29" i="24"/>
  <c r="E29" i="24"/>
  <c r="D29" i="24"/>
  <c r="C29" i="24"/>
  <c r="B29" i="24"/>
  <c r="A29" i="24"/>
  <c r="K28" i="24"/>
  <c r="J28" i="24"/>
  <c r="I28" i="24"/>
  <c r="H28" i="24"/>
  <c r="G28" i="24"/>
  <c r="F28" i="24"/>
  <c r="E28" i="24"/>
  <c r="D28" i="24"/>
  <c r="C28" i="24"/>
  <c r="B28" i="24"/>
  <c r="A28" i="24"/>
  <c r="K27" i="24"/>
  <c r="J27" i="24"/>
  <c r="I27" i="24"/>
  <c r="H27" i="24"/>
  <c r="G27" i="24"/>
  <c r="F27" i="24"/>
  <c r="E27" i="24"/>
  <c r="D27" i="24"/>
  <c r="C27" i="24"/>
  <c r="B27" i="24"/>
  <c r="A27" i="24"/>
  <c r="K26" i="24"/>
  <c r="J26" i="24"/>
  <c r="I26" i="24"/>
  <c r="H26" i="24"/>
  <c r="G26" i="24"/>
  <c r="F26" i="24"/>
  <c r="E26" i="24"/>
  <c r="D26" i="24"/>
  <c r="C26" i="24"/>
  <c r="B26" i="24"/>
  <c r="A26" i="24"/>
  <c r="K25" i="24"/>
  <c r="J25" i="24"/>
  <c r="I25" i="24"/>
  <c r="H25" i="24"/>
  <c r="G25" i="24"/>
  <c r="F25" i="24"/>
  <c r="E25" i="24"/>
  <c r="D25" i="24"/>
  <c r="C25" i="24"/>
  <c r="B25" i="24"/>
  <c r="A25" i="24"/>
  <c r="K24" i="24"/>
  <c r="J24" i="24"/>
  <c r="I24" i="24"/>
  <c r="H24" i="24"/>
  <c r="G24" i="24"/>
  <c r="F24" i="24"/>
  <c r="E24" i="24"/>
  <c r="D24" i="24"/>
  <c r="C24" i="24"/>
  <c r="B24" i="24"/>
  <c r="A24" i="24"/>
  <c r="K23" i="24"/>
  <c r="J23" i="24"/>
  <c r="I23" i="24"/>
  <c r="H23" i="24"/>
  <c r="G23" i="24"/>
  <c r="F23" i="24"/>
  <c r="E23" i="24"/>
  <c r="D23" i="24"/>
  <c r="C23" i="24"/>
  <c r="B23" i="24"/>
  <c r="A23" i="24"/>
  <c r="K22" i="24"/>
  <c r="J22" i="24"/>
  <c r="I22" i="24"/>
  <c r="H22" i="24"/>
  <c r="G22" i="24"/>
  <c r="F22" i="24"/>
  <c r="E22" i="24"/>
  <c r="D22" i="24"/>
  <c r="C22" i="24"/>
  <c r="B22" i="24"/>
  <c r="A22" i="24"/>
  <c r="K21" i="24"/>
  <c r="J21" i="24"/>
  <c r="I21" i="24"/>
  <c r="H21" i="24"/>
  <c r="G21" i="24"/>
  <c r="F21" i="24"/>
  <c r="E21" i="24"/>
  <c r="D21" i="24"/>
  <c r="C21" i="24"/>
  <c r="B21" i="24"/>
  <c r="A21" i="24"/>
  <c r="K20" i="24"/>
  <c r="J20" i="24"/>
  <c r="I20" i="24"/>
  <c r="H20" i="24"/>
  <c r="G20" i="24"/>
  <c r="F20" i="24"/>
  <c r="E20" i="24"/>
  <c r="D20" i="24"/>
  <c r="C20" i="24"/>
  <c r="B20" i="24"/>
  <c r="A20" i="24"/>
  <c r="K19" i="24"/>
  <c r="J19" i="24"/>
  <c r="I19" i="24"/>
  <c r="H19" i="24"/>
  <c r="G19" i="24"/>
  <c r="F19" i="24"/>
  <c r="E19" i="24"/>
  <c r="D19" i="24"/>
  <c r="C19" i="24"/>
  <c r="B19" i="24"/>
  <c r="A19" i="24"/>
  <c r="K18" i="24"/>
  <c r="J18" i="24"/>
  <c r="I18" i="24"/>
  <c r="H18" i="24"/>
  <c r="G18" i="24"/>
  <c r="F18" i="24"/>
  <c r="E18" i="24"/>
  <c r="D18" i="24"/>
  <c r="C18" i="24"/>
  <c r="B18" i="24"/>
  <c r="A18" i="24"/>
  <c r="K17" i="24"/>
  <c r="J17" i="24"/>
  <c r="I17" i="24"/>
  <c r="H17" i="24"/>
  <c r="G17" i="24"/>
  <c r="F17" i="24"/>
  <c r="E17" i="24"/>
  <c r="D17" i="24"/>
  <c r="C17" i="24"/>
  <c r="B17" i="24"/>
  <c r="A17" i="24"/>
  <c r="K16" i="24"/>
  <c r="J16" i="24"/>
  <c r="I16" i="24"/>
  <c r="H16" i="24"/>
  <c r="G16" i="24"/>
  <c r="F16" i="24"/>
  <c r="E16" i="24"/>
  <c r="D16" i="24"/>
  <c r="C16" i="24"/>
  <c r="B16" i="24"/>
  <c r="A16" i="24"/>
  <c r="A15" i="24"/>
  <c r="B9" i="24"/>
  <c r="A9" i="24"/>
  <c r="B8" i="24"/>
  <c r="A8" i="24"/>
  <c r="B7" i="24"/>
  <c r="A7" i="24"/>
  <c r="B6" i="24"/>
  <c r="A6" i="24"/>
  <c r="A5" i="24"/>
  <c r="B3" i="24"/>
  <c r="A3" i="24"/>
  <c r="B2" i="24"/>
  <c r="A2" i="24"/>
  <c r="B1" i="24"/>
  <c r="A1" i="24"/>
  <c r="L50" i="24"/>
  <c r="L49" i="24"/>
  <c r="L30" i="24" s="1"/>
  <c r="L48" i="24"/>
  <c r="L29" i="24" s="1"/>
  <c r="L47" i="24"/>
  <c r="L28" i="24" s="1"/>
  <c r="L46" i="24"/>
  <c r="L27" i="24" s="1"/>
  <c r="L45" i="24"/>
  <c r="L26" i="24" s="1"/>
  <c r="L44" i="24"/>
  <c r="L25" i="24" s="1"/>
  <c r="L43" i="24"/>
  <c r="L42" i="24"/>
  <c r="L17" i="24" s="1"/>
  <c r="D21" i="19" l="1"/>
  <c r="E21" i="19"/>
  <c r="F21" i="19"/>
  <c r="G21" i="19"/>
  <c r="H21" i="19"/>
  <c r="I21" i="19"/>
  <c r="J21" i="19"/>
  <c r="K21" i="19"/>
  <c r="C21" i="19"/>
  <c r="K22" i="19" l="1"/>
  <c r="K20" i="25"/>
  <c r="I22" i="19"/>
  <c r="I20" i="25"/>
  <c r="G22" i="19"/>
  <c r="G20" i="25"/>
  <c r="C22" i="19"/>
  <c r="C20" i="25"/>
  <c r="J22" i="19"/>
  <c r="J20" i="25"/>
  <c r="H22" i="19"/>
  <c r="H20" i="25"/>
  <c r="F22" i="19"/>
  <c r="F20" i="25"/>
  <c r="D22" i="19"/>
  <c r="D20" i="25"/>
  <c r="E22" i="19"/>
  <c r="E20" i="25"/>
  <c r="E15" i="19"/>
  <c r="D113" i="21"/>
  <c r="D101" i="21"/>
  <c r="D89" i="21"/>
  <c r="D77" i="21"/>
  <c r="D65" i="21"/>
  <c r="D53" i="21"/>
  <c r="D41" i="21"/>
  <c r="D29" i="21"/>
  <c r="D17" i="21"/>
  <c r="D5" i="21"/>
  <c r="E113" i="21"/>
  <c r="E101" i="21"/>
  <c r="E89" i="21"/>
  <c r="E77" i="21"/>
  <c r="E65" i="21"/>
  <c r="E53" i="21"/>
  <c r="E41" i="21"/>
  <c r="E29" i="21"/>
  <c r="E17" i="21"/>
  <c r="E5" i="21"/>
  <c r="C26" i="19"/>
  <c r="D26" i="19"/>
  <c r="E26" i="19"/>
  <c r="F26" i="19"/>
  <c r="G26" i="19"/>
  <c r="H26" i="19"/>
  <c r="I26" i="19"/>
  <c r="J26" i="19"/>
  <c r="K26" i="19"/>
  <c r="B26" i="19"/>
  <c r="D10" i="13"/>
  <c r="D110" i="13" s="1"/>
  <c r="D34" i="19" s="1"/>
  <c r="L20" i="25" l="1"/>
  <c r="L21" i="25" s="1"/>
  <c r="K57" i="19"/>
  <c r="I57" i="19"/>
  <c r="G57" i="19"/>
  <c r="E57" i="19"/>
  <c r="C57" i="19"/>
  <c r="B57" i="19"/>
  <c r="J57" i="19"/>
  <c r="H57" i="19"/>
  <c r="F57" i="19"/>
  <c r="D57" i="19"/>
  <c r="J5" i="21"/>
  <c r="J11" i="21" s="1"/>
  <c r="B29" i="19" s="1"/>
  <c r="L5" i="21"/>
  <c r="L11" i="21" s="1"/>
  <c r="D29" i="19" s="1"/>
  <c r="N5" i="21"/>
  <c r="N11" i="21" s="1"/>
  <c r="F29" i="19" s="1"/>
  <c r="P5" i="21"/>
  <c r="P11" i="21" s="1"/>
  <c r="H29" i="19" s="1"/>
  <c r="R5" i="21"/>
  <c r="R11" i="21" s="1"/>
  <c r="J29" i="19" s="1"/>
  <c r="K5" i="21"/>
  <c r="K11" i="21" s="1"/>
  <c r="C29" i="19" s="1"/>
  <c r="M5" i="21"/>
  <c r="M11" i="21" s="1"/>
  <c r="E29" i="19" s="1"/>
  <c r="O5" i="21"/>
  <c r="O11" i="21" s="1"/>
  <c r="G29" i="19" s="1"/>
  <c r="Q5" i="21"/>
  <c r="Q11" i="21" s="1"/>
  <c r="I29" i="19" s="1"/>
  <c r="S5" i="21"/>
  <c r="S11" i="21" s="1"/>
  <c r="K29" i="19" s="1"/>
  <c r="G1" i="20"/>
  <c r="A1" i="20"/>
  <c r="K68" i="19"/>
  <c r="J68" i="19"/>
  <c r="I68" i="19"/>
  <c r="H68" i="19"/>
  <c r="G68" i="19"/>
  <c r="F68" i="19"/>
  <c r="E68" i="19"/>
  <c r="D68" i="19"/>
  <c r="C68" i="19"/>
  <c r="B68" i="19"/>
  <c r="K39" i="19"/>
  <c r="J39" i="19"/>
  <c r="I39" i="19"/>
  <c r="H39" i="19"/>
  <c r="G39" i="19"/>
  <c r="F39" i="19"/>
  <c r="E39" i="19"/>
  <c r="D39" i="19"/>
  <c r="C39" i="19"/>
  <c r="B39" i="19"/>
  <c r="K18" i="19"/>
  <c r="K19" i="19" s="1"/>
  <c r="K23" i="19" s="1"/>
  <c r="J18" i="19"/>
  <c r="J19" i="19" s="1"/>
  <c r="J23" i="19" s="1"/>
  <c r="I18" i="19"/>
  <c r="I19" i="19" s="1"/>
  <c r="I23" i="19" s="1"/>
  <c r="H18" i="19"/>
  <c r="H19" i="19" s="1"/>
  <c r="H23" i="19" s="1"/>
  <c r="G18" i="19"/>
  <c r="G19" i="19" s="1"/>
  <c r="G23" i="19" s="1"/>
  <c r="F18" i="19"/>
  <c r="F19" i="19" s="1"/>
  <c r="F23" i="19" s="1"/>
  <c r="E18" i="19"/>
  <c r="E19" i="19" s="1"/>
  <c r="E23" i="19" s="1"/>
  <c r="D18" i="19"/>
  <c r="D19" i="19" s="1"/>
  <c r="D23" i="19" s="1"/>
  <c r="C18" i="19"/>
  <c r="C19" i="19" s="1"/>
  <c r="C23" i="19" s="1"/>
  <c r="B18" i="19"/>
  <c r="B19" i="19" s="1"/>
  <c r="K15" i="19"/>
  <c r="J15" i="19"/>
  <c r="I15" i="19"/>
  <c r="H15" i="19"/>
  <c r="G15" i="19"/>
  <c r="F15" i="19"/>
  <c r="D15" i="19"/>
  <c r="C15" i="19"/>
  <c r="K12" i="19"/>
  <c r="K14" i="19" s="1"/>
  <c r="J12" i="19"/>
  <c r="I12" i="19"/>
  <c r="I14" i="19" s="1"/>
  <c r="H12" i="19"/>
  <c r="H14" i="19" s="1"/>
  <c r="G12" i="19"/>
  <c r="G14" i="19" s="1"/>
  <c r="F12" i="19"/>
  <c r="E12" i="19"/>
  <c r="E14" i="19" s="1"/>
  <c r="D12" i="19"/>
  <c r="D14" i="19" s="1"/>
  <c r="C12" i="19"/>
  <c r="C14" i="19" s="1"/>
  <c r="B12" i="19"/>
  <c r="K10" i="19"/>
  <c r="K9" i="25" s="1"/>
  <c r="J10" i="19"/>
  <c r="J9" i="25" s="1"/>
  <c r="I10" i="19"/>
  <c r="I9" i="25" s="1"/>
  <c r="H10" i="19"/>
  <c r="H9" i="25" s="1"/>
  <c r="G10" i="19"/>
  <c r="G9" i="25" s="1"/>
  <c r="F10" i="19"/>
  <c r="F9" i="25" s="1"/>
  <c r="E10" i="19"/>
  <c r="E9" i="25" s="1"/>
  <c r="D10" i="19"/>
  <c r="D9" i="25" s="1"/>
  <c r="C10" i="19"/>
  <c r="C9" i="25" s="1"/>
  <c r="B10" i="19"/>
  <c r="K7" i="19"/>
  <c r="K8" i="19" s="1"/>
  <c r="J7" i="19"/>
  <c r="J8" i="19" s="1"/>
  <c r="I7" i="19"/>
  <c r="I8" i="19" s="1"/>
  <c r="H7" i="19"/>
  <c r="H8" i="19" s="1"/>
  <c r="G7" i="19"/>
  <c r="G8" i="19" s="1"/>
  <c r="F7" i="19"/>
  <c r="F8" i="19" s="1"/>
  <c r="E7" i="19"/>
  <c r="E8" i="19" s="1"/>
  <c r="D7" i="19"/>
  <c r="D8" i="19" s="1"/>
  <c r="C7" i="19"/>
  <c r="C8" i="19" s="1"/>
  <c r="B7" i="19"/>
  <c r="B8" i="19" s="1"/>
  <c r="K4" i="19"/>
  <c r="J4" i="19"/>
  <c r="I4" i="19"/>
  <c r="H4" i="19"/>
  <c r="G4" i="19"/>
  <c r="F4" i="19"/>
  <c r="E4" i="19"/>
  <c r="D4" i="19"/>
  <c r="C4" i="19"/>
  <c r="B4" i="19"/>
  <c r="K3" i="19"/>
  <c r="K30" i="19" s="1"/>
  <c r="K31" i="19" s="1"/>
  <c r="J3" i="19"/>
  <c r="J30" i="19" s="1"/>
  <c r="J31" i="19" s="1"/>
  <c r="I3" i="19"/>
  <c r="I30" i="19" s="1"/>
  <c r="I31" i="19" s="1"/>
  <c r="H3" i="19"/>
  <c r="H30" i="19" s="1"/>
  <c r="H31" i="19" s="1"/>
  <c r="G3" i="19"/>
  <c r="G30" i="19" s="1"/>
  <c r="G31" i="19" s="1"/>
  <c r="F3" i="19"/>
  <c r="F30" i="19" s="1"/>
  <c r="F31" i="19" s="1"/>
  <c r="E3" i="19"/>
  <c r="E30" i="19" s="1"/>
  <c r="E31" i="19" s="1"/>
  <c r="D3" i="19"/>
  <c r="D30" i="19" s="1"/>
  <c r="D31" i="19" s="1"/>
  <c r="C3" i="19"/>
  <c r="C30" i="19" s="1"/>
  <c r="C31" i="19" s="1"/>
  <c r="B3" i="19"/>
  <c r="B30" i="19" s="1"/>
  <c r="B31" i="19" s="1"/>
  <c r="K2" i="19"/>
  <c r="J2" i="19"/>
  <c r="I2" i="19"/>
  <c r="H2" i="19"/>
  <c r="G2" i="19"/>
  <c r="F2" i="19"/>
  <c r="E2" i="19"/>
  <c r="D2" i="19"/>
  <c r="C2" i="19"/>
  <c r="B2" i="19"/>
  <c r="K49" i="18"/>
  <c r="J49" i="18"/>
  <c r="I49" i="18"/>
  <c r="M49" i="18" s="1"/>
  <c r="H49" i="18"/>
  <c r="G49" i="18"/>
  <c r="N49" i="18" s="1"/>
  <c r="F49" i="18"/>
  <c r="E49" i="18"/>
  <c r="D49" i="18"/>
  <c r="C49" i="18"/>
  <c r="O49" i="18" s="1"/>
  <c r="B49" i="18"/>
  <c r="K48" i="18"/>
  <c r="J48" i="18"/>
  <c r="I48" i="18"/>
  <c r="H48" i="18"/>
  <c r="G48" i="18"/>
  <c r="N48" i="18" s="1"/>
  <c r="F48" i="18"/>
  <c r="E48" i="18"/>
  <c r="D48" i="18"/>
  <c r="C48" i="18"/>
  <c r="O48" i="18" s="1"/>
  <c r="B48" i="18"/>
  <c r="K7" i="18"/>
  <c r="J7" i="18"/>
  <c r="I7" i="18"/>
  <c r="M7" i="18" s="1"/>
  <c r="H7" i="18"/>
  <c r="G7" i="18"/>
  <c r="N7" i="18" s="1"/>
  <c r="F7" i="18"/>
  <c r="E7" i="18"/>
  <c r="D7" i="18"/>
  <c r="C7" i="18"/>
  <c r="O7" i="18" s="1"/>
  <c r="B7" i="18"/>
  <c r="K2" i="18"/>
  <c r="J2" i="18"/>
  <c r="I2" i="18"/>
  <c r="H2" i="18"/>
  <c r="G2" i="18"/>
  <c r="F2" i="18"/>
  <c r="E2" i="18"/>
  <c r="D2" i="18"/>
  <c r="C2" i="18"/>
  <c r="B2" i="18"/>
  <c r="K1" i="18"/>
  <c r="J1" i="18"/>
  <c r="I1" i="18"/>
  <c r="H1" i="18"/>
  <c r="G1" i="18"/>
  <c r="F1" i="18"/>
  <c r="E1" i="18"/>
  <c r="D1" i="18"/>
  <c r="C1" i="18"/>
  <c r="B1" i="18"/>
  <c r="K54" i="17"/>
  <c r="J54" i="17"/>
  <c r="I54" i="17"/>
  <c r="M54" i="17" s="1"/>
  <c r="H54" i="17"/>
  <c r="G54" i="17"/>
  <c r="N54" i="17" s="1"/>
  <c r="F54" i="17"/>
  <c r="E54" i="17"/>
  <c r="D54" i="17"/>
  <c r="C54" i="17"/>
  <c r="B54" i="17"/>
  <c r="K53" i="17"/>
  <c r="J53" i="17"/>
  <c r="I53" i="17"/>
  <c r="M53" i="17" s="1"/>
  <c r="H53" i="17"/>
  <c r="G53" i="17"/>
  <c r="N53" i="17" s="1"/>
  <c r="F53" i="17"/>
  <c r="E53" i="17"/>
  <c r="D53" i="17"/>
  <c r="C53" i="17"/>
  <c r="O53" i="17" s="1"/>
  <c r="B53" i="17"/>
  <c r="K52" i="17"/>
  <c r="J52" i="17"/>
  <c r="I52" i="17"/>
  <c r="M52" i="17" s="1"/>
  <c r="H52" i="17"/>
  <c r="G52" i="17"/>
  <c r="N52" i="17" s="1"/>
  <c r="F52" i="17"/>
  <c r="E52" i="17"/>
  <c r="D52" i="17"/>
  <c r="C52" i="17"/>
  <c r="O52" i="17" s="1"/>
  <c r="B52" i="17"/>
  <c r="K51" i="17"/>
  <c r="J51" i="17"/>
  <c r="I51" i="17"/>
  <c r="M51" i="17" s="1"/>
  <c r="H51" i="17"/>
  <c r="G51" i="17"/>
  <c r="F51" i="17"/>
  <c r="E51" i="17"/>
  <c r="D51" i="17"/>
  <c r="C51" i="17"/>
  <c r="O51" i="17" s="1"/>
  <c r="B51" i="17"/>
  <c r="K22" i="17"/>
  <c r="K23" i="17" s="1"/>
  <c r="J22" i="17"/>
  <c r="I22" i="17"/>
  <c r="I23" i="17" s="1"/>
  <c r="H22" i="17"/>
  <c r="G22" i="17"/>
  <c r="G23" i="17" s="1"/>
  <c r="F22" i="17"/>
  <c r="E22" i="17"/>
  <c r="E23" i="17" s="1"/>
  <c r="D22" i="17"/>
  <c r="C22" i="17"/>
  <c r="B22" i="17"/>
  <c r="K20" i="17"/>
  <c r="J20" i="17"/>
  <c r="I20" i="17"/>
  <c r="I21" i="17" s="1"/>
  <c r="H20" i="17"/>
  <c r="G20" i="17"/>
  <c r="F20" i="17"/>
  <c r="E20" i="17"/>
  <c r="E21" i="17" s="1"/>
  <c r="D20" i="17"/>
  <c r="C20" i="17"/>
  <c r="O20" i="17" s="1"/>
  <c r="B20" i="17"/>
  <c r="K19" i="17"/>
  <c r="J19" i="17"/>
  <c r="I19" i="17"/>
  <c r="M19" i="17" s="1"/>
  <c r="H19" i="17"/>
  <c r="G19" i="17"/>
  <c r="N19" i="17" s="1"/>
  <c r="F19" i="17"/>
  <c r="E19" i="17"/>
  <c r="D19" i="17"/>
  <c r="C19" i="17"/>
  <c r="O19" i="17" s="1"/>
  <c r="B19" i="17"/>
  <c r="K16" i="17"/>
  <c r="J16" i="17"/>
  <c r="I16" i="17"/>
  <c r="M16" i="17" s="1"/>
  <c r="H16" i="17"/>
  <c r="G16" i="17"/>
  <c r="N16" i="17" s="1"/>
  <c r="F16" i="17"/>
  <c r="E16" i="17"/>
  <c r="D16" i="17"/>
  <c r="C16" i="17"/>
  <c r="O16" i="17" s="1"/>
  <c r="B16" i="17"/>
  <c r="K15" i="17"/>
  <c r="J15" i="17"/>
  <c r="I15" i="17"/>
  <c r="M15" i="17" s="1"/>
  <c r="H15" i="17"/>
  <c r="G15" i="17"/>
  <c r="F15" i="17"/>
  <c r="E15" i="17"/>
  <c r="D15" i="17"/>
  <c r="C15" i="17"/>
  <c r="O15" i="17" s="1"/>
  <c r="B15" i="17"/>
  <c r="K14" i="17"/>
  <c r="J14" i="17"/>
  <c r="I14" i="17"/>
  <c r="M14" i="17" s="1"/>
  <c r="H14" i="17"/>
  <c r="G14" i="17"/>
  <c r="F14" i="17"/>
  <c r="E14" i="17"/>
  <c r="D14" i="17"/>
  <c r="C14" i="17"/>
  <c r="O14" i="17" s="1"/>
  <c r="B14" i="17"/>
  <c r="K13" i="17"/>
  <c r="J13" i="17"/>
  <c r="I13" i="17"/>
  <c r="M13" i="17" s="1"/>
  <c r="H13" i="17"/>
  <c r="G13" i="17"/>
  <c r="N13" i="17" s="1"/>
  <c r="F13" i="17"/>
  <c r="E13" i="17"/>
  <c r="D13" i="17"/>
  <c r="C13" i="17"/>
  <c r="B13" i="17"/>
  <c r="K12" i="17"/>
  <c r="J12" i="17"/>
  <c r="I12" i="17"/>
  <c r="H12" i="17"/>
  <c r="G12" i="17"/>
  <c r="N12" i="17" s="1"/>
  <c r="F12" i="17"/>
  <c r="E12" i="17"/>
  <c r="D12" i="17"/>
  <c r="C12" i="17"/>
  <c r="O12" i="17" s="1"/>
  <c r="B12" i="17"/>
  <c r="K11" i="17"/>
  <c r="J11" i="17"/>
  <c r="I11" i="17"/>
  <c r="M11" i="17" s="1"/>
  <c r="H11" i="17"/>
  <c r="G11" i="17"/>
  <c r="N11" i="17" s="1"/>
  <c r="F11" i="17"/>
  <c r="E11" i="17"/>
  <c r="D11" i="17"/>
  <c r="C11" i="17"/>
  <c r="O11" i="17" s="1"/>
  <c r="B11" i="17"/>
  <c r="K10" i="17"/>
  <c r="J10" i="17"/>
  <c r="I10" i="17"/>
  <c r="M10" i="17" s="1"/>
  <c r="H10" i="17"/>
  <c r="G10" i="17"/>
  <c r="F10" i="17"/>
  <c r="E10" i="17"/>
  <c r="D10" i="17"/>
  <c r="C10" i="17"/>
  <c r="O10" i="17" s="1"/>
  <c r="B10" i="17"/>
  <c r="K9" i="17"/>
  <c r="J9" i="17"/>
  <c r="I9" i="17"/>
  <c r="M9" i="17" s="1"/>
  <c r="H9" i="17"/>
  <c r="G9" i="17"/>
  <c r="N9" i="17" s="1"/>
  <c r="F9" i="17"/>
  <c r="E9" i="17"/>
  <c r="D9" i="17"/>
  <c r="C9" i="17"/>
  <c r="B9" i="17"/>
  <c r="K8" i="17"/>
  <c r="J8" i="17"/>
  <c r="I8" i="17"/>
  <c r="M8" i="17" s="1"/>
  <c r="H8" i="17"/>
  <c r="G8" i="17"/>
  <c r="N8" i="17" s="1"/>
  <c r="F8" i="17"/>
  <c r="E8" i="17"/>
  <c r="D8" i="17"/>
  <c r="C8" i="17"/>
  <c r="O8" i="17" s="1"/>
  <c r="B8" i="17"/>
  <c r="K5" i="17"/>
  <c r="J5" i="17"/>
  <c r="I5" i="17"/>
  <c r="M5" i="17" s="1"/>
  <c r="H5" i="17"/>
  <c r="G5" i="17"/>
  <c r="N5" i="17" s="1"/>
  <c r="F5" i="17"/>
  <c r="E5" i="17"/>
  <c r="D5" i="17"/>
  <c r="C5" i="17"/>
  <c r="O5" i="17" s="1"/>
  <c r="B5" i="17"/>
  <c r="K4" i="17"/>
  <c r="J4" i="17"/>
  <c r="I4" i="17"/>
  <c r="M4" i="17" s="1"/>
  <c r="H4" i="17"/>
  <c r="G4" i="17"/>
  <c r="F4" i="17"/>
  <c r="E4" i="17"/>
  <c r="D4" i="17"/>
  <c r="C4" i="17"/>
  <c r="B4" i="17"/>
  <c r="O3" i="17"/>
  <c r="N3" i="17"/>
  <c r="M3" i="17"/>
  <c r="K3" i="17"/>
  <c r="J3" i="17"/>
  <c r="I3" i="17"/>
  <c r="H3" i="17"/>
  <c r="G3" i="17"/>
  <c r="F3" i="17"/>
  <c r="E3" i="17"/>
  <c r="D3" i="17"/>
  <c r="C3" i="17"/>
  <c r="B3" i="17"/>
  <c r="K2" i="17"/>
  <c r="J2" i="17"/>
  <c r="I2" i="17"/>
  <c r="H2" i="17"/>
  <c r="G2" i="17"/>
  <c r="F2" i="17"/>
  <c r="E2" i="17"/>
  <c r="D2" i="17"/>
  <c r="C2" i="17"/>
  <c r="B2" i="17"/>
  <c r="K1" i="17"/>
  <c r="J1" i="17"/>
  <c r="I1" i="17"/>
  <c r="H1" i="17"/>
  <c r="G1" i="17"/>
  <c r="F1" i="17"/>
  <c r="E1" i="17"/>
  <c r="D1" i="17"/>
  <c r="C1" i="17"/>
  <c r="B1" i="17"/>
  <c r="J14" i="19"/>
  <c r="F14" i="19"/>
  <c r="B14" i="19"/>
  <c r="M48" i="18"/>
  <c r="O54" i="17"/>
  <c r="N51" i="17"/>
  <c r="J23" i="17"/>
  <c r="H23" i="17"/>
  <c r="N22" i="17"/>
  <c r="F23" i="17"/>
  <c r="D23" i="17"/>
  <c r="B23" i="17"/>
  <c r="K21" i="17"/>
  <c r="J21" i="17"/>
  <c r="H21" i="17"/>
  <c r="F21" i="17"/>
  <c r="D21" i="17"/>
  <c r="B21" i="17"/>
  <c r="N15" i="17"/>
  <c r="M12" i="17"/>
  <c r="O4" i="17"/>
  <c r="DY16" i="12"/>
  <c r="DX16" i="12"/>
  <c r="DW16" i="12"/>
  <c r="DV16" i="12"/>
  <c r="DU16" i="12"/>
  <c r="DT16" i="12"/>
  <c r="DS16" i="12"/>
  <c r="DR16" i="12"/>
  <c r="DQ16" i="12"/>
  <c r="DP16" i="12"/>
  <c r="DO16" i="12"/>
  <c r="DN16" i="12"/>
  <c r="DM16" i="12"/>
  <c r="DL16" i="12"/>
  <c r="DK16" i="12"/>
  <c r="DJ16" i="12"/>
  <c r="DI16" i="12"/>
  <c r="DH16" i="12"/>
  <c r="DG16" i="12"/>
  <c r="DF16" i="12"/>
  <c r="DE16" i="12"/>
  <c r="DD16" i="12"/>
  <c r="DC16" i="12"/>
  <c r="DB16" i="12"/>
  <c r="DA16" i="12"/>
  <c r="CZ16" i="12"/>
  <c r="CY16" i="12"/>
  <c r="CX16" i="12"/>
  <c r="CW16" i="12"/>
  <c r="CV16" i="12"/>
  <c r="CU16" i="12"/>
  <c r="CT16" i="12"/>
  <c r="CS16" i="12"/>
  <c r="CR16" i="12"/>
  <c r="CQ16" i="12"/>
  <c r="CP16" i="12"/>
  <c r="CO16" i="12"/>
  <c r="CN16" i="12"/>
  <c r="CM16" i="12"/>
  <c r="CL16" i="12"/>
  <c r="CK16" i="12"/>
  <c r="CJ16" i="12"/>
  <c r="CI16" i="12"/>
  <c r="CH16" i="12"/>
  <c r="CG16" i="12"/>
  <c r="CF16" i="12"/>
  <c r="CE16" i="12"/>
  <c r="CD16" i="12"/>
  <c r="CC16" i="12"/>
  <c r="CB16" i="12"/>
  <c r="CA16" i="12"/>
  <c r="BZ16" i="12"/>
  <c r="BY16" i="12"/>
  <c r="BX16" i="12"/>
  <c r="BW16" i="12"/>
  <c r="BV16" i="12"/>
  <c r="BU16" i="12"/>
  <c r="BT16" i="12"/>
  <c r="BS16" i="12"/>
  <c r="BR16" i="12"/>
  <c r="BQ16" i="12"/>
  <c r="BP16" i="12"/>
  <c r="BO16" i="12"/>
  <c r="BN16" i="12"/>
  <c r="BM16" i="12"/>
  <c r="BL16" i="12"/>
  <c r="BK16" i="12"/>
  <c r="BJ16" i="12"/>
  <c r="BI16" i="12"/>
  <c r="BH16" i="12"/>
  <c r="BG16" i="12"/>
  <c r="BF16" i="12"/>
  <c r="BE16" i="12"/>
  <c r="BD16" i="12"/>
  <c r="BC16" i="12"/>
  <c r="BB16" i="12"/>
  <c r="BA16" i="12"/>
  <c r="AZ16" i="12"/>
  <c r="AY16" i="12"/>
  <c r="AX16" i="12"/>
  <c r="AW16" i="12"/>
  <c r="AV16" i="12"/>
  <c r="AU16" i="12"/>
  <c r="AT16" i="12"/>
  <c r="AS16" i="12"/>
  <c r="AR16" i="12"/>
  <c r="AQ16" i="12"/>
  <c r="AP16" i="12"/>
  <c r="AO16" i="12"/>
  <c r="AN16" i="12"/>
  <c r="AM16" i="12"/>
  <c r="DY15" i="12"/>
  <c r="DX15" i="12"/>
  <c r="DW15" i="12"/>
  <c r="DV15" i="12"/>
  <c r="DU15" i="12"/>
  <c r="DT15" i="12"/>
  <c r="DS15" i="12"/>
  <c r="DR15" i="12"/>
  <c r="DQ15" i="12"/>
  <c r="DP15" i="12"/>
  <c r="DO15" i="12"/>
  <c r="DN15" i="12"/>
  <c r="DM15" i="12"/>
  <c r="DL15" i="12"/>
  <c r="DK15" i="12"/>
  <c r="DJ15" i="12"/>
  <c r="DI15" i="12"/>
  <c r="DH15" i="12"/>
  <c r="DG15" i="12"/>
  <c r="DF15" i="12"/>
  <c r="DE15" i="12"/>
  <c r="DD15" i="12"/>
  <c r="DC15" i="12"/>
  <c r="DB15" i="12"/>
  <c r="DA15" i="12"/>
  <c r="CZ15" i="12"/>
  <c r="CY15" i="12"/>
  <c r="CX15" i="12"/>
  <c r="CW15" i="12"/>
  <c r="CV15" i="12"/>
  <c r="CU15" i="12"/>
  <c r="CT15" i="12"/>
  <c r="CS15" i="12"/>
  <c r="CR15" i="12"/>
  <c r="CQ15" i="12"/>
  <c r="CP15" i="12"/>
  <c r="CO15" i="12"/>
  <c r="CN15" i="12"/>
  <c r="CM15" i="12"/>
  <c r="CL15" i="12"/>
  <c r="CK15" i="12"/>
  <c r="CJ15" i="12"/>
  <c r="CI15" i="12"/>
  <c r="CH15" i="12"/>
  <c r="CG15" i="12"/>
  <c r="CF15" i="12"/>
  <c r="CE15" i="12"/>
  <c r="CD15" i="12"/>
  <c r="CC15" i="12"/>
  <c r="CB15" i="12"/>
  <c r="CA15" i="12"/>
  <c r="BZ15" i="12"/>
  <c r="BY15" i="12"/>
  <c r="BX15" i="12"/>
  <c r="BW15" i="12"/>
  <c r="BV15" i="12"/>
  <c r="BU15" i="12"/>
  <c r="BT15" i="12"/>
  <c r="BS15" i="12"/>
  <c r="BR15" i="12"/>
  <c r="BQ15" i="12"/>
  <c r="BP15" i="12"/>
  <c r="BO15" i="12"/>
  <c r="BN15" i="12"/>
  <c r="BM15" i="12"/>
  <c r="BL15" i="12"/>
  <c r="BK15" i="12"/>
  <c r="BJ15" i="12"/>
  <c r="BI15" i="12"/>
  <c r="BH15" i="12"/>
  <c r="BG15" i="12"/>
  <c r="BF15" i="12"/>
  <c r="BE15" i="12"/>
  <c r="BD15" i="12"/>
  <c r="BC15" i="12"/>
  <c r="BB15" i="12"/>
  <c r="BA15" i="12"/>
  <c r="AZ15" i="12"/>
  <c r="AY15" i="12"/>
  <c r="AX15" i="12"/>
  <c r="AW15" i="12"/>
  <c r="AV15" i="12"/>
  <c r="AU15" i="12"/>
  <c r="AT15" i="12"/>
  <c r="AS15" i="12"/>
  <c r="AR15" i="12"/>
  <c r="AQ15" i="12"/>
  <c r="AP15" i="12"/>
  <c r="AO15" i="12"/>
  <c r="AN15" i="12"/>
  <c r="AM15" i="12"/>
  <c r="DY14" i="12"/>
  <c r="DX14" i="12"/>
  <c r="DW14" i="12"/>
  <c r="DV14" i="12"/>
  <c r="DU14" i="12"/>
  <c r="DT14" i="12"/>
  <c r="DS14" i="12"/>
  <c r="DR14" i="12"/>
  <c r="DQ14" i="12"/>
  <c r="DP14" i="12"/>
  <c r="DO14" i="12"/>
  <c r="DN14" i="12"/>
  <c r="DM14" i="12"/>
  <c r="DL14" i="12"/>
  <c r="DK14" i="12"/>
  <c r="DJ14" i="12"/>
  <c r="DI14" i="12"/>
  <c r="DH14" i="12"/>
  <c r="DG14" i="12"/>
  <c r="DF14" i="12"/>
  <c r="DE14" i="12"/>
  <c r="DD14" i="12"/>
  <c r="DC14" i="12"/>
  <c r="DB14" i="12"/>
  <c r="DA14" i="12"/>
  <c r="CZ14" i="12"/>
  <c r="CY14" i="12"/>
  <c r="CX14" i="12"/>
  <c r="CW14" i="12"/>
  <c r="CV14" i="12"/>
  <c r="CU14" i="12"/>
  <c r="CT14" i="12"/>
  <c r="CS14" i="12"/>
  <c r="CR14" i="12"/>
  <c r="CQ14" i="12"/>
  <c r="CP14" i="12"/>
  <c r="CO14" i="12"/>
  <c r="CN14" i="12"/>
  <c r="CM14" i="12"/>
  <c r="CL14" i="12"/>
  <c r="CK14" i="12"/>
  <c r="CJ14" i="12"/>
  <c r="CI14" i="12"/>
  <c r="CH14" i="12"/>
  <c r="CG14" i="12"/>
  <c r="CF14" i="12"/>
  <c r="CE14" i="12"/>
  <c r="CD14" i="12"/>
  <c r="CC14" i="12"/>
  <c r="CB14" i="12"/>
  <c r="CA14" i="12"/>
  <c r="BZ14" i="12"/>
  <c r="BY14" i="12"/>
  <c r="BX14" i="12"/>
  <c r="BW14" i="12"/>
  <c r="BV14" i="12"/>
  <c r="BU14" i="12"/>
  <c r="BT14" i="12"/>
  <c r="BS14" i="12"/>
  <c r="BR14" i="12"/>
  <c r="BQ14" i="12"/>
  <c r="BP14" i="12"/>
  <c r="BO14" i="12"/>
  <c r="BN14" i="12"/>
  <c r="BM14" i="12"/>
  <c r="BL14" i="12"/>
  <c r="BK14" i="12"/>
  <c r="BJ14" i="12"/>
  <c r="BI14" i="12"/>
  <c r="BH14" i="12"/>
  <c r="BG14" i="12"/>
  <c r="BF14" i="12"/>
  <c r="BE14" i="12"/>
  <c r="BD14" i="12"/>
  <c r="BC14" i="12"/>
  <c r="BB14" i="12"/>
  <c r="BA14" i="12"/>
  <c r="AZ14" i="12"/>
  <c r="AY14" i="12"/>
  <c r="AX14" i="12"/>
  <c r="AW14" i="12"/>
  <c r="AV14" i="12"/>
  <c r="AU14" i="12"/>
  <c r="AT14" i="12"/>
  <c r="AS14" i="12"/>
  <c r="AR14" i="12"/>
  <c r="AQ14" i="12"/>
  <c r="AP14" i="12"/>
  <c r="AO14" i="12"/>
  <c r="AN14" i="12"/>
  <c r="AM14" i="12"/>
  <c r="E26" i="11"/>
  <c r="D26" i="11"/>
  <c r="C26" i="11"/>
  <c r="B26" i="11"/>
  <c r="E6" i="11"/>
  <c r="D6" i="11"/>
  <c r="C6" i="11"/>
  <c r="B6" i="11"/>
  <c r="L1" i="15"/>
  <c r="L36" i="15" s="1"/>
  <c r="L64" i="15" s="1"/>
  <c r="L81" i="15" s="1"/>
  <c r="L109" i="15" s="1"/>
  <c r="N19" i="8"/>
  <c r="N18" i="8"/>
  <c r="N17" i="8"/>
  <c r="E3" i="7"/>
  <c r="E2" i="7"/>
  <c r="E1" i="7"/>
  <c r="L119" i="15"/>
  <c r="K119" i="15"/>
  <c r="J119" i="15"/>
  <c r="I119" i="15"/>
  <c r="H119" i="15"/>
  <c r="G119" i="15"/>
  <c r="F119" i="15"/>
  <c r="E119" i="15"/>
  <c r="D119" i="15"/>
  <c r="C119" i="15"/>
  <c r="N119" i="15" s="1"/>
  <c r="L118" i="15"/>
  <c r="K118" i="15"/>
  <c r="J118" i="15"/>
  <c r="I118" i="15"/>
  <c r="H118" i="15"/>
  <c r="G118" i="15"/>
  <c r="F118" i="15"/>
  <c r="E118" i="15"/>
  <c r="D118" i="15"/>
  <c r="C118" i="15"/>
  <c r="Q118" i="15" s="1"/>
  <c r="L116" i="15"/>
  <c r="K116" i="15"/>
  <c r="J116" i="15"/>
  <c r="I116" i="15"/>
  <c r="H116" i="15"/>
  <c r="G116" i="15"/>
  <c r="F116" i="15"/>
  <c r="E116" i="15"/>
  <c r="D116" i="15"/>
  <c r="C116" i="15"/>
  <c r="L115" i="15"/>
  <c r="K115" i="15"/>
  <c r="J115" i="15"/>
  <c r="I115" i="15"/>
  <c r="H115" i="15"/>
  <c r="G115" i="15"/>
  <c r="F115" i="15"/>
  <c r="E115" i="15"/>
  <c r="D115" i="15"/>
  <c r="C115" i="15"/>
  <c r="Q115" i="15" s="1"/>
  <c r="L114" i="15"/>
  <c r="K114" i="15"/>
  <c r="J114" i="15"/>
  <c r="I114" i="15"/>
  <c r="H114" i="15"/>
  <c r="G114" i="15"/>
  <c r="F114" i="15"/>
  <c r="E114" i="15"/>
  <c r="D114" i="15"/>
  <c r="C114" i="15"/>
  <c r="L112" i="15"/>
  <c r="K112" i="15"/>
  <c r="J112" i="15"/>
  <c r="I112" i="15"/>
  <c r="H112" i="15"/>
  <c r="G112" i="15"/>
  <c r="F112" i="15"/>
  <c r="E112" i="15"/>
  <c r="D112" i="15"/>
  <c r="C112" i="15"/>
  <c r="Q112" i="15" s="1"/>
  <c r="L110" i="15"/>
  <c r="K110" i="15"/>
  <c r="J110" i="15"/>
  <c r="I110" i="15"/>
  <c r="H110" i="15"/>
  <c r="G110" i="15"/>
  <c r="F110" i="15"/>
  <c r="E110" i="15"/>
  <c r="D110" i="15"/>
  <c r="C110" i="15"/>
  <c r="L105" i="15"/>
  <c r="K105" i="15"/>
  <c r="J105" i="15"/>
  <c r="I105" i="15"/>
  <c r="H105" i="15"/>
  <c r="G105" i="15"/>
  <c r="F105" i="15"/>
  <c r="E105" i="15"/>
  <c r="D105" i="15"/>
  <c r="L104" i="15"/>
  <c r="K104" i="15"/>
  <c r="J104" i="15"/>
  <c r="I104" i="15"/>
  <c r="H104" i="15"/>
  <c r="G104" i="15"/>
  <c r="F104" i="15"/>
  <c r="E104" i="15"/>
  <c r="D104" i="15"/>
  <c r="N104" i="15" s="1"/>
  <c r="L100" i="15"/>
  <c r="K100" i="15"/>
  <c r="J100" i="15"/>
  <c r="I100" i="15"/>
  <c r="H100" i="15"/>
  <c r="G100" i="15"/>
  <c r="F100" i="15"/>
  <c r="E100" i="15"/>
  <c r="D100" i="15"/>
  <c r="C100" i="15"/>
  <c r="Q100" i="15" s="1"/>
  <c r="L99" i="15"/>
  <c r="K99" i="15"/>
  <c r="J99" i="15"/>
  <c r="I99" i="15"/>
  <c r="H99" i="15"/>
  <c r="G99" i="15"/>
  <c r="F99" i="15"/>
  <c r="E99" i="15"/>
  <c r="D99" i="15"/>
  <c r="C99" i="15"/>
  <c r="P99" i="15" s="1"/>
  <c r="L97" i="15"/>
  <c r="K97" i="15"/>
  <c r="J97" i="15"/>
  <c r="I97" i="15"/>
  <c r="H97" i="15"/>
  <c r="G97" i="15"/>
  <c r="F97" i="15"/>
  <c r="E97" i="15"/>
  <c r="D97" i="15"/>
  <c r="C97" i="15"/>
  <c r="L96" i="15"/>
  <c r="K96" i="15"/>
  <c r="J96" i="15"/>
  <c r="I96" i="15"/>
  <c r="H96" i="15"/>
  <c r="G96" i="15"/>
  <c r="F96" i="15"/>
  <c r="E96" i="15"/>
  <c r="D96" i="15"/>
  <c r="C96" i="15"/>
  <c r="L86" i="15"/>
  <c r="K86" i="15"/>
  <c r="J86" i="15"/>
  <c r="I86" i="15"/>
  <c r="H86" i="15"/>
  <c r="G86" i="15"/>
  <c r="F86" i="15"/>
  <c r="E86" i="15"/>
  <c r="D86" i="15"/>
  <c r="C86" i="15"/>
  <c r="Q86" i="15" s="1"/>
  <c r="L85" i="15"/>
  <c r="K85" i="15"/>
  <c r="J85" i="15"/>
  <c r="I85" i="15"/>
  <c r="H85" i="15"/>
  <c r="G85" i="15"/>
  <c r="F85" i="15"/>
  <c r="E85" i="15"/>
  <c r="D85" i="15"/>
  <c r="C85" i="15"/>
  <c r="Q85" i="15" s="1"/>
  <c r="L84" i="15"/>
  <c r="K84" i="15"/>
  <c r="J84" i="15"/>
  <c r="I84" i="15"/>
  <c r="H84" i="15"/>
  <c r="G84" i="15"/>
  <c r="F84" i="15"/>
  <c r="E84" i="15"/>
  <c r="D84" i="15"/>
  <c r="C84" i="15"/>
  <c r="P84" i="15" s="1"/>
  <c r="L83" i="15"/>
  <c r="K83" i="15"/>
  <c r="J83" i="15"/>
  <c r="I83" i="15"/>
  <c r="H83" i="15"/>
  <c r="G83" i="15"/>
  <c r="F83" i="15"/>
  <c r="E83" i="15"/>
  <c r="D83" i="15"/>
  <c r="C83" i="15"/>
  <c r="Q83" i="15" s="1"/>
  <c r="L82" i="15"/>
  <c r="K82" i="15"/>
  <c r="J82" i="15"/>
  <c r="I82" i="15"/>
  <c r="H82" i="15"/>
  <c r="G82" i="15"/>
  <c r="F82" i="15"/>
  <c r="E82" i="15"/>
  <c r="D82" i="15"/>
  <c r="C82" i="15"/>
  <c r="L79" i="15"/>
  <c r="F5" i="8" s="1"/>
  <c r="K79" i="15"/>
  <c r="J79" i="15"/>
  <c r="I79" i="15"/>
  <c r="M79" i="15" s="1"/>
  <c r="H79" i="15"/>
  <c r="G79" i="15"/>
  <c r="F6" i="8" s="1"/>
  <c r="F79" i="15"/>
  <c r="E79" i="15"/>
  <c r="D79" i="15"/>
  <c r="C79" i="15"/>
  <c r="P79" i="15" s="1"/>
  <c r="L76" i="15"/>
  <c r="K76" i="15"/>
  <c r="AB6" i="9" s="1"/>
  <c r="J76" i="15"/>
  <c r="I76" i="15"/>
  <c r="H76" i="15"/>
  <c r="G76" i="15"/>
  <c r="F76" i="15"/>
  <c r="E76" i="15"/>
  <c r="D76" i="15"/>
  <c r="C76" i="15"/>
  <c r="N76" i="15" s="1"/>
  <c r="L75" i="15"/>
  <c r="Z6" i="9" s="1"/>
  <c r="K75" i="15"/>
  <c r="J75" i="15"/>
  <c r="I75" i="15"/>
  <c r="H75" i="15"/>
  <c r="G75" i="15"/>
  <c r="M75" i="15" s="1"/>
  <c r="M33" i="9" s="1"/>
  <c r="F75" i="15"/>
  <c r="E75" i="15"/>
  <c r="D75" i="15"/>
  <c r="C75" i="15"/>
  <c r="Q75" i="15" s="1"/>
  <c r="L73" i="15"/>
  <c r="K73" i="15"/>
  <c r="AC6" i="9" s="1"/>
  <c r="J73" i="15"/>
  <c r="I73" i="15"/>
  <c r="H73" i="15"/>
  <c r="G73" i="15"/>
  <c r="F73" i="15"/>
  <c r="E73" i="15"/>
  <c r="D73" i="15"/>
  <c r="C73" i="15"/>
  <c r="N73" i="15" s="1"/>
  <c r="L69" i="15"/>
  <c r="K69" i="15"/>
  <c r="AA6" i="9" s="1"/>
  <c r="J69" i="15"/>
  <c r="I69" i="15"/>
  <c r="H69" i="15"/>
  <c r="G69" i="15"/>
  <c r="F69" i="15"/>
  <c r="E69" i="15"/>
  <c r="D69" i="15"/>
  <c r="C69" i="15"/>
  <c r="N69" i="15" s="1"/>
  <c r="C60" i="15"/>
  <c r="L58" i="15"/>
  <c r="K58" i="15"/>
  <c r="J58" i="15"/>
  <c r="L60" i="15" s="1"/>
  <c r="I58" i="15"/>
  <c r="J60" i="15" s="1"/>
  <c r="H58" i="15"/>
  <c r="I60" i="15" s="1"/>
  <c r="G58" i="15"/>
  <c r="H60" i="15" s="1"/>
  <c r="F58" i="15"/>
  <c r="G60" i="15" s="1"/>
  <c r="E58" i="15"/>
  <c r="F60" i="15" s="1"/>
  <c r="D58" i="15"/>
  <c r="E60" i="15" s="1"/>
  <c r="D60" i="15"/>
  <c r="L57" i="15"/>
  <c r="L59" i="15" s="1"/>
  <c r="K57" i="15"/>
  <c r="J57" i="15"/>
  <c r="J59" i="15" s="1"/>
  <c r="I57" i="15"/>
  <c r="H57" i="15"/>
  <c r="G57" i="15"/>
  <c r="F57" i="15"/>
  <c r="E57" i="15"/>
  <c r="D57" i="15"/>
  <c r="C57" i="15"/>
  <c r="L55" i="15"/>
  <c r="K55" i="15"/>
  <c r="J55" i="15"/>
  <c r="I55" i="15"/>
  <c r="H55" i="15"/>
  <c r="P55" i="15" s="1"/>
  <c r="G55" i="15"/>
  <c r="F55" i="15"/>
  <c r="E55" i="15"/>
  <c r="D55" i="15"/>
  <c r="C55" i="15"/>
  <c r="L54" i="15"/>
  <c r="N54" i="15" s="1"/>
  <c r="K54" i="15"/>
  <c r="J54" i="15"/>
  <c r="I54" i="15"/>
  <c r="H54" i="15"/>
  <c r="P54" i="15" s="1"/>
  <c r="G54" i="15"/>
  <c r="F54" i="15"/>
  <c r="E54" i="15"/>
  <c r="D54" i="15"/>
  <c r="C54" i="15"/>
  <c r="L50" i="15"/>
  <c r="K50" i="15"/>
  <c r="L51" i="15" s="1"/>
  <c r="J50" i="15"/>
  <c r="J51" i="15" s="1"/>
  <c r="I50" i="15"/>
  <c r="I51" i="15" s="1"/>
  <c r="H50" i="15"/>
  <c r="H51" i="15" s="1"/>
  <c r="G50" i="15"/>
  <c r="G51" i="15" s="1"/>
  <c r="F50" i="15"/>
  <c r="F51" i="15" s="1"/>
  <c r="E50" i="15"/>
  <c r="E51" i="15" s="1"/>
  <c r="D50" i="15"/>
  <c r="D51" i="15" s="1"/>
  <c r="C50" i="15"/>
  <c r="C51" i="15" s="1"/>
  <c r="L45" i="15"/>
  <c r="K45" i="15"/>
  <c r="K117" i="15" s="1"/>
  <c r="J45" i="15"/>
  <c r="J47" i="15" s="1"/>
  <c r="I45" i="15"/>
  <c r="H45" i="15"/>
  <c r="G45" i="15"/>
  <c r="G117" i="15" s="1"/>
  <c r="F45" i="15"/>
  <c r="F47" i="15" s="1"/>
  <c r="E45" i="15"/>
  <c r="E117" i="15" s="1"/>
  <c r="D45" i="15"/>
  <c r="D47" i="15" s="1"/>
  <c r="C45" i="15"/>
  <c r="L43" i="15"/>
  <c r="N43" i="15" s="1"/>
  <c r="K43" i="15"/>
  <c r="J43" i="15"/>
  <c r="I43" i="15"/>
  <c r="H43" i="15"/>
  <c r="G43" i="15"/>
  <c r="F43" i="15"/>
  <c r="E43" i="15"/>
  <c r="D43" i="15"/>
  <c r="C43" i="15"/>
  <c r="L41" i="15"/>
  <c r="L129" i="15" s="1"/>
  <c r="K41" i="15"/>
  <c r="K129" i="15" s="1"/>
  <c r="J41" i="15"/>
  <c r="J129" i="15" s="1"/>
  <c r="I41" i="15"/>
  <c r="I129" i="15" s="1"/>
  <c r="H41" i="15"/>
  <c r="H129" i="15" s="1"/>
  <c r="G41" i="15"/>
  <c r="G129" i="15" s="1"/>
  <c r="F41" i="15"/>
  <c r="F129" i="15" s="1"/>
  <c r="E41" i="15"/>
  <c r="E129" i="15" s="1"/>
  <c r="D41" i="15"/>
  <c r="D129" i="15" s="1"/>
  <c r="C41" i="15"/>
  <c r="C129" i="15" s="1"/>
  <c r="L40" i="15"/>
  <c r="L42" i="15" s="1"/>
  <c r="L128" i="15" s="1"/>
  <c r="K40" i="15"/>
  <c r="K42" i="15" s="1"/>
  <c r="K128" i="15" s="1"/>
  <c r="J40" i="15"/>
  <c r="J42" i="15" s="1"/>
  <c r="J128" i="15" s="1"/>
  <c r="I40" i="15"/>
  <c r="I42" i="15" s="1"/>
  <c r="I128" i="15" s="1"/>
  <c r="H40" i="15"/>
  <c r="H42" i="15" s="1"/>
  <c r="H128" i="15" s="1"/>
  <c r="G40" i="15"/>
  <c r="G42" i="15" s="1"/>
  <c r="G128" i="15" s="1"/>
  <c r="F40" i="15"/>
  <c r="F42" i="15" s="1"/>
  <c r="F128" i="15" s="1"/>
  <c r="E40" i="15"/>
  <c r="E42" i="15" s="1"/>
  <c r="E128" i="15" s="1"/>
  <c r="D40" i="15"/>
  <c r="D42" i="15" s="1"/>
  <c r="D128" i="15" s="1"/>
  <c r="C40" i="15"/>
  <c r="C42" i="15" s="1"/>
  <c r="C128" i="15" s="1"/>
  <c r="L34" i="15"/>
  <c r="K34" i="15"/>
  <c r="E24" i="9" s="1"/>
  <c r="J34" i="15"/>
  <c r="I34" i="15"/>
  <c r="H34" i="15"/>
  <c r="Q34" i="15" s="1"/>
  <c r="G34" i="15"/>
  <c r="F34" i="15"/>
  <c r="E34" i="15"/>
  <c r="D34" i="15"/>
  <c r="C34" i="15"/>
  <c r="L33" i="15"/>
  <c r="K33" i="15"/>
  <c r="Y6" i="9" s="1"/>
  <c r="J33" i="15"/>
  <c r="I33" i="15"/>
  <c r="H33" i="15"/>
  <c r="Q33" i="15" s="1"/>
  <c r="G33" i="15"/>
  <c r="F33" i="15"/>
  <c r="E33" i="15"/>
  <c r="D33" i="15"/>
  <c r="C33" i="15"/>
  <c r="L32" i="15"/>
  <c r="O6" i="9" s="1"/>
  <c r="K32" i="15"/>
  <c r="C24" i="9" s="1"/>
  <c r="J32" i="15"/>
  <c r="I32" i="15"/>
  <c r="H32" i="15"/>
  <c r="G32" i="15"/>
  <c r="F32" i="15"/>
  <c r="O5" i="9" s="1"/>
  <c r="E32" i="15"/>
  <c r="D32" i="15"/>
  <c r="C32" i="15"/>
  <c r="P23" i="15"/>
  <c r="O23" i="15"/>
  <c r="N23" i="15"/>
  <c r="L23" i="15"/>
  <c r="K23" i="15"/>
  <c r="J23" i="15"/>
  <c r="I23" i="15"/>
  <c r="H23" i="15"/>
  <c r="G23" i="15"/>
  <c r="F23" i="15"/>
  <c r="E23" i="15"/>
  <c r="D23" i="15"/>
  <c r="C23" i="15"/>
  <c r="P22" i="15"/>
  <c r="O22" i="15"/>
  <c r="N22" i="15"/>
  <c r="L22" i="15"/>
  <c r="K22" i="15"/>
  <c r="J22" i="15"/>
  <c r="I22" i="15"/>
  <c r="H22" i="15"/>
  <c r="G22" i="15"/>
  <c r="F22" i="15"/>
  <c r="E22" i="15"/>
  <c r="D22" i="15"/>
  <c r="C22" i="15"/>
  <c r="P21" i="15"/>
  <c r="O21" i="15"/>
  <c r="N21" i="15"/>
  <c r="L21" i="15"/>
  <c r="K21" i="15"/>
  <c r="J21" i="15"/>
  <c r="I21" i="15"/>
  <c r="H21" i="15"/>
  <c r="G21" i="15"/>
  <c r="F21" i="15"/>
  <c r="E21" i="15"/>
  <c r="D21" i="15"/>
  <c r="C21" i="15"/>
  <c r="P20" i="15"/>
  <c r="O20" i="15"/>
  <c r="N20" i="15"/>
  <c r="L20" i="15"/>
  <c r="K20" i="15"/>
  <c r="J20" i="15"/>
  <c r="I20" i="15"/>
  <c r="H20" i="15"/>
  <c r="G20" i="15"/>
  <c r="F20" i="15"/>
  <c r="E20" i="15"/>
  <c r="D20" i="15"/>
  <c r="C20" i="15"/>
  <c r="P19" i="15"/>
  <c r="O19" i="15"/>
  <c r="N19" i="15"/>
  <c r="L19" i="15"/>
  <c r="K19" i="15"/>
  <c r="J19" i="15"/>
  <c r="I19" i="15"/>
  <c r="H19" i="15"/>
  <c r="G19" i="15"/>
  <c r="F19" i="15"/>
  <c r="E19" i="15"/>
  <c r="D19" i="15"/>
  <c r="C19" i="15"/>
  <c r="P18" i="15"/>
  <c r="O18" i="15"/>
  <c r="N18" i="15"/>
  <c r="L18" i="15"/>
  <c r="K18" i="15"/>
  <c r="J18" i="15"/>
  <c r="I18" i="15"/>
  <c r="H18" i="15"/>
  <c r="G18" i="15"/>
  <c r="F18" i="15"/>
  <c r="E18" i="15"/>
  <c r="D18" i="15"/>
  <c r="C18" i="15"/>
  <c r="P17" i="15"/>
  <c r="O17" i="15"/>
  <c r="N17" i="15"/>
  <c r="L17" i="15"/>
  <c r="K17" i="15"/>
  <c r="J17" i="15"/>
  <c r="I17" i="15"/>
  <c r="H17" i="15"/>
  <c r="G17" i="15"/>
  <c r="F17" i="15"/>
  <c r="E17" i="15"/>
  <c r="D17" i="15"/>
  <c r="C17" i="15"/>
  <c r="P16" i="15"/>
  <c r="O16" i="15"/>
  <c r="N16" i="15"/>
  <c r="L16" i="15"/>
  <c r="K16" i="15"/>
  <c r="J16" i="15"/>
  <c r="I16" i="15"/>
  <c r="H16" i="15"/>
  <c r="G16" i="15"/>
  <c r="F16" i="15"/>
  <c r="E16" i="15"/>
  <c r="D16" i="15"/>
  <c r="C16" i="15"/>
  <c r="P15" i="15"/>
  <c r="O15" i="15"/>
  <c r="N15" i="15"/>
  <c r="L15" i="15"/>
  <c r="K15" i="15"/>
  <c r="J15" i="15"/>
  <c r="I15" i="15"/>
  <c r="H15" i="15"/>
  <c r="G15" i="15"/>
  <c r="F15" i="15"/>
  <c r="E15" i="15"/>
  <c r="D15" i="15"/>
  <c r="C15" i="15"/>
  <c r="P14" i="15"/>
  <c r="Q13" i="9" s="1"/>
  <c r="O14" i="15"/>
  <c r="Q12" i="9" s="1"/>
  <c r="N14" i="15"/>
  <c r="Q11" i="9" s="1"/>
  <c r="L14" i="15"/>
  <c r="Q14" i="9" s="1"/>
  <c r="K14" i="15"/>
  <c r="J14" i="15"/>
  <c r="I14" i="15"/>
  <c r="H14" i="15"/>
  <c r="G14" i="15"/>
  <c r="F14" i="15"/>
  <c r="E14" i="15"/>
  <c r="D14" i="15"/>
  <c r="C14" i="15"/>
  <c r="P13" i="15"/>
  <c r="P13" i="9" s="1"/>
  <c r="O13" i="15"/>
  <c r="P12" i="9" s="1"/>
  <c r="N13" i="15"/>
  <c r="P11" i="9" s="1"/>
  <c r="L13" i="15"/>
  <c r="P14" i="9" s="1"/>
  <c r="K13" i="15"/>
  <c r="J13" i="15"/>
  <c r="I13" i="15"/>
  <c r="H13" i="15"/>
  <c r="G13" i="15"/>
  <c r="F13" i="15"/>
  <c r="E13" i="15"/>
  <c r="D13" i="15"/>
  <c r="C13" i="15"/>
  <c r="M77" i="14"/>
  <c r="L77" i="14"/>
  <c r="K77" i="14"/>
  <c r="J77" i="14"/>
  <c r="I77" i="14"/>
  <c r="H77" i="14"/>
  <c r="G77" i="14"/>
  <c r="F77" i="14"/>
  <c r="E77" i="14"/>
  <c r="D77" i="14"/>
  <c r="C77" i="14"/>
  <c r="M72" i="14"/>
  <c r="L72" i="14"/>
  <c r="K72" i="14"/>
  <c r="J72" i="14"/>
  <c r="I72" i="14"/>
  <c r="H72" i="14"/>
  <c r="G72" i="14"/>
  <c r="G96" i="14" s="1"/>
  <c r="F72" i="14"/>
  <c r="E72" i="14"/>
  <c r="D72" i="14"/>
  <c r="C72" i="14"/>
  <c r="C96" i="14" s="1"/>
  <c r="M71" i="14"/>
  <c r="L71" i="14"/>
  <c r="K71" i="14"/>
  <c r="J71" i="14"/>
  <c r="I71" i="14"/>
  <c r="H71" i="14"/>
  <c r="G71" i="14"/>
  <c r="F71" i="14"/>
  <c r="E71" i="14"/>
  <c r="D71" i="14"/>
  <c r="C71" i="14"/>
  <c r="L67" i="14"/>
  <c r="K67" i="14"/>
  <c r="J67" i="14"/>
  <c r="K70" i="14" s="1"/>
  <c r="I67" i="14"/>
  <c r="H67" i="14"/>
  <c r="I70" i="14" s="1"/>
  <c r="G67" i="14"/>
  <c r="F67" i="14"/>
  <c r="E67" i="14"/>
  <c r="D67" i="14"/>
  <c r="E70" i="14" s="1"/>
  <c r="C67" i="14"/>
  <c r="M61" i="14"/>
  <c r="M8" i="14" s="1"/>
  <c r="L61" i="14"/>
  <c r="K61" i="14"/>
  <c r="K8" i="14" s="1"/>
  <c r="J61" i="14"/>
  <c r="I61" i="14"/>
  <c r="I8" i="14" s="1"/>
  <c r="H61" i="14"/>
  <c r="G61" i="14"/>
  <c r="G8" i="14" s="1"/>
  <c r="F61" i="14"/>
  <c r="E61" i="14"/>
  <c r="E8" i="14" s="1"/>
  <c r="D61" i="14"/>
  <c r="C61" i="14"/>
  <c r="C8" i="14" s="1"/>
  <c r="M60" i="14"/>
  <c r="L60" i="14"/>
  <c r="L6" i="14" s="1"/>
  <c r="K60" i="14"/>
  <c r="J60" i="14"/>
  <c r="J6" i="14" s="1"/>
  <c r="I60" i="14"/>
  <c r="H60" i="14"/>
  <c r="H6" i="14" s="1"/>
  <c r="G60" i="14"/>
  <c r="F60" i="14"/>
  <c r="F6" i="14" s="1"/>
  <c r="E60" i="14"/>
  <c r="D60" i="14"/>
  <c r="D6" i="14" s="1"/>
  <c r="C60" i="14"/>
  <c r="M59" i="14"/>
  <c r="M7" i="14" s="1"/>
  <c r="L59" i="14"/>
  <c r="K59" i="14"/>
  <c r="K7" i="14" s="1"/>
  <c r="J59" i="14"/>
  <c r="I59" i="14"/>
  <c r="I7" i="14" s="1"/>
  <c r="H59" i="14"/>
  <c r="G59" i="14"/>
  <c r="G7" i="14" s="1"/>
  <c r="F59" i="14"/>
  <c r="E59" i="14"/>
  <c r="E7" i="14" s="1"/>
  <c r="D59" i="14"/>
  <c r="C59" i="14"/>
  <c r="C7" i="14" s="1"/>
  <c r="M58" i="14"/>
  <c r="L58" i="14"/>
  <c r="L96" i="14" s="1"/>
  <c r="K58" i="14"/>
  <c r="J58" i="14"/>
  <c r="I58" i="14"/>
  <c r="H58" i="14"/>
  <c r="H96" i="14" s="1"/>
  <c r="G58" i="14"/>
  <c r="F58" i="14"/>
  <c r="E58" i="14"/>
  <c r="D58" i="14"/>
  <c r="D96" i="14" s="1"/>
  <c r="C58" i="14"/>
  <c r="M57" i="14"/>
  <c r="L57" i="14"/>
  <c r="K57" i="14"/>
  <c r="J57" i="14"/>
  <c r="I57" i="14"/>
  <c r="I74" i="14" s="1"/>
  <c r="H57" i="14"/>
  <c r="G57" i="14"/>
  <c r="G74" i="14" s="1"/>
  <c r="F57" i="14"/>
  <c r="E57" i="14"/>
  <c r="E74" i="14" s="1"/>
  <c r="D57" i="14"/>
  <c r="C57" i="14"/>
  <c r="M56" i="14"/>
  <c r="I5" i="8" s="1"/>
  <c r="L56" i="14"/>
  <c r="K56" i="14"/>
  <c r="J24" i="15" s="1"/>
  <c r="J56" i="14"/>
  <c r="I56" i="14"/>
  <c r="H24" i="15" s="1"/>
  <c r="H56" i="14"/>
  <c r="G56" i="14"/>
  <c r="F24" i="15" s="1"/>
  <c r="F56" i="14"/>
  <c r="E56" i="14"/>
  <c r="D24" i="15" s="1"/>
  <c r="D56" i="14"/>
  <c r="D30" i="14" s="1"/>
  <c r="C56" i="14"/>
  <c r="M55" i="14"/>
  <c r="M65" i="14" s="1"/>
  <c r="L55" i="14"/>
  <c r="K55" i="14"/>
  <c r="K65" i="14" s="1"/>
  <c r="K66" i="14" s="1"/>
  <c r="J55" i="14"/>
  <c r="I55" i="14"/>
  <c r="H55" i="14"/>
  <c r="G55" i="14"/>
  <c r="F55" i="14"/>
  <c r="E55" i="14"/>
  <c r="D55" i="14"/>
  <c r="C55" i="14"/>
  <c r="C65" i="14" s="1"/>
  <c r="C66" i="14" s="1"/>
  <c r="M54" i="14"/>
  <c r="L54" i="14"/>
  <c r="L10" i="14" s="1"/>
  <c r="K54" i="14"/>
  <c r="J54" i="14"/>
  <c r="J10" i="14" s="1"/>
  <c r="I54" i="14"/>
  <c r="H54" i="14"/>
  <c r="H10" i="14" s="1"/>
  <c r="G54" i="14"/>
  <c r="F54" i="14"/>
  <c r="F10" i="14" s="1"/>
  <c r="E54" i="14"/>
  <c r="D54" i="14"/>
  <c r="C54" i="14"/>
  <c r="M53" i="14"/>
  <c r="M9" i="14" s="1"/>
  <c r="L53" i="14"/>
  <c r="K53" i="14"/>
  <c r="K9" i="14" s="1"/>
  <c r="J53" i="14"/>
  <c r="I53" i="14"/>
  <c r="I9" i="14" s="1"/>
  <c r="H53" i="14"/>
  <c r="G53" i="14"/>
  <c r="G9" i="14" s="1"/>
  <c r="F53" i="14"/>
  <c r="E53" i="14"/>
  <c r="E9" i="14" s="1"/>
  <c r="D53" i="14"/>
  <c r="C53" i="14"/>
  <c r="C9" i="14" s="1"/>
  <c r="M52" i="14"/>
  <c r="L52" i="14"/>
  <c r="K52" i="14"/>
  <c r="J52" i="14"/>
  <c r="I52" i="14"/>
  <c r="H52" i="14"/>
  <c r="G52" i="14"/>
  <c r="F52" i="14"/>
  <c r="E52" i="14"/>
  <c r="D52" i="14"/>
  <c r="C52" i="14"/>
  <c r="M51" i="14"/>
  <c r="L51" i="14"/>
  <c r="K51" i="14"/>
  <c r="J51" i="14"/>
  <c r="I51" i="14"/>
  <c r="H51" i="14"/>
  <c r="G51" i="14"/>
  <c r="F51" i="14"/>
  <c r="E51" i="14"/>
  <c r="D51" i="14"/>
  <c r="C51" i="14"/>
  <c r="M47" i="14"/>
  <c r="L47" i="14"/>
  <c r="L48" i="14" s="1"/>
  <c r="K47" i="14"/>
  <c r="J47" i="14"/>
  <c r="J48" i="14" s="1"/>
  <c r="J63" i="14" s="1"/>
  <c r="I47" i="14"/>
  <c r="H47" i="14"/>
  <c r="H48" i="14" s="1"/>
  <c r="H63" i="14" s="1"/>
  <c r="G47" i="14"/>
  <c r="F47" i="14"/>
  <c r="E47" i="14"/>
  <c r="D47" i="14"/>
  <c r="D48" i="14" s="1"/>
  <c r="D63" i="14" s="1"/>
  <c r="C47" i="14"/>
  <c r="M46" i="14"/>
  <c r="M48" i="14" s="1"/>
  <c r="M63" i="14" s="1"/>
  <c r="L46" i="14"/>
  <c r="K46" i="14"/>
  <c r="J79" i="9" s="1"/>
  <c r="J46" i="14"/>
  <c r="I46" i="14"/>
  <c r="H46" i="14"/>
  <c r="G46" i="14"/>
  <c r="F79" i="9" s="1"/>
  <c r="F46" i="14"/>
  <c r="E46" i="14"/>
  <c r="D46" i="14"/>
  <c r="C46" i="14"/>
  <c r="C44" i="14"/>
  <c r="M43" i="14"/>
  <c r="M92" i="14" s="1"/>
  <c r="F6" i="9" s="1"/>
  <c r="F30" i="9" s="1"/>
  <c r="M42" i="14"/>
  <c r="L42" i="14"/>
  <c r="F21" i="9" s="1"/>
  <c r="K42" i="14"/>
  <c r="J42" i="14"/>
  <c r="I42" i="14"/>
  <c r="H42" i="14"/>
  <c r="G42" i="14"/>
  <c r="F42" i="14"/>
  <c r="E42" i="14"/>
  <c r="D42" i="14"/>
  <c r="C42" i="14"/>
  <c r="M40" i="14"/>
  <c r="L40" i="14"/>
  <c r="K40" i="14"/>
  <c r="J40" i="14"/>
  <c r="I40" i="14"/>
  <c r="H40" i="14"/>
  <c r="G40" i="14"/>
  <c r="F40" i="14"/>
  <c r="E40" i="14"/>
  <c r="D40" i="14"/>
  <c r="C40" i="14"/>
  <c r="M38" i="14"/>
  <c r="L38" i="14"/>
  <c r="K38" i="14"/>
  <c r="J38" i="14"/>
  <c r="I38" i="14"/>
  <c r="H38" i="14"/>
  <c r="G38" i="14"/>
  <c r="F38" i="14"/>
  <c r="E38" i="14"/>
  <c r="D38" i="14"/>
  <c r="C38" i="14"/>
  <c r="M36" i="14"/>
  <c r="L36" i="14"/>
  <c r="K36" i="14"/>
  <c r="K37" i="14" s="1"/>
  <c r="J56" i="19" s="1"/>
  <c r="J36" i="14"/>
  <c r="I36" i="14"/>
  <c r="H36" i="14"/>
  <c r="G36" i="14"/>
  <c r="G37" i="14" s="1"/>
  <c r="F56" i="19" s="1"/>
  <c r="F36" i="14"/>
  <c r="E36" i="14"/>
  <c r="D36" i="14"/>
  <c r="C36" i="14"/>
  <c r="C37" i="14" s="1"/>
  <c r="B56" i="19" s="1"/>
  <c r="M35" i="14"/>
  <c r="L35" i="14"/>
  <c r="L37" i="14" s="1"/>
  <c r="K56" i="19" s="1"/>
  <c r="K35" i="14"/>
  <c r="J35" i="14"/>
  <c r="J37" i="14" s="1"/>
  <c r="I56" i="19" s="1"/>
  <c r="I35" i="14"/>
  <c r="H35" i="14"/>
  <c r="H37" i="14" s="1"/>
  <c r="G56" i="19" s="1"/>
  <c r="G35" i="14"/>
  <c r="F35" i="14"/>
  <c r="F37" i="14" s="1"/>
  <c r="E56" i="19" s="1"/>
  <c r="E35" i="14"/>
  <c r="D35" i="14"/>
  <c r="D37" i="14" s="1"/>
  <c r="C56" i="19" s="1"/>
  <c r="C35" i="14"/>
  <c r="M32" i="14"/>
  <c r="L32" i="14"/>
  <c r="K32" i="14"/>
  <c r="K100" i="14" s="1"/>
  <c r="J32" i="14"/>
  <c r="I32" i="14"/>
  <c r="I100" i="14" s="1"/>
  <c r="H32" i="14"/>
  <c r="G32" i="14"/>
  <c r="G100" i="14" s="1"/>
  <c r="F32" i="14"/>
  <c r="E32" i="14"/>
  <c r="E100" i="14" s="1"/>
  <c r="D32" i="14"/>
  <c r="C32" i="14"/>
  <c r="C100" i="14" s="1"/>
  <c r="A31" i="14"/>
  <c r="M26" i="14"/>
  <c r="L26" i="14"/>
  <c r="K26" i="14"/>
  <c r="J26" i="14"/>
  <c r="I26" i="14"/>
  <c r="H26" i="14"/>
  <c r="G26" i="14"/>
  <c r="F26" i="14"/>
  <c r="E26" i="14"/>
  <c r="D26" i="14"/>
  <c r="C26" i="14"/>
  <c r="M25" i="14"/>
  <c r="L25" i="14"/>
  <c r="K25" i="14"/>
  <c r="J25" i="14"/>
  <c r="I25" i="14"/>
  <c r="H25" i="14"/>
  <c r="G25" i="14"/>
  <c r="F25" i="14"/>
  <c r="E25" i="14"/>
  <c r="D25" i="14"/>
  <c r="C25" i="14"/>
  <c r="M24" i="14"/>
  <c r="L24" i="14"/>
  <c r="K24" i="14"/>
  <c r="J24" i="14"/>
  <c r="I24" i="14"/>
  <c r="H24" i="14"/>
  <c r="G24" i="14"/>
  <c r="F24" i="14"/>
  <c r="E24" i="14"/>
  <c r="D24" i="14"/>
  <c r="C24" i="14"/>
  <c r="M23" i="14"/>
  <c r="L23" i="14"/>
  <c r="K23" i="14"/>
  <c r="J23" i="14"/>
  <c r="I23" i="14"/>
  <c r="H23" i="14"/>
  <c r="G23" i="14"/>
  <c r="F23" i="14"/>
  <c r="E23" i="14"/>
  <c r="D23" i="14"/>
  <c r="C23" i="14"/>
  <c r="M22" i="14"/>
  <c r="L22" i="14"/>
  <c r="K22" i="14"/>
  <c r="J22" i="14"/>
  <c r="I22" i="14"/>
  <c r="H22" i="14"/>
  <c r="G22" i="14"/>
  <c r="F22" i="14"/>
  <c r="E22" i="14"/>
  <c r="D22" i="14"/>
  <c r="C22" i="14"/>
  <c r="M21" i="14"/>
  <c r="L21" i="14"/>
  <c r="K21" i="14"/>
  <c r="J21" i="14"/>
  <c r="I21" i="14"/>
  <c r="H21" i="14"/>
  <c r="G21" i="14"/>
  <c r="F21" i="14"/>
  <c r="E21" i="14"/>
  <c r="D21" i="14"/>
  <c r="C21" i="14"/>
  <c r="M20" i="14"/>
  <c r="L20" i="14"/>
  <c r="K20" i="14"/>
  <c r="J20" i="14"/>
  <c r="I20" i="14"/>
  <c r="H20" i="14"/>
  <c r="G20" i="14"/>
  <c r="F20" i="14"/>
  <c r="E20" i="14"/>
  <c r="D20" i="14"/>
  <c r="C20" i="14"/>
  <c r="M19" i="14"/>
  <c r="L19" i="14"/>
  <c r="K19" i="14"/>
  <c r="J19" i="14"/>
  <c r="I19" i="14"/>
  <c r="H19" i="14"/>
  <c r="G19" i="14"/>
  <c r="F19" i="14"/>
  <c r="E19" i="14"/>
  <c r="D19" i="14"/>
  <c r="C19" i="14"/>
  <c r="M18" i="14"/>
  <c r="L18" i="14"/>
  <c r="K18" i="14"/>
  <c r="J18" i="14"/>
  <c r="I18" i="14"/>
  <c r="H18" i="14"/>
  <c r="G18" i="14"/>
  <c r="F18" i="14"/>
  <c r="E18" i="14"/>
  <c r="D18" i="14"/>
  <c r="C18" i="14"/>
  <c r="M17" i="14"/>
  <c r="L17" i="14"/>
  <c r="K17" i="14"/>
  <c r="J17" i="14"/>
  <c r="I17" i="14"/>
  <c r="H17" i="14"/>
  <c r="G17" i="14"/>
  <c r="F17" i="14"/>
  <c r="E17" i="14"/>
  <c r="D17" i="14"/>
  <c r="C17" i="14"/>
  <c r="M16" i="14"/>
  <c r="L16" i="14"/>
  <c r="K16" i="14"/>
  <c r="J16" i="14"/>
  <c r="I16" i="14"/>
  <c r="H16" i="14"/>
  <c r="G16" i="14"/>
  <c r="F16" i="14"/>
  <c r="E16" i="14"/>
  <c r="D16" i="14"/>
  <c r="C16" i="14"/>
  <c r="M15" i="14"/>
  <c r="L15" i="14"/>
  <c r="L33" i="14" s="1"/>
  <c r="K15" i="14"/>
  <c r="J15" i="14"/>
  <c r="J33" i="14" s="1"/>
  <c r="I15" i="14"/>
  <c r="H15" i="14"/>
  <c r="H33" i="14" s="1"/>
  <c r="G15" i="14"/>
  <c r="F15" i="14"/>
  <c r="F33" i="14" s="1"/>
  <c r="E15" i="14"/>
  <c r="D15" i="14"/>
  <c r="D33" i="14" s="1"/>
  <c r="C15" i="14"/>
  <c r="L4" i="14"/>
  <c r="L14" i="14" s="1"/>
  <c r="L31" i="14" s="1"/>
  <c r="K4" i="14"/>
  <c r="J4" i="14"/>
  <c r="J14" i="14" s="1"/>
  <c r="J31" i="14" s="1"/>
  <c r="I4" i="14"/>
  <c r="H4" i="14"/>
  <c r="H14" i="14" s="1"/>
  <c r="H31" i="14" s="1"/>
  <c r="G4" i="14"/>
  <c r="F4" i="14"/>
  <c r="F14" i="14" s="1"/>
  <c r="F31" i="14" s="1"/>
  <c r="E4" i="14"/>
  <c r="D4" i="14"/>
  <c r="D14" i="14" s="1"/>
  <c r="D31" i="14" s="1"/>
  <c r="C4" i="14"/>
  <c r="A4" i="14"/>
  <c r="A1" i="14"/>
  <c r="K122" i="13"/>
  <c r="E77" i="11" s="1"/>
  <c r="J122" i="13"/>
  <c r="I122" i="13"/>
  <c r="M122" i="13" s="1"/>
  <c r="H122" i="13"/>
  <c r="G122" i="13"/>
  <c r="F122" i="13"/>
  <c r="E122" i="13"/>
  <c r="D122" i="13"/>
  <c r="C122" i="13"/>
  <c r="O122" i="13" s="1"/>
  <c r="B122" i="13"/>
  <c r="K121" i="13"/>
  <c r="E76" i="11" s="1"/>
  <c r="J121" i="13"/>
  <c r="I121" i="13"/>
  <c r="M121" i="13" s="1"/>
  <c r="H121" i="13"/>
  <c r="G121" i="13"/>
  <c r="N121" i="13" s="1"/>
  <c r="F121" i="13"/>
  <c r="E121" i="13"/>
  <c r="D121" i="13"/>
  <c r="C121" i="13"/>
  <c r="B121" i="13"/>
  <c r="K98" i="13"/>
  <c r="E54" i="11" s="1"/>
  <c r="J98" i="13"/>
  <c r="I98" i="13"/>
  <c r="H98" i="13"/>
  <c r="G98" i="13"/>
  <c r="N98" i="13" s="1"/>
  <c r="C54" i="11" s="1"/>
  <c r="F98" i="13"/>
  <c r="E98" i="13"/>
  <c r="D98" i="13"/>
  <c r="C98" i="13"/>
  <c r="O98" i="13" s="1"/>
  <c r="B54" i="11" s="1"/>
  <c r="B98" i="13"/>
  <c r="K97" i="13"/>
  <c r="E53" i="11" s="1"/>
  <c r="J97" i="13"/>
  <c r="I97" i="13"/>
  <c r="I107" i="13" s="1"/>
  <c r="H97" i="13"/>
  <c r="G97" i="13"/>
  <c r="G107" i="13" s="1"/>
  <c r="F97" i="13"/>
  <c r="E97" i="13"/>
  <c r="E107" i="13" s="1"/>
  <c r="D97" i="13"/>
  <c r="C97" i="13"/>
  <c r="C107" i="13" s="1"/>
  <c r="B97" i="13"/>
  <c r="K96" i="13"/>
  <c r="E52" i="11" s="1"/>
  <c r="J96" i="13"/>
  <c r="I96" i="13"/>
  <c r="M96" i="13" s="1"/>
  <c r="H96" i="13"/>
  <c r="G96" i="13"/>
  <c r="F96" i="13"/>
  <c r="E96" i="13"/>
  <c r="D96" i="13"/>
  <c r="C96" i="13"/>
  <c r="B96" i="13"/>
  <c r="K74" i="13"/>
  <c r="E51" i="11" s="1"/>
  <c r="J74" i="13"/>
  <c r="I74" i="13"/>
  <c r="M74" i="13" s="1"/>
  <c r="H74" i="13"/>
  <c r="G74" i="13"/>
  <c r="N74" i="13" s="1"/>
  <c r="F74" i="13"/>
  <c r="E74" i="13"/>
  <c r="D74" i="13"/>
  <c r="C74" i="13"/>
  <c r="O74" i="13" s="1"/>
  <c r="B74" i="13"/>
  <c r="K72" i="13"/>
  <c r="E49" i="11" s="1"/>
  <c r="J72" i="13"/>
  <c r="I72" i="13"/>
  <c r="I73" i="13" s="1"/>
  <c r="H72" i="13"/>
  <c r="G72" i="13"/>
  <c r="G73" i="13" s="1"/>
  <c r="F72" i="13"/>
  <c r="E72" i="13"/>
  <c r="E73" i="13" s="1"/>
  <c r="D72" i="13"/>
  <c r="C72" i="13"/>
  <c r="O72" i="13" s="1"/>
  <c r="B72" i="13"/>
  <c r="K70" i="13"/>
  <c r="E47" i="11" s="1"/>
  <c r="J70" i="13"/>
  <c r="I70" i="13"/>
  <c r="I71" i="13" s="1"/>
  <c r="H70" i="13"/>
  <c r="G70" i="13"/>
  <c r="F70" i="13"/>
  <c r="E70" i="13"/>
  <c r="E71" i="13" s="1"/>
  <c r="D70" i="13"/>
  <c r="C70" i="13"/>
  <c r="O70" i="13" s="1"/>
  <c r="B70" i="13"/>
  <c r="K69" i="13"/>
  <c r="E46" i="11" s="1"/>
  <c r="J69" i="13"/>
  <c r="I69" i="13"/>
  <c r="M69" i="13" s="1"/>
  <c r="H69" i="13"/>
  <c r="G69" i="13"/>
  <c r="F69" i="13"/>
  <c r="E69" i="13"/>
  <c r="D69" i="13"/>
  <c r="C69" i="13"/>
  <c r="O69" i="13" s="1"/>
  <c r="B69" i="13"/>
  <c r="K65" i="13"/>
  <c r="E43" i="11" s="1"/>
  <c r="J65" i="13"/>
  <c r="I65" i="13"/>
  <c r="M65" i="13" s="1"/>
  <c r="H65" i="13"/>
  <c r="G65" i="13"/>
  <c r="F65" i="13"/>
  <c r="E65" i="13"/>
  <c r="D65" i="13"/>
  <c r="C65" i="13"/>
  <c r="B65" i="13"/>
  <c r="K64" i="13"/>
  <c r="E42" i="11" s="1"/>
  <c r="J64" i="13"/>
  <c r="I64" i="13"/>
  <c r="M64" i="13" s="1"/>
  <c r="H64" i="13"/>
  <c r="G64" i="13"/>
  <c r="N64" i="13" s="1"/>
  <c r="F64" i="13"/>
  <c r="E64" i="13"/>
  <c r="D64" i="13"/>
  <c r="C64" i="13"/>
  <c r="B64" i="13"/>
  <c r="K63" i="13"/>
  <c r="E41" i="11" s="1"/>
  <c r="J63" i="13"/>
  <c r="I63" i="13"/>
  <c r="H63" i="13"/>
  <c r="G63" i="13"/>
  <c r="N63" i="13" s="1"/>
  <c r="C41" i="11" s="1"/>
  <c r="F63" i="13"/>
  <c r="E63" i="13"/>
  <c r="D63" i="13"/>
  <c r="C63" i="13"/>
  <c r="O63" i="13" s="1"/>
  <c r="B41" i="11" s="1"/>
  <c r="B63" i="13"/>
  <c r="K62" i="13"/>
  <c r="J62" i="13"/>
  <c r="I62" i="13"/>
  <c r="M62" i="13" s="1"/>
  <c r="H62" i="13"/>
  <c r="G62" i="13"/>
  <c r="N62" i="13" s="1"/>
  <c r="F62" i="13"/>
  <c r="E62" i="13"/>
  <c r="D62" i="13"/>
  <c r="C62" i="13"/>
  <c r="B62" i="13"/>
  <c r="K61" i="13"/>
  <c r="J61" i="13"/>
  <c r="I61" i="13"/>
  <c r="M61" i="13" s="1"/>
  <c r="H61" i="13"/>
  <c r="G61" i="13"/>
  <c r="F61" i="13"/>
  <c r="E61" i="13"/>
  <c r="D61" i="13"/>
  <c r="C61" i="13"/>
  <c r="O61" i="13" s="1"/>
  <c r="B61" i="13"/>
  <c r="K60" i="13"/>
  <c r="J60" i="13"/>
  <c r="I60" i="13"/>
  <c r="M60" i="13" s="1"/>
  <c r="H60" i="13"/>
  <c r="G60" i="13"/>
  <c r="F60" i="13"/>
  <c r="E60" i="13"/>
  <c r="D60" i="13"/>
  <c r="C60" i="13"/>
  <c r="O60" i="13" s="1"/>
  <c r="K59" i="13"/>
  <c r="E40" i="11" s="1"/>
  <c r="J59" i="13"/>
  <c r="M59" i="13" s="1"/>
  <c r="D40" i="11" s="1"/>
  <c r="I59" i="13"/>
  <c r="H59" i="13"/>
  <c r="N59" i="13" s="1"/>
  <c r="C40" i="11" s="1"/>
  <c r="G59" i="13"/>
  <c r="F59" i="13"/>
  <c r="E59" i="13"/>
  <c r="D59" i="13"/>
  <c r="C59" i="13"/>
  <c r="B59" i="13"/>
  <c r="K58" i="13"/>
  <c r="E39" i="11" s="1"/>
  <c r="J58" i="13"/>
  <c r="M58" i="13" s="1"/>
  <c r="D39" i="11" s="1"/>
  <c r="I58" i="13"/>
  <c r="H58" i="13"/>
  <c r="N58" i="13" s="1"/>
  <c r="C39" i="11" s="1"/>
  <c r="G58" i="13"/>
  <c r="F58" i="13"/>
  <c r="E58" i="13"/>
  <c r="D58" i="13"/>
  <c r="C58" i="13"/>
  <c r="B58" i="13"/>
  <c r="K57" i="13"/>
  <c r="E38" i="11" s="1"/>
  <c r="J57" i="13"/>
  <c r="J108" i="13" s="1"/>
  <c r="I57" i="13"/>
  <c r="H57" i="13"/>
  <c r="N57" i="13" s="1"/>
  <c r="C38" i="11" s="1"/>
  <c r="G57" i="13"/>
  <c r="F57" i="13"/>
  <c r="F108" i="13" s="1"/>
  <c r="E57" i="13"/>
  <c r="D57" i="13"/>
  <c r="D108" i="13" s="1"/>
  <c r="C57" i="13"/>
  <c r="B57" i="13"/>
  <c r="B108" i="13" s="1"/>
  <c r="K56" i="13"/>
  <c r="E37" i="11" s="1"/>
  <c r="J56" i="13"/>
  <c r="M56" i="13" s="1"/>
  <c r="D37" i="11" s="1"/>
  <c r="I56" i="13"/>
  <c r="H56" i="13"/>
  <c r="G56" i="13"/>
  <c r="F56" i="13"/>
  <c r="E56" i="13"/>
  <c r="D56" i="13"/>
  <c r="C56" i="13"/>
  <c r="B56" i="13"/>
  <c r="K55" i="13"/>
  <c r="E36" i="11" s="1"/>
  <c r="J55" i="13"/>
  <c r="M55" i="13" s="1"/>
  <c r="I55" i="13"/>
  <c r="H55" i="13"/>
  <c r="N55" i="13" s="1"/>
  <c r="G55" i="13"/>
  <c r="F55" i="13"/>
  <c r="E55" i="13"/>
  <c r="D55" i="13"/>
  <c r="C55" i="13"/>
  <c r="B55" i="13"/>
  <c r="K54" i="13"/>
  <c r="E35" i="11" s="1"/>
  <c r="J54" i="13"/>
  <c r="I54" i="13"/>
  <c r="H54" i="13"/>
  <c r="N54" i="13" s="1"/>
  <c r="G54" i="13"/>
  <c r="F54" i="13"/>
  <c r="E54" i="13"/>
  <c r="D54" i="13"/>
  <c r="C54" i="13"/>
  <c r="B54" i="13"/>
  <c r="O54" i="13" s="1"/>
  <c r="K52" i="13"/>
  <c r="E32" i="11" s="1"/>
  <c r="J52" i="13"/>
  <c r="M52" i="13" s="1"/>
  <c r="I52" i="13"/>
  <c r="H52" i="13"/>
  <c r="N52" i="13" s="1"/>
  <c r="G52" i="13"/>
  <c r="F52" i="13"/>
  <c r="E52" i="13"/>
  <c r="D52" i="13"/>
  <c r="C52" i="13"/>
  <c r="B52" i="13"/>
  <c r="K51" i="13"/>
  <c r="E31" i="11" s="1"/>
  <c r="J51" i="13"/>
  <c r="M51" i="13" s="1"/>
  <c r="D31" i="11" s="1"/>
  <c r="I51" i="13"/>
  <c r="H51" i="13"/>
  <c r="G51" i="13"/>
  <c r="F51" i="13"/>
  <c r="E51" i="13"/>
  <c r="D51" i="13"/>
  <c r="C51" i="13"/>
  <c r="B51" i="13"/>
  <c r="O51" i="13" s="1"/>
  <c r="B31" i="11" s="1"/>
  <c r="K50" i="13"/>
  <c r="J50" i="13"/>
  <c r="M50" i="13" s="1"/>
  <c r="I50" i="13"/>
  <c r="H50" i="13"/>
  <c r="G50" i="13"/>
  <c r="F50" i="13"/>
  <c r="E50" i="13"/>
  <c r="D50" i="13"/>
  <c r="C50" i="13"/>
  <c r="B50" i="13"/>
  <c r="K49" i="13"/>
  <c r="J49" i="13"/>
  <c r="M49" i="13" s="1"/>
  <c r="I49" i="13"/>
  <c r="H49" i="13"/>
  <c r="N49" i="13" s="1"/>
  <c r="G49" i="13"/>
  <c r="F49" i="13"/>
  <c r="E49" i="13"/>
  <c r="D49" i="13"/>
  <c r="C49" i="13"/>
  <c r="B49" i="13"/>
  <c r="O49" i="13" s="1"/>
  <c r="K48" i="13"/>
  <c r="J48" i="13"/>
  <c r="M48" i="13" s="1"/>
  <c r="I48" i="13"/>
  <c r="H48" i="13"/>
  <c r="G48" i="13"/>
  <c r="F48" i="13"/>
  <c r="E48" i="13"/>
  <c r="D48" i="13"/>
  <c r="C48" i="13"/>
  <c r="B48" i="13"/>
  <c r="O48" i="13" s="1"/>
  <c r="K47" i="13"/>
  <c r="J47" i="13"/>
  <c r="M47" i="13" s="1"/>
  <c r="I47" i="13"/>
  <c r="H47" i="13"/>
  <c r="G47" i="13"/>
  <c r="F47" i="13"/>
  <c r="E47" i="13"/>
  <c r="D47" i="13"/>
  <c r="C47" i="13"/>
  <c r="B47" i="13"/>
  <c r="K46" i="13"/>
  <c r="J46" i="13"/>
  <c r="M46" i="13" s="1"/>
  <c r="I46" i="13"/>
  <c r="H46" i="13"/>
  <c r="N46" i="13" s="1"/>
  <c r="G46" i="13"/>
  <c r="F46" i="13"/>
  <c r="E46" i="13"/>
  <c r="D46" i="13"/>
  <c r="C46" i="13"/>
  <c r="B46" i="13"/>
  <c r="K42" i="13"/>
  <c r="E28" i="11" s="1"/>
  <c r="J42" i="13"/>
  <c r="I42" i="13"/>
  <c r="H42" i="13"/>
  <c r="N42" i="13" s="1"/>
  <c r="G42" i="13"/>
  <c r="F42" i="13"/>
  <c r="E42" i="13"/>
  <c r="D42" i="13"/>
  <c r="C42" i="13"/>
  <c r="B42" i="13"/>
  <c r="O42" i="13" s="1"/>
  <c r="K41" i="13"/>
  <c r="E27" i="11" s="1"/>
  <c r="J41" i="13"/>
  <c r="M41" i="13" s="1"/>
  <c r="I41" i="13"/>
  <c r="H41" i="13"/>
  <c r="N41" i="13" s="1"/>
  <c r="G41" i="13"/>
  <c r="F41" i="13"/>
  <c r="E41" i="13"/>
  <c r="D41" i="13"/>
  <c r="C41" i="13"/>
  <c r="B41" i="13"/>
  <c r="K40" i="13"/>
  <c r="J40" i="13"/>
  <c r="M40" i="13" s="1"/>
  <c r="I40" i="13"/>
  <c r="H40" i="13"/>
  <c r="G40" i="13"/>
  <c r="F40" i="13"/>
  <c r="E40" i="13"/>
  <c r="D40" i="13"/>
  <c r="C40" i="13"/>
  <c r="B40" i="13"/>
  <c r="O40" i="13" s="1"/>
  <c r="K39" i="13"/>
  <c r="J39" i="13"/>
  <c r="M39" i="13" s="1"/>
  <c r="I39" i="13"/>
  <c r="H39" i="13"/>
  <c r="G39" i="13"/>
  <c r="F39" i="13"/>
  <c r="E39" i="13"/>
  <c r="D39" i="13"/>
  <c r="C39" i="13"/>
  <c r="B39" i="13"/>
  <c r="O37" i="13"/>
  <c r="N37" i="13"/>
  <c r="M37" i="13"/>
  <c r="K37" i="13"/>
  <c r="E24" i="11" s="1"/>
  <c r="J37" i="13"/>
  <c r="I37" i="13"/>
  <c r="H37" i="13"/>
  <c r="G37" i="13"/>
  <c r="F37" i="13"/>
  <c r="E37" i="13"/>
  <c r="D37" i="13"/>
  <c r="C37" i="13"/>
  <c r="B37" i="13"/>
  <c r="O36" i="13"/>
  <c r="N36" i="13"/>
  <c r="M36" i="13"/>
  <c r="K36" i="13"/>
  <c r="E23" i="11" s="1"/>
  <c r="J36" i="13"/>
  <c r="I36" i="13"/>
  <c r="H36" i="13"/>
  <c r="G36" i="13"/>
  <c r="F36" i="13"/>
  <c r="E36" i="13"/>
  <c r="D36" i="13"/>
  <c r="C36" i="13"/>
  <c r="B36" i="13"/>
  <c r="O35" i="13"/>
  <c r="N35" i="13"/>
  <c r="M35" i="13"/>
  <c r="K35" i="13"/>
  <c r="E22" i="11" s="1"/>
  <c r="J35" i="13"/>
  <c r="I35" i="13"/>
  <c r="H35" i="13"/>
  <c r="G35" i="13"/>
  <c r="F35" i="13"/>
  <c r="E35" i="13"/>
  <c r="D35" i="13"/>
  <c r="C35" i="13"/>
  <c r="B35" i="13"/>
  <c r="O33" i="13"/>
  <c r="B20" i="11" s="1"/>
  <c r="N33" i="13"/>
  <c r="C20" i="11" s="1"/>
  <c r="M33" i="13"/>
  <c r="D20" i="11" s="1"/>
  <c r="K33" i="13"/>
  <c r="E20" i="11" s="1"/>
  <c r="J33" i="13"/>
  <c r="I33" i="13"/>
  <c r="H33" i="13"/>
  <c r="G33" i="13"/>
  <c r="F33" i="13"/>
  <c r="E33" i="13"/>
  <c r="D33" i="13"/>
  <c r="C33" i="13"/>
  <c r="B33" i="13"/>
  <c r="O32" i="13"/>
  <c r="B19" i="11" s="1"/>
  <c r="N32" i="13"/>
  <c r="C19" i="11" s="1"/>
  <c r="M32" i="13"/>
  <c r="D19" i="11" s="1"/>
  <c r="K32" i="13"/>
  <c r="E19" i="11" s="1"/>
  <c r="J32" i="13"/>
  <c r="I32" i="13"/>
  <c r="H32" i="13"/>
  <c r="G32" i="13"/>
  <c r="F32" i="13"/>
  <c r="E32" i="13"/>
  <c r="D32" i="13"/>
  <c r="C32" i="13"/>
  <c r="B32" i="13"/>
  <c r="O31" i="13"/>
  <c r="B18" i="11" s="1"/>
  <c r="N31" i="13"/>
  <c r="C18" i="11" s="1"/>
  <c r="M31" i="13"/>
  <c r="D18" i="11" s="1"/>
  <c r="K31" i="13"/>
  <c r="E18" i="11" s="1"/>
  <c r="J31" i="13"/>
  <c r="I31" i="13"/>
  <c r="H31" i="13"/>
  <c r="G31" i="13"/>
  <c r="F31" i="13"/>
  <c r="E31" i="13"/>
  <c r="D31" i="13"/>
  <c r="C31" i="13"/>
  <c r="B31" i="13"/>
  <c r="O30" i="13"/>
  <c r="B17" i="11" s="1"/>
  <c r="N30" i="13"/>
  <c r="C17" i="11" s="1"/>
  <c r="M30" i="13"/>
  <c r="D17" i="11" s="1"/>
  <c r="K30" i="13"/>
  <c r="E17" i="11" s="1"/>
  <c r="J30" i="13"/>
  <c r="I30" i="13"/>
  <c r="H30" i="13"/>
  <c r="G30" i="13"/>
  <c r="F30" i="13"/>
  <c r="E30" i="13"/>
  <c r="D30" i="13"/>
  <c r="C30" i="13"/>
  <c r="B30" i="13"/>
  <c r="O29" i="13"/>
  <c r="B16" i="11" s="1"/>
  <c r="N29" i="13"/>
  <c r="C16" i="11" s="1"/>
  <c r="M29" i="13"/>
  <c r="D16" i="11" s="1"/>
  <c r="K29" i="13"/>
  <c r="E16" i="11" s="1"/>
  <c r="J29" i="13"/>
  <c r="I29" i="13"/>
  <c r="H29" i="13"/>
  <c r="G29" i="13"/>
  <c r="F29" i="13"/>
  <c r="E29" i="13"/>
  <c r="D29" i="13"/>
  <c r="C29" i="13"/>
  <c r="B29" i="13"/>
  <c r="O28" i="13"/>
  <c r="B15" i="11" s="1"/>
  <c r="N28" i="13"/>
  <c r="C15" i="11" s="1"/>
  <c r="M28" i="13"/>
  <c r="D15" i="11" s="1"/>
  <c r="K28" i="13"/>
  <c r="E15" i="11" s="1"/>
  <c r="J28" i="13"/>
  <c r="I28" i="13"/>
  <c r="H28" i="13"/>
  <c r="G28" i="13"/>
  <c r="F28" i="13"/>
  <c r="E28" i="13"/>
  <c r="D28" i="13"/>
  <c r="C28" i="13"/>
  <c r="B28" i="13"/>
  <c r="O27" i="13"/>
  <c r="B14" i="11" s="1"/>
  <c r="N27" i="13"/>
  <c r="C14" i="11" s="1"/>
  <c r="M27" i="13"/>
  <c r="D14" i="11" s="1"/>
  <c r="K27" i="13"/>
  <c r="E14" i="11" s="1"/>
  <c r="J27" i="13"/>
  <c r="I27" i="13"/>
  <c r="H27" i="13"/>
  <c r="G27" i="13"/>
  <c r="F27" i="13"/>
  <c r="E27" i="13"/>
  <c r="D27" i="13"/>
  <c r="C27" i="13"/>
  <c r="B27" i="13"/>
  <c r="O26" i="13"/>
  <c r="B13" i="11" s="1"/>
  <c r="N26" i="13"/>
  <c r="C13" i="11" s="1"/>
  <c r="M26" i="13"/>
  <c r="D13" i="11" s="1"/>
  <c r="K26" i="13"/>
  <c r="E13" i="11" s="1"/>
  <c r="J26" i="13"/>
  <c r="I26" i="13"/>
  <c r="H26" i="13"/>
  <c r="G26" i="13"/>
  <c r="F26" i="13"/>
  <c r="E26" i="13"/>
  <c r="D26" i="13"/>
  <c r="C26" i="13"/>
  <c r="B26" i="13"/>
  <c r="O25" i="13"/>
  <c r="N25" i="13"/>
  <c r="C12" i="11" s="1"/>
  <c r="M25" i="13"/>
  <c r="D12" i="11" s="1"/>
  <c r="K25" i="13"/>
  <c r="E12" i="11" s="1"/>
  <c r="J25" i="13"/>
  <c r="J34" i="13" s="1"/>
  <c r="I25" i="13"/>
  <c r="H25" i="13"/>
  <c r="G25" i="13"/>
  <c r="F25" i="13"/>
  <c r="F34" i="13" s="1"/>
  <c r="E25" i="13"/>
  <c r="D25" i="13"/>
  <c r="D34" i="13" s="1"/>
  <c r="C25" i="13"/>
  <c r="B25" i="13"/>
  <c r="B34" i="13" s="1"/>
  <c r="O22" i="13"/>
  <c r="B8" i="11" s="1"/>
  <c r="N22" i="13"/>
  <c r="C8" i="11" s="1"/>
  <c r="M22" i="13"/>
  <c r="D8" i="11" s="1"/>
  <c r="K22" i="13"/>
  <c r="J22" i="13"/>
  <c r="J43" i="19" s="1"/>
  <c r="I22" i="13"/>
  <c r="I43" i="19" s="1"/>
  <c r="H22" i="13"/>
  <c r="H43" i="19" s="1"/>
  <c r="G22" i="13"/>
  <c r="G43" i="19" s="1"/>
  <c r="F22" i="13"/>
  <c r="F43" i="19" s="1"/>
  <c r="E22" i="13"/>
  <c r="E43" i="19" s="1"/>
  <c r="D22" i="13"/>
  <c r="D43" i="19" s="1"/>
  <c r="C22" i="13"/>
  <c r="C43" i="19" s="1"/>
  <c r="B22" i="13"/>
  <c r="B43" i="19" s="1"/>
  <c r="K14" i="13"/>
  <c r="K102" i="13" s="1"/>
  <c r="E58" i="11" s="1"/>
  <c r="J14" i="13"/>
  <c r="I14" i="13"/>
  <c r="I102" i="13" s="1"/>
  <c r="H14" i="13"/>
  <c r="G14" i="13"/>
  <c r="G102" i="13" s="1"/>
  <c r="F14" i="13"/>
  <c r="E14" i="13"/>
  <c r="E102" i="13" s="1"/>
  <c r="D14" i="13"/>
  <c r="C14" i="13"/>
  <c r="O14" i="13" s="1"/>
  <c r="B14" i="13"/>
  <c r="K13" i="13"/>
  <c r="K44" i="13" s="1"/>
  <c r="E29" i="11" s="1"/>
  <c r="J13" i="13"/>
  <c r="J45" i="13" s="1"/>
  <c r="I13" i="13"/>
  <c r="I44" i="13" s="1"/>
  <c r="H13" i="13"/>
  <c r="H45" i="13" s="1"/>
  <c r="G13" i="13"/>
  <c r="F13" i="13"/>
  <c r="F45" i="13" s="1"/>
  <c r="E13" i="13"/>
  <c r="E44" i="13" s="1"/>
  <c r="D13" i="13"/>
  <c r="D45" i="13" s="1"/>
  <c r="C13" i="13"/>
  <c r="C44" i="13" s="1"/>
  <c r="K12" i="13"/>
  <c r="J12" i="13"/>
  <c r="J15" i="13" s="1"/>
  <c r="I12" i="13"/>
  <c r="H12" i="13"/>
  <c r="H15" i="13" s="1"/>
  <c r="G12" i="13"/>
  <c r="F12" i="13"/>
  <c r="F15" i="13" s="1"/>
  <c r="E12" i="13"/>
  <c r="D12" i="13"/>
  <c r="C12" i="13"/>
  <c r="B12" i="13"/>
  <c r="K11" i="13"/>
  <c r="K40" i="19" s="1"/>
  <c r="J11" i="13"/>
  <c r="J40" i="19" s="1"/>
  <c r="I11" i="13"/>
  <c r="I40" i="19" s="1"/>
  <c r="H11" i="13"/>
  <c r="H40" i="19" s="1"/>
  <c r="G11" i="13"/>
  <c r="G40" i="19" s="1"/>
  <c r="F11" i="13"/>
  <c r="F40" i="19" s="1"/>
  <c r="E11" i="13"/>
  <c r="E40" i="19" s="1"/>
  <c r="D11" i="13"/>
  <c r="D40" i="19" s="1"/>
  <c r="C11" i="13"/>
  <c r="C40" i="19" s="1"/>
  <c r="B11" i="13"/>
  <c r="B40" i="19" s="1"/>
  <c r="K10" i="13"/>
  <c r="K110" i="13" s="1"/>
  <c r="J10" i="13"/>
  <c r="J110" i="13" s="1"/>
  <c r="J34" i="19" s="1"/>
  <c r="I10" i="13"/>
  <c r="I110" i="13" s="1"/>
  <c r="I34" i="19" s="1"/>
  <c r="H10" i="13"/>
  <c r="H110" i="13" s="1"/>
  <c r="H34" i="19" s="1"/>
  <c r="G10" i="13"/>
  <c r="G110" i="13" s="1"/>
  <c r="G34" i="19" s="1"/>
  <c r="F10" i="13"/>
  <c r="F110" i="13" s="1"/>
  <c r="F34" i="19" s="1"/>
  <c r="E10" i="13"/>
  <c r="E110" i="13" s="1"/>
  <c r="E34" i="19" s="1"/>
  <c r="C10" i="13"/>
  <c r="C110" i="13" s="1"/>
  <c r="C34" i="19" s="1"/>
  <c r="B10" i="13"/>
  <c r="B110" i="13" s="1"/>
  <c r="B34" i="19" s="1"/>
  <c r="K9" i="13"/>
  <c r="J9" i="13"/>
  <c r="I9" i="13"/>
  <c r="H9" i="13"/>
  <c r="G9" i="13"/>
  <c r="F9" i="13"/>
  <c r="E9" i="13"/>
  <c r="D9" i="13"/>
  <c r="C9" i="13"/>
  <c r="B9" i="13"/>
  <c r="K8" i="13"/>
  <c r="J8" i="13"/>
  <c r="I8" i="13"/>
  <c r="H8" i="13"/>
  <c r="G8" i="13"/>
  <c r="F8" i="13"/>
  <c r="E8" i="13"/>
  <c r="D8" i="13"/>
  <c r="C8" i="13"/>
  <c r="B8" i="13"/>
  <c r="K7" i="13"/>
  <c r="K42" i="19" s="1"/>
  <c r="J7" i="13"/>
  <c r="J42" i="19" s="1"/>
  <c r="I7" i="13"/>
  <c r="I42" i="19" s="1"/>
  <c r="H7" i="13"/>
  <c r="G7" i="13"/>
  <c r="G42" i="19" s="1"/>
  <c r="F7" i="13"/>
  <c r="F42" i="19" s="1"/>
  <c r="E7" i="13"/>
  <c r="E42" i="19" s="1"/>
  <c r="D7" i="13"/>
  <c r="C7" i="13"/>
  <c r="C42" i="19" s="1"/>
  <c r="B7" i="13"/>
  <c r="B42" i="19" s="1"/>
  <c r="K6" i="13"/>
  <c r="J6" i="13"/>
  <c r="I6" i="13"/>
  <c r="M6" i="13" s="1"/>
  <c r="H6" i="13"/>
  <c r="G6" i="13"/>
  <c r="F6" i="13"/>
  <c r="E6" i="13"/>
  <c r="D6" i="13"/>
  <c r="C6" i="13"/>
  <c r="B6" i="13"/>
  <c r="K5" i="13"/>
  <c r="K41" i="19" s="1"/>
  <c r="K58" i="19" s="1"/>
  <c r="J5" i="13"/>
  <c r="J41" i="19" s="1"/>
  <c r="J58" i="19" s="1"/>
  <c r="J59" i="19" s="1"/>
  <c r="I5" i="13"/>
  <c r="I41" i="19" s="1"/>
  <c r="I58" i="19" s="1"/>
  <c r="I59" i="19" s="1"/>
  <c r="H5" i="13"/>
  <c r="G5" i="13"/>
  <c r="G41" i="19" s="1"/>
  <c r="G58" i="19" s="1"/>
  <c r="G59" i="19" s="1"/>
  <c r="F5" i="13"/>
  <c r="F41" i="19" s="1"/>
  <c r="F58" i="19" s="1"/>
  <c r="F59" i="19" s="1"/>
  <c r="E5" i="13"/>
  <c r="E41" i="19" s="1"/>
  <c r="E58" i="19" s="1"/>
  <c r="E59" i="19" s="1"/>
  <c r="D5" i="13"/>
  <c r="D41" i="19" s="1"/>
  <c r="D58" i="19" s="1"/>
  <c r="C5" i="13"/>
  <c r="C41" i="19" s="1"/>
  <c r="C58" i="19" s="1"/>
  <c r="C59" i="19" s="1"/>
  <c r="B5" i="13"/>
  <c r="B41" i="19" s="1"/>
  <c r="B58" i="19" s="1"/>
  <c r="B59" i="19" s="1"/>
  <c r="K4" i="13"/>
  <c r="K100" i="13" s="1"/>
  <c r="E56" i="11" s="1"/>
  <c r="J4" i="13"/>
  <c r="I4" i="13"/>
  <c r="I19" i="13" s="1"/>
  <c r="H4" i="13"/>
  <c r="G4" i="13"/>
  <c r="G21" i="13" s="1"/>
  <c r="G106" i="13" s="1"/>
  <c r="F4" i="13"/>
  <c r="E4" i="13"/>
  <c r="E19" i="13" s="1"/>
  <c r="D4" i="13"/>
  <c r="C4" i="13"/>
  <c r="C21" i="13" s="1"/>
  <c r="C106" i="13" s="1"/>
  <c r="B4" i="13"/>
  <c r="K2" i="13"/>
  <c r="J2" i="13"/>
  <c r="I2" i="13"/>
  <c r="H2" i="13"/>
  <c r="G2" i="13"/>
  <c r="F2" i="13"/>
  <c r="E2" i="13"/>
  <c r="D2" i="13"/>
  <c r="C2" i="13"/>
  <c r="B2" i="13"/>
  <c r="K1" i="13"/>
  <c r="J1" i="13"/>
  <c r="I1" i="13"/>
  <c r="H1" i="13"/>
  <c r="G1" i="13"/>
  <c r="F1" i="13"/>
  <c r="E1" i="13"/>
  <c r="D1" i="13"/>
  <c r="C1" i="13"/>
  <c r="B1" i="13"/>
  <c r="AL16" i="12"/>
  <c r="AK16" i="12"/>
  <c r="AJ16" i="12"/>
  <c r="AI16"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B16" i="12"/>
  <c r="A16" i="12" s="1"/>
  <c r="AL15" i="12"/>
  <c r="AK15" i="12"/>
  <c r="AJ15" i="12"/>
  <c r="AI15" i="12"/>
  <c r="AH15" i="12"/>
  <c r="AG15" i="12"/>
  <c r="AF15" i="12"/>
  <c r="AE15" i="12"/>
  <c r="AD15"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B15" i="12"/>
  <c r="A15" i="12" s="1"/>
  <c r="AL14" i="12"/>
  <c r="AK14" i="12"/>
  <c r="AJ14" i="12"/>
  <c r="AI14" i="12"/>
  <c r="AH14" i="12"/>
  <c r="AG14" i="12"/>
  <c r="AF14" i="12"/>
  <c r="AE14" i="12"/>
  <c r="AD14"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D14" i="12"/>
  <c r="B14" i="12"/>
  <c r="C13" i="12"/>
  <c r="AD13" i="12" s="1"/>
  <c r="C12" i="12"/>
  <c r="C11" i="12"/>
  <c r="X11" i="12" s="1"/>
  <c r="C10" i="12"/>
  <c r="C9" i="12"/>
  <c r="AJ9" i="12" s="1"/>
  <c r="T8" i="12"/>
  <c r="D8" i="12"/>
  <c r="C8" i="12"/>
  <c r="AE8" i="12" s="1"/>
  <c r="B8" i="12"/>
  <c r="C7" i="12"/>
  <c r="N6" i="12"/>
  <c r="C6" i="12"/>
  <c r="C5" i="12"/>
  <c r="C4" i="12"/>
  <c r="AL4" i="12" s="1"/>
  <c r="L42" i="9"/>
  <c r="K42" i="9"/>
  <c r="J42" i="9"/>
  <c r="I42" i="9"/>
  <c r="H42" i="9"/>
  <c r="G42" i="9"/>
  <c r="F42" i="9"/>
  <c r="E42" i="9"/>
  <c r="D42" i="9"/>
  <c r="C42" i="9"/>
  <c r="B42" i="9"/>
  <c r="A42" i="9"/>
  <c r="A17" i="9"/>
  <c r="J14" i="9"/>
  <c r="G14" i="9"/>
  <c r="F14" i="9"/>
  <c r="J13" i="9"/>
  <c r="G13" i="9"/>
  <c r="F13" i="9"/>
  <c r="J12" i="9"/>
  <c r="G12" i="9"/>
  <c r="F12" i="9"/>
  <c r="J11" i="9"/>
  <c r="G11" i="9"/>
  <c r="F11" i="9"/>
  <c r="B33" i="8"/>
  <c r="R23" i="8"/>
  <c r="R24" i="8" s="1"/>
  <c r="R21" i="8"/>
  <c r="R13" i="8"/>
  <c r="O13" i="8"/>
  <c r="B12" i="8"/>
  <c r="A1" i="8"/>
  <c r="B5" i="7"/>
  <c r="B4" i="7"/>
  <c r="B3" i="7"/>
  <c r="B1" i="7"/>
  <c r="Q121" i="15"/>
  <c r="P121" i="15"/>
  <c r="O121" i="15"/>
  <c r="Q120" i="15"/>
  <c r="P120" i="15"/>
  <c r="O120" i="15"/>
  <c r="N115" i="15"/>
  <c r="N105" i="15"/>
  <c r="Q95" i="15"/>
  <c r="P95" i="15"/>
  <c r="O95" i="15"/>
  <c r="Q94" i="15"/>
  <c r="P94" i="15"/>
  <c r="O94" i="15"/>
  <c r="Q93" i="15"/>
  <c r="P93" i="15"/>
  <c r="O93" i="15"/>
  <c r="Q92" i="15"/>
  <c r="P92" i="15"/>
  <c r="O92" i="15"/>
  <c r="Q82" i="15"/>
  <c r="P73" i="15"/>
  <c r="Q64" i="15"/>
  <c r="Q81" i="15" s="1"/>
  <c r="P64" i="15"/>
  <c r="P81" i="15" s="1"/>
  <c r="O64" i="15"/>
  <c r="O81" i="15" s="1"/>
  <c r="K59" i="15"/>
  <c r="I59" i="15"/>
  <c r="H59" i="15"/>
  <c r="G59" i="15"/>
  <c r="F59" i="15"/>
  <c r="E59" i="15"/>
  <c r="D59" i="15"/>
  <c r="C59" i="15"/>
  <c r="N55" i="15"/>
  <c r="N50" i="15"/>
  <c r="P43" i="15"/>
  <c r="C78" i="14"/>
  <c r="G73" i="14"/>
  <c r="G70" i="14"/>
  <c r="J96" i="14"/>
  <c r="F96" i="14"/>
  <c r="K74" i="14"/>
  <c r="C74" i="14"/>
  <c r="G65" i="14"/>
  <c r="G66" i="14" s="1"/>
  <c r="K48" i="14"/>
  <c r="K63" i="14" s="1"/>
  <c r="C48" i="14"/>
  <c r="C63" i="14" s="1"/>
  <c r="F48" i="14"/>
  <c r="F63" i="14" s="1"/>
  <c r="N46" i="14"/>
  <c r="M37" i="14"/>
  <c r="I37" i="14"/>
  <c r="H56" i="19" s="1"/>
  <c r="E37" i="14"/>
  <c r="D56" i="19" s="1"/>
  <c r="A33" i="14"/>
  <c r="L100" i="14"/>
  <c r="J100" i="14"/>
  <c r="H100" i="14"/>
  <c r="F100" i="14"/>
  <c r="D100" i="14"/>
  <c r="M30" i="14"/>
  <c r="I30" i="14"/>
  <c r="E30" i="14"/>
  <c r="M33" i="14"/>
  <c r="K33" i="14"/>
  <c r="K34" i="14" s="1"/>
  <c r="J59" i="9" s="1"/>
  <c r="I33" i="14"/>
  <c r="G33" i="14"/>
  <c r="G34" i="14" s="1"/>
  <c r="F59" i="9" s="1"/>
  <c r="E33" i="14"/>
  <c r="C33" i="14"/>
  <c r="C34" i="14" s="1"/>
  <c r="B59" i="9" s="1"/>
  <c r="M14" i="14"/>
  <c r="M31" i="14" s="1"/>
  <c r="M10" i="14"/>
  <c r="K10" i="14"/>
  <c r="I10" i="14"/>
  <c r="G10" i="14"/>
  <c r="E10" i="14"/>
  <c r="C10" i="14"/>
  <c r="L9" i="14"/>
  <c r="J9" i="14"/>
  <c r="H9" i="14"/>
  <c r="F9" i="14"/>
  <c r="D9" i="14"/>
  <c r="L8" i="14"/>
  <c r="J8" i="14"/>
  <c r="I84" i="9" s="1"/>
  <c r="H8" i="14"/>
  <c r="G84" i="9" s="1"/>
  <c r="F8" i="14"/>
  <c r="E84" i="9" s="1"/>
  <c r="D8" i="14"/>
  <c r="C84" i="9" s="1"/>
  <c r="L7" i="14"/>
  <c r="J7" i="14"/>
  <c r="H7" i="14"/>
  <c r="F7" i="14"/>
  <c r="D7" i="14"/>
  <c r="M6" i="14"/>
  <c r="K6" i="14"/>
  <c r="I6" i="14"/>
  <c r="G6" i="14"/>
  <c r="E6" i="14"/>
  <c r="C6" i="14"/>
  <c r="B51" i="9" s="1"/>
  <c r="B52" i="9" s="1"/>
  <c r="K14" i="14"/>
  <c r="K31" i="14" s="1"/>
  <c r="I14" i="14"/>
  <c r="I31" i="14" s="1"/>
  <c r="G14" i="14"/>
  <c r="G31" i="14" s="1"/>
  <c r="E14" i="14"/>
  <c r="E31" i="14" s="1"/>
  <c r="C14" i="14"/>
  <c r="C31" i="14" s="1"/>
  <c r="N122" i="13"/>
  <c r="O121" i="13"/>
  <c r="B76" i="11" s="1"/>
  <c r="C100" i="13"/>
  <c r="M98" i="13"/>
  <c r="D54" i="11" s="1"/>
  <c r="J107" i="13"/>
  <c r="H107" i="13"/>
  <c r="F107" i="13"/>
  <c r="D107" i="13"/>
  <c r="N96" i="13"/>
  <c r="K73" i="13"/>
  <c r="E50" i="11" s="1"/>
  <c r="C73" i="13"/>
  <c r="J73" i="13"/>
  <c r="H73" i="13"/>
  <c r="F73" i="13"/>
  <c r="D73" i="13"/>
  <c r="B73" i="13"/>
  <c r="G71" i="13"/>
  <c r="J71" i="13"/>
  <c r="H71" i="13"/>
  <c r="N70" i="13"/>
  <c r="F71" i="13"/>
  <c r="D71" i="13"/>
  <c r="B71" i="13"/>
  <c r="N69" i="13"/>
  <c r="O65" i="13"/>
  <c r="M63" i="13"/>
  <c r="D41" i="11" s="1"/>
  <c r="O62" i="13"/>
  <c r="N60" i="13"/>
  <c r="O58" i="13"/>
  <c r="B39" i="11" s="1"/>
  <c r="K108" i="13"/>
  <c r="E64" i="11" s="1"/>
  <c r="G108" i="13"/>
  <c r="E108" i="13"/>
  <c r="C108" i="13"/>
  <c r="O56" i="13"/>
  <c r="B37" i="11" s="1"/>
  <c r="M54" i="13"/>
  <c r="O52" i="13"/>
  <c r="N50" i="13"/>
  <c r="N48" i="13"/>
  <c r="O47" i="13"/>
  <c r="M42" i="13"/>
  <c r="O41" i="13"/>
  <c r="N39" i="13"/>
  <c r="N34" i="13"/>
  <c r="K34" i="13"/>
  <c r="E21" i="11" s="1"/>
  <c r="I34" i="13"/>
  <c r="G34" i="13"/>
  <c r="E34" i="13"/>
  <c r="C34" i="13"/>
  <c r="H34" i="13"/>
  <c r="I23" i="13"/>
  <c r="E23" i="13"/>
  <c r="I21" i="13"/>
  <c r="I106" i="13" s="1"/>
  <c r="E21" i="13"/>
  <c r="E106" i="13" s="1"/>
  <c r="K19" i="13"/>
  <c r="E4" i="11" s="1"/>
  <c r="G19" i="13"/>
  <c r="C19" i="13"/>
  <c r="D15" i="13"/>
  <c r="C102" i="13"/>
  <c r="G20" i="13"/>
  <c r="N8" i="13"/>
  <c r="O5" i="13"/>
  <c r="A14" i="12"/>
  <c r="DY3" i="12"/>
  <c r="DX3" i="12"/>
  <c r="DW3" i="12"/>
  <c r="DV3" i="12"/>
  <c r="DU3" i="12"/>
  <c r="DT3" i="12"/>
  <c r="DS3" i="12"/>
  <c r="DR3" i="12"/>
  <c r="DQ3" i="12"/>
  <c r="DP3" i="12"/>
  <c r="DO3" i="12"/>
  <c r="DN3" i="12"/>
  <c r="DM3" i="12"/>
  <c r="DL3" i="12"/>
  <c r="DK3" i="12"/>
  <c r="DJ3" i="12"/>
  <c r="DI3" i="12"/>
  <c r="DH3" i="12"/>
  <c r="DG3" i="12"/>
  <c r="DF3" i="12"/>
  <c r="DE3" i="12"/>
  <c r="DD3" i="12"/>
  <c r="DC3" i="12"/>
  <c r="DB3" i="12"/>
  <c r="DA3" i="12"/>
  <c r="CZ3" i="12"/>
  <c r="CY3" i="12"/>
  <c r="CX3" i="12"/>
  <c r="CW3" i="12"/>
  <c r="CV3" i="12"/>
  <c r="CU3" i="12"/>
  <c r="CT3" i="12"/>
  <c r="CS3" i="12"/>
  <c r="CR3" i="12"/>
  <c r="CQ3" i="12"/>
  <c r="CP3" i="12"/>
  <c r="CO3" i="12"/>
  <c r="CN3" i="12"/>
  <c r="CM3" i="12"/>
  <c r="CL3" i="12"/>
  <c r="CK3" i="12"/>
  <c r="CJ3" i="12"/>
  <c r="CI3" i="12"/>
  <c r="CH3" i="12"/>
  <c r="CG3" i="12"/>
  <c r="CF3" i="12"/>
  <c r="CE3" i="12"/>
  <c r="CD3" i="12"/>
  <c r="CC3" i="12"/>
  <c r="CB3" i="12"/>
  <c r="CA3" i="12"/>
  <c r="BZ3" i="12"/>
  <c r="BY3" i="12"/>
  <c r="BX3" i="12"/>
  <c r="BW3" i="12"/>
  <c r="BV3" i="12"/>
  <c r="BU3" i="12"/>
  <c r="BT3" i="12"/>
  <c r="BS3" i="12"/>
  <c r="BR3" i="12"/>
  <c r="BQ3" i="12"/>
  <c r="BP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L76" i="9"/>
  <c r="K76" i="9"/>
  <c r="J76" i="9"/>
  <c r="I76" i="9"/>
  <c r="H76" i="9"/>
  <c r="G76" i="9"/>
  <c r="F76" i="9"/>
  <c r="E76" i="9"/>
  <c r="D76" i="9"/>
  <c r="C76" i="9"/>
  <c r="B76" i="9"/>
  <c r="I24" i="9"/>
  <c r="O7" i="9"/>
  <c r="C12" i="8"/>
  <c r="D12" i="8" s="1"/>
  <c r="B14" i="8"/>
  <c r="B9" i="7"/>
  <c r="E20" i="13" l="1"/>
  <c r="K20" i="13"/>
  <c r="E5" i="11" s="1"/>
  <c r="K21" i="13"/>
  <c r="H2" i="7"/>
  <c r="B4" i="12"/>
  <c r="D4" i="12"/>
  <c r="T4" i="12"/>
  <c r="AJ4" i="12"/>
  <c r="L8" i="12"/>
  <c r="AI8" i="12"/>
  <c r="H11" i="12"/>
  <c r="O4" i="13"/>
  <c r="D59" i="19"/>
  <c r="O6" i="13"/>
  <c r="O8" i="13"/>
  <c r="D20" i="13"/>
  <c r="E66" i="11"/>
  <c r="K34" i="19"/>
  <c r="L4" i="12"/>
  <c r="AB4" i="12"/>
  <c r="B84" i="9"/>
  <c r="D84" i="9"/>
  <c r="F84" i="9"/>
  <c r="H84" i="9"/>
  <c r="J84" i="9"/>
  <c r="H1" i="7"/>
  <c r="H3" i="7"/>
  <c r="J11" i="19"/>
  <c r="K5" i="19"/>
  <c r="D5" i="19"/>
  <c r="F5" i="19"/>
  <c r="H5" i="19"/>
  <c r="J5" i="19"/>
  <c r="D11" i="19"/>
  <c r="D10" i="25" s="1"/>
  <c r="F11" i="19"/>
  <c r="F10" i="25" s="1"/>
  <c r="H11" i="19"/>
  <c r="H10" i="25" s="1"/>
  <c r="K11" i="19"/>
  <c r="C5" i="19"/>
  <c r="H41" i="19"/>
  <c r="N5" i="13"/>
  <c r="D42" i="19"/>
  <c r="D48" i="19" s="1"/>
  <c r="O7" i="13"/>
  <c r="H42" i="19"/>
  <c r="N7" i="13"/>
  <c r="N19" i="13"/>
  <c r="M19" i="13"/>
  <c r="H20" i="13"/>
  <c r="G44" i="13"/>
  <c r="N13" i="13"/>
  <c r="B12" i="11"/>
  <c r="O34" i="13"/>
  <c r="M73" i="13"/>
  <c r="D79" i="9"/>
  <c r="E48" i="14"/>
  <c r="E63" i="14" s="1"/>
  <c r="H79" i="9"/>
  <c r="I48" i="14"/>
  <c r="I63" i="14" s="1"/>
  <c r="M11" i="14"/>
  <c r="D65" i="14"/>
  <c r="D66" i="14" s="1"/>
  <c r="D10" i="14"/>
  <c r="C24" i="15"/>
  <c r="E24" i="15"/>
  <c r="F30" i="14"/>
  <c r="G24" i="15"/>
  <c r="H30" i="14"/>
  <c r="I24" i="15"/>
  <c r="J30" i="14"/>
  <c r="L24" i="15"/>
  <c r="L30" i="14"/>
  <c r="E73" i="14"/>
  <c r="E96" i="14"/>
  <c r="I73" i="14"/>
  <c r="I96" i="14"/>
  <c r="L73" i="14"/>
  <c r="K96" i="14"/>
  <c r="H47" i="15"/>
  <c r="P45" i="15"/>
  <c r="Q110" i="15"/>
  <c r="N110" i="15"/>
  <c r="Q114" i="15"/>
  <c r="N114" i="15"/>
  <c r="Q116" i="15"/>
  <c r="N116" i="15"/>
  <c r="G21" i="17"/>
  <c r="N20" i="17"/>
  <c r="O22" i="17"/>
  <c r="C23" i="17"/>
  <c r="E5" i="19"/>
  <c r="G5" i="19"/>
  <c r="I5" i="19"/>
  <c r="F17" i="19"/>
  <c r="M5" i="13"/>
  <c r="M7" i="13"/>
  <c r="N12" i="13"/>
  <c r="M34" i="13"/>
  <c r="H108" i="13"/>
  <c r="C71" i="13"/>
  <c r="K71" i="13"/>
  <c r="E48" i="11" s="1"/>
  <c r="N72" i="13"/>
  <c r="K107" i="13"/>
  <c r="E63" i="11" s="1"/>
  <c r="E34" i="14"/>
  <c r="D59" i="9" s="1"/>
  <c r="I34" i="14"/>
  <c r="H59" i="9" s="1"/>
  <c r="M34" i="14"/>
  <c r="G30" i="14"/>
  <c r="K30" i="14"/>
  <c r="G48" i="14"/>
  <c r="G63" i="14" s="1"/>
  <c r="L65" i="14"/>
  <c r="L66" i="14" s="1"/>
  <c r="K73" i="14"/>
  <c r="N45" i="15"/>
  <c r="Q76" i="15"/>
  <c r="N112" i="15"/>
  <c r="N118" i="15"/>
  <c r="C21" i="17"/>
  <c r="E109" i="13"/>
  <c r="V6" i="12"/>
  <c r="F6" i="12"/>
  <c r="AD6" i="12"/>
  <c r="AL11" i="12"/>
  <c r="AJ11" i="12"/>
  <c r="AB11" i="12"/>
  <c r="T11" i="12"/>
  <c r="L11" i="12"/>
  <c r="D11" i="12"/>
  <c r="B11" i="12"/>
  <c r="A11" i="12" s="1"/>
  <c r="P11" i="12"/>
  <c r="AF11" i="12"/>
  <c r="H4" i="12"/>
  <c r="P4" i="12"/>
  <c r="X4" i="12"/>
  <c r="AF4" i="12"/>
  <c r="H8" i="12"/>
  <c r="P8" i="12"/>
  <c r="AA8" i="12"/>
  <c r="X5" i="9"/>
  <c r="I11" i="9"/>
  <c r="I13" i="9"/>
  <c r="K13" i="9" s="1"/>
  <c r="B48" i="19"/>
  <c r="F48" i="19"/>
  <c r="J48" i="19"/>
  <c r="C48" i="19"/>
  <c r="E48" i="19"/>
  <c r="G48" i="19"/>
  <c r="I48" i="19"/>
  <c r="C6" i="17"/>
  <c r="C7" i="17"/>
  <c r="E6" i="17"/>
  <c r="E7" i="17"/>
  <c r="G6" i="17"/>
  <c r="G7" i="17"/>
  <c r="I6" i="17"/>
  <c r="I7" i="17"/>
  <c r="K6" i="17"/>
  <c r="K7" i="17"/>
  <c r="C13" i="18"/>
  <c r="C12" i="18"/>
  <c r="C11" i="18"/>
  <c r="C35" i="17"/>
  <c r="E13" i="18"/>
  <c r="E35" i="17"/>
  <c r="G13" i="18"/>
  <c r="E43" i="17"/>
  <c r="G35" i="17"/>
  <c r="I13" i="18"/>
  <c r="G43" i="17"/>
  <c r="I35" i="17"/>
  <c r="K13" i="18"/>
  <c r="K12" i="18"/>
  <c r="K11" i="18"/>
  <c r="I43" i="17"/>
  <c r="K35" i="17"/>
  <c r="K36" i="17"/>
  <c r="B39" i="18"/>
  <c r="B32" i="18"/>
  <c r="B29" i="18"/>
  <c r="AJ6" i="12"/>
  <c r="AF6" i="12"/>
  <c r="AB6" i="12"/>
  <c r="X6" i="12"/>
  <c r="T6" i="12"/>
  <c r="P6" i="12"/>
  <c r="L6" i="12"/>
  <c r="H6" i="12"/>
  <c r="D6" i="12"/>
  <c r="B6" i="12"/>
  <c r="AL6" i="12"/>
  <c r="AH6" i="12"/>
  <c r="J6" i="12"/>
  <c r="R6" i="12"/>
  <c r="Z6" i="12"/>
  <c r="F9" i="12"/>
  <c r="J9" i="12"/>
  <c r="N9" i="12"/>
  <c r="R9" i="12"/>
  <c r="V9" i="12"/>
  <c r="Z9" i="12"/>
  <c r="AD9" i="12"/>
  <c r="AH9" i="12"/>
  <c r="AL9" i="12"/>
  <c r="D7" i="17"/>
  <c r="D6" i="17"/>
  <c r="F7" i="17"/>
  <c r="F6" i="17"/>
  <c r="H7" i="17"/>
  <c r="H6" i="17"/>
  <c r="J7" i="17"/>
  <c r="J6" i="17"/>
  <c r="B13" i="18"/>
  <c r="B11" i="18"/>
  <c r="B37" i="17"/>
  <c r="B12" i="18"/>
  <c r="B35" i="17"/>
  <c r="D16" i="18"/>
  <c r="D37" i="17"/>
  <c r="D36" i="17"/>
  <c r="D13" i="18"/>
  <c r="D35" i="17"/>
  <c r="F16" i="18"/>
  <c r="F13" i="18"/>
  <c r="F11" i="18"/>
  <c r="D43" i="17"/>
  <c r="F37" i="17"/>
  <c r="F36" i="17"/>
  <c r="F12" i="18"/>
  <c r="D44" i="17"/>
  <c r="F35" i="17"/>
  <c r="H16" i="18"/>
  <c r="F44" i="17"/>
  <c r="H37" i="17"/>
  <c r="H36" i="17"/>
  <c r="H13" i="18"/>
  <c r="F43" i="17"/>
  <c r="H35" i="17"/>
  <c r="J16" i="18"/>
  <c r="J13" i="18"/>
  <c r="J11" i="18"/>
  <c r="H43" i="17"/>
  <c r="J37" i="17"/>
  <c r="J36" i="17"/>
  <c r="J12" i="18"/>
  <c r="H44" i="17"/>
  <c r="J35" i="17"/>
  <c r="F4" i="12"/>
  <c r="J4" i="12"/>
  <c r="N4" i="12"/>
  <c r="R4" i="12"/>
  <c r="V4" i="12"/>
  <c r="Z4" i="12"/>
  <c r="AD4" i="12"/>
  <c r="AH4" i="12"/>
  <c r="F8" i="12"/>
  <c r="J8" i="12"/>
  <c r="N8" i="12"/>
  <c r="R8" i="12"/>
  <c r="W8" i="12"/>
  <c r="B9" i="12"/>
  <c r="A9" i="12" s="1"/>
  <c r="D9" i="12"/>
  <c r="H9" i="12"/>
  <c r="L9" i="12"/>
  <c r="P9" i="12"/>
  <c r="T9" i="12"/>
  <c r="X9" i="12"/>
  <c r="AB9" i="12"/>
  <c r="AF9" i="12"/>
  <c r="F11" i="12"/>
  <c r="J11" i="12"/>
  <c r="N11" i="12"/>
  <c r="R11" i="12"/>
  <c r="V11" i="12"/>
  <c r="Z11" i="12"/>
  <c r="AD11" i="12"/>
  <c r="AH11" i="12"/>
  <c r="B13" i="12"/>
  <c r="D13" i="12"/>
  <c r="H13" i="12"/>
  <c r="L13" i="12"/>
  <c r="P13" i="12"/>
  <c r="T13" i="12"/>
  <c r="X13" i="12"/>
  <c r="AB13" i="12"/>
  <c r="AF13" i="12"/>
  <c r="C33" i="18"/>
  <c r="C46" i="17"/>
  <c r="C5" i="18"/>
  <c r="E33" i="18"/>
  <c r="E46" i="17"/>
  <c r="E5" i="18"/>
  <c r="G33" i="18"/>
  <c r="G46" i="17"/>
  <c r="E40" i="17"/>
  <c r="G5" i="18"/>
  <c r="I33" i="18"/>
  <c r="I46" i="17"/>
  <c r="G40" i="17"/>
  <c r="I5" i="18"/>
  <c r="K46" i="17"/>
  <c r="I40" i="17"/>
  <c r="K5" i="18"/>
  <c r="K47" i="17"/>
  <c r="B49" i="9"/>
  <c r="D49" i="9"/>
  <c r="F49" i="9"/>
  <c r="H49" i="9"/>
  <c r="J49" i="9"/>
  <c r="C43" i="9"/>
  <c r="E43" i="9"/>
  <c r="G43" i="9"/>
  <c r="I43" i="9"/>
  <c r="L43" i="9"/>
  <c r="M43" i="9" s="1"/>
  <c r="B37" i="18"/>
  <c r="B28" i="18"/>
  <c r="B27" i="17"/>
  <c r="B25" i="17"/>
  <c r="D37" i="18"/>
  <c r="D28" i="18"/>
  <c r="D27" i="17"/>
  <c r="D21" i="18"/>
  <c r="D26" i="17"/>
  <c r="D25" i="17"/>
  <c r="F37" i="18"/>
  <c r="F28" i="18"/>
  <c r="F21" i="18"/>
  <c r="F27" i="17"/>
  <c r="F26" i="17"/>
  <c r="F25" i="17"/>
  <c r="H37" i="18"/>
  <c r="H28" i="18"/>
  <c r="H27" i="17"/>
  <c r="H21" i="18"/>
  <c r="H26" i="17"/>
  <c r="H25" i="17"/>
  <c r="J37" i="18"/>
  <c r="J28" i="18"/>
  <c r="J21" i="18"/>
  <c r="J27" i="17"/>
  <c r="J26" i="17"/>
  <c r="J25" i="17"/>
  <c r="AA4" i="9"/>
  <c r="AC4" i="9"/>
  <c r="Z5" i="9"/>
  <c r="Z7" i="9" s="1"/>
  <c r="AB5" i="9"/>
  <c r="AB7" i="9" s="1"/>
  <c r="F13" i="12"/>
  <c r="J13" i="12"/>
  <c r="N13" i="12"/>
  <c r="R13" i="12"/>
  <c r="V13" i="12"/>
  <c r="Z13" i="12"/>
  <c r="E8" i="11"/>
  <c r="K43" i="19"/>
  <c r="B5" i="18"/>
  <c r="B48" i="17"/>
  <c r="B46" i="17"/>
  <c r="B33" i="18"/>
  <c r="D5" i="18"/>
  <c r="D48" i="17"/>
  <c r="D47" i="17"/>
  <c r="D33" i="18"/>
  <c r="D46" i="17"/>
  <c r="F5" i="18"/>
  <c r="F48" i="17"/>
  <c r="F47" i="17"/>
  <c r="F46" i="17"/>
  <c r="D40" i="17"/>
  <c r="F33" i="18"/>
  <c r="D41" i="17"/>
  <c r="H5" i="18"/>
  <c r="H48" i="17"/>
  <c r="H47" i="17"/>
  <c r="H33" i="18"/>
  <c r="F41" i="17"/>
  <c r="H46" i="17"/>
  <c r="F40" i="17"/>
  <c r="J5" i="18"/>
  <c r="J48" i="17"/>
  <c r="J47" i="17"/>
  <c r="J46" i="17"/>
  <c r="H40" i="17"/>
  <c r="J33" i="18"/>
  <c r="H41" i="17"/>
  <c r="C49" i="9"/>
  <c r="E49" i="9"/>
  <c r="G49" i="9"/>
  <c r="I49" i="9"/>
  <c r="L49" i="9"/>
  <c r="M49" i="9" s="1"/>
  <c r="B43" i="9"/>
  <c r="D43" i="9"/>
  <c r="F43" i="9"/>
  <c r="H43" i="9"/>
  <c r="J43" i="9"/>
  <c r="C37" i="18"/>
  <c r="C25" i="17"/>
  <c r="C28" i="18"/>
  <c r="E37" i="18"/>
  <c r="E28" i="18"/>
  <c r="E25" i="17"/>
  <c r="G37" i="18"/>
  <c r="G25" i="17"/>
  <c r="G28" i="18"/>
  <c r="I37" i="18"/>
  <c r="I28" i="18"/>
  <c r="I25" i="17"/>
  <c r="Y4" i="9"/>
  <c r="Q119" i="15"/>
  <c r="M21" i="17"/>
  <c r="K25" i="17"/>
  <c r="K26" i="17"/>
  <c r="K28" i="18"/>
  <c r="M23" i="17"/>
  <c r="H16" i="19"/>
  <c r="C11" i="19"/>
  <c r="C10" i="25" s="1"/>
  <c r="E11" i="19"/>
  <c r="E10" i="25" s="1"/>
  <c r="G11" i="19"/>
  <c r="G10" i="25" s="1"/>
  <c r="I11" i="19"/>
  <c r="I10" i="25" s="1"/>
  <c r="B44" i="19"/>
  <c r="D44" i="19"/>
  <c r="F44" i="19"/>
  <c r="H44" i="19"/>
  <c r="J44" i="19"/>
  <c r="B45" i="19"/>
  <c r="B46" i="19" s="1"/>
  <c r="D45" i="19"/>
  <c r="D46" i="19" s="1"/>
  <c r="F45" i="19"/>
  <c r="F46" i="19" s="1"/>
  <c r="J45" i="19"/>
  <c r="J46" i="19" s="1"/>
  <c r="C44" i="19"/>
  <c r="E44" i="19"/>
  <c r="G44" i="19"/>
  <c r="I44" i="19"/>
  <c r="K44" i="19"/>
  <c r="C45" i="19"/>
  <c r="C46" i="19" s="1"/>
  <c r="E45" i="19"/>
  <c r="E46" i="19" s="1"/>
  <c r="G45" i="19"/>
  <c r="G46" i="19" s="1"/>
  <c r="I45" i="19"/>
  <c r="I46" i="19" s="1"/>
  <c r="N21" i="17"/>
  <c r="N23" i="17"/>
  <c r="N4" i="17"/>
  <c r="O9" i="17"/>
  <c r="N10" i="17"/>
  <c r="O13" i="17"/>
  <c r="N14" i="17"/>
  <c r="O21" i="17"/>
  <c r="M20" i="17"/>
  <c r="O23" i="17"/>
  <c r="M22" i="17"/>
  <c r="B10" i="10"/>
  <c r="D4" i="11"/>
  <c r="C4" i="11"/>
  <c r="B9" i="10"/>
  <c r="B14" i="10"/>
  <c r="B21" i="11"/>
  <c r="C21" i="11"/>
  <c r="B15" i="10"/>
  <c r="B28" i="10"/>
  <c r="D27" i="11"/>
  <c r="C28" i="11"/>
  <c r="B30" i="10"/>
  <c r="B28" i="11"/>
  <c r="B29" i="10"/>
  <c r="D32" i="11"/>
  <c r="B37" i="10"/>
  <c r="C35" i="11"/>
  <c r="B39" i="10"/>
  <c r="B38" i="10"/>
  <c r="B35" i="11"/>
  <c r="D36" i="11"/>
  <c r="B43" i="10"/>
  <c r="B46" i="10"/>
  <c r="D42" i="11"/>
  <c r="D43" i="11"/>
  <c r="B49" i="10"/>
  <c r="B52" i="10"/>
  <c r="D46" i="11"/>
  <c r="B47" i="11"/>
  <c r="B53" i="10"/>
  <c r="B49" i="11"/>
  <c r="B59" i="10"/>
  <c r="B64" i="10"/>
  <c r="D50" i="11"/>
  <c r="C51" i="11"/>
  <c r="B66" i="10"/>
  <c r="B51" i="11"/>
  <c r="B65" i="10"/>
  <c r="B70" i="10"/>
  <c r="D52" i="11"/>
  <c r="C76" i="11"/>
  <c r="B116" i="10"/>
  <c r="B77" i="11"/>
  <c r="B118" i="10"/>
  <c r="D77" i="11"/>
  <c r="B120" i="10"/>
  <c r="C80" i="9"/>
  <c r="C51" i="9"/>
  <c r="C52" i="9" s="1"/>
  <c r="E80" i="9"/>
  <c r="E51" i="9"/>
  <c r="E52" i="9" s="1"/>
  <c r="G80" i="9"/>
  <c r="G51" i="9"/>
  <c r="G52" i="9" s="1"/>
  <c r="I80" i="9"/>
  <c r="I51" i="9"/>
  <c r="I52" i="9" s="1"/>
  <c r="K80" i="9"/>
  <c r="K51" i="9"/>
  <c r="L80" i="9"/>
  <c r="L51" i="9"/>
  <c r="L52" i="9" s="1"/>
  <c r="M52" i="9" s="1"/>
  <c r="B53" i="9"/>
  <c r="B50" i="9"/>
  <c r="D53" i="9"/>
  <c r="D81" i="9"/>
  <c r="D50" i="9"/>
  <c r="F53" i="9"/>
  <c r="F81" i="9"/>
  <c r="F50" i="9"/>
  <c r="H53" i="9"/>
  <c r="H81" i="9"/>
  <c r="H50" i="9"/>
  <c r="J53" i="9"/>
  <c r="J50" i="9"/>
  <c r="J81" i="9"/>
  <c r="K84" i="9"/>
  <c r="L84" i="9"/>
  <c r="C11" i="14"/>
  <c r="B54" i="9"/>
  <c r="E11" i="14"/>
  <c r="D54" i="9"/>
  <c r="G11" i="14"/>
  <c r="F54" i="9"/>
  <c r="I11" i="14"/>
  <c r="H54" i="9"/>
  <c r="K11" i="14"/>
  <c r="J54" i="9"/>
  <c r="D78" i="14"/>
  <c r="B97" i="9"/>
  <c r="B93" i="9"/>
  <c r="C82" i="9"/>
  <c r="C55" i="9"/>
  <c r="B7" i="8"/>
  <c r="F78" i="14"/>
  <c r="E82" i="9"/>
  <c r="B94" i="9"/>
  <c r="H78" i="14"/>
  <c r="B95" i="9"/>
  <c r="G82" i="9"/>
  <c r="J78" i="14"/>
  <c r="I82" i="9"/>
  <c r="B96" i="9"/>
  <c r="L78" i="14"/>
  <c r="K82" i="9"/>
  <c r="L55" i="9"/>
  <c r="M55" i="9" s="1"/>
  <c r="L82" i="9"/>
  <c r="K55" i="9"/>
  <c r="C76" i="13"/>
  <c r="C85" i="9"/>
  <c r="C69" i="9"/>
  <c r="C48" i="9"/>
  <c r="E76" i="13"/>
  <c r="E85" i="9"/>
  <c r="E48" i="9"/>
  <c r="G76" i="13"/>
  <c r="G85" i="9"/>
  <c r="G48" i="9"/>
  <c r="I76" i="13"/>
  <c r="I85" i="9"/>
  <c r="I48" i="9"/>
  <c r="K76" i="13"/>
  <c r="CZ13" i="12" s="1"/>
  <c r="L69" i="9"/>
  <c r="K77" i="13"/>
  <c r="DA13" i="12" s="1"/>
  <c r="K69" i="9"/>
  <c r="K48" i="9"/>
  <c r="F24" i="9" s="1"/>
  <c r="D20" i="9"/>
  <c r="D18" i="9"/>
  <c r="L48" i="9"/>
  <c r="D21" i="9"/>
  <c r="D19" i="9"/>
  <c r="G64" i="14"/>
  <c r="K64" i="14"/>
  <c r="J38" i="18" s="1"/>
  <c r="B62" i="9"/>
  <c r="B55" i="9"/>
  <c r="DX5" i="12"/>
  <c r="DV5" i="12"/>
  <c r="DT5" i="12"/>
  <c r="DR5" i="12"/>
  <c r="DP5" i="12"/>
  <c r="DN5" i="12"/>
  <c r="DL5" i="12"/>
  <c r="DJ5" i="12"/>
  <c r="DH5" i="12"/>
  <c r="DF5" i="12"/>
  <c r="DD5" i="12"/>
  <c r="CZ5" i="12"/>
  <c r="CX5" i="12"/>
  <c r="CV5" i="12"/>
  <c r="CT5" i="12"/>
  <c r="CP5" i="12"/>
  <c r="CN5" i="12"/>
  <c r="CL5" i="12"/>
  <c r="CJ5" i="12"/>
  <c r="DU5" i="12"/>
  <c r="DQ5" i="12"/>
  <c r="DM5" i="12"/>
  <c r="DI5" i="12"/>
  <c r="DE5" i="12"/>
  <c r="CW5" i="12"/>
  <c r="CS5" i="12"/>
  <c r="CO5" i="12"/>
  <c r="CK5" i="12"/>
  <c r="CH5" i="12"/>
  <c r="CF5" i="12"/>
  <c r="CD5" i="12"/>
  <c r="CB5" i="12"/>
  <c r="BZ5" i="12"/>
  <c r="BX5" i="12"/>
  <c r="BR5" i="12"/>
  <c r="BP5" i="12"/>
  <c r="BN5" i="12"/>
  <c r="BL5" i="12"/>
  <c r="BJ5" i="12"/>
  <c r="BH5" i="12"/>
  <c r="BF5" i="12"/>
  <c r="BD5" i="12"/>
  <c r="AZ5" i="12"/>
  <c r="AX5" i="12"/>
  <c r="AR5" i="12"/>
  <c r="AP5" i="12"/>
  <c r="DS5" i="12"/>
  <c r="DO5" i="12"/>
  <c r="DK5" i="12"/>
  <c r="DG5" i="12"/>
  <c r="CY5" i="12"/>
  <c r="CU5" i="12"/>
  <c r="CM5" i="12"/>
  <c r="CI5" i="12"/>
  <c r="CG5" i="12"/>
  <c r="CE5" i="12"/>
  <c r="CC5" i="12"/>
  <c r="CA5" i="12"/>
  <c r="BY5" i="12"/>
  <c r="BW5" i="12"/>
  <c r="BU5" i="12"/>
  <c r="BS5" i="12"/>
  <c r="BQ5" i="12"/>
  <c r="BO5" i="12"/>
  <c r="BM5" i="12"/>
  <c r="BK5" i="12"/>
  <c r="BI5" i="12"/>
  <c r="BG5" i="12"/>
  <c r="BE5" i="12"/>
  <c r="BC5" i="12"/>
  <c r="BA5" i="12"/>
  <c r="AS5" i="12"/>
  <c r="AQ5" i="12"/>
  <c r="AO5" i="12"/>
  <c r="AM5" i="12"/>
  <c r="E5" i="12"/>
  <c r="G5" i="12"/>
  <c r="I5" i="12"/>
  <c r="K5" i="12"/>
  <c r="M5" i="12"/>
  <c r="O5" i="12"/>
  <c r="Q5" i="12"/>
  <c r="S5" i="12"/>
  <c r="U5" i="12"/>
  <c r="W5" i="12"/>
  <c r="Y5" i="12"/>
  <c r="AA5" i="12"/>
  <c r="AC5" i="12"/>
  <c r="AE5" i="12"/>
  <c r="AG5" i="12"/>
  <c r="AI5" i="12"/>
  <c r="AK5" i="12"/>
  <c r="DU7" i="12"/>
  <c r="DS7" i="12"/>
  <c r="DQ7" i="12"/>
  <c r="DO7" i="12"/>
  <c r="DM7" i="12"/>
  <c r="DK7" i="12"/>
  <c r="DI7" i="12"/>
  <c r="DG7" i="12"/>
  <c r="DE7" i="12"/>
  <c r="DV7" i="12"/>
  <c r="DT7" i="12"/>
  <c r="DR7" i="12"/>
  <c r="DP7" i="12"/>
  <c r="DN7" i="12"/>
  <c r="DL7" i="12"/>
  <c r="DJ7" i="12"/>
  <c r="DH7" i="12"/>
  <c r="DF7" i="12"/>
  <c r="DD7" i="12"/>
  <c r="CZ7" i="12"/>
  <c r="CX7" i="12"/>
  <c r="CV7" i="12"/>
  <c r="CT7" i="12"/>
  <c r="CP7" i="12"/>
  <c r="CN7" i="12"/>
  <c r="CL7" i="12"/>
  <c r="CJ7" i="12"/>
  <c r="CH7" i="12"/>
  <c r="CF7" i="12"/>
  <c r="CD7" i="12"/>
  <c r="CB7" i="12"/>
  <c r="BZ7" i="12"/>
  <c r="BX7" i="12"/>
  <c r="BR7" i="12"/>
  <c r="BP7" i="12"/>
  <c r="BN7" i="12"/>
  <c r="BL7" i="12"/>
  <c r="BJ7" i="12"/>
  <c r="BH7" i="12"/>
  <c r="BF7" i="12"/>
  <c r="BD7" i="12"/>
  <c r="BB7" i="12"/>
  <c r="AZ7" i="12"/>
  <c r="AX7" i="12"/>
  <c r="AR7" i="12"/>
  <c r="AP7" i="12"/>
  <c r="CY7" i="12"/>
  <c r="CU7" i="12"/>
  <c r="CM7" i="12"/>
  <c r="CI7" i="12"/>
  <c r="CE7" i="12"/>
  <c r="CA7" i="12"/>
  <c r="BW7" i="12"/>
  <c r="BS7" i="12"/>
  <c r="BO7" i="12"/>
  <c r="BK7" i="12"/>
  <c r="BG7" i="12"/>
  <c r="BC7" i="12"/>
  <c r="AY7" i="12"/>
  <c r="AQ7" i="12"/>
  <c r="AM7" i="12"/>
  <c r="CW7" i="12"/>
  <c r="CS7" i="12"/>
  <c r="CO7" i="12"/>
  <c r="CK7" i="12"/>
  <c r="CG7" i="12"/>
  <c r="CC7" i="12"/>
  <c r="BY7" i="12"/>
  <c r="BU7" i="12"/>
  <c r="BQ7" i="12"/>
  <c r="BM7" i="12"/>
  <c r="BI7" i="12"/>
  <c r="BE7" i="12"/>
  <c r="BA7" i="12"/>
  <c r="AS7" i="12"/>
  <c r="AO7" i="12"/>
  <c r="E7" i="12"/>
  <c r="G7" i="12"/>
  <c r="I7" i="12"/>
  <c r="K7" i="12"/>
  <c r="M7" i="12"/>
  <c r="O7" i="12"/>
  <c r="Q7" i="12"/>
  <c r="S7" i="12"/>
  <c r="U7" i="12"/>
  <c r="W7" i="12"/>
  <c r="Y7" i="12"/>
  <c r="AA7" i="12"/>
  <c r="AC7" i="12"/>
  <c r="AE7" i="12"/>
  <c r="AG7" i="12"/>
  <c r="AI7" i="12"/>
  <c r="AK7" i="12"/>
  <c r="DU10" i="12"/>
  <c r="DS10" i="12"/>
  <c r="DQ10" i="12"/>
  <c r="DO10" i="12"/>
  <c r="DM10" i="12"/>
  <c r="DK10" i="12"/>
  <c r="DI10" i="12"/>
  <c r="DG10" i="12"/>
  <c r="DE10" i="12"/>
  <c r="CY10" i="12"/>
  <c r="CW10" i="12"/>
  <c r="CU10" i="12"/>
  <c r="CS10" i="12"/>
  <c r="CO10" i="12"/>
  <c r="DV10" i="12"/>
  <c r="DT10" i="12"/>
  <c r="DR10" i="12"/>
  <c r="DP10" i="12"/>
  <c r="DN10" i="12"/>
  <c r="DL10" i="12"/>
  <c r="DJ10" i="12"/>
  <c r="DH10" i="12"/>
  <c r="DF10" i="12"/>
  <c r="DD10" i="12"/>
  <c r="CX10" i="12"/>
  <c r="CV10" i="12"/>
  <c r="CT10" i="12"/>
  <c r="CP10" i="12"/>
  <c r="CN10" i="12"/>
  <c r="CL10" i="12"/>
  <c r="CJ10" i="12"/>
  <c r="CH10" i="12"/>
  <c r="CF10" i="12"/>
  <c r="CD10" i="12"/>
  <c r="CB10" i="12"/>
  <c r="BZ10" i="12"/>
  <c r="BX10" i="12"/>
  <c r="BV10" i="12"/>
  <c r="BR10" i="12"/>
  <c r="BP10" i="12"/>
  <c r="BN10" i="12"/>
  <c r="BL10" i="12"/>
  <c r="BJ10" i="12"/>
  <c r="BH10" i="12"/>
  <c r="BF10" i="12"/>
  <c r="BD10" i="12"/>
  <c r="AT10" i="12"/>
  <c r="AR10" i="12"/>
  <c r="AP10" i="12"/>
  <c r="CK10" i="12"/>
  <c r="CG10" i="12"/>
  <c r="CC10" i="12"/>
  <c r="BY10" i="12"/>
  <c r="BQ10" i="12"/>
  <c r="BM10" i="12"/>
  <c r="BI10" i="12"/>
  <c r="BE10" i="12"/>
  <c r="BA10" i="12"/>
  <c r="AS10" i="12"/>
  <c r="AO10" i="12"/>
  <c r="CM10" i="12"/>
  <c r="CI10" i="12"/>
  <c r="CE10" i="12"/>
  <c r="CA10" i="12"/>
  <c r="BW10" i="12"/>
  <c r="BS10" i="12"/>
  <c r="BO10" i="12"/>
  <c r="BK10" i="12"/>
  <c r="BG10" i="12"/>
  <c r="BC10" i="12"/>
  <c r="AY10" i="12"/>
  <c r="AQ10" i="12"/>
  <c r="AM10" i="12"/>
  <c r="AL10" i="12"/>
  <c r="AJ10" i="12"/>
  <c r="AH10" i="12"/>
  <c r="AF10" i="12"/>
  <c r="AD10" i="12"/>
  <c r="AB10" i="12"/>
  <c r="Z10" i="12"/>
  <c r="X10" i="12"/>
  <c r="V10" i="12"/>
  <c r="T10" i="12"/>
  <c r="R10" i="12"/>
  <c r="P10" i="12"/>
  <c r="N10" i="12"/>
  <c r="L10" i="12"/>
  <c r="J10" i="12"/>
  <c r="H10" i="12"/>
  <c r="F10" i="12"/>
  <c r="D10" i="12"/>
  <c r="B10" i="12"/>
  <c r="G10" i="12"/>
  <c r="K10" i="12"/>
  <c r="O10" i="12"/>
  <c r="S10" i="12"/>
  <c r="W10" i="12"/>
  <c r="AA10" i="12"/>
  <c r="AE10" i="12"/>
  <c r="AI10" i="12"/>
  <c r="DU12" i="12"/>
  <c r="DS12" i="12"/>
  <c r="DQ12" i="12"/>
  <c r="DO12" i="12"/>
  <c r="DM12" i="12"/>
  <c r="DK12" i="12"/>
  <c r="DI12" i="12"/>
  <c r="DG12" i="12"/>
  <c r="DE12" i="12"/>
  <c r="CY12" i="12"/>
  <c r="CW12" i="12"/>
  <c r="CU12" i="12"/>
  <c r="CS12" i="12"/>
  <c r="DV12" i="12"/>
  <c r="DT12" i="12"/>
  <c r="DR12" i="12"/>
  <c r="DP12" i="12"/>
  <c r="DN12" i="12"/>
  <c r="DL12" i="12"/>
  <c r="DJ12" i="12"/>
  <c r="DH12" i="12"/>
  <c r="DF12" i="12"/>
  <c r="DD12" i="12"/>
  <c r="CX12" i="12"/>
  <c r="CV12" i="12"/>
  <c r="CT12" i="12"/>
  <c r="CP12" i="12"/>
  <c r="CN12" i="12"/>
  <c r="CL12" i="12"/>
  <c r="CJ12" i="12"/>
  <c r="CH12" i="12"/>
  <c r="CF12" i="12"/>
  <c r="CD12" i="12"/>
  <c r="CB12" i="12"/>
  <c r="BZ12" i="12"/>
  <c r="BX12" i="12"/>
  <c r="BV12" i="12"/>
  <c r="BR12" i="12"/>
  <c r="BP12" i="12"/>
  <c r="BN12" i="12"/>
  <c r="BL12" i="12"/>
  <c r="BJ12" i="12"/>
  <c r="BH12" i="12"/>
  <c r="BF12" i="12"/>
  <c r="BD12" i="12"/>
  <c r="CM12" i="12"/>
  <c r="CI12" i="12"/>
  <c r="CE12" i="12"/>
  <c r="CA12" i="12"/>
  <c r="BW12" i="12"/>
  <c r="BS12" i="12"/>
  <c r="BO12" i="12"/>
  <c r="BK12" i="12"/>
  <c r="BG12" i="12"/>
  <c r="BC12" i="12"/>
  <c r="AS12" i="12"/>
  <c r="AQ12" i="12"/>
  <c r="AO12" i="12"/>
  <c r="AM12" i="12"/>
  <c r="CO12" i="12"/>
  <c r="CK12" i="12"/>
  <c r="CG12" i="12"/>
  <c r="CC12" i="12"/>
  <c r="BY12" i="12"/>
  <c r="BQ12" i="12"/>
  <c r="BM12" i="12"/>
  <c r="BI12" i="12"/>
  <c r="BE12" i="12"/>
  <c r="BA12" i="12"/>
  <c r="AT12" i="12"/>
  <c r="AR12" i="12"/>
  <c r="AP12" i="12"/>
  <c r="AL12" i="12"/>
  <c r="AJ12" i="12"/>
  <c r="AH12" i="12"/>
  <c r="AF12" i="12"/>
  <c r="AD12" i="12"/>
  <c r="AB12" i="12"/>
  <c r="Z12" i="12"/>
  <c r="X12" i="12"/>
  <c r="V12" i="12"/>
  <c r="T12" i="12"/>
  <c r="R12" i="12"/>
  <c r="P12" i="12"/>
  <c r="N12" i="12"/>
  <c r="L12" i="12"/>
  <c r="J12" i="12"/>
  <c r="H12" i="12"/>
  <c r="F12" i="12"/>
  <c r="D12" i="12"/>
  <c r="B12" i="12"/>
  <c r="G12" i="12"/>
  <c r="K12" i="12"/>
  <c r="O12" i="12"/>
  <c r="S12" i="12"/>
  <c r="W12" i="12"/>
  <c r="AA12" i="12"/>
  <c r="AE12" i="12"/>
  <c r="AI12" i="12"/>
  <c r="L47" i="9"/>
  <c r="M13" i="9"/>
  <c r="B4" i="8"/>
  <c r="C109" i="13"/>
  <c r="K106" i="13"/>
  <c r="E7" i="11"/>
  <c r="B16" i="10"/>
  <c r="D21" i="11"/>
  <c r="B26" i="10"/>
  <c r="B27" i="11"/>
  <c r="C27" i="11"/>
  <c r="B27" i="10"/>
  <c r="D28" i="11"/>
  <c r="B31" i="10"/>
  <c r="B32" i="11"/>
  <c r="B35" i="10"/>
  <c r="C32" i="11"/>
  <c r="B36" i="10"/>
  <c r="B40" i="10"/>
  <c r="D35" i="11"/>
  <c r="C36" i="11"/>
  <c r="B42" i="10"/>
  <c r="C42" i="11"/>
  <c r="B45" i="10"/>
  <c r="B43" i="11"/>
  <c r="B47" i="10"/>
  <c r="B46" i="11"/>
  <c r="B50" i="10"/>
  <c r="C46" i="11"/>
  <c r="B51" i="10"/>
  <c r="C47" i="11"/>
  <c r="B54" i="10"/>
  <c r="C49" i="11"/>
  <c r="B60" i="10"/>
  <c r="D51" i="11"/>
  <c r="B67" i="10"/>
  <c r="C52" i="11"/>
  <c r="B69" i="10"/>
  <c r="D76" i="11"/>
  <c r="B117" i="10"/>
  <c r="C77" i="11"/>
  <c r="B119" i="10"/>
  <c r="D80" i="9"/>
  <c r="D51" i="9"/>
  <c r="D52" i="9" s="1"/>
  <c r="F80" i="9"/>
  <c r="F51" i="9"/>
  <c r="H80" i="9"/>
  <c r="H51" i="9"/>
  <c r="H52" i="9" s="1"/>
  <c r="J80" i="9"/>
  <c r="J51" i="9"/>
  <c r="J52" i="9" s="1"/>
  <c r="C81" i="9"/>
  <c r="C53" i="9"/>
  <c r="C50" i="9"/>
  <c r="E81" i="9"/>
  <c r="E53" i="9"/>
  <c r="E50" i="9"/>
  <c r="G81" i="9"/>
  <c r="G53" i="9"/>
  <c r="G50" i="9"/>
  <c r="I81" i="9"/>
  <c r="I53" i="9"/>
  <c r="I50" i="9"/>
  <c r="K81" i="9"/>
  <c r="L53" i="9"/>
  <c r="M53" i="9" s="1"/>
  <c r="L50" i="9"/>
  <c r="M50" i="9" s="1"/>
  <c r="L81" i="9"/>
  <c r="K53" i="9"/>
  <c r="K50" i="9"/>
  <c r="D11" i="14"/>
  <c r="C54" i="9"/>
  <c r="F11" i="14"/>
  <c r="E54" i="9"/>
  <c r="H11" i="14"/>
  <c r="G54" i="9"/>
  <c r="J11" i="14"/>
  <c r="I54" i="9"/>
  <c r="L11" i="14"/>
  <c r="K54" i="9"/>
  <c r="L54" i="9"/>
  <c r="M54" i="9" s="1"/>
  <c r="D82" i="9"/>
  <c r="F82" i="9"/>
  <c r="H82" i="9"/>
  <c r="J82" i="9"/>
  <c r="B78" i="13"/>
  <c r="B85" i="9"/>
  <c r="B69" i="9"/>
  <c r="B76" i="13"/>
  <c r="CZ4" i="12" s="1"/>
  <c r="B48" i="9"/>
  <c r="D78" i="13"/>
  <c r="DB6" i="12" s="1"/>
  <c r="D77" i="13"/>
  <c r="D85" i="9"/>
  <c r="D76" i="13"/>
  <c r="D48" i="9"/>
  <c r="F78" i="13"/>
  <c r="F77" i="13"/>
  <c r="F85" i="9"/>
  <c r="F69" i="9"/>
  <c r="F76" i="13"/>
  <c r="F48" i="9"/>
  <c r="H78" i="13"/>
  <c r="DB10" i="12" s="1"/>
  <c r="H77" i="13"/>
  <c r="DA10" i="12" s="1"/>
  <c r="H85" i="9"/>
  <c r="H76" i="13"/>
  <c r="CZ10" i="12" s="1"/>
  <c r="H48" i="9"/>
  <c r="J78" i="13"/>
  <c r="DB12" i="12" s="1"/>
  <c r="J77" i="13"/>
  <c r="DA12" i="12" s="1"/>
  <c r="J85" i="9"/>
  <c r="J69" i="9"/>
  <c r="J76" i="13"/>
  <c r="CZ12" i="12" s="1"/>
  <c r="J48" i="9"/>
  <c r="E64" i="14"/>
  <c r="I64" i="14"/>
  <c r="H38" i="18" s="1"/>
  <c r="L63" i="14"/>
  <c r="O21" i="9"/>
  <c r="O20" i="9"/>
  <c r="O19" i="9"/>
  <c r="O18" i="9"/>
  <c r="C14" i="9"/>
  <c r="C13" i="9"/>
  <c r="C12" i="9"/>
  <c r="C11" i="9"/>
  <c r="DU4" i="12"/>
  <c r="DS4" i="12"/>
  <c r="DQ4" i="12"/>
  <c r="DO4" i="12"/>
  <c r="DM4" i="12"/>
  <c r="DK4" i="12"/>
  <c r="DI4" i="12"/>
  <c r="DG4" i="12"/>
  <c r="DE4" i="12"/>
  <c r="DC4" i="12"/>
  <c r="DA4" i="12"/>
  <c r="CY4" i="12"/>
  <c r="CW4" i="12"/>
  <c r="CU4" i="12"/>
  <c r="CS4" i="12"/>
  <c r="CO4" i="12"/>
  <c r="CM4" i="12"/>
  <c r="CK4" i="12"/>
  <c r="CI4" i="12"/>
  <c r="CG4" i="12"/>
  <c r="CE4" i="12"/>
  <c r="CC4" i="12"/>
  <c r="CA4" i="12"/>
  <c r="BY4" i="12"/>
  <c r="BW4" i="12"/>
  <c r="BU4" i="12"/>
  <c r="BS4" i="12"/>
  <c r="BQ4" i="12"/>
  <c r="BO4" i="12"/>
  <c r="BM4" i="12"/>
  <c r="BK4" i="12"/>
  <c r="BI4" i="12"/>
  <c r="BG4" i="12"/>
  <c r="BE4" i="12"/>
  <c r="BC4" i="12"/>
  <c r="BA4" i="12"/>
  <c r="AW4" i="12"/>
  <c r="AS4" i="12"/>
  <c r="AQ4" i="12"/>
  <c r="AO4" i="12"/>
  <c r="AM4" i="12"/>
  <c r="DV4" i="12"/>
  <c r="DT4" i="12"/>
  <c r="DR4" i="12"/>
  <c r="DP4" i="12"/>
  <c r="DN4" i="12"/>
  <c r="DL4" i="12"/>
  <c r="DJ4" i="12"/>
  <c r="DH4" i="12"/>
  <c r="DF4" i="12"/>
  <c r="DD4" i="12"/>
  <c r="DB4" i="12"/>
  <c r="CX4" i="12"/>
  <c r="CV4" i="12"/>
  <c r="CT4" i="12"/>
  <c r="CP4" i="12"/>
  <c r="CN4" i="12"/>
  <c r="CL4" i="12"/>
  <c r="CJ4" i="12"/>
  <c r="CH4" i="12"/>
  <c r="CF4" i="12"/>
  <c r="CD4" i="12"/>
  <c r="CB4" i="12"/>
  <c r="BZ4" i="12"/>
  <c r="BX4" i="12"/>
  <c r="BV4" i="12"/>
  <c r="BT4" i="12"/>
  <c r="BR4" i="12"/>
  <c r="BP4" i="12"/>
  <c r="BN4" i="12"/>
  <c r="BL4" i="12"/>
  <c r="BJ4" i="12"/>
  <c r="BH4" i="12"/>
  <c r="BF4" i="12"/>
  <c r="BD4" i="12"/>
  <c r="AV4" i="12"/>
  <c r="AT4" i="12"/>
  <c r="AR4" i="12"/>
  <c r="AP4" i="12"/>
  <c r="E4" i="12"/>
  <c r="G4" i="12"/>
  <c r="I4" i="12"/>
  <c r="K4" i="12"/>
  <c r="M4" i="12"/>
  <c r="O4" i="12"/>
  <c r="Q4" i="12"/>
  <c r="S4" i="12"/>
  <c r="U4" i="12"/>
  <c r="W4" i="12"/>
  <c r="Y4" i="12"/>
  <c r="AA4" i="12"/>
  <c r="AC4" i="12"/>
  <c r="AE4" i="12"/>
  <c r="AG4" i="12"/>
  <c r="AI4" i="12"/>
  <c r="AK4" i="12"/>
  <c r="B5" i="12"/>
  <c r="A5" i="12" s="1"/>
  <c r="D5" i="12"/>
  <c r="F5" i="12"/>
  <c r="H5" i="12"/>
  <c r="J5" i="12"/>
  <c r="L5" i="12"/>
  <c r="N5" i="12"/>
  <c r="P5" i="12"/>
  <c r="R5" i="12"/>
  <c r="T5" i="12"/>
  <c r="V5" i="12"/>
  <c r="X5" i="12"/>
  <c r="Z5" i="12"/>
  <c r="AB5" i="12"/>
  <c r="AD5" i="12"/>
  <c r="AF5" i="12"/>
  <c r="AH5" i="12"/>
  <c r="AJ5" i="12"/>
  <c r="AL5" i="12"/>
  <c r="DU6" i="12"/>
  <c r="DS6" i="12"/>
  <c r="DQ6" i="12"/>
  <c r="DO6" i="12"/>
  <c r="DM6" i="12"/>
  <c r="DK6" i="12"/>
  <c r="DI6" i="12"/>
  <c r="DG6" i="12"/>
  <c r="DE6" i="12"/>
  <c r="DA6" i="12"/>
  <c r="CY6" i="12"/>
  <c r="CW6" i="12"/>
  <c r="CU6" i="12"/>
  <c r="CS6" i="12"/>
  <c r="CO6" i="12"/>
  <c r="CM6" i="12"/>
  <c r="CK6" i="12"/>
  <c r="CI6" i="12"/>
  <c r="CG6" i="12"/>
  <c r="CE6" i="12"/>
  <c r="CC6" i="12"/>
  <c r="CA6" i="12"/>
  <c r="BY6" i="12"/>
  <c r="BW6" i="12"/>
  <c r="BS6" i="12"/>
  <c r="BQ6" i="12"/>
  <c r="BO6" i="12"/>
  <c r="BM6" i="12"/>
  <c r="BK6" i="12"/>
  <c r="BI6" i="12"/>
  <c r="BG6" i="12"/>
  <c r="BE6" i="12"/>
  <c r="BC6" i="12"/>
  <c r="BA6" i="12"/>
  <c r="AY6" i="12"/>
  <c r="AS6" i="12"/>
  <c r="AQ6" i="12"/>
  <c r="AO6" i="12"/>
  <c r="AM6" i="12"/>
  <c r="DV6" i="12"/>
  <c r="DR6" i="12"/>
  <c r="DN6" i="12"/>
  <c r="DJ6" i="12"/>
  <c r="DF6" i="12"/>
  <c r="CX6" i="12"/>
  <c r="CT6" i="12"/>
  <c r="CP6" i="12"/>
  <c r="CL6" i="12"/>
  <c r="CH6" i="12"/>
  <c r="CD6" i="12"/>
  <c r="BZ6" i="12"/>
  <c r="BV6" i="12"/>
  <c r="BR6" i="12"/>
  <c r="BN6" i="12"/>
  <c r="BJ6" i="12"/>
  <c r="BF6" i="12"/>
  <c r="AT6" i="12"/>
  <c r="AP6" i="12"/>
  <c r="DT6" i="12"/>
  <c r="DP6" i="12"/>
  <c r="DL6" i="12"/>
  <c r="DH6" i="12"/>
  <c r="DD6" i="12"/>
  <c r="CZ6" i="12"/>
  <c r="CV6" i="12"/>
  <c r="CN6" i="12"/>
  <c r="CJ6" i="12"/>
  <c r="CF6" i="12"/>
  <c r="CB6" i="12"/>
  <c r="BX6" i="12"/>
  <c r="BP6" i="12"/>
  <c r="BL6" i="12"/>
  <c r="BH6" i="12"/>
  <c r="BD6" i="12"/>
  <c r="AR6" i="12"/>
  <c r="E6" i="12"/>
  <c r="G6" i="12"/>
  <c r="I6" i="12"/>
  <c r="K6" i="12"/>
  <c r="M6" i="12"/>
  <c r="O6" i="12"/>
  <c r="Q6" i="12"/>
  <c r="S6" i="12"/>
  <c r="U6" i="12"/>
  <c r="W6" i="12"/>
  <c r="Y6" i="12"/>
  <c r="AA6" i="12"/>
  <c r="AC6" i="12"/>
  <c r="AE6" i="12"/>
  <c r="AG6" i="12"/>
  <c r="AI6" i="12"/>
  <c r="AK6" i="12"/>
  <c r="B7" i="12"/>
  <c r="A7" i="12" s="1"/>
  <c r="D7" i="12"/>
  <c r="F7" i="12"/>
  <c r="H7" i="12"/>
  <c r="J7" i="12"/>
  <c r="L7" i="12"/>
  <c r="N7" i="12"/>
  <c r="P7" i="12"/>
  <c r="R7" i="12"/>
  <c r="T7" i="12"/>
  <c r="V7" i="12"/>
  <c r="X7" i="12"/>
  <c r="Z7" i="12"/>
  <c r="AB7" i="12"/>
  <c r="AD7" i="12"/>
  <c r="AF7" i="12"/>
  <c r="AH7" i="12"/>
  <c r="AJ7" i="12"/>
  <c r="AL7" i="12"/>
  <c r="DV8" i="12"/>
  <c r="DT8" i="12"/>
  <c r="DR8" i="12"/>
  <c r="DP8" i="12"/>
  <c r="DN8" i="12"/>
  <c r="DL8" i="12"/>
  <c r="DJ8" i="12"/>
  <c r="DH8" i="12"/>
  <c r="DF8" i="12"/>
  <c r="DD8" i="12"/>
  <c r="DB8" i="12"/>
  <c r="CZ8" i="12"/>
  <c r="CX8" i="12"/>
  <c r="CV8" i="12"/>
  <c r="CT8" i="12"/>
  <c r="DS8" i="12"/>
  <c r="DO8" i="12"/>
  <c r="DK8" i="12"/>
  <c r="DG8" i="12"/>
  <c r="CY8" i="12"/>
  <c r="CU8" i="12"/>
  <c r="CP8" i="12"/>
  <c r="CN8" i="12"/>
  <c r="CL8" i="12"/>
  <c r="CJ8" i="12"/>
  <c r="CH8" i="12"/>
  <c r="CF8" i="12"/>
  <c r="CD8" i="12"/>
  <c r="CB8" i="12"/>
  <c r="BZ8" i="12"/>
  <c r="BX8" i="12"/>
  <c r="BV8" i="12"/>
  <c r="BR8" i="12"/>
  <c r="BP8" i="12"/>
  <c r="BN8" i="12"/>
  <c r="BL8" i="12"/>
  <c r="BJ8" i="12"/>
  <c r="BH8" i="12"/>
  <c r="BF8" i="12"/>
  <c r="BD8" i="12"/>
  <c r="AT8" i="12"/>
  <c r="AR8" i="12"/>
  <c r="AP8" i="12"/>
  <c r="DU8" i="12"/>
  <c r="DQ8" i="12"/>
  <c r="DM8" i="12"/>
  <c r="DI8" i="12"/>
  <c r="DE8" i="12"/>
  <c r="DA8" i="12"/>
  <c r="CW8" i="12"/>
  <c r="CS8" i="12"/>
  <c r="CO8" i="12"/>
  <c r="CM8" i="12"/>
  <c r="CK8" i="12"/>
  <c r="CI8" i="12"/>
  <c r="CG8" i="12"/>
  <c r="CE8" i="12"/>
  <c r="CC8" i="12"/>
  <c r="CA8" i="12"/>
  <c r="BY8" i="12"/>
  <c r="BW8" i="12"/>
  <c r="BS8" i="12"/>
  <c r="BQ8" i="12"/>
  <c r="BO8" i="12"/>
  <c r="BM8" i="12"/>
  <c r="BK8" i="12"/>
  <c r="BI8" i="12"/>
  <c r="BG8" i="12"/>
  <c r="BE8" i="12"/>
  <c r="BC8" i="12"/>
  <c r="BA8" i="12"/>
  <c r="AS8" i="12"/>
  <c r="AQ8" i="12"/>
  <c r="AO8" i="12"/>
  <c r="AM8" i="12"/>
  <c r="AL8" i="12"/>
  <c r="AJ8" i="12"/>
  <c r="AH8" i="12"/>
  <c r="AF8" i="12"/>
  <c r="AD8" i="12"/>
  <c r="AB8" i="12"/>
  <c r="Z8" i="12"/>
  <c r="X8" i="12"/>
  <c r="V8" i="12"/>
  <c r="E8" i="12"/>
  <c r="G8" i="12"/>
  <c r="I8" i="12"/>
  <c r="K8" i="12"/>
  <c r="M8" i="12"/>
  <c r="O8" i="12"/>
  <c r="Q8" i="12"/>
  <c r="S8" i="12"/>
  <c r="U8" i="12"/>
  <c r="Y8" i="12"/>
  <c r="AC8" i="12"/>
  <c r="AG8" i="12"/>
  <c r="AK8" i="12"/>
  <c r="E10" i="12"/>
  <c r="I10" i="12"/>
  <c r="M10" i="12"/>
  <c r="Q10" i="12"/>
  <c r="U10" i="12"/>
  <c r="Y10" i="12"/>
  <c r="AC10" i="12"/>
  <c r="AG10" i="12"/>
  <c r="AK10" i="12"/>
  <c r="E12" i="12"/>
  <c r="I12" i="12"/>
  <c r="M12" i="12"/>
  <c r="Q12" i="12"/>
  <c r="U12" i="12"/>
  <c r="Y12" i="12"/>
  <c r="AC12" i="12"/>
  <c r="AG12" i="12"/>
  <c r="AK12" i="12"/>
  <c r="B47" i="9"/>
  <c r="D47" i="9"/>
  <c r="F47" i="9"/>
  <c r="H47" i="9"/>
  <c r="J47" i="9"/>
  <c r="DU9" i="12"/>
  <c r="DS9" i="12"/>
  <c r="DQ9" i="12"/>
  <c r="DO9" i="12"/>
  <c r="DM9" i="12"/>
  <c r="DK9" i="12"/>
  <c r="DI9" i="12"/>
  <c r="DG9" i="12"/>
  <c r="DE9" i="12"/>
  <c r="CY9" i="12"/>
  <c r="CW9" i="12"/>
  <c r="CU9" i="12"/>
  <c r="CS9" i="12"/>
  <c r="CO9" i="12"/>
  <c r="CM9" i="12"/>
  <c r="CK9" i="12"/>
  <c r="CI9" i="12"/>
  <c r="CG9" i="12"/>
  <c r="CE9" i="12"/>
  <c r="CC9" i="12"/>
  <c r="CA9" i="12"/>
  <c r="BY9" i="12"/>
  <c r="BW9" i="12"/>
  <c r="BU9" i="12"/>
  <c r="BS9" i="12"/>
  <c r="BQ9" i="12"/>
  <c r="BO9" i="12"/>
  <c r="BM9" i="12"/>
  <c r="BK9" i="12"/>
  <c r="BI9" i="12"/>
  <c r="BG9" i="12"/>
  <c r="BE9" i="12"/>
  <c r="BC9" i="12"/>
  <c r="BA9" i="12"/>
  <c r="AY9" i="12"/>
  <c r="AS9" i="12"/>
  <c r="AQ9" i="12"/>
  <c r="AO9" i="12"/>
  <c r="AM9" i="12"/>
  <c r="DT9" i="12"/>
  <c r="DP9" i="12"/>
  <c r="DL9" i="12"/>
  <c r="DH9" i="12"/>
  <c r="DD9" i="12"/>
  <c r="CZ9" i="12"/>
  <c r="CV9" i="12"/>
  <c r="CN9" i="12"/>
  <c r="CJ9" i="12"/>
  <c r="CF9" i="12"/>
  <c r="CB9" i="12"/>
  <c r="BX9" i="12"/>
  <c r="BP9" i="12"/>
  <c r="BL9" i="12"/>
  <c r="BH9" i="12"/>
  <c r="BD9" i="12"/>
  <c r="AZ9" i="12"/>
  <c r="AR9" i="12"/>
  <c r="DV9" i="12"/>
  <c r="DR9" i="12"/>
  <c r="DN9" i="12"/>
  <c r="DJ9" i="12"/>
  <c r="DF9" i="12"/>
  <c r="CX9" i="12"/>
  <c r="CT9" i="12"/>
  <c r="CP9" i="12"/>
  <c r="CL9" i="12"/>
  <c r="CH9" i="12"/>
  <c r="CD9" i="12"/>
  <c r="BZ9" i="12"/>
  <c r="BR9" i="12"/>
  <c r="BN9" i="12"/>
  <c r="BJ9" i="12"/>
  <c r="BF9" i="12"/>
  <c r="AX9" i="12"/>
  <c r="AP9" i="12"/>
  <c r="E9" i="12"/>
  <c r="G9" i="12"/>
  <c r="I9" i="12"/>
  <c r="K9" i="12"/>
  <c r="M9" i="12"/>
  <c r="O9" i="12"/>
  <c r="Q9" i="12"/>
  <c r="S9" i="12"/>
  <c r="U9" i="12"/>
  <c r="W9" i="12"/>
  <c r="Y9" i="12"/>
  <c r="AA9" i="12"/>
  <c r="AC9" i="12"/>
  <c r="AE9" i="12"/>
  <c r="AG9" i="12"/>
  <c r="AI9" i="12"/>
  <c r="AK9" i="12"/>
  <c r="DV11" i="12"/>
  <c r="DT11" i="12"/>
  <c r="DR11" i="12"/>
  <c r="DP11" i="12"/>
  <c r="DN11" i="12"/>
  <c r="DL11" i="12"/>
  <c r="DJ11" i="12"/>
  <c r="DH11" i="12"/>
  <c r="DF11" i="12"/>
  <c r="DD11" i="12"/>
  <c r="CZ11" i="12"/>
  <c r="CX11" i="12"/>
  <c r="CV11" i="12"/>
  <c r="CT11" i="12"/>
  <c r="CP11" i="12"/>
  <c r="CN11" i="12"/>
  <c r="CL11" i="12"/>
  <c r="CJ11" i="12"/>
  <c r="CH11" i="12"/>
  <c r="CF11" i="12"/>
  <c r="CD11" i="12"/>
  <c r="CB11" i="12"/>
  <c r="BZ11" i="12"/>
  <c r="BX11" i="12"/>
  <c r="BR11" i="12"/>
  <c r="BP11" i="12"/>
  <c r="BN11" i="12"/>
  <c r="BL11" i="12"/>
  <c r="BJ11" i="12"/>
  <c r="BH11" i="12"/>
  <c r="BF11" i="12"/>
  <c r="BD11" i="12"/>
  <c r="BB11" i="12"/>
  <c r="AZ11" i="12"/>
  <c r="AX11" i="12"/>
  <c r="AR11" i="12"/>
  <c r="AP11" i="12"/>
  <c r="DU11" i="12"/>
  <c r="DS11" i="12"/>
  <c r="DQ11" i="12"/>
  <c r="DO11" i="12"/>
  <c r="DM11" i="12"/>
  <c r="DK11" i="12"/>
  <c r="DI11" i="12"/>
  <c r="DG11" i="12"/>
  <c r="DE11" i="12"/>
  <c r="CY11" i="12"/>
  <c r="CW11" i="12"/>
  <c r="CU11" i="12"/>
  <c r="CS11" i="12"/>
  <c r="CO11" i="12"/>
  <c r="CM11" i="12"/>
  <c r="CK11" i="12"/>
  <c r="CI11" i="12"/>
  <c r="CG11" i="12"/>
  <c r="CE11" i="12"/>
  <c r="CC11" i="12"/>
  <c r="CA11" i="12"/>
  <c r="BY11" i="12"/>
  <c r="BW11" i="12"/>
  <c r="BU11" i="12"/>
  <c r="BS11" i="12"/>
  <c r="BQ11" i="12"/>
  <c r="BO11" i="12"/>
  <c r="BM11" i="12"/>
  <c r="BK11" i="12"/>
  <c r="BI11" i="12"/>
  <c r="BG11" i="12"/>
  <c r="BE11" i="12"/>
  <c r="BC11" i="12"/>
  <c r="BA11" i="12"/>
  <c r="AS11" i="12"/>
  <c r="AQ11" i="12"/>
  <c r="AO11" i="12"/>
  <c r="AM11" i="12"/>
  <c r="E11" i="12"/>
  <c r="G11" i="12"/>
  <c r="I11" i="12"/>
  <c r="K11" i="12"/>
  <c r="M11" i="12"/>
  <c r="O11" i="12"/>
  <c r="Q11" i="12"/>
  <c r="S11" i="12"/>
  <c r="U11" i="12"/>
  <c r="W11" i="12"/>
  <c r="Y11" i="12"/>
  <c r="AA11" i="12"/>
  <c r="AC11" i="12"/>
  <c r="AE11" i="12"/>
  <c r="AG11" i="12"/>
  <c r="AI11" i="12"/>
  <c r="AK11" i="12"/>
  <c r="DX13" i="12"/>
  <c r="DV13" i="12"/>
  <c r="DT13" i="12"/>
  <c r="DR13" i="12"/>
  <c r="DP13" i="12"/>
  <c r="DN13" i="12"/>
  <c r="DL13" i="12"/>
  <c r="DJ13" i="12"/>
  <c r="DH13" i="12"/>
  <c r="DF13" i="12"/>
  <c r="DD13" i="12"/>
  <c r="CX13" i="12"/>
  <c r="CV13" i="12"/>
  <c r="CT13" i="12"/>
  <c r="CP13" i="12"/>
  <c r="CN13" i="12"/>
  <c r="CL13" i="12"/>
  <c r="CJ13" i="12"/>
  <c r="CH13" i="12"/>
  <c r="CF13" i="12"/>
  <c r="CD13" i="12"/>
  <c r="CB13" i="12"/>
  <c r="BZ13" i="12"/>
  <c r="BX13" i="12"/>
  <c r="BR13" i="12"/>
  <c r="BP13" i="12"/>
  <c r="BN13" i="12"/>
  <c r="BL13" i="12"/>
  <c r="BJ13" i="12"/>
  <c r="BH13" i="12"/>
  <c r="BF13" i="12"/>
  <c r="BD13" i="12"/>
  <c r="AZ13" i="12"/>
  <c r="AX13" i="12"/>
  <c r="AR13" i="12"/>
  <c r="AP13" i="12"/>
  <c r="DU13" i="12"/>
  <c r="DS13" i="12"/>
  <c r="DQ13" i="12"/>
  <c r="DO13" i="12"/>
  <c r="DM13" i="12"/>
  <c r="DK13" i="12"/>
  <c r="DI13" i="12"/>
  <c r="DG13" i="12"/>
  <c r="DE13" i="12"/>
  <c r="CY13" i="12"/>
  <c r="CW13" i="12"/>
  <c r="CU13" i="12"/>
  <c r="CS13" i="12"/>
  <c r="CO13" i="12"/>
  <c r="CM13" i="12"/>
  <c r="CK13" i="12"/>
  <c r="CI13" i="12"/>
  <c r="CG13" i="12"/>
  <c r="CE13" i="12"/>
  <c r="CC13" i="12"/>
  <c r="CA13" i="12"/>
  <c r="BY13" i="12"/>
  <c r="BW13" i="12"/>
  <c r="BU13" i="12"/>
  <c r="BS13" i="12"/>
  <c r="BQ13" i="12"/>
  <c r="BO13" i="12"/>
  <c r="BM13" i="12"/>
  <c r="BK13" i="12"/>
  <c r="BI13" i="12"/>
  <c r="BG13" i="12"/>
  <c r="BE13" i="12"/>
  <c r="BC13" i="12"/>
  <c r="BA13" i="12"/>
  <c r="AY13" i="12"/>
  <c r="AS13" i="12"/>
  <c r="AQ13" i="12"/>
  <c r="AO13" i="12"/>
  <c r="AM13" i="12"/>
  <c r="E13" i="12"/>
  <c r="G13" i="12"/>
  <c r="I13" i="12"/>
  <c r="K13" i="12"/>
  <c r="M13" i="12"/>
  <c r="O13" i="12"/>
  <c r="Q13" i="12"/>
  <c r="S13" i="12"/>
  <c r="U13" i="12"/>
  <c r="W13" i="12"/>
  <c r="Y13" i="12"/>
  <c r="AA13" i="12"/>
  <c r="AC13" i="12"/>
  <c r="AE13" i="12"/>
  <c r="AG13" i="12"/>
  <c r="AI13" i="12"/>
  <c r="AK13" i="12"/>
  <c r="C22" i="11"/>
  <c r="B18" i="10"/>
  <c r="B22" i="10"/>
  <c r="D23" i="11"/>
  <c r="B20" i="10"/>
  <c r="B23" i="11"/>
  <c r="C24" i="11"/>
  <c r="B24" i="10"/>
  <c r="C43" i="13"/>
  <c r="BT5" i="12" s="1"/>
  <c r="E43" i="13"/>
  <c r="BT7" i="12" s="1"/>
  <c r="G43" i="13"/>
  <c r="BT9" i="12" s="1"/>
  <c r="I43" i="13"/>
  <c r="BT11" i="12" s="1"/>
  <c r="K43" i="13"/>
  <c r="BT13" i="12" s="1"/>
  <c r="D44" i="13"/>
  <c r="BU6" i="12" s="1"/>
  <c r="F44" i="13"/>
  <c r="BU8" i="12" s="1"/>
  <c r="H44" i="13"/>
  <c r="BU10" i="12" s="1"/>
  <c r="J44" i="13"/>
  <c r="BU12" i="12" s="1"/>
  <c r="C45" i="13"/>
  <c r="BV5" i="12" s="1"/>
  <c r="E45" i="13"/>
  <c r="BV7" i="12" s="1"/>
  <c r="G45" i="13"/>
  <c r="BV9" i="12" s="1"/>
  <c r="I45" i="13"/>
  <c r="BV11" i="12" s="1"/>
  <c r="K45" i="13"/>
  <c r="E30" i="11" s="1"/>
  <c r="C66" i="9"/>
  <c r="C64" i="9"/>
  <c r="C65" i="9"/>
  <c r="E66" i="9"/>
  <c r="E64" i="9"/>
  <c r="E65" i="9"/>
  <c r="G66" i="9"/>
  <c r="G64" i="9"/>
  <c r="G65" i="9"/>
  <c r="I66" i="9"/>
  <c r="I64" i="9"/>
  <c r="I65" i="9"/>
  <c r="K66" i="9"/>
  <c r="L65" i="9"/>
  <c r="L66" i="9"/>
  <c r="K65" i="9"/>
  <c r="L64" i="9"/>
  <c r="B60" i="9"/>
  <c r="D60" i="9"/>
  <c r="F60" i="9"/>
  <c r="H60" i="9"/>
  <c r="J60" i="9"/>
  <c r="C79" i="9"/>
  <c r="E79" i="9"/>
  <c r="G79" i="9"/>
  <c r="I79" i="9"/>
  <c r="K79" i="9"/>
  <c r="L79" i="9"/>
  <c r="M79" i="9" s="1"/>
  <c r="K24" i="15"/>
  <c r="I7" i="8" s="1"/>
  <c r="B16" i="8" s="1"/>
  <c r="C46" i="15"/>
  <c r="E46" i="15"/>
  <c r="G46" i="15"/>
  <c r="I46" i="15"/>
  <c r="K46" i="15"/>
  <c r="C47" i="15"/>
  <c r="E47" i="15"/>
  <c r="G47" i="15"/>
  <c r="I47" i="15"/>
  <c r="K47" i="15"/>
  <c r="K51" i="15"/>
  <c r="K60" i="15"/>
  <c r="C65" i="15"/>
  <c r="E65" i="15"/>
  <c r="G65" i="15"/>
  <c r="I65" i="15"/>
  <c r="K65" i="15"/>
  <c r="C66" i="15"/>
  <c r="E66" i="15"/>
  <c r="G66" i="15"/>
  <c r="I66" i="15"/>
  <c r="D106" i="15"/>
  <c r="F106" i="15"/>
  <c r="H106" i="15"/>
  <c r="J106" i="15"/>
  <c r="L106" i="15"/>
  <c r="D117" i="15"/>
  <c r="F117" i="15"/>
  <c r="H117" i="15"/>
  <c r="J117" i="15"/>
  <c r="L117" i="15"/>
  <c r="O3" i="9"/>
  <c r="O4" i="9"/>
  <c r="Y3" i="9"/>
  <c r="AA3" i="9"/>
  <c r="AC3" i="9"/>
  <c r="X4" i="9"/>
  <c r="Z4" i="9"/>
  <c r="AB4" i="9"/>
  <c r="Y5" i="9"/>
  <c r="E33" i="9" s="1"/>
  <c r="AA5" i="9"/>
  <c r="AA7" i="9" s="1"/>
  <c r="AC5" i="9"/>
  <c r="AC7" i="9" s="1"/>
  <c r="X6" i="9"/>
  <c r="X7" i="9" s="1"/>
  <c r="I12" i="9"/>
  <c r="K12" i="9" s="1"/>
  <c r="M12" i="9" s="1"/>
  <c r="I14" i="9"/>
  <c r="D24" i="9"/>
  <c r="B19" i="9"/>
  <c r="F19" i="9"/>
  <c r="D27" i="9" s="1"/>
  <c r="B21" i="9"/>
  <c r="F8" i="8" s="1"/>
  <c r="K43" i="9"/>
  <c r="C47" i="9"/>
  <c r="E47" i="9"/>
  <c r="G47" i="9"/>
  <c r="I47" i="9"/>
  <c r="K47" i="9"/>
  <c r="G24" i="9" s="1"/>
  <c r="K49" i="9"/>
  <c r="AH13" i="12"/>
  <c r="AJ13" i="12"/>
  <c r="AL13" i="12"/>
  <c r="D22" i="11"/>
  <c r="B19" i="10"/>
  <c r="B22" i="11"/>
  <c r="B17" i="10"/>
  <c r="C23" i="11"/>
  <c r="B21" i="10"/>
  <c r="D24" i="11"/>
  <c r="B25" i="10"/>
  <c r="B24" i="11"/>
  <c r="B23" i="10"/>
  <c r="D43" i="13"/>
  <c r="BT6" i="12" s="1"/>
  <c r="F43" i="13"/>
  <c r="BT8" i="12" s="1"/>
  <c r="H43" i="13"/>
  <c r="BT10" i="12" s="1"/>
  <c r="J43" i="13"/>
  <c r="BT12" i="12" s="1"/>
  <c r="B65" i="9"/>
  <c r="B66" i="9"/>
  <c r="B64" i="9"/>
  <c r="D65" i="9"/>
  <c r="D66" i="9"/>
  <c r="D64" i="9"/>
  <c r="F65" i="9"/>
  <c r="F66" i="9"/>
  <c r="F64" i="9"/>
  <c r="H65" i="9"/>
  <c r="H66" i="9"/>
  <c r="H64" i="9"/>
  <c r="J65" i="9"/>
  <c r="J66" i="9"/>
  <c r="J64" i="9"/>
  <c r="C60" i="9"/>
  <c r="E60" i="9"/>
  <c r="G60" i="9"/>
  <c r="I60" i="9"/>
  <c r="L60" i="9"/>
  <c r="L6" i="9" s="1"/>
  <c r="K60" i="9"/>
  <c r="D46" i="15"/>
  <c r="F46" i="15"/>
  <c r="H46" i="15"/>
  <c r="J46" i="15"/>
  <c r="L46" i="15"/>
  <c r="L47" i="15"/>
  <c r="D65" i="15"/>
  <c r="F65" i="15"/>
  <c r="H65" i="15"/>
  <c r="J65" i="15"/>
  <c r="L65" i="15"/>
  <c r="N65" i="15" s="1"/>
  <c r="D66" i="15"/>
  <c r="F66" i="15"/>
  <c r="H66" i="15"/>
  <c r="J66" i="15"/>
  <c r="L66" i="15"/>
  <c r="N66" i="15" s="1"/>
  <c r="E106" i="15"/>
  <c r="G106" i="15"/>
  <c r="I106" i="15"/>
  <c r="K106" i="15"/>
  <c r="C117" i="15"/>
  <c r="O117" i="15" s="1"/>
  <c r="I117" i="15"/>
  <c r="X3" i="9"/>
  <c r="Z3" i="9"/>
  <c r="AB3" i="9"/>
  <c r="B18" i="9"/>
  <c r="F18" i="9"/>
  <c r="B20" i="9"/>
  <c r="F20" i="9"/>
  <c r="M18" i="9"/>
  <c r="M19" i="9"/>
  <c r="M20" i="9"/>
  <c r="M21" i="9"/>
  <c r="E108" i="15"/>
  <c r="G108" i="15"/>
  <c r="I108" i="15"/>
  <c r="K108" i="15"/>
  <c r="N51" i="15"/>
  <c r="O128" i="15"/>
  <c r="D108" i="15"/>
  <c r="F108" i="15"/>
  <c r="H108" i="15"/>
  <c r="J108" i="15"/>
  <c r="L108" i="15"/>
  <c r="B14" i="9" s="1"/>
  <c r="N42" i="15"/>
  <c r="M59" i="15"/>
  <c r="L26" i="15"/>
  <c r="C130" i="15"/>
  <c r="P129" i="15"/>
  <c r="Q129" i="15"/>
  <c r="O129" i="15"/>
  <c r="E130" i="15"/>
  <c r="G130" i="15"/>
  <c r="I130" i="15"/>
  <c r="K130" i="15"/>
  <c r="N41" i="15"/>
  <c r="C78" i="15"/>
  <c r="E78" i="15"/>
  <c r="G78" i="15"/>
  <c r="I78" i="15"/>
  <c r="K78" i="15"/>
  <c r="P50" i="15"/>
  <c r="C71" i="15"/>
  <c r="E71" i="15"/>
  <c r="G71" i="15"/>
  <c r="I71" i="15"/>
  <c r="K71" i="15"/>
  <c r="AD6" i="9" s="1"/>
  <c r="M57" i="15"/>
  <c r="P57" i="15"/>
  <c r="M58" i="15"/>
  <c r="P58" i="15"/>
  <c r="P60" i="15"/>
  <c r="P69" i="15"/>
  <c r="Q69" i="15"/>
  <c r="N40" i="15"/>
  <c r="D130" i="15"/>
  <c r="F130" i="15"/>
  <c r="H130" i="15"/>
  <c r="J130" i="15"/>
  <c r="L130" i="15"/>
  <c r="D78" i="15"/>
  <c r="F78" i="15"/>
  <c r="H78" i="15"/>
  <c r="J78" i="15"/>
  <c r="L78" i="15"/>
  <c r="O43" i="15"/>
  <c r="Q43" i="15"/>
  <c r="O45" i="15"/>
  <c r="Q45" i="15"/>
  <c r="O50" i="15"/>
  <c r="Q50" i="15"/>
  <c r="D71" i="15"/>
  <c r="F71" i="15"/>
  <c r="H71" i="15"/>
  <c r="J71" i="15"/>
  <c r="L71" i="15"/>
  <c r="O54" i="15"/>
  <c r="Q54" i="15"/>
  <c r="O55" i="15"/>
  <c r="Q55" i="15"/>
  <c r="O57" i="15"/>
  <c r="Q57" i="15"/>
  <c r="O58" i="15"/>
  <c r="Q58" i="15"/>
  <c r="O69" i="15"/>
  <c r="O73" i="15"/>
  <c r="Q73" i="15"/>
  <c r="N75" i="15"/>
  <c r="P75" i="15"/>
  <c r="P76" i="15"/>
  <c r="O79" i="15"/>
  <c r="Q79" i="15"/>
  <c r="N82" i="15"/>
  <c r="P82" i="15"/>
  <c r="N83" i="15"/>
  <c r="P83" i="15"/>
  <c r="O84" i="15"/>
  <c r="Q84" i="15"/>
  <c r="P85" i="15"/>
  <c r="N86" i="15"/>
  <c r="P86" i="15"/>
  <c r="Q97" i="15"/>
  <c r="O97" i="15"/>
  <c r="P97" i="15"/>
  <c r="O75" i="15"/>
  <c r="O76" i="15"/>
  <c r="O82" i="15"/>
  <c r="O83" i="15"/>
  <c r="O85" i="15"/>
  <c r="O86" i="15"/>
  <c r="Q96" i="15"/>
  <c r="O96" i="15"/>
  <c r="P96" i="15"/>
  <c r="O99" i="15"/>
  <c r="Q99" i="15"/>
  <c r="P100" i="15"/>
  <c r="P110" i="15"/>
  <c r="P112" i="15"/>
  <c r="P114" i="15"/>
  <c r="P115" i="15"/>
  <c r="P116" i="15"/>
  <c r="P118" i="15"/>
  <c r="P119" i="15"/>
  <c r="O100" i="15"/>
  <c r="O110" i="15"/>
  <c r="O112" i="15"/>
  <c r="O114" i="15"/>
  <c r="O115" i="15"/>
  <c r="O116" i="15"/>
  <c r="O118" i="15"/>
  <c r="O119" i="15"/>
  <c r="C98" i="14"/>
  <c r="C39" i="14"/>
  <c r="C41" i="14" s="1"/>
  <c r="B30" i="18" s="1"/>
  <c r="E98" i="14"/>
  <c r="E39" i="14"/>
  <c r="E41" i="14" s="1"/>
  <c r="G98" i="14"/>
  <c r="G39" i="14"/>
  <c r="G41" i="14" s="1"/>
  <c r="F30" i="18" s="1"/>
  <c r="I98" i="14"/>
  <c r="I39" i="14"/>
  <c r="I41" i="14" s="1"/>
  <c r="K98" i="14"/>
  <c r="K39" i="14"/>
  <c r="K41" i="14" s="1"/>
  <c r="J30" i="18" s="1"/>
  <c r="M39" i="14"/>
  <c r="F64" i="14"/>
  <c r="E41" i="18" s="1"/>
  <c r="J64" i="14"/>
  <c r="D69" i="14"/>
  <c r="C15" i="18" s="1"/>
  <c r="L69" i="14"/>
  <c r="D98" i="14"/>
  <c r="D39" i="14"/>
  <c r="D41" i="14" s="1"/>
  <c r="F98" i="14"/>
  <c r="F39" i="14"/>
  <c r="H98" i="14"/>
  <c r="H39" i="14"/>
  <c r="H41" i="14" s="1"/>
  <c r="J98" i="14"/>
  <c r="J39" i="14"/>
  <c r="L98" i="14"/>
  <c r="L39" i="14"/>
  <c r="L41" i="14" s="1"/>
  <c r="D64" i="14"/>
  <c r="C34" i="18" s="1"/>
  <c r="H64" i="14"/>
  <c r="C79" i="14"/>
  <c r="C80" i="14" s="1"/>
  <c r="B9" i="18" s="1"/>
  <c r="F65" i="14"/>
  <c r="G68" i="14"/>
  <c r="F14" i="18" s="1"/>
  <c r="H65" i="14"/>
  <c r="I68" i="14"/>
  <c r="H14" i="18" s="1"/>
  <c r="J65" i="14"/>
  <c r="K68" i="14"/>
  <c r="J14" i="18" s="1"/>
  <c r="E78" i="14"/>
  <c r="G78" i="14"/>
  <c r="I78" i="14"/>
  <c r="K78" i="14"/>
  <c r="M78" i="14"/>
  <c r="D34" i="14"/>
  <c r="C59" i="9" s="1"/>
  <c r="F34" i="14"/>
  <c r="E59" i="9" s="1"/>
  <c r="H34" i="14"/>
  <c r="G59" i="9" s="1"/>
  <c r="J34" i="14"/>
  <c r="I59" i="9" s="1"/>
  <c r="L34" i="14"/>
  <c r="D79" i="14"/>
  <c r="D80" i="14" s="1"/>
  <c r="L79" i="14"/>
  <c r="L80" i="14" s="1"/>
  <c r="M90" i="14"/>
  <c r="E6" i="9" s="1"/>
  <c r="E30" i="9" s="1"/>
  <c r="M88" i="14"/>
  <c r="M82" i="14"/>
  <c r="M93" i="14"/>
  <c r="G6" i="9" s="1"/>
  <c r="M89" i="14"/>
  <c r="M91" i="14"/>
  <c r="D6" i="9" s="1"/>
  <c r="M87" i="14"/>
  <c r="D68" i="14"/>
  <c r="C19" i="18" s="1"/>
  <c r="F68" i="14"/>
  <c r="H68" i="14"/>
  <c r="G19" i="18" s="1"/>
  <c r="J68" i="14"/>
  <c r="L68" i="14"/>
  <c r="K19" i="18" s="1"/>
  <c r="D74" i="14"/>
  <c r="F74" i="14"/>
  <c r="G75" i="14" s="1"/>
  <c r="F79" i="13" s="1"/>
  <c r="DC8" i="12" s="1"/>
  <c r="H74" i="14"/>
  <c r="J74" i="14"/>
  <c r="K75" i="14" s="1"/>
  <c r="J79" i="13" s="1"/>
  <c r="DC12" i="12" s="1"/>
  <c r="L74" i="14"/>
  <c r="E65" i="14"/>
  <c r="E66" i="14" s="1"/>
  <c r="E69" i="14" s="1"/>
  <c r="D15" i="18" s="1"/>
  <c r="I65" i="14"/>
  <c r="D70" i="14"/>
  <c r="C21" i="18" s="1"/>
  <c r="F70" i="14"/>
  <c r="H70" i="14"/>
  <c r="G21" i="18" s="1"/>
  <c r="J70" i="14"/>
  <c r="L70" i="14"/>
  <c r="K16" i="18" s="1"/>
  <c r="E68" i="14"/>
  <c r="D73" i="14"/>
  <c r="C77" i="13" s="1"/>
  <c r="DA5" i="12" s="1"/>
  <c r="F73" i="14"/>
  <c r="H73" i="14"/>
  <c r="G77" i="13" s="1"/>
  <c r="DA9" i="12" s="1"/>
  <c r="J73" i="14"/>
  <c r="C20" i="13"/>
  <c r="AY5" i="12" s="1"/>
  <c r="O9" i="13"/>
  <c r="I20" i="13"/>
  <c r="AY11" i="12" s="1"/>
  <c r="M9" i="13"/>
  <c r="B114" i="13"/>
  <c r="O110" i="13"/>
  <c r="B112" i="13"/>
  <c r="B103" i="13"/>
  <c r="O21" i="13"/>
  <c r="B7" i="11" s="1"/>
  <c r="B21" i="13"/>
  <c r="B106" i="13" s="1"/>
  <c r="D116" i="13"/>
  <c r="D112" i="13"/>
  <c r="D21" i="13"/>
  <c r="D106" i="13" s="1"/>
  <c r="D109" i="13" s="1"/>
  <c r="F116" i="13"/>
  <c r="F112" i="13"/>
  <c r="F21" i="13"/>
  <c r="F106" i="13" s="1"/>
  <c r="F109" i="13" s="1"/>
  <c r="H116" i="13"/>
  <c r="H112" i="13"/>
  <c r="H21" i="13"/>
  <c r="H106" i="13" s="1"/>
  <c r="H109" i="13" s="1"/>
  <c r="J116" i="13"/>
  <c r="J112" i="13"/>
  <c r="J21" i="13"/>
  <c r="J106" i="13" s="1"/>
  <c r="M11" i="13"/>
  <c r="D101" i="13"/>
  <c r="DY6" i="12" s="1"/>
  <c r="H101" i="13"/>
  <c r="DY10" i="12" s="1"/>
  <c r="F118" i="13"/>
  <c r="F114" i="13"/>
  <c r="F104" i="13"/>
  <c r="F103" i="13"/>
  <c r="F105" i="13"/>
  <c r="J118" i="13"/>
  <c r="J114" i="13"/>
  <c r="J104" i="13"/>
  <c r="J103" i="13"/>
  <c r="J105" i="13"/>
  <c r="M20" i="13"/>
  <c r="G109" i="13"/>
  <c r="N71" i="13"/>
  <c r="H99" i="13"/>
  <c r="DW10" i="12" s="1"/>
  <c r="F101" i="13"/>
  <c r="DY8" i="12" s="1"/>
  <c r="D103" i="13"/>
  <c r="B111" i="13"/>
  <c r="B105" i="13"/>
  <c r="D111" i="13"/>
  <c r="D115" i="13"/>
  <c r="F111" i="13"/>
  <c r="F115" i="13"/>
  <c r="H111" i="13"/>
  <c r="H115" i="13"/>
  <c r="J111" i="13"/>
  <c r="J115" i="13"/>
  <c r="M4" i="13"/>
  <c r="N6" i="13"/>
  <c r="O19" i="13"/>
  <c r="B19" i="13"/>
  <c r="AX4" i="12" s="1"/>
  <c r="D19" i="13"/>
  <c r="AX6" i="12" s="1"/>
  <c r="F19" i="13"/>
  <c r="AX8" i="12" s="1"/>
  <c r="H19" i="13"/>
  <c r="AX10" i="12" s="1"/>
  <c r="J19" i="13"/>
  <c r="AX12" i="12" s="1"/>
  <c r="M8" i="13"/>
  <c r="N20" i="13"/>
  <c r="N9" i="13"/>
  <c r="O11" i="13"/>
  <c r="C117" i="13"/>
  <c r="C113" i="13"/>
  <c r="C99" i="13"/>
  <c r="DW5" i="12" s="1"/>
  <c r="C15" i="13"/>
  <c r="AT5" i="12" s="1"/>
  <c r="O12" i="13"/>
  <c r="E117" i="13"/>
  <c r="E113" i="13"/>
  <c r="E99" i="13"/>
  <c r="DW7" i="12" s="1"/>
  <c r="E100" i="13"/>
  <c r="DX7" i="12" s="1"/>
  <c r="E15" i="13"/>
  <c r="AT7" i="12" s="1"/>
  <c r="G117" i="13"/>
  <c r="G113" i="13"/>
  <c r="G99" i="13"/>
  <c r="DW9" i="12" s="1"/>
  <c r="G15" i="13"/>
  <c r="AT9" i="12" s="1"/>
  <c r="I117" i="13"/>
  <c r="I113" i="13"/>
  <c r="I99" i="13"/>
  <c r="DW11" i="12" s="1"/>
  <c r="I100" i="13"/>
  <c r="DX11" i="12" s="1"/>
  <c r="I15" i="13"/>
  <c r="AT11" i="12" s="1"/>
  <c r="M12" i="13"/>
  <c r="M23" i="13" s="1"/>
  <c r="D9" i="11" s="1"/>
  <c r="K117" i="13"/>
  <c r="E73" i="11" s="1"/>
  <c r="K113" i="13"/>
  <c r="E69" i="11" s="1"/>
  <c r="K99" i="13"/>
  <c r="E55" i="11" s="1"/>
  <c r="K15" i="13"/>
  <c r="AT13" i="12" s="1"/>
  <c r="C101" i="13"/>
  <c r="DY5" i="12" s="1"/>
  <c r="O13" i="13"/>
  <c r="E101" i="13"/>
  <c r="DY7" i="12" s="1"/>
  <c r="G101" i="13"/>
  <c r="DY9" i="12" s="1"/>
  <c r="I101" i="13"/>
  <c r="DY11" i="12" s="1"/>
  <c r="M44" i="13"/>
  <c r="D29" i="11" s="1"/>
  <c r="M13" i="13"/>
  <c r="K101" i="13"/>
  <c r="E57" i="11" s="1"/>
  <c r="B102" i="13"/>
  <c r="D102" i="13"/>
  <c r="F102" i="13"/>
  <c r="H102" i="13"/>
  <c r="J102" i="13"/>
  <c r="M102" i="13" s="1"/>
  <c r="D58" i="11" s="1"/>
  <c r="M14" i="13"/>
  <c r="D118" i="13"/>
  <c r="D114" i="13"/>
  <c r="D104" i="13"/>
  <c r="D105" i="13"/>
  <c r="H118" i="13"/>
  <c r="H114" i="13"/>
  <c r="H104" i="13"/>
  <c r="H105" i="13"/>
  <c r="B20" i="13"/>
  <c r="AY4" i="12" s="1"/>
  <c r="F20" i="13"/>
  <c r="AY8" i="12" s="1"/>
  <c r="J20" i="13"/>
  <c r="AY12" i="12" s="1"/>
  <c r="O20" i="13"/>
  <c r="N21" i="13"/>
  <c r="C7" i="11" s="1"/>
  <c r="C23" i="13"/>
  <c r="BB5" i="12" s="1"/>
  <c r="G23" i="13"/>
  <c r="BB9" i="12" s="1"/>
  <c r="K23" i="13"/>
  <c r="E9" i="11" s="1"/>
  <c r="O39" i="13"/>
  <c r="N40" i="13"/>
  <c r="O46" i="13"/>
  <c r="N47" i="13"/>
  <c r="O50" i="13"/>
  <c r="N51" i="13"/>
  <c r="C31" i="11" s="1"/>
  <c r="O55" i="13"/>
  <c r="N56" i="13"/>
  <c r="C37" i="11" s="1"/>
  <c r="M57" i="13"/>
  <c r="D38" i="11" s="1"/>
  <c r="I108" i="13"/>
  <c r="M108" i="13" s="1"/>
  <c r="D64" i="11" s="1"/>
  <c r="O59" i="13"/>
  <c r="B40" i="11" s="1"/>
  <c r="N61" i="13"/>
  <c r="O64" i="13"/>
  <c r="N73" i="13"/>
  <c r="B107" i="13"/>
  <c r="O107" i="13" s="1"/>
  <c r="B63" i="11" s="1"/>
  <c r="O97" i="13"/>
  <c r="M97" i="13"/>
  <c r="D99" i="13"/>
  <c r="DW6" i="12" s="1"/>
  <c r="G100" i="13"/>
  <c r="B101" i="13"/>
  <c r="DY4" i="12" s="1"/>
  <c r="J101" i="13"/>
  <c r="DY12" i="12" s="1"/>
  <c r="H103" i="13"/>
  <c r="C115" i="13"/>
  <c r="C111" i="13"/>
  <c r="E115" i="13"/>
  <c r="E111" i="13"/>
  <c r="G115" i="13"/>
  <c r="G111" i="13"/>
  <c r="I115" i="13"/>
  <c r="I111" i="13"/>
  <c r="K115" i="13"/>
  <c r="E71" i="11" s="1"/>
  <c r="K111" i="13"/>
  <c r="E67" i="11" s="1"/>
  <c r="N4" i="13"/>
  <c r="N110" i="13"/>
  <c r="M110" i="13"/>
  <c r="C116" i="13"/>
  <c r="C112" i="13"/>
  <c r="E116" i="13"/>
  <c r="E112" i="13"/>
  <c r="G116" i="13"/>
  <c r="G112" i="13"/>
  <c r="I116" i="13"/>
  <c r="I112" i="13"/>
  <c r="K116" i="13"/>
  <c r="E72" i="11" s="1"/>
  <c r="K112" i="13"/>
  <c r="E68" i="11" s="1"/>
  <c r="N11" i="13"/>
  <c r="N23" i="13" s="1"/>
  <c r="C9" i="11" s="1"/>
  <c r="B113" i="13"/>
  <c r="B104" i="13"/>
  <c r="B100" i="13"/>
  <c r="DX4" i="12" s="1"/>
  <c r="D113" i="13"/>
  <c r="D117" i="13"/>
  <c r="D100" i="13"/>
  <c r="DX6" i="12" s="1"/>
  <c r="F113" i="13"/>
  <c r="F117" i="13"/>
  <c r="F100" i="13"/>
  <c r="DX8" i="12" s="1"/>
  <c r="H113" i="13"/>
  <c r="H117" i="13"/>
  <c r="H100" i="13"/>
  <c r="DX10" i="12" s="1"/>
  <c r="J113" i="13"/>
  <c r="J117" i="13"/>
  <c r="J100" i="13"/>
  <c r="DX12" i="12" s="1"/>
  <c r="N14" i="13"/>
  <c r="M21" i="13"/>
  <c r="D7" i="11" s="1"/>
  <c r="B23" i="13"/>
  <c r="BB4" i="12" s="1"/>
  <c r="D23" i="13"/>
  <c r="BB6" i="12" s="1"/>
  <c r="F23" i="13"/>
  <c r="BB8" i="12" s="1"/>
  <c r="H23" i="13"/>
  <c r="BB10" i="12" s="1"/>
  <c r="J23" i="13"/>
  <c r="BB12" i="12" s="1"/>
  <c r="O57" i="13"/>
  <c r="B38" i="11" s="1"/>
  <c r="N65" i="13"/>
  <c r="O71" i="13"/>
  <c r="M70" i="13"/>
  <c r="O73" i="13"/>
  <c r="M72" i="13"/>
  <c r="O96" i="13"/>
  <c r="M107" i="13"/>
  <c r="D63" i="11" s="1"/>
  <c r="B99" i="13"/>
  <c r="DW4" i="12" s="1"/>
  <c r="F99" i="13"/>
  <c r="DW8" i="12" s="1"/>
  <c r="J99" i="13"/>
  <c r="DW12" i="12" s="1"/>
  <c r="N107" i="13"/>
  <c r="C63" i="11" s="1"/>
  <c r="N97" i="13"/>
  <c r="A4" i="12"/>
  <c r="A6" i="12"/>
  <c r="A8" i="12"/>
  <c r="A10" i="12"/>
  <c r="A12" i="12"/>
  <c r="A13" i="12"/>
  <c r="F33" i="9"/>
  <c r="H11" i="9"/>
  <c r="K24" i="9"/>
  <c r="J24" i="9"/>
  <c r="H12" i="9"/>
  <c r="I4" i="8" s="1"/>
  <c r="L12" i="9"/>
  <c r="H13" i="9"/>
  <c r="L13" i="9"/>
  <c r="H14" i="9"/>
  <c r="I3" i="8" s="1"/>
  <c r="A33" i="9"/>
  <c r="Y7" i="9"/>
  <c r="M51" i="9"/>
  <c r="D14" i="8"/>
  <c r="E12" i="8"/>
  <c r="B23" i="8"/>
  <c r="B15" i="8"/>
  <c r="C14" i="8"/>
  <c r="H7" i="7"/>
  <c r="H6" i="7"/>
  <c r="H8" i="7"/>
  <c r="C6" i="3"/>
  <c r="D6" i="3"/>
  <c r="E6" i="3"/>
  <c r="F6" i="3"/>
  <c r="G6" i="3"/>
  <c r="H6" i="3"/>
  <c r="I6" i="3"/>
  <c r="J6" i="3"/>
  <c r="K6" i="3"/>
  <c r="B6" i="3"/>
  <c r="C5" i="1"/>
  <c r="D5" i="1"/>
  <c r="E5" i="1"/>
  <c r="F5" i="1"/>
  <c r="G5" i="1"/>
  <c r="H5" i="1"/>
  <c r="I5" i="1"/>
  <c r="J5" i="1"/>
  <c r="K5" i="1"/>
  <c r="B5" i="1"/>
  <c r="K93" i="6"/>
  <c r="C93" i="6"/>
  <c r="D93" i="6"/>
  <c r="E93" i="6"/>
  <c r="F93" i="6"/>
  <c r="G93" i="6"/>
  <c r="H93" i="6"/>
  <c r="I93" i="6"/>
  <c r="J93" i="6"/>
  <c r="B93" i="6"/>
  <c r="J17" i="19" l="1"/>
  <c r="J10" i="25"/>
  <c r="J16" i="19"/>
  <c r="D16" i="19"/>
  <c r="K16" i="19"/>
  <c r="K10" i="25"/>
  <c r="N102" i="13"/>
  <c r="C58" i="11" s="1"/>
  <c r="K79" i="14"/>
  <c r="K80" i="14" s="1"/>
  <c r="F16" i="19"/>
  <c r="H45" i="19"/>
  <c r="H46" i="19" s="1"/>
  <c r="H58" i="19"/>
  <c r="H59" i="19" s="1"/>
  <c r="K59" i="19"/>
  <c r="G17" i="19"/>
  <c r="C17" i="19"/>
  <c r="H17" i="19"/>
  <c r="D17" i="19"/>
  <c r="I17" i="19"/>
  <c r="E17" i="19"/>
  <c r="K17" i="19"/>
  <c r="K48" i="19"/>
  <c r="H48" i="19"/>
  <c r="F43" i="18"/>
  <c r="K21" i="18"/>
  <c r="G26" i="17"/>
  <c r="C26" i="17"/>
  <c r="C20" i="18"/>
  <c r="J49" i="17"/>
  <c r="J34" i="18"/>
  <c r="H34" i="18"/>
  <c r="J19" i="18"/>
  <c r="H17" i="18"/>
  <c r="F28" i="17"/>
  <c r="D20" i="18"/>
  <c r="I48" i="17"/>
  <c r="E48" i="17"/>
  <c r="E34" i="18"/>
  <c r="F38" i="17"/>
  <c r="D11" i="18"/>
  <c r="G14" i="18"/>
  <c r="G16" i="18"/>
  <c r="C14" i="18"/>
  <c r="C16" i="18"/>
  <c r="M71" i="13"/>
  <c r="O108" i="13"/>
  <c r="B64" i="11" s="1"/>
  <c r="N100" i="13"/>
  <c r="O23" i="13"/>
  <c r="B9" i="11" s="1"/>
  <c r="N106" i="13"/>
  <c r="C62" i="11" s="1"/>
  <c r="G79" i="14"/>
  <c r="G80" i="14" s="1"/>
  <c r="E38" i="18"/>
  <c r="C17" i="18"/>
  <c r="F49" i="17"/>
  <c r="J28" i="17"/>
  <c r="F19" i="18"/>
  <c r="G47" i="17"/>
  <c r="C47" i="17"/>
  <c r="J38" i="17"/>
  <c r="K14" i="18"/>
  <c r="G36" i="17"/>
  <c r="C36" i="17"/>
  <c r="K11" i="9"/>
  <c r="M11" i="9" s="1"/>
  <c r="L11" i="9"/>
  <c r="B3" i="18"/>
  <c r="B18" i="17"/>
  <c r="B17" i="17"/>
  <c r="C43" i="14"/>
  <c r="B3" i="13"/>
  <c r="AN4" i="12" s="1"/>
  <c r="B67" i="13"/>
  <c r="CR4" i="12" s="1"/>
  <c r="B66" i="13"/>
  <c r="CQ4" i="12" s="1"/>
  <c r="G3" i="18"/>
  <c r="G18" i="17"/>
  <c r="G17" i="17"/>
  <c r="G67" i="13"/>
  <c r="CR9" i="12" s="1"/>
  <c r="G66" i="13"/>
  <c r="CQ9" i="12" s="1"/>
  <c r="H43" i="14"/>
  <c r="G3" i="13"/>
  <c r="AN9" i="12" s="1"/>
  <c r="C3" i="18"/>
  <c r="C18" i="17"/>
  <c r="C17" i="17"/>
  <c r="C67" i="13"/>
  <c r="CR5" i="12" s="1"/>
  <c r="C66" i="13"/>
  <c r="CQ5" i="12" s="1"/>
  <c r="D43" i="14"/>
  <c r="C3" i="13"/>
  <c r="AN5" i="12" s="1"/>
  <c r="J4" i="15"/>
  <c r="F4" i="15"/>
  <c r="H79" i="14"/>
  <c r="H80" i="14" s="1"/>
  <c r="J9" i="18"/>
  <c r="J10" i="18"/>
  <c r="J43" i="18"/>
  <c r="I3" i="18"/>
  <c r="I18" i="17"/>
  <c r="I17" i="17"/>
  <c r="I67" i="13"/>
  <c r="CR11" i="12" s="1"/>
  <c r="I66" i="13"/>
  <c r="CQ11" i="12" s="1"/>
  <c r="J43" i="14"/>
  <c r="I3" i="13"/>
  <c r="AN11" i="12" s="1"/>
  <c r="E3" i="18"/>
  <c r="E18" i="17"/>
  <c r="E17" i="17"/>
  <c r="E67" i="13"/>
  <c r="CR7" i="12" s="1"/>
  <c r="E66" i="13"/>
  <c r="CQ7" i="12" s="1"/>
  <c r="F43" i="14"/>
  <c r="E3" i="13"/>
  <c r="AN7" i="12" s="1"/>
  <c r="H4" i="15"/>
  <c r="D4" i="15"/>
  <c r="J109" i="13"/>
  <c r="M106" i="13"/>
  <c r="D62" i="11" s="1"/>
  <c r="I77" i="13"/>
  <c r="DA11" i="12" s="1"/>
  <c r="I47" i="17"/>
  <c r="I26" i="17"/>
  <c r="N26" i="17" s="1"/>
  <c r="I36" i="17"/>
  <c r="M36" i="17" s="1"/>
  <c r="E77" i="13"/>
  <c r="DA7" i="12" s="1"/>
  <c r="E47" i="17"/>
  <c r="E26" i="17"/>
  <c r="E36" i="17"/>
  <c r="D14" i="18"/>
  <c r="D19" i="18"/>
  <c r="I16" i="18"/>
  <c r="M16" i="18" s="1"/>
  <c r="I21" i="18"/>
  <c r="E16" i="18"/>
  <c r="E21" i="18"/>
  <c r="I66" i="14"/>
  <c r="H11" i="18"/>
  <c r="L75" i="14"/>
  <c r="K37" i="17"/>
  <c r="K48" i="17"/>
  <c r="K27" i="17"/>
  <c r="I75" i="14"/>
  <c r="G37" i="17"/>
  <c r="G44" i="17"/>
  <c r="G48" i="17"/>
  <c r="G41" i="17"/>
  <c r="G27" i="17"/>
  <c r="E75" i="14"/>
  <c r="C37" i="17"/>
  <c r="C48" i="17"/>
  <c r="C27" i="17"/>
  <c r="I14" i="18"/>
  <c r="M14" i="18" s="1"/>
  <c r="I19" i="18"/>
  <c r="E14" i="18"/>
  <c r="E19" i="18"/>
  <c r="K9" i="18"/>
  <c r="C71" i="9"/>
  <c r="C10" i="18"/>
  <c r="C9" i="18"/>
  <c r="H55" i="9"/>
  <c r="H44" i="18"/>
  <c r="H40" i="18"/>
  <c r="H39" i="18"/>
  <c r="H32" i="18"/>
  <c r="H29" i="18"/>
  <c r="H33" i="17"/>
  <c r="H32" i="17"/>
  <c r="H31" i="17"/>
  <c r="H30" i="17"/>
  <c r="H31" i="18"/>
  <c r="H24" i="18"/>
  <c r="H22" i="18"/>
  <c r="H18" i="18"/>
  <c r="D55" i="9"/>
  <c r="D44" i="18"/>
  <c r="D40" i="18"/>
  <c r="D39" i="18"/>
  <c r="D32" i="18"/>
  <c r="D29" i="18"/>
  <c r="D33" i="17"/>
  <c r="D32" i="17"/>
  <c r="D31" i="17"/>
  <c r="D30" i="17"/>
  <c r="D31" i="18"/>
  <c r="D24" i="18"/>
  <c r="D23" i="18"/>
  <c r="D22" i="18"/>
  <c r="D18" i="18"/>
  <c r="J66" i="14"/>
  <c r="I12" i="18" s="1"/>
  <c r="M12" i="18" s="1"/>
  <c r="I11" i="18"/>
  <c r="M11" i="18" s="1"/>
  <c r="H66" i="14"/>
  <c r="G11" i="18"/>
  <c r="N11" i="18" s="1"/>
  <c r="F66" i="14"/>
  <c r="E12" i="18" s="1"/>
  <c r="E11" i="18"/>
  <c r="O11" i="18" s="1"/>
  <c r="G41" i="18"/>
  <c r="G34" i="18"/>
  <c r="G38" i="18"/>
  <c r="H43" i="18"/>
  <c r="G43" i="18"/>
  <c r="G17" i="18"/>
  <c r="K46" i="9"/>
  <c r="K4" i="18"/>
  <c r="K6" i="18" s="1"/>
  <c r="K8" i="18" s="1"/>
  <c r="K35" i="18"/>
  <c r="K30" i="18"/>
  <c r="J41" i="14"/>
  <c r="J79" i="14"/>
  <c r="J80" i="14" s="1"/>
  <c r="G42" i="18"/>
  <c r="G36" i="18"/>
  <c r="N4" i="18"/>
  <c r="G4" i="18"/>
  <c r="G6" i="18" s="1"/>
  <c r="G8" i="18" s="1"/>
  <c r="G35" i="18"/>
  <c r="G30" i="18"/>
  <c r="F41" i="14"/>
  <c r="F79" i="14"/>
  <c r="F80" i="14" s="1"/>
  <c r="C44" i="9"/>
  <c r="C36" i="18"/>
  <c r="C4" i="18"/>
  <c r="C6" i="18" s="1"/>
  <c r="C8" i="18" s="1"/>
  <c r="C35" i="18"/>
  <c r="O4" i="18"/>
  <c r="C30" i="18"/>
  <c r="K15" i="18"/>
  <c r="K20" i="18"/>
  <c r="I41" i="18"/>
  <c r="I43" i="18"/>
  <c r="I17" i="18"/>
  <c r="I34" i="18"/>
  <c r="I38" i="18"/>
  <c r="M41" i="14"/>
  <c r="M83" i="14" s="1"/>
  <c r="M79" i="14"/>
  <c r="M80" i="14" s="1"/>
  <c r="I8" i="8"/>
  <c r="A27" i="9"/>
  <c r="K66" i="15"/>
  <c r="P51" i="15"/>
  <c r="L85" i="9"/>
  <c r="K64" i="9"/>
  <c r="L64" i="14"/>
  <c r="K33" i="18"/>
  <c r="K37" i="18"/>
  <c r="D38" i="18"/>
  <c r="D41" i="18"/>
  <c r="D43" i="18"/>
  <c r="D17" i="18"/>
  <c r="D34" i="18"/>
  <c r="I44" i="18"/>
  <c r="I40" i="18"/>
  <c r="I39" i="18"/>
  <c r="I31" i="18"/>
  <c r="I29" i="18"/>
  <c r="I24" i="18"/>
  <c r="I22" i="18"/>
  <c r="I18" i="18"/>
  <c r="I32" i="18"/>
  <c r="I32" i="17"/>
  <c r="I31" i="17"/>
  <c r="I30" i="17"/>
  <c r="F34" i="18"/>
  <c r="N33" i="18"/>
  <c r="O5" i="18"/>
  <c r="O33" i="18"/>
  <c r="G44" i="18"/>
  <c r="G40" i="18"/>
  <c r="G39" i="18"/>
  <c r="G31" i="18"/>
  <c r="G29" i="18"/>
  <c r="G24" i="18"/>
  <c r="G22" i="18"/>
  <c r="G18" i="18"/>
  <c r="G32" i="18"/>
  <c r="G32" i="17"/>
  <c r="G31" i="17"/>
  <c r="G30" i="17"/>
  <c r="E44" i="18"/>
  <c r="E40" i="18"/>
  <c r="E39" i="18"/>
  <c r="E31" i="18"/>
  <c r="E29" i="18"/>
  <c r="E24" i="18"/>
  <c r="E22" i="18"/>
  <c r="E18" i="18"/>
  <c r="E32" i="18"/>
  <c r="E32" i="17"/>
  <c r="E31" i="17"/>
  <c r="E30" i="17"/>
  <c r="C40" i="18"/>
  <c r="C39" i="18"/>
  <c r="C31" i="18"/>
  <c r="C29" i="18"/>
  <c r="C24" i="18"/>
  <c r="C23" i="18"/>
  <c r="C22" i="18"/>
  <c r="C18" i="18"/>
  <c r="C32" i="18"/>
  <c r="C32" i="17"/>
  <c r="C31" i="17"/>
  <c r="C30" i="17"/>
  <c r="F38" i="18"/>
  <c r="M33" i="18"/>
  <c r="N5" i="18"/>
  <c r="M13" i="18"/>
  <c r="N36" i="17"/>
  <c r="N14" i="18"/>
  <c r="N16" i="18"/>
  <c r="N13" i="18"/>
  <c r="O36" i="17"/>
  <c r="O14" i="18"/>
  <c r="O16" i="18"/>
  <c r="O13" i="18"/>
  <c r="M7" i="17"/>
  <c r="N7" i="17"/>
  <c r="O7" i="17"/>
  <c r="J3" i="18"/>
  <c r="J18" i="17"/>
  <c r="J17" i="17"/>
  <c r="K43" i="14"/>
  <c r="J3" i="13"/>
  <c r="AN12" i="12" s="1"/>
  <c r="J67" i="13"/>
  <c r="CR12" i="12" s="1"/>
  <c r="J66" i="13"/>
  <c r="CQ12" i="12" s="1"/>
  <c r="H3" i="18"/>
  <c r="H18" i="17"/>
  <c r="H17" i="17"/>
  <c r="I43" i="14"/>
  <c r="H3" i="13"/>
  <c r="AN10" i="12" s="1"/>
  <c r="H67" i="13"/>
  <c r="CR10" i="12" s="1"/>
  <c r="H66" i="13"/>
  <c r="CQ10" i="12" s="1"/>
  <c r="F3" i="18"/>
  <c r="F18" i="17"/>
  <c r="F17" i="17"/>
  <c r="G43" i="14"/>
  <c r="F3" i="13"/>
  <c r="AN8" i="12" s="1"/>
  <c r="F67" i="13"/>
  <c r="CR8" i="12" s="1"/>
  <c r="F66" i="13"/>
  <c r="CQ8" i="12" s="1"/>
  <c r="D3" i="18"/>
  <c r="D18" i="17"/>
  <c r="D17" i="17"/>
  <c r="E43" i="14"/>
  <c r="D3" i="13"/>
  <c r="AN6" i="12" s="1"/>
  <c r="D67" i="13"/>
  <c r="CR6" i="12" s="1"/>
  <c r="D66" i="13"/>
  <c r="CQ6" i="12" s="1"/>
  <c r="K3" i="18"/>
  <c r="K18" i="17"/>
  <c r="K17" i="17"/>
  <c r="K67" i="13"/>
  <c r="CR13" i="12" s="1"/>
  <c r="K66" i="13"/>
  <c r="CQ13" i="12" s="1"/>
  <c r="L43" i="14"/>
  <c r="K3" i="13"/>
  <c r="AN13" i="12" s="1"/>
  <c r="B2" i="7"/>
  <c r="B15" i="7" s="1"/>
  <c r="E15" i="7" s="1"/>
  <c r="O19" i="8" s="1"/>
  <c r="O4" i="15"/>
  <c r="P4" i="15"/>
  <c r="N4" i="15"/>
  <c r="K4" i="15"/>
  <c r="I4" i="15"/>
  <c r="G4" i="15"/>
  <c r="E4" i="15"/>
  <c r="C4" i="15"/>
  <c r="B13" i="7"/>
  <c r="E13" i="7" s="1"/>
  <c r="O17" i="8" s="1"/>
  <c r="B14" i="7"/>
  <c r="E14" i="7" s="1"/>
  <c r="O18" i="8" s="1"/>
  <c r="J44" i="18"/>
  <c r="J40" i="18"/>
  <c r="J39" i="18"/>
  <c r="J32" i="18"/>
  <c r="J31" i="18"/>
  <c r="J24" i="18"/>
  <c r="J22" i="18"/>
  <c r="J18" i="18"/>
  <c r="J33" i="17"/>
  <c r="J32" i="17"/>
  <c r="J31" i="17"/>
  <c r="J30" i="17"/>
  <c r="J29" i="18"/>
  <c r="F44" i="18"/>
  <c r="F40" i="18"/>
  <c r="F39" i="18"/>
  <c r="F32" i="18"/>
  <c r="F31" i="18"/>
  <c r="F24" i="18"/>
  <c r="F22" i="18"/>
  <c r="F18" i="18"/>
  <c r="F33" i="17"/>
  <c r="F32" i="17"/>
  <c r="F31" i="17"/>
  <c r="F30" i="17"/>
  <c r="F29" i="18"/>
  <c r="F9" i="18"/>
  <c r="F10" i="18"/>
  <c r="J83" i="9"/>
  <c r="J42" i="18"/>
  <c r="J36" i="18"/>
  <c r="J35" i="18"/>
  <c r="J4" i="18"/>
  <c r="J6" i="18" s="1"/>
  <c r="J8" i="18" s="1"/>
  <c r="H46" i="9"/>
  <c r="H42" i="18"/>
  <c r="H36" i="18"/>
  <c r="H35" i="18"/>
  <c r="H4" i="18"/>
  <c r="H6" i="18" s="1"/>
  <c r="H8" i="18" s="1"/>
  <c r="F83" i="9"/>
  <c r="F42" i="18"/>
  <c r="F36" i="18"/>
  <c r="F35" i="18"/>
  <c r="F4" i="18"/>
  <c r="F6" i="18" s="1"/>
  <c r="F8" i="18" s="1"/>
  <c r="D46" i="9"/>
  <c r="D42" i="18"/>
  <c r="D35" i="18"/>
  <c r="D36" i="18"/>
  <c r="D4" i="18"/>
  <c r="D6" i="18" s="1"/>
  <c r="D8" i="18" s="1"/>
  <c r="B56" i="9"/>
  <c r="B35" i="18"/>
  <c r="B4" i="18"/>
  <c r="B6" i="18" s="1"/>
  <c r="B8" i="18" s="1"/>
  <c r="N71" i="15"/>
  <c r="M48" i="9"/>
  <c r="I55" i="9"/>
  <c r="G55" i="9"/>
  <c r="E55" i="9"/>
  <c r="K45" i="19"/>
  <c r="K46" i="19" s="1"/>
  <c r="I27" i="17"/>
  <c r="E27" i="17"/>
  <c r="E17" i="18"/>
  <c r="E43" i="18"/>
  <c r="C38" i="18"/>
  <c r="J41" i="18"/>
  <c r="H41" i="18"/>
  <c r="F41" i="18"/>
  <c r="J17" i="18"/>
  <c r="H19" i="18"/>
  <c r="N19" i="18" s="1"/>
  <c r="H30" i="18"/>
  <c r="F17" i="18"/>
  <c r="D30" i="18"/>
  <c r="I41" i="17"/>
  <c r="M5" i="18"/>
  <c r="E41" i="17"/>
  <c r="D12" i="18"/>
  <c r="B31" i="18"/>
  <c r="I44" i="17"/>
  <c r="I37" i="17"/>
  <c r="M37" i="17" s="1"/>
  <c r="M35" i="17"/>
  <c r="N35" i="17"/>
  <c r="E44" i="17"/>
  <c r="E37" i="17"/>
  <c r="O35" i="17"/>
  <c r="M6" i="17"/>
  <c r="N6" i="17"/>
  <c r="O6" i="17"/>
  <c r="K44" i="18"/>
  <c r="K40" i="18"/>
  <c r="K32" i="18"/>
  <c r="K31" i="18"/>
  <c r="K29" i="18"/>
  <c r="K24" i="18"/>
  <c r="K22" i="18"/>
  <c r="K18" i="18"/>
  <c r="K32" i="17"/>
  <c r="K30" i="17"/>
  <c r="K39" i="18"/>
  <c r="K23" i="18"/>
  <c r="K33" i="17"/>
  <c r="K31" i="17"/>
  <c r="N37" i="18"/>
  <c r="M37" i="18"/>
  <c r="O37" i="18"/>
  <c r="M28" i="18"/>
  <c r="O28" i="18"/>
  <c r="N28" i="18"/>
  <c r="M26" i="17"/>
  <c r="O26" i="17"/>
  <c r="N21" i="18"/>
  <c r="M21" i="18"/>
  <c r="O21" i="18"/>
  <c r="O25" i="17"/>
  <c r="N25" i="17"/>
  <c r="M25" i="17"/>
  <c r="B13" i="9"/>
  <c r="N27" i="17"/>
  <c r="M27" i="17"/>
  <c r="O27" i="17"/>
  <c r="M19" i="18"/>
  <c r="I16" i="19"/>
  <c r="E16" i="19"/>
  <c r="G16" i="19"/>
  <c r="C16" i="19"/>
  <c r="I72" i="9"/>
  <c r="E72" i="9"/>
  <c r="C53" i="11"/>
  <c r="B72" i="10"/>
  <c r="B52" i="11"/>
  <c r="B68" i="10"/>
  <c r="B50" i="11"/>
  <c r="B62" i="10"/>
  <c r="B48" i="11"/>
  <c r="B56" i="10"/>
  <c r="D66" i="11"/>
  <c r="B88" i="10"/>
  <c r="C56" i="11"/>
  <c r="B78" i="10"/>
  <c r="D53" i="11"/>
  <c r="B73" i="10"/>
  <c r="B44" i="10"/>
  <c r="B42" i="11"/>
  <c r="B36" i="11"/>
  <c r="B41" i="10"/>
  <c r="B5" i="11"/>
  <c r="B11" i="10"/>
  <c r="B8" i="10"/>
  <c r="B4" i="11"/>
  <c r="D5" i="11"/>
  <c r="B13" i="10"/>
  <c r="B66" i="11"/>
  <c r="B86" i="10"/>
  <c r="K59" i="9"/>
  <c r="L59" i="9"/>
  <c r="C21" i="9"/>
  <c r="C19" i="9"/>
  <c r="C20" i="9"/>
  <c r="C18" i="9"/>
  <c r="J62" i="9"/>
  <c r="J56" i="9"/>
  <c r="F62" i="9"/>
  <c r="F56" i="9"/>
  <c r="F72" i="9"/>
  <c r="F71" i="9"/>
  <c r="H83" i="14"/>
  <c r="H97" i="14" s="1"/>
  <c r="G61" i="9"/>
  <c r="F83" i="14"/>
  <c r="F97" i="14" s="1"/>
  <c r="E61" i="9"/>
  <c r="B12" i="9"/>
  <c r="B11" i="9"/>
  <c r="L45" i="9"/>
  <c r="H45" i="9"/>
  <c r="D45" i="9"/>
  <c r="K44" i="9"/>
  <c r="K57" i="9"/>
  <c r="I57" i="9"/>
  <c r="E57" i="9"/>
  <c r="K83" i="9"/>
  <c r="E83" i="9"/>
  <c r="J78" i="9"/>
  <c r="F78" i="9"/>
  <c r="F70" i="9" s="1"/>
  <c r="F87" i="9" s="1"/>
  <c r="F88" i="9" s="1"/>
  <c r="B78" i="9"/>
  <c r="B100" i="9"/>
  <c r="K45" i="9"/>
  <c r="G45" i="9"/>
  <c r="C45" i="9"/>
  <c r="J44" i="9"/>
  <c r="F44" i="9"/>
  <c r="B44" i="9"/>
  <c r="L14" i="9"/>
  <c r="K14" i="9"/>
  <c r="J57" i="9"/>
  <c r="F57" i="9"/>
  <c r="B57" i="9"/>
  <c r="B83" i="9"/>
  <c r="K78" i="9"/>
  <c r="G78" i="9"/>
  <c r="C78" i="9"/>
  <c r="B102" i="9"/>
  <c r="DY13" i="12"/>
  <c r="BB13" i="12"/>
  <c r="BV13" i="12"/>
  <c r="G46" i="9"/>
  <c r="C46" i="9"/>
  <c r="Q3" i="9"/>
  <c r="Q5" i="9"/>
  <c r="Q4" i="9"/>
  <c r="J70" i="9"/>
  <c r="J87" i="9" s="1"/>
  <c r="J88" i="9" s="1"/>
  <c r="H69" i="9"/>
  <c r="D69" i="9"/>
  <c r="J55" i="9"/>
  <c r="F55" i="9"/>
  <c r="H24" i="9"/>
  <c r="R6" i="9"/>
  <c r="R7" i="9" s="1"/>
  <c r="T5" i="9"/>
  <c r="T4" i="9"/>
  <c r="F52" i="9"/>
  <c r="T3" i="9"/>
  <c r="M47" i="9"/>
  <c r="Q6" i="9"/>
  <c r="G44" i="9"/>
  <c r="AZ12" i="12"/>
  <c r="K85" i="9"/>
  <c r="K70" i="9" s="1"/>
  <c r="G21" i="9" s="1"/>
  <c r="K78" i="13"/>
  <c r="DB13" i="12" s="1"/>
  <c r="I69" i="9"/>
  <c r="G70" i="9"/>
  <c r="G78" i="13"/>
  <c r="DB9" i="12" s="1"/>
  <c r="E69" i="9"/>
  <c r="C70" i="9"/>
  <c r="C87" i="9" s="1"/>
  <c r="C88" i="9" s="1"/>
  <c r="C78" i="13"/>
  <c r="DB5" i="12" s="1"/>
  <c r="R5" i="9"/>
  <c r="R4" i="9"/>
  <c r="R3" i="9"/>
  <c r="K52" i="9"/>
  <c r="T6" i="9"/>
  <c r="T7" i="9" s="1"/>
  <c r="D49" i="11"/>
  <c r="B61" i="10"/>
  <c r="D47" i="11"/>
  <c r="B55" i="10"/>
  <c r="C43" i="11"/>
  <c r="B48" i="10"/>
  <c r="C66" i="11"/>
  <c r="B87" i="10"/>
  <c r="B53" i="11"/>
  <c r="B71" i="10"/>
  <c r="C50" i="11"/>
  <c r="B63" i="10"/>
  <c r="C5" i="11"/>
  <c r="B12" i="10"/>
  <c r="C48" i="11"/>
  <c r="B57" i="10"/>
  <c r="L73" i="9"/>
  <c r="H19" i="9" s="1"/>
  <c r="I27" i="9" s="1"/>
  <c r="L71" i="9"/>
  <c r="L74" i="9"/>
  <c r="K73" i="9"/>
  <c r="K71" i="9"/>
  <c r="G73" i="9"/>
  <c r="G71" i="9"/>
  <c r="I89" i="14"/>
  <c r="H62" i="9"/>
  <c r="H56" i="9"/>
  <c r="E89" i="14"/>
  <c r="D62" i="9"/>
  <c r="D56" i="9"/>
  <c r="F69" i="14"/>
  <c r="E23" i="18" s="1"/>
  <c r="J73" i="9"/>
  <c r="J72" i="9"/>
  <c r="J71" i="9"/>
  <c r="L83" i="14"/>
  <c r="L97" i="14" s="1"/>
  <c r="K61" i="9"/>
  <c r="L61" i="9"/>
  <c r="E21" i="9"/>
  <c r="O33" i="9" s="1"/>
  <c r="E19" i="9"/>
  <c r="E20" i="9"/>
  <c r="E18" i="9"/>
  <c r="J83" i="14"/>
  <c r="J97" i="14" s="1"/>
  <c r="I61" i="9"/>
  <c r="D83" i="14"/>
  <c r="D97" i="14" s="1"/>
  <c r="C61" i="9"/>
  <c r="K83" i="14"/>
  <c r="K97" i="14" s="1"/>
  <c r="J61" i="9"/>
  <c r="I83" i="14"/>
  <c r="I97" i="14" s="1"/>
  <c r="H61" i="9"/>
  <c r="G83" i="14"/>
  <c r="G97" i="14" s="1"/>
  <c r="F61" i="9"/>
  <c r="E83" i="14"/>
  <c r="E97" i="14" s="1"/>
  <c r="D61" i="9"/>
  <c r="C83" i="14"/>
  <c r="C97" i="14" s="1"/>
  <c r="B61" i="9"/>
  <c r="AD5" i="9"/>
  <c r="AD7" i="9" s="1"/>
  <c r="AD3" i="9"/>
  <c r="AD4" i="9"/>
  <c r="J45" i="9"/>
  <c r="F45" i="9"/>
  <c r="B45" i="9"/>
  <c r="L57" i="9"/>
  <c r="G57" i="9"/>
  <c r="C57" i="9"/>
  <c r="L83" i="9"/>
  <c r="M83" i="9" s="1"/>
  <c r="G83" i="9"/>
  <c r="C83" i="9"/>
  <c r="H78" i="9"/>
  <c r="D78" i="9"/>
  <c r="B99" i="9"/>
  <c r="S3" i="9"/>
  <c r="S6" i="9"/>
  <c r="S5" i="9"/>
  <c r="S4" i="9"/>
  <c r="L46" i="9"/>
  <c r="M46" i="9" s="1"/>
  <c r="I45" i="9"/>
  <c r="E45" i="9"/>
  <c r="L44" i="9"/>
  <c r="M44" i="9" s="1"/>
  <c r="H44" i="9"/>
  <c r="D44" i="9"/>
  <c r="H57" i="9"/>
  <c r="D57" i="9"/>
  <c r="H83" i="9"/>
  <c r="D83" i="9"/>
  <c r="L78" i="9"/>
  <c r="L70" i="9" s="1"/>
  <c r="L87" i="9" s="1"/>
  <c r="L88" i="9" s="1"/>
  <c r="I78" i="9"/>
  <c r="I70" i="9" s="1"/>
  <c r="E78" i="9"/>
  <c r="L4" i="9"/>
  <c r="L5" i="9"/>
  <c r="L7" i="9" s="1"/>
  <c r="L3" i="9"/>
  <c r="B101" i="9"/>
  <c r="DW13" i="12"/>
  <c r="DX9" i="12"/>
  <c r="I46" i="9"/>
  <c r="E46" i="9"/>
  <c r="AZ8" i="12"/>
  <c r="AZ6" i="12"/>
  <c r="AZ4" i="12"/>
  <c r="K87" i="9"/>
  <c r="H70" i="9"/>
  <c r="H87" i="9" s="1"/>
  <c r="H88" i="9" s="1"/>
  <c r="D70" i="9"/>
  <c r="D87" i="9" s="1"/>
  <c r="D88" i="9" s="1"/>
  <c r="B70" i="9"/>
  <c r="K109" i="13"/>
  <c r="E65" i="11" s="1"/>
  <c r="E62" i="11"/>
  <c r="J46" i="9"/>
  <c r="F46" i="9"/>
  <c r="B46" i="9"/>
  <c r="I44" i="9"/>
  <c r="E44" i="9"/>
  <c r="AZ10" i="12"/>
  <c r="B106" i="9"/>
  <c r="B105" i="9"/>
  <c r="I78" i="13"/>
  <c r="DB11" i="12" s="1"/>
  <c r="G69" i="9"/>
  <c r="E70" i="9"/>
  <c r="E87" i="9" s="1"/>
  <c r="E88" i="9" s="1"/>
  <c r="E78" i="13"/>
  <c r="DB7" i="12" s="1"/>
  <c r="L62" i="9"/>
  <c r="K56" i="9"/>
  <c r="K62" i="9"/>
  <c r="L56" i="9"/>
  <c r="N21" i="9"/>
  <c r="N20" i="9"/>
  <c r="N19" i="9"/>
  <c r="N18" i="9"/>
  <c r="I56" i="9"/>
  <c r="I62" i="9"/>
  <c r="G56" i="9"/>
  <c r="G62" i="9"/>
  <c r="E56" i="9"/>
  <c r="E62" i="9"/>
  <c r="C56" i="9"/>
  <c r="C62" i="9"/>
  <c r="P47" i="15"/>
  <c r="O47" i="15"/>
  <c r="Q46" i="15"/>
  <c r="N106" i="15"/>
  <c r="Q66" i="15"/>
  <c r="O66" i="15"/>
  <c r="P66" i="15"/>
  <c r="N46" i="15"/>
  <c r="B5" i="8" s="1"/>
  <c r="P117" i="15"/>
  <c r="Q117" i="15"/>
  <c r="Q130" i="15"/>
  <c r="O130" i="15"/>
  <c r="P130" i="15"/>
  <c r="Q51" i="15"/>
  <c r="O51" i="15"/>
  <c r="M60" i="15"/>
  <c r="O60" i="15"/>
  <c r="P128" i="15"/>
  <c r="Q128" i="15"/>
  <c r="Q47" i="15"/>
  <c r="P46" i="15"/>
  <c r="O46" i="15"/>
  <c r="Q65" i="15"/>
  <c r="O65" i="15"/>
  <c r="P65" i="15"/>
  <c r="P71" i="15"/>
  <c r="Q71" i="15"/>
  <c r="O71" i="15"/>
  <c r="N47" i="15"/>
  <c r="N117" i="15"/>
  <c r="P78" i="15"/>
  <c r="Q78" i="15"/>
  <c r="O78" i="15"/>
  <c r="Q60" i="15"/>
  <c r="H75" i="14"/>
  <c r="D75" i="14"/>
  <c r="J69" i="14"/>
  <c r="G69" i="14"/>
  <c r="F23" i="18" s="1"/>
  <c r="J75" i="14"/>
  <c r="F75" i="14"/>
  <c r="E33" i="17" s="1"/>
  <c r="I79" i="14"/>
  <c r="I80" i="14" s="1"/>
  <c r="E79" i="14"/>
  <c r="E80" i="14" s="1"/>
  <c r="K69" i="14"/>
  <c r="O99" i="13"/>
  <c r="M112" i="13"/>
  <c r="N112" i="13"/>
  <c r="M115" i="13"/>
  <c r="N115" i="13"/>
  <c r="O115" i="13"/>
  <c r="M101" i="13"/>
  <c r="D57" i="11" s="1"/>
  <c r="N44" i="13"/>
  <c r="C29" i="11" s="1"/>
  <c r="N101" i="13"/>
  <c r="C57" i="11" s="1"/>
  <c r="O43" i="13"/>
  <c r="O45" i="13"/>
  <c r="K118" i="13"/>
  <c r="E74" i="11" s="1"/>
  <c r="K114" i="13"/>
  <c r="E70" i="11" s="1"/>
  <c r="K105" i="13"/>
  <c r="E61" i="11" s="1"/>
  <c r="K103" i="13"/>
  <c r="E59" i="11" s="1"/>
  <c r="K104" i="13"/>
  <c r="E60" i="11" s="1"/>
  <c r="I118" i="13"/>
  <c r="I114" i="13"/>
  <c r="I105" i="13"/>
  <c r="I103" i="13"/>
  <c r="I104" i="13"/>
  <c r="M15" i="13"/>
  <c r="M99" i="13"/>
  <c r="G118" i="13"/>
  <c r="G114" i="13"/>
  <c r="G105" i="13"/>
  <c r="G103" i="13"/>
  <c r="N15" i="13"/>
  <c r="G104" i="13"/>
  <c r="N113" i="13"/>
  <c r="N117" i="13"/>
  <c r="C118" i="13"/>
  <c r="C114" i="13"/>
  <c r="C105" i="13"/>
  <c r="C103" i="13"/>
  <c r="C104" i="13"/>
  <c r="O15" i="13"/>
  <c r="O117" i="13"/>
  <c r="O111" i="13"/>
  <c r="B109" i="13"/>
  <c r="O106" i="13"/>
  <c r="B62" i="11" s="1"/>
  <c r="O100" i="13"/>
  <c r="O113" i="13"/>
  <c r="M116" i="13"/>
  <c r="N116" i="13"/>
  <c r="O116" i="13"/>
  <c r="M111" i="13"/>
  <c r="N111" i="13"/>
  <c r="O101" i="13"/>
  <c r="B57" i="11" s="1"/>
  <c r="N108" i="13"/>
  <c r="C64" i="11" s="1"/>
  <c r="I109" i="13"/>
  <c r="M109" i="13" s="1"/>
  <c r="O102" i="13"/>
  <c r="B58" i="11" s="1"/>
  <c r="M43" i="13"/>
  <c r="M45" i="13"/>
  <c r="N43" i="13"/>
  <c r="N45" i="13"/>
  <c r="O44" i="13"/>
  <c r="B29" i="11" s="1"/>
  <c r="M100" i="13"/>
  <c r="M113" i="13"/>
  <c r="M117" i="13"/>
  <c r="N99" i="13"/>
  <c r="E118" i="13"/>
  <c r="E114" i="13"/>
  <c r="E105" i="13"/>
  <c r="E103" i="13"/>
  <c r="E104" i="13"/>
  <c r="N109" i="13"/>
  <c r="O112" i="13"/>
  <c r="F12" i="8"/>
  <c r="E14" i="8"/>
  <c r="C23" i="8"/>
  <c r="C15" i="8"/>
  <c r="D23" i="8"/>
  <c r="D15" i="8"/>
  <c r="B6" i="6"/>
  <c r="C17" i="2"/>
  <c r="D17" i="2"/>
  <c r="E17" i="2"/>
  <c r="F17" i="2"/>
  <c r="G17" i="2"/>
  <c r="H17" i="2"/>
  <c r="I17" i="2"/>
  <c r="J17" i="2"/>
  <c r="K17" i="2"/>
  <c r="C18" i="2"/>
  <c r="D18" i="2"/>
  <c r="E18" i="2"/>
  <c r="F18" i="2"/>
  <c r="G18" i="2"/>
  <c r="H18" i="2"/>
  <c r="I18" i="2"/>
  <c r="J18" i="2"/>
  <c r="K18" i="2"/>
  <c r="B17" i="2"/>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C60" i="19" s="1"/>
  <c r="C61" i="19" s="1"/>
  <c r="D8" i="2"/>
  <c r="D60" i="19" s="1"/>
  <c r="D61" i="19" s="1"/>
  <c r="E8" i="2"/>
  <c r="E60" i="19" s="1"/>
  <c r="E61" i="19" s="1"/>
  <c r="F8" i="2"/>
  <c r="F60" i="19" s="1"/>
  <c r="F61" i="19" s="1"/>
  <c r="G8" i="2"/>
  <c r="G60" i="19" s="1"/>
  <c r="G61" i="19" s="1"/>
  <c r="H8" i="2"/>
  <c r="H60" i="19" s="1"/>
  <c r="I8" i="2"/>
  <c r="I60" i="19" s="1"/>
  <c r="I61" i="19" s="1"/>
  <c r="J8" i="2"/>
  <c r="J60" i="19" s="1"/>
  <c r="J61" i="19" s="1"/>
  <c r="K8" i="2"/>
  <c r="K60" i="19" s="1"/>
  <c r="C10" i="2"/>
  <c r="D10" i="2"/>
  <c r="E10" i="2"/>
  <c r="F10" i="2"/>
  <c r="G10" i="2"/>
  <c r="H10" i="2"/>
  <c r="I10" i="2"/>
  <c r="J10" i="2"/>
  <c r="K10" i="2"/>
  <c r="C11" i="2"/>
  <c r="D11" i="2"/>
  <c r="E11" i="2"/>
  <c r="F11" i="2"/>
  <c r="G11" i="2"/>
  <c r="H11" i="2"/>
  <c r="I11" i="2"/>
  <c r="J11" i="2"/>
  <c r="K11" i="2"/>
  <c r="C12" i="2"/>
  <c r="D12" i="2"/>
  <c r="E12" i="2"/>
  <c r="F12" i="2"/>
  <c r="G12" i="2"/>
  <c r="H12" i="2"/>
  <c r="I12" i="2"/>
  <c r="J12" i="2"/>
  <c r="K12" i="2"/>
  <c r="C13" i="2"/>
  <c r="D13" i="2"/>
  <c r="E13" i="2"/>
  <c r="F13" i="2"/>
  <c r="G13" i="2"/>
  <c r="H13" i="2"/>
  <c r="I13" i="2"/>
  <c r="J13" i="2"/>
  <c r="K13" i="2"/>
  <c r="C14" i="2"/>
  <c r="D14" i="2"/>
  <c r="E14" i="2"/>
  <c r="F14" i="2"/>
  <c r="G14" i="2"/>
  <c r="H14" i="2"/>
  <c r="I14" i="2"/>
  <c r="J14" i="2"/>
  <c r="K14" i="2"/>
  <c r="B14" i="2"/>
  <c r="B5" i="2"/>
  <c r="B4" i="2"/>
  <c r="C4" i="4"/>
  <c r="D4" i="4"/>
  <c r="E4" i="4"/>
  <c r="F4" i="4"/>
  <c r="G4" i="4"/>
  <c r="H4" i="4"/>
  <c r="I4" i="4"/>
  <c r="J4" i="4"/>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H4" i="3"/>
  <c r="I4" i="3"/>
  <c r="J4" i="3"/>
  <c r="K4" i="3"/>
  <c r="C5" i="3"/>
  <c r="D5" i="3"/>
  <c r="E5" i="3"/>
  <c r="F5" i="3"/>
  <c r="G5" i="3"/>
  <c r="H5" i="3"/>
  <c r="I5" i="3"/>
  <c r="J5" i="3"/>
  <c r="K5" i="3"/>
  <c r="C7" i="3"/>
  <c r="C70" i="19" s="1"/>
  <c r="D7" i="3"/>
  <c r="D70" i="19" s="1"/>
  <c r="E7" i="3"/>
  <c r="E70" i="19" s="1"/>
  <c r="F7" i="3"/>
  <c r="F70" i="19" s="1"/>
  <c r="G7" i="3"/>
  <c r="G70" i="19" s="1"/>
  <c r="H7" i="3"/>
  <c r="H70" i="19" s="1"/>
  <c r="I7" i="3"/>
  <c r="I70" i="19" s="1"/>
  <c r="J7" i="3"/>
  <c r="J70" i="19" s="1"/>
  <c r="K7" i="3"/>
  <c r="K70" i="19" s="1"/>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C69" i="19" s="1"/>
  <c r="D12" i="3"/>
  <c r="D69" i="19" s="1"/>
  <c r="E12" i="3"/>
  <c r="E69" i="19" s="1"/>
  <c r="F12" i="3"/>
  <c r="F69" i="19" s="1"/>
  <c r="G12" i="3"/>
  <c r="G69" i="19" s="1"/>
  <c r="H12" i="3"/>
  <c r="H69" i="19" s="1"/>
  <c r="I12" i="3"/>
  <c r="I69" i="19" s="1"/>
  <c r="J12" i="3"/>
  <c r="J69" i="19" s="1"/>
  <c r="K12" i="3"/>
  <c r="K69" i="19" s="1"/>
  <c r="B5" i="3"/>
  <c r="C18" i="1"/>
  <c r="D18" i="1"/>
  <c r="E18" i="1"/>
  <c r="F18" i="1"/>
  <c r="G18" i="1"/>
  <c r="H18" i="1"/>
  <c r="I18" i="1"/>
  <c r="J18" i="1"/>
  <c r="K18" i="1"/>
  <c r="B18" i="1"/>
  <c r="C4" i="1"/>
  <c r="D4" i="1"/>
  <c r="D37" i="19" s="1"/>
  <c r="E4" i="1"/>
  <c r="F4" i="1"/>
  <c r="F37" i="19" s="1"/>
  <c r="G4" i="1"/>
  <c r="H4" i="1"/>
  <c r="H37" i="19" s="1"/>
  <c r="I4" i="1"/>
  <c r="J4" i="1"/>
  <c r="J37" i="19" s="1"/>
  <c r="K4" i="1"/>
  <c r="K37" i="19" s="1"/>
  <c r="C7" i="1"/>
  <c r="D7" i="1"/>
  <c r="E7" i="1"/>
  <c r="F7" i="1"/>
  <c r="G7" i="1"/>
  <c r="H7" i="1"/>
  <c r="I7" i="1"/>
  <c r="J7" i="1"/>
  <c r="K7" i="1"/>
  <c r="C8" i="1"/>
  <c r="D8" i="1"/>
  <c r="E8" i="1"/>
  <c r="F8" i="1"/>
  <c r="G8" i="1"/>
  <c r="H8" i="1"/>
  <c r="I8" i="1"/>
  <c r="J8" i="1"/>
  <c r="K8" i="1"/>
  <c r="C9" i="1"/>
  <c r="D9" i="1"/>
  <c r="E9" i="1"/>
  <c r="F9" i="1"/>
  <c r="G9" i="1"/>
  <c r="H9" i="1"/>
  <c r="I9" i="1"/>
  <c r="J9" i="1"/>
  <c r="K9" i="1"/>
  <c r="C10" i="1"/>
  <c r="D10" i="1"/>
  <c r="E10" i="1"/>
  <c r="F10" i="1"/>
  <c r="G10" i="1"/>
  <c r="H10" i="1"/>
  <c r="I10" i="1"/>
  <c r="J10" i="1"/>
  <c r="K10" i="1"/>
  <c r="C11" i="1"/>
  <c r="D11" i="1"/>
  <c r="E11" i="1"/>
  <c r="F11" i="1"/>
  <c r="G11" i="1"/>
  <c r="H11" i="1"/>
  <c r="I11" i="1"/>
  <c r="J11" i="1"/>
  <c r="K11" i="1"/>
  <c r="C12" i="1"/>
  <c r="D12" i="1"/>
  <c r="E12" i="1"/>
  <c r="F12" i="1"/>
  <c r="G12" i="1"/>
  <c r="H12" i="1"/>
  <c r="I12" i="1"/>
  <c r="J12" i="1"/>
  <c r="K12" i="1"/>
  <c r="C15" i="1"/>
  <c r="D15" i="1"/>
  <c r="E15" i="1"/>
  <c r="F15" i="1"/>
  <c r="G15" i="1"/>
  <c r="H15" i="1"/>
  <c r="I15" i="1"/>
  <c r="J15" i="1"/>
  <c r="K15" i="1"/>
  <c r="B15" i="1"/>
  <c r="H13" i="1"/>
  <c r="I13" i="1"/>
  <c r="B7" i="1"/>
  <c r="B4" i="1"/>
  <c r="A1" i="1"/>
  <c r="E1" i="6"/>
  <c r="H61" i="19" l="1"/>
  <c r="I8" i="15"/>
  <c r="I85" i="14"/>
  <c r="I27" i="15"/>
  <c r="I28" i="15" s="1"/>
  <c r="I5" i="25" s="1"/>
  <c r="I37" i="19"/>
  <c r="G27" i="15"/>
  <c r="G28" i="15" s="1"/>
  <c r="G5" i="25" s="1"/>
  <c r="G37" i="19"/>
  <c r="E27" i="15"/>
  <c r="E28" i="15" s="1"/>
  <c r="E5" i="25" s="1"/>
  <c r="E37" i="19"/>
  <c r="C27" i="15"/>
  <c r="C37" i="19"/>
  <c r="J71" i="19"/>
  <c r="H71" i="19"/>
  <c r="F71" i="19"/>
  <c r="D71" i="19"/>
  <c r="I11" i="15"/>
  <c r="G11" i="15"/>
  <c r="E11" i="15"/>
  <c r="I87" i="15"/>
  <c r="I113" i="15" s="1"/>
  <c r="G87" i="15"/>
  <c r="G113" i="15" s="1"/>
  <c r="E87" i="15"/>
  <c r="E113" i="15" s="1"/>
  <c r="C87" i="15"/>
  <c r="B32" i="8"/>
  <c r="E1" i="22"/>
  <c r="O19" i="18"/>
  <c r="K61" i="19"/>
  <c r="J87" i="15"/>
  <c r="J113" i="15" s="1"/>
  <c r="H87" i="15"/>
  <c r="H113" i="15" s="1"/>
  <c r="F87" i="15"/>
  <c r="F113" i="15" s="1"/>
  <c r="B58" i="10"/>
  <c r="D48" i="11"/>
  <c r="C28" i="15"/>
  <c r="C5" i="25" s="1"/>
  <c r="H124" i="15"/>
  <c r="K13" i="1"/>
  <c r="K31" i="15"/>
  <c r="P7" i="15"/>
  <c r="K7" i="15"/>
  <c r="P18" i="13"/>
  <c r="K18" i="13"/>
  <c r="O7" i="15"/>
  <c r="Q18" i="13"/>
  <c r="K91" i="15"/>
  <c r="E13" i="1"/>
  <c r="E31" i="15"/>
  <c r="E7" i="15"/>
  <c r="E18" i="13"/>
  <c r="AW7" i="12" s="1"/>
  <c r="E91" i="15"/>
  <c r="L85" i="14"/>
  <c r="J85" i="14"/>
  <c r="F85" i="14"/>
  <c r="J13" i="1"/>
  <c r="J8" i="15" s="1"/>
  <c r="J31" i="15"/>
  <c r="J7" i="15"/>
  <c r="J18" i="13"/>
  <c r="AW12" i="12" s="1"/>
  <c r="J91" i="15"/>
  <c r="H31" i="15"/>
  <c r="H7" i="15"/>
  <c r="H18" i="13"/>
  <c r="AW10" i="12" s="1"/>
  <c r="H91" i="15"/>
  <c r="F13" i="1"/>
  <c r="F8" i="15" s="1"/>
  <c r="F31" i="15"/>
  <c r="F7" i="15"/>
  <c r="F18" i="13"/>
  <c r="AW8" i="12" s="1"/>
  <c r="F91" i="15"/>
  <c r="D13" i="1"/>
  <c r="D31" i="15"/>
  <c r="D7" i="15"/>
  <c r="D18" i="13"/>
  <c r="AW6" i="12" s="1"/>
  <c r="D91" i="15"/>
  <c r="J6" i="15"/>
  <c r="J30" i="15"/>
  <c r="H6" i="15"/>
  <c r="H30" i="15"/>
  <c r="F6" i="15"/>
  <c r="F30" i="15"/>
  <c r="D6" i="15"/>
  <c r="D30" i="15"/>
  <c r="K29" i="15"/>
  <c r="K111" i="15"/>
  <c r="I29" i="15"/>
  <c r="I111" i="15"/>
  <c r="G29" i="15"/>
  <c r="G111" i="15"/>
  <c r="E29" i="15"/>
  <c r="E111" i="15"/>
  <c r="C29" i="15"/>
  <c r="C111" i="15"/>
  <c r="J17" i="13"/>
  <c r="AV12" i="12" s="1"/>
  <c r="J3" i="15"/>
  <c r="J89" i="15"/>
  <c r="H17" i="13"/>
  <c r="AV10" i="12" s="1"/>
  <c r="H3" i="15"/>
  <c r="H89" i="15"/>
  <c r="F17" i="13"/>
  <c r="AV8" i="12" s="1"/>
  <c r="F3" i="15"/>
  <c r="F89" i="15"/>
  <c r="D17" i="13"/>
  <c r="AV6" i="12" s="1"/>
  <c r="D3" i="15"/>
  <c r="D89" i="15"/>
  <c r="J72" i="19"/>
  <c r="H72" i="19"/>
  <c r="F72" i="19"/>
  <c r="D72" i="19"/>
  <c r="K71" i="19"/>
  <c r="K72" i="19" s="1"/>
  <c r="I71" i="19"/>
  <c r="I72" i="19" s="1"/>
  <c r="G71" i="19"/>
  <c r="G72" i="19" s="1"/>
  <c r="E71" i="19"/>
  <c r="E72" i="19" s="1"/>
  <c r="C71" i="19"/>
  <c r="C72" i="19" s="1"/>
  <c r="K75" i="19"/>
  <c r="I75" i="19"/>
  <c r="G75" i="19"/>
  <c r="E75" i="19"/>
  <c r="C75" i="19"/>
  <c r="J11" i="15"/>
  <c r="H11" i="15"/>
  <c r="F11" i="15"/>
  <c r="D11" i="15"/>
  <c r="I44" i="15"/>
  <c r="I10" i="15"/>
  <c r="G44" i="15"/>
  <c r="G10" i="15"/>
  <c r="E44" i="15"/>
  <c r="E10" i="15"/>
  <c r="C44" i="15"/>
  <c r="D87" i="15"/>
  <c r="D113" i="15" s="1"/>
  <c r="J51" i="19"/>
  <c r="J54" i="19" s="1"/>
  <c r="J50" i="19"/>
  <c r="H51" i="19"/>
  <c r="H54" i="19" s="1"/>
  <c r="H50" i="19"/>
  <c r="F51" i="19"/>
  <c r="F54" i="19" s="1"/>
  <c r="F50" i="19"/>
  <c r="D51" i="19"/>
  <c r="D54" i="19" s="1"/>
  <c r="D50" i="19"/>
  <c r="J15" i="18"/>
  <c r="J20" i="18"/>
  <c r="H9" i="18"/>
  <c r="H10" i="18"/>
  <c r="I79" i="13"/>
  <c r="DC11" i="12" s="1"/>
  <c r="I38" i="17"/>
  <c r="I49" i="17"/>
  <c r="I28" i="17"/>
  <c r="I15" i="18"/>
  <c r="M15" i="18" s="1"/>
  <c r="I20" i="18"/>
  <c r="M20" i="18" s="1"/>
  <c r="G79" i="13"/>
  <c r="DC9" i="12" s="1"/>
  <c r="G38" i="17"/>
  <c r="G49" i="17"/>
  <c r="G28" i="17"/>
  <c r="M56" i="9"/>
  <c r="J23" i="18"/>
  <c r="K89" i="9"/>
  <c r="D12" i="9"/>
  <c r="E12" i="9" s="1"/>
  <c r="D14" i="9"/>
  <c r="E14" i="9" s="1"/>
  <c r="L91" i="14"/>
  <c r="K25" i="18" s="1"/>
  <c r="L87" i="14"/>
  <c r="C6" i="9" s="1"/>
  <c r="D30" i="9" s="1"/>
  <c r="L88" i="14"/>
  <c r="L82" i="14"/>
  <c r="L92" i="14"/>
  <c r="L89" i="9"/>
  <c r="L90" i="9" s="1"/>
  <c r="D11" i="9"/>
  <c r="E11" i="9" s="1"/>
  <c r="L93" i="14"/>
  <c r="L99" i="14"/>
  <c r="K16" i="13"/>
  <c r="D13" i="9"/>
  <c r="E13" i="9" s="1"/>
  <c r="L89" i="14"/>
  <c r="L90" i="14"/>
  <c r="G92" i="14"/>
  <c r="F89" i="9"/>
  <c r="G99" i="14"/>
  <c r="G88" i="14"/>
  <c r="G91" i="14"/>
  <c r="G93" i="14"/>
  <c r="F16" i="13"/>
  <c r="G82" i="14"/>
  <c r="G89" i="14"/>
  <c r="G90" i="14"/>
  <c r="G87" i="14"/>
  <c r="K92" i="14"/>
  <c r="J89" i="9"/>
  <c r="K90" i="14"/>
  <c r="K82" i="14"/>
  <c r="K87" i="14"/>
  <c r="K89" i="14"/>
  <c r="J16" i="13"/>
  <c r="K99" i="14"/>
  <c r="K91" i="14"/>
  <c r="J25" i="18" s="1"/>
  <c r="K88" i="14"/>
  <c r="K93" i="14"/>
  <c r="G33" i="17"/>
  <c r="I33" i="17"/>
  <c r="I23" i="18"/>
  <c r="K41" i="18"/>
  <c r="O41" i="18" s="1"/>
  <c r="K34" i="18"/>
  <c r="O34" i="18" s="1"/>
  <c r="K38" i="18"/>
  <c r="K43" i="18"/>
  <c r="M43" i="18" s="1"/>
  <c r="K17" i="18"/>
  <c r="I17" i="8"/>
  <c r="I19" i="8" s="1"/>
  <c r="I20" i="8" s="1"/>
  <c r="E17" i="8"/>
  <c r="E19" i="8" s="1"/>
  <c r="E20" i="8" s="1"/>
  <c r="J17" i="8"/>
  <c r="J19" i="8" s="1"/>
  <c r="J20" i="8" s="1"/>
  <c r="F17" i="8"/>
  <c r="F19" i="8" s="1"/>
  <c r="F20" i="8" s="1"/>
  <c r="C17" i="8"/>
  <c r="C19" i="8" s="1"/>
  <c r="C20" i="8" s="1"/>
  <c r="G17" i="8"/>
  <c r="G19" i="8" s="1"/>
  <c r="G20" i="8" s="1"/>
  <c r="H17" i="8"/>
  <c r="H19" i="8" s="1"/>
  <c r="H20" i="8" s="1"/>
  <c r="K17" i="8"/>
  <c r="K19" i="8" s="1"/>
  <c r="K20" i="8" s="1"/>
  <c r="D17" i="8"/>
  <c r="D19" i="8" s="1"/>
  <c r="D20" i="8" s="1"/>
  <c r="B17" i="8"/>
  <c r="B19" i="8" s="1"/>
  <c r="B20" i="8" s="1"/>
  <c r="B21" i="8" s="1"/>
  <c r="M34" i="18"/>
  <c r="E10" i="18"/>
  <c r="E9" i="18"/>
  <c r="I10" i="18"/>
  <c r="I9" i="18"/>
  <c r="M9" i="18" s="1"/>
  <c r="K42" i="18"/>
  <c r="N34" i="18"/>
  <c r="K10" i="18"/>
  <c r="D79" i="13"/>
  <c r="DC6" i="12" s="1"/>
  <c r="D28" i="17"/>
  <c r="D49" i="17"/>
  <c r="D38" i="17"/>
  <c r="H79" i="13"/>
  <c r="DC10" i="12" s="1"/>
  <c r="H38" i="17"/>
  <c r="H28" i="17"/>
  <c r="H49" i="17"/>
  <c r="K79" i="13"/>
  <c r="DC13" i="12" s="1"/>
  <c r="K38" i="17"/>
  <c r="K49" i="17"/>
  <c r="K28" i="17"/>
  <c r="I69" i="14"/>
  <c r="H12" i="18"/>
  <c r="E89" i="9"/>
  <c r="F91" i="14"/>
  <c r="E25" i="18" s="1"/>
  <c r="F87" i="14"/>
  <c r="F82" i="14"/>
  <c r="F88" i="14"/>
  <c r="E16" i="13"/>
  <c r="F93" i="14"/>
  <c r="F90" i="14"/>
  <c r="F89" i="14"/>
  <c r="F99" i="14"/>
  <c r="F101" i="14" s="1"/>
  <c r="E77" i="9" s="1"/>
  <c r="F92" i="14"/>
  <c r="M17" i="17"/>
  <c r="C89" i="9"/>
  <c r="D91" i="14"/>
  <c r="C25" i="18" s="1"/>
  <c r="D87" i="14"/>
  <c r="D88" i="14"/>
  <c r="D82" i="14"/>
  <c r="D92" i="14"/>
  <c r="D93" i="14"/>
  <c r="D99" i="14"/>
  <c r="D101" i="14" s="1"/>
  <c r="C77" i="9" s="1"/>
  <c r="C16" i="13"/>
  <c r="D89" i="14"/>
  <c r="D90" i="14"/>
  <c r="N17" i="17"/>
  <c r="C92" i="14"/>
  <c r="B89" i="9"/>
  <c r="C90" i="14"/>
  <c r="C82" i="14"/>
  <c r="C87" i="14"/>
  <c r="C89" i="14"/>
  <c r="B16" i="13"/>
  <c r="C88" i="14"/>
  <c r="C93" i="14"/>
  <c r="C99" i="14"/>
  <c r="C91" i="14"/>
  <c r="B25" i="18" s="1"/>
  <c r="O18" i="17"/>
  <c r="K85" i="14"/>
  <c r="E85" i="14"/>
  <c r="I31" i="15"/>
  <c r="I7" i="15"/>
  <c r="I18" i="13"/>
  <c r="AW11" i="12" s="1"/>
  <c r="I91" i="15"/>
  <c r="G13" i="1"/>
  <c r="G8" i="15" s="1"/>
  <c r="G31" i="15"/>
  <c r="G7" i="15"/>
  <c r="G18" i="13"/>
  <c r="AW9" i="12" s="1"/>
  <c r="G91" i="15"/>
  <c r="C13" i="1"/>
  <c r="C31" i="15"/>
  <c r="C91" i="15"/>
  <c r="K30" i="15"/>
  <c r="O6" i="15"/>
  <c r="P6" i="15"/>
  <c r="K6" i="15"/>
  <c r="T20" i="9"/>
  <c r="T19" i="9"/>
  <c r="I30" i="15"/>
  <c r="I6" i="15"/>
  <c r="G30" i="15"/>
  <c r="G6" i="15"/>
  <c r="E30" i="15"/>
  <c r="E6" i="15"/>
  <c r="C30" i="15"/>
  <c r="J29" i="15"/>
  <c r="J111" i="15"/>
  <c r="H29" i="15"/>
  <c r="H111" i="15"/>
  <c r="F29" i="15"/>
  <c r="F111" i="15"/>
  <c r="D29" i="15"/>
  <c r="D111" i="15"/>
  <c r="P3" i="15"/>
  <c r="N13" i="9" s="1"/>
  <c r="N3" i="15"/>
  <c r="K3" i="15"/>
  <c r="N14" i="9" s="1"/>
  <c r="Q17" i="13"/>
  <c r="O3" i="15"/>
  <c r="N12" i="9" s="1"/>
  <c r="R17" i="13"/>
  <c r="P17" i="13"/>
  <c r="K17" i="13"/>
  <c r="K89" i="15"/>
  <c r="I3" i="15"/>
  <c r="I17" i="13"/>
  <c r="AV11" i="12" s="1"/>
  <c r="I89" i="15"/>
  <c r="G3" i="15"/>
  <c r="G17" i="13"/>
  <c r="AV9" i="12" s="1"/>
  <c r="G89" i="15"/>
  <c r="E3" i="15"/>
  <c r="E17" i="13"/>
  <c r="AV7" i="12" s="1"/>
  <c r="E89" i="15"/>
  <c r="C3" i="15"/>
  <c r="C17" i="13"/>
  <c r="AV5" i="12" s="1"/>
  <c r="C89" i="15"/>
  <c r="J75" i="19"/>
  <c r="H75" i="19"/>
  <c r="F75" i="19"/>
  <c r="D75" i="19"/>
  <c r="J44" i="15"/>
  <c r="J10" i="15"/>
  <c r="H44" i="15"/>
  <c r="H10" i="15"/>
  <c r="F44" i="15"/>
  <c r="F10" i="15"/>
  <c r="D44" i="15"/>
  <c r="D10" i="15"/>
  <c r="L87" i="15"/>
  <c r="L113" i="15" s="1"/>
  <c r="K87" i="15"/>
  <c r="K113" i="15" s="1"/>
  <c r="C113" i="15"/>
  <c r="K51" i="19"/>
  <c r="K54" i="19" s="1"/>
  <c r="K50" i="19"/>
  <c r="I51" i="19"/>
  <c r="I54" i="19" s="1"/>
  <c r="I50" i="19"/>
  <c r="G51" i="19"/>
  <c r="G54" i="19" s="1"/>
  <c r="G50" i="19"/>
  <c r="E51" i="19"/>
  <c r="E54" i="19" s="1"/>
  <c r="E50" i="19"/>
  <c r="C51" i="19"/>
  <c r="C54" i="19" s="1"/>
  <c r="C50" i="19"/>
  <c r="R8" i="8"/>
  <c r="O8" i="8"/>
  <c r="D71" i="9"/>
  <c r="D9" i="18"/>
  <c r="D10" i="18"/>
  <c r="E79" i="13"/>
  <c r="DC7" i="12" s="1"/>
  <c r="E38" i="17"/>
  <c r="E49" i="17"/>
  <c r="E28" i="17"/>
  <c r="F15" i="18"/>
  <c r="F20" i="18"/>
  <c r="C79" i="13"/>
  <c r="DC5" i="12" s="1"/>
  <c r="C38" i="17"/>
  <c r="O38" i="17" s="1"/>
  <c r="C49" i="17"/>
  <c r="C28" i="17"/>
  <c r="O28" i="17" s="1"/>
  <c r="E15" i="18"/>
  <c r="E20" i="18"/>
  <c r="K27" i="15"/>
  <c r="E92" i="14"/>
  <c r="D89" i="9"/>
  <c r="D90" i="9" s="1"/>
  <c r="E90" i="14"/>
  <c r="E82" i="14"/>
  <c r="E91" i="14"/>
  <c r="D25" i="18" s="1"/>
  <c r="E88" i="14"/>
  <c r="E87" i="14"/>
  <c r="D16" i="13"/>
  <c r="E99" i="14"/>
  <c r="E101" i="14" s="1"/>
  <c r="D77" i="9" s="1"/>
  <c r="E93" i="14"/>
  <c r="I92" i="14"/>
  <c r="H89" i="9"/>
  <c r="I99" i="14"/>
  <c r="I88" i="14"/>
  <c r="I93" i="14"/>
  <c r="I87" i="14"/>
  <c r="I82" i="14"/>
  <c r="H16" i="13"/>
  <c r="I90" i="14"/>
  <c r="I91" i="14"/>
  <c r="H25" i="18" s="1"/>
  <c r="C33" i="17"/>
  <c r="O33" i="17" s="1"/>
  <c r="O43" i="18"/>
  <c r="M41" i="18"/>
  <c r="O6" i="18"/>
  <c r="E42" i="18"/>
  <c r="O42" i="18" s="1"/>
  <c r="E36" i="18"/>
  <c r="E4" i="18"/>
  <c r="E6" i="18" s="1"/>
  <c r="E8" i="18" s="1"/>
  <c r="O8" i="18" s="1"/>
  <c r="E35" i="18"/>
  <c r="E30" i="18"/>
  <c r="N6" i="18"/>
  <c r="I83" i="9"/>
  <c r="I42" i="18"/>
  <c r="M42" i="18" s="1"/>
  <c r="I36" i="18"/>
  <c r="M36" i="18" s="1"/>
  <c r="I4" i="18"/>
  <c r="I6" i="18" s="1"/>
  <c r="I8" i="18" s="1"/>
  <c r="M8" i="18" s="1"/>
  <c r="I35" i="18"/>
  <c r="M35" i="18" s="1"/>
  <c r="M4" i="18"/>
  <c r="M6" i="18" s="1"/>
  <c r="I30" i="18"/>
  <c r="K36" i="18"/>
  <c r="N43" i="18"/>
  <c r="N41" i="18"/>
  <c r="H69" i="14"/>
  <c r="G12" i="18"/>
  <c r="O37" i="17"/>
  <c r="N37" i="17"/>
  <c r="D27" i="15"/>
  <c r="D28" i="15" s="1"/>
  <c r="D5" i="25" s="1"/>
  <c r="H27" i="15"/>
  <c r="H28" i="15" s="1"/>
  <c r="H5" i="25" s="1"/>
  <c r="I89" i="9"/>
  <c r="I90" i="9" s="1"/>
  <c r="J91" i="14"/>
  <c r="I25" i="18" s="1"/>
  <c r="M25" i="18" s="1"/>
  <c r="J87" i="14"/>
  <c r="J82" i="14"/>
  <c r="J88" i="14"/>
  <c r="I16" i="13"/>
  <c r="J93" i="14"/>
  <c r="J90" i="14"/>
  <c r="J92" i="14"/>
  <c r="J89" i="14"/>
  <c r="J99" i="14"/>
  <c r="M18" i="17"/>
  <c r="G10" i="18"/>
  <c r="N10" i="18" s="1"/>
  <c r="G9" i="18"/>
  <c r="N9" i="18" s="1"/>
  <c r="F27" i="15"/>
  <c r="J27" i="15"/>
  <c r="J28" i="15" s="1"/>
  <c r="J5" i="25" s="1"/>
  <c r="G89" i="9"/>
  <c r="G90" i="9" s="1"/>
  <c r="H91" i="14"/>
  <c r="G25" i="18" s="1"/>
  <c r="N25" i="18" s="1"/>
  <c r="H87" i="14"/>
  <c r="H88" i="14"/>
  <c r="H82" i="14"/>
  <c r="H92" i="14"/>
  <c r="H93" i="14"/>
  <c r="H99" i="14"/>
  <c r="G16" i="13"/>
  <c r="H89" i="14"/>
  <c r="H90" i="14"/>
  <c r="N18" i="17"/>
  <c r="O17" i="17"/>
  <c r="K11" i="15"/>
  <c r="L11" i="15"/>
  <c r="L44" i="15"/>
  <c r="N44" i="15" s="1"/>
  <c r="L10" i="15"/>
  <c r="K44" i="15"/>
  <c r="K10" i="15"/>
  <c r="O105" i="13"/>
  <c r="B61" i="11" s="1"/>
  <c r="M33" i="17"/>
  <c r="N33" i="17"/>
  <c r="N39" i="18"/>
  <c r="M39" i="18"/>
  <c r="O39" i="18"/>
  <c r="N32" i="17"/>
  <c r="M32" i="17"/>
  <c r="O32" i="17"/>
  <c r="M22" i="18"/>
  <c r="O22" i="18"/>
  <c r="N22" i="18"/>
  <c r="N31" i="18"/>
  <c r="M31" i="18"/>
  <c r="O31" i="18"/>
  <c r="M40" i="18"/>
  <c r="O40" i="18"/>
  <c r="N40" i="18"/>
  <c r="M31" i="17"/>
  <c r="O31" i="17"/>
  <c r="N31" i="17"/>
  <c r="M23" i="18"/>
  <c r="N30" i="17"/>
  <c r="M30" i="17"/>
  <c r="O30" i="17"/>
  <c r="M18" i="18"/>
  <c r="O18" i="18"/>
  <c r="N18" i="18"/>
  <c r="M24" i="18"/>
  <c r="O24" i="18"/>
  <c r="N24" i="18"/>
  <c r="N29" i="18"/>
  <c r="M29" i="18"/>
  <c r="O29" i="18"/>
  <c r="M32" i="18"/>
  <c r="O32" i="18"/>
  <c r="N32" i="18"/>
  <c r="M44" i="18"/>
  <c r="O44" i="18"/>
  <c r="N44" i="18"/>
  <c r="B68" i="11"/>
  <c r="B95" i="10"/>
  <c r="D73" i="11"/>
  <c r="B112" i="10"/>
  <c r="D56" i="11"/>
  <c r="B79" i="10"/>
  <c r="C30" i="11"/>
  <c r="B33" i="10"/>
  <c r="B34" i="10"/>
  <c r="D30" i="11"/>
  <c r="C67" i="11"/>
  <c r="B93" i="10"/>
  <c r="B72" i="11"/>
  <c r="B107" i="10"/>
  <c r="D72" i="11"/>
  <c r="B109" i="10"/>
  <c r="B56" i="11"/>
  <c r="B77" i="10"/>
  <c r="B73" i="11"/>
  <c r="B110" i="10"/>
  <c r="C69" i="11"/>
  <c r="B99" i="10"/>
  <c r="D55" i="11"/>
  <c r="B76" i="10"/>
  <c r="B32" i="10"/>
  <c r="B30" i="11"/>
  <c r="C71" i="11"/>
  <c r="B105" i="10"/>
  <c r="C68" i="11"/>
  <c r="B96" i="10"/>
  <c r="H73" i="9"/>
  <c r="H72" i="9"/>
  <c r="H71" i="9"/>
  <c r="G20" i="9"/>
  <c r="B103" i="9"/>
  <c r="I87" i="9"/>
  <c r="G18" i="9"/>
  <c r="B87" i="9"/>
  <c r="K88" i="9"/>
  <c r="J21" i="9"/>
  <c r="I18" i="9"/>
  <c r="K18" i="9"/>
  <c r="K21" i="9"/>
  <c r="K19" i="9"/>
  <c r="K20" i="9"/>
  <c r="I21" i="9"/>
  <c r="I19" i="9"/>
  <c r="J27" i="9" s="1"/>
  <c r="I20" i="9"/>
  <c r="M57" i="9"/>
  <c r="K68" i="9"/>
  <c r="K67" i="9"/>
  <c r="G72" i="9"/>
  <c r="B104" i="9"/>
  <c r="G19" i="9"/>
  <c r="H27" i="9" s="1"/>
  <c r="G87" i="9"/>
  <c r="D91" i="9"/>
  <c r="C65" i="11"/>
  <c r="B84" i="10"/>
  <c r="C55" i="11"/>
  <c r="B75" i="10"/>
  <c r="D69" i="11"/>
  <c r="B100" i="10"/>
  <c r="D65" i="11"/>
  <c r="B85" i="10"/>
  <c r="D67" i="11"/>
  <c r="B94" i="10"/>
  <c r="C72" i="11"/>
  <c r="B108" i="10"/>
  <c r="B69" i="11"/>
  <c r="B98" i="10"/>
  <c r="B67" i="11"/>
  <c r="B92" i="10"/>
  <c r="O103" i="13"/>
  <c r="O114" i="13"/>
  <c r="C73" i="11"/>
  <c r="B111" i="10"/>
  <c r="N104" i="13"/>
  <c r="C60" i="11" s="1"/>
  <c r="N103" i="13"/>
  <c r="N114" i="13"/>
  <c r="M103" i="13"/>
  <c r="M114" i="13"/>
  <c r="B71" i="11"/>
  <c r="B104" i="10"/>
  <c r="D71" i="11"/>
  <c r="B106" i="10"/>
  <c r="D68" i="11"/>
  <c r="B97" i="10"/>
  <c r="B55" i="11"/>
  <c r="B74" i="10"/>
  <c r="L91" i="9"/>
  <c r="S7" i="9"/>
  <c r="B67" i="9"/>
  <c r="B68" i="9"/>
  <c r="D67" i="9"/>
  <c r="D68" i="9"/>
  <c r="F67" i="9"/>
  <c r="F68" i="9"/>
  <c r="H67" i="9"/>
  <c r="H68" i="9"/>
  <c r="J67" i="9"/>
  <c r="J68" i="9"/>
  <c r="C68" i="9"/>
  <c r="C67" i="9"/>
  <c r="I68" i="9"/>
  <c r="I67" i="9"/>
  <c r="B33" i="9"/>
  <c r="B27" i="9"/>
  <c r="L67" i="9"/>
  <c r="L68" i="9"/>
  <c r="M101" i="14"/>
  <c r="L101" i="14"/>
  <c r="K72" i="9"/>
  <c r="H18" i="9"/>
  <c r="I30" i="9"/>
  <c r="L72" i="9"/>
  <c r="I91" i="9"/>
  <c r="H33" i="9"/>
  <c r="H30" i="9"/>
  <c r="L33" i="9"/>
  <c r="Q7" i="9"/>
  <c r="M14" i="9"/>
  <c r="F7" i="8"/>
  <c r="M45" i="9"/>
  <c r="E68" i="9"/>
  <c r="E67" i="9"/>
  <c r="G68" i="9"/>
  <c r="G67" i="9"/>
  <c r="G91" i="9"/>
  <c r="E71" i="9"/>
  <c r="I71" i="9"/>
  <c r="I73" i="9"/>
  <c r="O104" i="13"/>
  <c r="B60" i="11" s="1"/>
  <c r="O109" i="13"/>
  <c r="O118" i="13"/>
  <c r="N105" i="13"/>
  <c r="C61" i="11" s="1"/>
  <c r="N118" i="13"/>
  <c r="M104" i="13"/>
  <c r="D60" i="11" s="1"/>
  <c r="M105" i="13"/>
  <c r="D61" i="11" s="1"/>
  <c r="M118" i="13"/>
  <c r="C16" i="8"/>
  <c r="C21" i="8" s="1"/>
  <c r="C24" i="8" s="1"/>
  <c r="B24" i="8"/>
  <c r="E23" i="8"/>
  <c r="E15" i="8"/>
  <c r="F14" i="8"/>
  <c r="G12" i="8"/>
  <c r="K14" i="1"/>
  <c r="I14" i="1"/>
  <c r="G14" i="1"/>
  <c r="E14" i="1"/>
  <c r="C14" i="1"/>
  <c r="J23" i="2"/>
  <c r="J14" i="1"/>
  <c r="H14" i="1"/>
  <c r="F14" i="1"/>
  <c r="D14" i="1"/>
  <c r="I23" i="2"/>
  <c r="E23" i="2"/>
  <c r="E1" i="2"/>
  <c r="E1" i="4"/>
  <c r="E1" i="3"/>
  <c r="H16" i="2"/>
  <c r="D16" i="2"/>
  <c r="D48" i="15" s="1"/>
  <c r="K23" i="2"/>
  <c r="G16" i="2"/>
  <c r="G48" i="15" s="1"/>
  <c r="F23" i="2"/>
  <c r="C23" i="2"/>
  <c r="I16" i="2"/>
  <c r="E16" i="2"/>
  <c r="E48" i="15" s="1"/>
  <c r="K16" i="2"/>
  <c r="C16" i="2"/>
  <c r="C48" i="15" s="1"/>
  <c r="G23" i="2"/>
  <c r="J16" i="2"/>
  <c r="J48" i="15" s="1"/>
  <c r="F16" i="2"/>
  <c r="F48" i="15" s="1"/>
  <c r="E6" i="1"/>
  <c r="H23" i="2"/>
  <c r="D23" i="2"/>
  <c r="I6" i="1"/>
  <c r="J6" i="1"/>
  <c r="F6" i="1"/>
  <c r="K6" i="1"/>
  <c r="G6" i="1"/>
  <c r="C6" i="1"/>
  <c r="H6" i="1"/>
  <c r="D6" i="1"/>
  <c r="B6" i="1"/>
  <c r="H1" i="1"/>
  <c r="C5" i="22" l="1"/>
  <c r="C7" i="22"/>
  <c r="C9" i="22"/>
  <c r="C11" i="22"/>
  <c r="C13" i="22"/>
  <c r="C15" i="22"/>
  <c r="C17" i="22"/>
  <c r="C19" i="22"/>
  <c r="C21" i="22"/>
  <c r="C23" i="22"/>
  <c r="C25" i="22"/>
  <c r="C27" i="22"/>
  <c r="C29" i="22"/>
  <c r="C31" i="22"/>
  <c r="C33" i="22"/>
  <c r="C35" i="22"/>
  <c r="C37" i="22"/>
  <c r="C39" i="22"/>
  <c r="C41" i="22"/>
  <c r="C43" i="22"/>
  <c r="C45" i="22"/>
  <c r="C47" i="22"/>
  <c r="C49" i="22"/>
  <c r="C51" i="22"/>
  <c r="C53" i="22"/>
  <c r="C55" i="22"/>
  <c r="C57" i="22"/>
  <c r="C59" i="22"/>
  <c r="C61" i="22"/>
  <c r="C63" i="22"/>
  <c r="C65" i="22"/>
  <c r="C67" i="22"/>
  <c r="C69" i="22"/>
  <c r="C71" i="22"/>
  <c r="C73" i="22"/>
  <c r="C75" i="22"/>
  <c r="C77" i="22"/>
  <c r="C79" i="22"/>
  <c r="C81" i="22"/>
  <c r="C83" i="22"/>
  <c r="C85" i="22"/>
  <c r="C87" i="22"/>
  <c r="C89" i="22"/>
  <c r="C91" i="22"/>
  <c r="C93" i="22"/>
  <c r="C95" i="22"/>
  <c r="C97" i="22"/>
  <c r="C99" i="22"/>
  <c r="C101" i="22"/>
  <c r="C103" i="22"/>
  <c r="C105" i="22"/>
  <c r="C107" i="22"/>
  <c r="C109" i="22"/>
  <c r="C111" i="22"/>
  <c r="C113" i="22"/>
  <c r="C115" i="22"/>
  <c r="C117" i="22"/>
  <c r="C119" i="22"/>
  <c r="C121" i="22"/>
  <c r="C123" i="22"/>
  <c r="C125" i="22"/>
  <c r="C127" i="22"/>
  <c r="C129" i="22"/>
  <c r="C131" i="22"/>
  <c r="C133" i="22"/>
  <c r="C135" i="22"/>
  <c r="C137" i="22"/>
  <c r="C139" i="22"/>
  <c r="C141" i="22"/>
  <c r="C143" i="22"/>
  <c r="C145" i="22"/>
  <c r="C147" i="22"/>
  <c r="C149" i="22"/>
  <c r="C151" i="22"/>
  <c r="C153" i="22"/>
  <c r="C155" i="22"/>
  <c r="C157" i="22"/>
  <c r="C159" i="22"/>
  <c r="C161" i="22"/>
  <c r="C163" i="22"/>
  <c r="C165" i="22"/>
  <c r="C167" i="22"/>
  <c r="C169" i="22"/>
  <c r="C171" i="22"/>
  <c r="C173" i="22"/>
  <c r="C6" i="22"/>
  <c r="C8" i="22"/>
  <c r="C10" i="22"/>
  <c r="C12" i="22"/>
  <c r="C14" i="22"/>
  <c r="C16" i="22"/>
  <c r="C18" i="22"/>
  <c r="C20" i="22"/>
  <c r="C22" i="22"/>
  <c r="C24" i="22"/>
  <c r="C26" i="22"/>
  <c r="C28" i="22"/>
  <c r="C30" i="22"/>
  <c r="C32" i="22"/>
  <c r="C34" i="22"/>
  <c r="C36" i="22"/>
  <c r="C38" i="22"/>
  <c r="C40" i="22"/>
  <c r="C42" i="22"/>
  <c r="C44" i="22"/>
  <c r="C46" i="22"/>
  <c r="C48" i="22"/>
  <c r="C50" i="22"/>
  <c r="C52" i="22"/>
  <c r="C54" i="22"/>
  <c r="C56" i="22"/>
  <c r="C58" i="22"/>
  <c r="C60" i="22"/>
  <c r="C62" i="22"/>
  <c r="C64" i="22"/>
  <c r="C66" i="22"/>
  <c r="C68" i="22"/>
  <c r="C70" i="22"/>
  <c r="C72" i="22"/>
  <c r="C74" i="22"/>
  <c r="C76" i="22"/>
  <c r="C78" i="22"/>
  <c r="C80" i="22"/>
  <c r="C82" i="22"/>
  <c r="C84" i="22"/>
  <c r="C86" i="22"/>
  <c r="C88" i="22"/>
  <c r="C90" i="22"/>
  <c r="C92" i="22"/>
  <c r="C94" i="22"/>
  <c r="C96" i="22"/>
  <c r="C98" i="22"/>
  <c r="C100" i="22"/>
  <c r="C102" i="22"/>
  <c r="C104" i="22"/>
  <c r="C106" i="22"/>
  <c r="C108" i="22"/>
  <c r="C110" i="22"/>
  <c r="C112" i="22"/>
  <c r="C114" i="22"/>
  <c r="C116" i="22"/>
  <c r="C118" i="22"/>
  <c r="C120" i="22"/>
  <c r="C122" i="22"/>
  <c r="C124" i="22"/>
  <c r="C126" i="22"/>
  <c r="C128" i="22"/>
  <c r="C130" i="22"/>
  <c r="C132" i="22"/>
  <c r="C134" i="22"/>
  <c r="C136" i="22"/>
  <c r="C138" i="22"/>
  <c r="C140" i="22"/>
  <c r="C142" i="22"/>
  <c r="C144" i="22"/>
  <c r="C146" i="22"/>
  <c r="C148" i="22"/>
  <c r="C150" i="22"/>
  <c r="C152" i="22"/>
  <c r="C154" i="22"/>
  <c r="C156" i="22"/>
  <c r="C158" i="22"/>
  <c r="C160" i="22"/>
  <c r="C162" i="22"/>
  <c r="C164" i="22"/>
  <c r="C166" i="22"/>
  <c r="C170" i="22"/>
  <c r="C174" i="22"/>
  <c r="C176" i="22"/>
  <c r="C178" i="22"/>
  <c r="C180" i="22"/>
  <c r="C182" i="22"/>
  <c r="C184" i="22"/>
  <c r="C186" i="22"/>
  <c r="C188" i="22"/>
  <c r="C190" i="22"/>
  <c r="C192" i="22"/>
  <c r="C194" i="22"/>
  <c r="C196" i="22"/>
  <c r="C198" i="22"/>
  <c r="C200" i="22"/>
  <c r="C202" i="22"/>
  <c r="C204" i="22"/>
  <c r="C206" i="22"/>
  <c r="C208" i="22"/>
  <c r="C210" i="22"/>
  <c r="C212" i="22"/>
  <c r="C214" i="22"/>
  <c r="C216" i="22"/>
  <c r="C218" i="22"/>
  <c r="C220" i="22"/>
  <c r="C222" i="22"/>
  <c r="C224" i="22"/>
  <c r="C226" i="22"/>
  <c r="C228" i="22"/>
  <c r="C230" i="22"/>
  <c r="C232" i="22"/>
  <c r="C234" i="22"/>
  <c r="C236" i="22"/>
  <c r="C238" i="22"/>
  <c r="C240" i="22"/>
  <c r="C242" i="22"/>
  <c r="C244" i="22"/>
  <c r="C246" i="22"/>
  <c r="C248" i="22"/>
  <c r="C250" i="22"/>
  <c r="C252" i="22"/>
  <c r="C254" i="22"/>
  <c r="C256" i="22"/>
  <c r="C258" i="22"/>
  <c r="C260" i="22"/>
  <c r="C262" i="22"/>
  <c r="C264" i="22"/>
  <c r="C266" i="22"/>
  <c r="C268" i="22"/>
  <c r="C270" i="22"/>
  <c r="C272" i="22"/>
  <c r="C274" i="22"/>
  <c r="C276" i="22"/>
  <c r="C278" i="22"/>
  <c r="C280" i="22"/>
  <c r="C282" i="22"/>
  <c r="C284" i="22"/>
  <c r="C286" i="22"/>
  <c r="C288" i="22"/>
  <c r="C290" i="22"/>
  <c r="C292" i="22"/>
  <c r="C294" i="22"/>
  <c r="C168" i="22"/>
  <c r="C172" i="22"/>
  <c r="C175" i="22"/>
  <c r="C177" i="22"/>
  <c r="C179" i="22"/>
  <c r="C181" i="22"/>
  <c r="C183" i="22"/>
  <c r="C185" i="22"/>
  <c r="C187" i="22"/>
  <c r="C189" i="22"/>
  <c r="C191" i="22"/>
  <c r="C193" i="22"/>
  <c r="C195" i="22"/>
  <c r="C197" i="22"/>
  <c r="C199" i="22"/>
  <c r="C201" i="22"/>
  <c r="C203" i="22"/>
  <c r="C205" i="22"/>
  <c r="C207" i="22"/>
  <c r="C209" i="22"/>
  <c r="C211" i="22"/>
  <c r="C213" i="22"/>
  <c r="C215" i="22"/>
  <c r="C217" i="22"/>
  <c r="C219" i="22"/>
  <c r="C221" i="22"/>
  <c r="C223" i="22"/>
  <c r="C225" i="22"/>
  <c r="C227" i="22"/>
  <c r="C229" i="22"/>
  <c r="C231" i="22"/>
  <c r="C233" i="22"/>
  <c r="C235" i="22"/>
  <c r="C237" i="22"/>
  <c r="C239" i="22"/>
  <c r="C241" i="22"/>
  <c r="C243" i="22"/>
  <c r="C245" i="22"/>
  <c r="C247" i="22"/>
  <c r="C249" i="22"/>
  <c r="C251" i="22"/>
  <c r="C253" i="22"/>
  <c r="C255" i="22"/>
  <c r="C257" i="22"/>
  <c r="C259" i="22"/>
  <c r="C261" i="22"/>
  <c r="C263" i="22"/>
  <c r="C265" i="22"/>
  <c r="C267" i="22"/>
  <c r="C269" i="22"/>
  <c r="C271" i="22"/>
  <c r="C273" i="22"/>
  <c r="C275" i="22"/>
  <c r="C277" i="22"/>
  <c r="C279" i="22"/>
  <c r="C281" i="22"/>
  <c r="C283" i="22"/>
  <c r="C285" i="22"/>
  <c r="C287" i="22"/>
  <c r="C289" i="22"/>
  <c r="C291" i="22"/>
  <c r="C293" i="22"/>
  <c r="C295" i="22"/>
  <c r="C297" i="22"/>
  <c r="C299" i="22"/>
  <c r="C301" i="22"/>
  <c r="C303" i="22"/>
  <c r="C305" i="22"/>
  <c r="C307" i="22"/>
  <c r="C309" i="22"/>
  <c r="C311" i="22"/>
  <c r="C313" i="22"/>
  <c r="C315" i="22"/>
  <c r="C317" i="22"/>
  <c r="C319" i="22"/>
  <c r="C321" i="22"/>
  <c r="C323" i="22"/>
  <c r="C325" i="22"/>
  <c r="C327" i="22"/>
  <c r="C329" i="22"/>
  <c r="C331" i="22"/>
  <c r="C333" i="22"/>
  <c r="C335" i="22"/>
  <c r="C337" i="22"/>
  <c r="C339" i="22"/>
  <c r="C296" i="22"/>
  <c r="C300" i="22"/>
  <c r="C304" i="22"/>
  <c r="C308" i="22"/>
  <c r="C312" i="22"/>
  <c r="C316" i="22"/>
  <c r="C320" i="22"/>
  <c r="C324" i="22"/>
  <c r="C328" i="22"/>
  <c r="C332" i="22"/>
  <c r="C336" i="22"/>
  <c r="C340" i="22"/>
  <c r="C342" i="22"/>
  <c r="C344" i="22"/>
  <c r="C346" i="22"/>
  <c r="C348" i="22"/>
  <c r="C350" i="22"/>
  <c r="C352" i="22"/>
  <c r="C354" i="22"/>
  <c r="C356" i="22"/>
  <c r="C358" i="22"/>
  <c r="C360" i="22"/>
  <c r="C362" i="22"/>
  <c r="C364" i="22"/>
  <c r="C366" i="22"/>
  <c r="C368" i="22"/>
  <c r="C370" i="22"/>
  <c r="C372" i="22"/>
  <c r="C374" i="22"/>
  <c r="C376" i="22"/>
  <c r="C378" i="22"/>
  <c r="C380" i="22"/>
  <c r="C382" i="22"/>
  <c r="C384" i="22"/>
  <c r="C386" i="22"/>
  <c r="C388" i="22"/>
  <c r="C390" i="22"/>
  <c r="C392" i="22"/>
  <c r="C394" i="22"/>
  <c r="C396" i="22"/>
  <c r="C398" i="22"/>
  <c r="C400" i="22"/>
  <c r="C402" i="22"/>
  <c r="C404" i="22"/>
  <c r="C406" i="22"/>
  <c r="C408" i="22"/>
  <c r="C410" i="22"/>
  <c r="C412" i="22"/>
  <c r="C414" i="22"/>
  <c r="C416" i="22"/>
  <c r="C418" i="22"/>
  <c r="C420" i="22"/>
  <c r="C422" i="22"/>
  <c r="C424" i="22"/>
  <c r="C426" i="22"/>
  <c r="C428" i="22"/>
  <c r="C430" i="22"/>
  <c r="C432" i="22"/>
  <c r="C434" i="22"/>
  <c r="C436" i="22"/>
  <c r="C438" i="22"/>
  <c r="C440" i="22"/>
  <c r="C442" i="22"/>
  <c r="C444" i="22"/>
  <c r="C446" i="22"/>
  <c r="C448" i="22"/>
  <c r="C450" i="22"/>
  <c r="C452" i="22"/>
  <c r="C454" i="22"/>
  <c r="C456" i="22"/>
  <c r="C458" i="22"/>
  <c r="C460" i="22"/>
  <c r="C462" i="22"/>
  <c r="C464" i="22"/>
  <c r="C466" i="22"/>
  <c r="C468" i="22"/>
  <c r="C470" i="22"/>
  <c r="C472" i="22"/>
  <c r="C474" i="22"/>
  <c r="C476" i="22"/>
  <c r="C478" i="22"/>
  <c r="C480" i="22"/>
  <c r="C482" i="22"/>
  <c r="C484" i="22"/>
  <c r="C486" i="22"/>
  <c r="C488" i="22"/>
  <c r="C490" i="22"/>
  <c r="C492" i="22"/>
  <c r="C494" i="22"/>
  <c r="C496" i="22"/>
  <c r="C498" i="22"/>
  <c r="C500" i="22"/>
  <c r="C502" i="22"/>
  <c r="C504" i="22"/>
  <c r="C506" i="22"/>
  <c r="C508" i="22"/>
  <c r="C510" i="22"/>
  <c r="C512" i="22"/>
  <c r="C514" i="22"/>
  <c r="C516" i="22"/>
  <c r="C518" i="22"/>
  <c r="C520" i="22"/>
  <c r="C522" i="22"/>
  <c r="C524" i="22"/>
  <c r="C526" i="22"/>
  <c r="C528" i="22"/>
  <c r="C530" i="22"/>
  <c r="C532" i="22"/>
  <c r="C534" i="22"/>
  <c r="C536" i="22"/>
  <c r="C538" i="22"/>
  <c r="C540" i="22"/>
  <c r="C542" i="22"/>
  <c r="C544" i="22"/>
  <c r="C546" i="22"/>
  <c r="C548" i="22"/>
  <c r="C550" i="22"/>
  <c r="C552" i="22"/>
  <c r="C554" i="22"/>
  <c r="C556" i="22"/>
  <c r="C558" i="22"/>
  <c r="C560" i="22"/>
  <c r="C562" i="22"/>
  <c r="C564" i="22"/>
  <c r="C566" i="22"/>
  <c r="C568" i="22"/>
  <c r="C570" i="22"/>
  <c r="C572" i="22"/>
  <c r="C574" i="22"/>
  <c r="C576" i="22"/>
  <c r="C578" i="22"/>
  <c r="C580" i="22"/>
  <c r="C582" i="22"/>
  <c r="C584" i="22"/>
  <c r="C586" i="22"/>
  <c r="C588" i="22"/>
  <c r="C590" i="22"/>
  <c r="C592" i="22"/>
  <c r="C594" i="22"/>
  <c r="C596" i="22"/>
  <c r="C598" i="22"/>
  <c r="C600" i="22"/>
  <c r="C602" i="22"/>
  <c r="C604" i="22"/>
  <c r="C606" i="22"/>
  <c r="C608" i="22"/>
  <c r="C610" i="22"/>
  <c r="C612" i="22"/>
  <c r="C614" i="22"/>
  <c r="C616" i="22"/>
  <c r="C618" i="22"/>
  <c r="C620" i="22"/>
  <c r="C622" i="22"/>
  <c r="C624" i="22"/>
  <c r="C626" i="22"/>
  <c r="C628" i="22"/>
  <c r="C630" i="22"/>
  <c r="C632" i="22"/>
  <c r="C634" i="22"/>
  <c r="C636" i="22"/>
  <c r="C638" i="22"/>
  <c r="C640" i="22"/>
  <c r="C642" i="22"/>
  <c r="C644" i="22"/>
  <c r="C646" i="22"/>
  <c r="C648" i="22"/>
  <c r="C650" i="22"/>
  <c r="C652" i="22"/>
  <c r="C654" i="22"/>
  <c r="C656" i="22"/>
  <c r="C298" i="22"/>
  <c r="C302" i="22"/>
  <c r="C306" i="22"/>
  <c r="C310" i="22"/>
  <c r="C314" i="22"/>
  <c r="C318" i="22"/>
  <c r="C322" i="22"/>
  <c r="C326" i="22"/>
  <c r="C330" i="22"/>
  <c r="C334" i="22"/>
  <c r="C338" i="22"/>
  <c r="C341" i="22"/>
  <c r="C343" i="22"/>
  <c r="C345" i="22"/>
  <c r="C347" i="22"/>
  <c r="C349" i="22"/>
  <c r="C351" i="22"/>
  <c r="C353" i="22"/>
  <c r="C355" i="22"/>
  <c r="C357" i="22"/>
  <c r="C359" i="22"/>
  <c r="C361" i="22"/>
  <c r="C363" i="22"/>
  <c r="C365" i="22"/>
  <c r="C367" i="22"/>
  <c r="C369" i="22"/>
  <c r="C371" i="22"/>
  <c r="C373" i="22"/>
  <c r="C375" i="22"/>
  <c r="C377" i="22"/>
  <c r="C379" i="22"/>
  <c r="C381" i="22"/>
  <c r="C383" i="22"/>
  <c r="C385" i="22"/>
  <c r="C387" i="22"/>
  <c r="C389" i="22"/>
  <c r="C391" i="22"/>
  <c r="C393" i="22"/>
  <c r="C395" i="22"/>
  <c r="C397" i="22"/>
  <c r="C399" i="22"/>
  <c r="C401" i="22"/>
  <c r="C403" i="22"/>
  <c r="C405" i="22"/>
  <c r="C407" i="22"/>
  <c r="C409" i="22"/>
  <c r="C411" i="22"/>
  <c r="C413" i="22"/>
  <c r="C415" i="22"/>
  <c r="C417" i="22"/>
  <c r="C419" i="22"/>
  <c r="C421" i="22"/>
  <c r="C423" i="22"/>
  <c r="C425" i="22"/>
  <c r="C427" i="22"/>
  <c r="C429" i="22"/>
  <c r="C431" i="22"/>
  <c r="C433" i="22"/>
  <c r="C435" i="22"/>
  <c r="C437" i="22"/>
  <c r="C439" i="22"/>
  <c r="C441" i="22"/>
  <c r="C443" i="22"/>
  <c r="C445" i="22"/>
  <c r="C447" i="22"/>
  <c r="C449" i="22"/>
  <c r="C451" i="22"/>
  <c r="C453" i="22"/>
  <c r="C455" i="22"/>
  <c r="C457" i="22"/>
  <c r="C459" i="22"/>
  <c r="C461" i="22"/>
  <c r="C463" i="22"/>
  <c r="C465" i="22"/>
  <c r="C467" i="22"/>
  <c r="C469" i="22"/>
  <c r="C471" i="22"/>
  <c r="C473" i="22"/>
  <c r="C475" i="22"/>
  <c r="C477" i="22"/>
  <c r="C479" i="22"/>
  <c r="C481" i="22"/>
  <c r="C483" i="22"/>
  <c r="C485" i="22"/>
  <c r="C487" i="22"/>
  <c r="C489" i="22"/>
  <c r="C491" i="22"/>
  <c r="C493" i="22"/>
  <c r="C495" i="22"/>
  <c r="C497" i="22"/>
  <c r="C499" i="22"/>
  <c r="C501" i="22"/>
  <c r="C503" i="22"/>
  <c r="C505" i="22"/>
  <c r="C507" i="22"/>
  <c r="C509" i="22"/>
  <c r="C511" i="22"/>
  <c r="C513" i="22"/>
  <c r="C515" i="22"/>
  <c r="C517" i="22"/>
  <c r="C519" i="22"/>
  <c r="C521" i="22"/>
  <c r="C523" i="22"/>
  <c r="C525" i="22"/>
  <c r="C527" i="22"/>
  <c r="C529" i="22"/>
  <c r="C531" i="22"/>
  <c r="C533" i="22"/>
  <c r="C535" i="22"/>
  <c r="C537" i="22"/>
  <c r="C539" i="22"/>
  <c r="C541" i="22"/>
  <c r="C543" i="22"/>
  <c r="C545" i="22"/>
  <c r="C547" i="22"/>
  <c r="C549" i="22"/>
  <c r="C551" i="22"/>
  <c r="C553" i="22"/>
  <c r="C555" i="22"/>
  <c r="C557" i="22"/>
  <c r="C559" i="22"/>
  <c r="C561" i="22"/>
  <c r="C563" i="22"/>
  <c r="C565" i="22"/>
  <c r="C567" i="22"/>
  <c r="C569" i="22"/>
  <c r="C571" i="22"/>
  <c r="C573" i="22"/>
  <c r="C575" i="22"/>
  <c r="C577" i="22"/>
  <c r="C579" i="22"/>
  <c r="C581" i="22"/>
  <c r="C583" i="22"/>
  <c r="C585" i="22"/>
  <c r="C587" i="22"/>
  <c r="C589" i="22"/>
  <c r="C591" i="22"/>
  <c r="C593" i="22"/>
  <c r="C595" i="22"/>
  <c r="C599" i="22"/>
  <c r="C603" i="22"/>
  <c r="C607" i="22"/>
  <c r="C611" i="22"/>
  <c r="C615" i="22"/>
  <c r="C619" i="22"/>
  <c r="C623" i="22"/>
  <c r="C627" i="22"/>
  <c r="C631" i="22"/>
  <c r="C635" i="22"/>
  <c r="C639" i="22"/>
  <c r="C643" i="22"/>
  <c r="C647" i="22"/>
  <c r="C651" i="22"/>
  <c r="C655" i="22"/>
  <c r="C658" i="22"/>
  <c r="C660" i="22"/>
  <c r="C662" i="22"/>
  <c r="C664" i="22"/>
  <c r="C666" i="22"/>
  <c r="C668" i="22"/>
  <c r="C670" i="22"/>
  <c r="C672" i="22"/>
  <c r="C674" i="22"/>
  <c r="C676" i="22"/>
  <c r="C678" i="22"/>
  <c r="C680" i="22"/>
  <c r="C682" i="22"/>
  <c r="C684" i="22"/>
  <c r="C686" i="22"/>
  <c r="C688" i="22"/>
  <c r="C690" i="22"/>
  <c r="C692" i="22"/>
  <c r="C694" i="22"/>
  <c r="C696" i="22"/>
  <c r="C698" i="22"/>
  <c r="C700" i="22"/>
  <c r="C702" i="22"/>
  <c r="C704" i="22"/>
  <c r="C706" i="22"/>
  <c r="C708" i="22"/>
  <c r="C710" i="22"/>
  <c r="C712" i="22"/>
  <c r="C714" i="22"/>
  <c r="C716" i="22"/>
  <c r="C718" i="22"/>
  <c r="C720" i="22"/>
  <c r="C722" i="22"/>
  <c r="C724" i="22"/>
  <c r="C726" i="22"/>
  <c r="C728" i="22"/>
  <c r="C730" i="22"/>
  <c r="C732" i="22"/>
  <c r="C734" i="22"/>
  <c r="C736" i="22"/>
  <c r="C738" i="22"/>
  <c r="C740" i="22"/>
  <c r="C742" i="22"/>
  <c r="C744" i="22"/>
  <c r="C746" i="22"/>
  <c r="C748" i="22"/>
  <c r="C750" i="22"/>
  <c r="C752" i="22"/>
  <c r="C754" i="22"/>
  <c r="C756" i="22"/>
  <c r="C758" i="22"/>
  <c r="C760" i="22"/>
  <c r="C762" i="22"/>
  <c r="C764" i="22"/>
  <c r="C766" i="22"/>
  <c r="C768" i="22"/>
  <c r="C770" i="22"/>
  <c r="C772" i="22"/>
  <c r="C774" i="22"/>
  <c r="C776" i="22"/>
  <c r="C778" i="22"/>
  <c r="C780" i="22"/>
  <c r="C782" i="22"/>
  <c r="C784" i="22"/>
  <c r="C786" i="22"/>
  <c r="C788" i="22"/>
  <c r="C790" i="22"/>
  <c r="C792" i="22"/>
  <c r="C794" i="22"/>
  <c r="C796" i="22"/>
  <c r="C798" i="22"/>
  <c r="C800" i="22"/>
  <c r="C802" i="22"/>
  <c r="C804" i="22"/>
  <c r="C806" i="22"/>
  <c r="C808" i="22"/>
  <c r="C810" i="22"/>
  <c r="C812" i="22"/>
  <c r="C814" i="22"/>
  <c r="C816" i="22"/>
  <c r="C818" i="22"/>
  <c r="C820" i="22"/>
  <c r="C822" i="22"/>
  <c r="C824" i="22"/>
  <c r="C826" i="22"/>
  <c r="C828" i="22"/>
  <c r="C830" i="22"/>
  <c r="C832" i="22"/>
  <c r="C834" i="22"/>
  <c r="C836" i="22"/>
  <c r="C838" i="22"/>
  <c r="C840" i="22"/>
  <c r="C842" i="22"/>
  <c r="C844" i="22"/>
  <c r="C846" i="22"/>
  <c r="C848" i="22"/>
  <c r="C850" i="22"/>
  <c r="C852" i="22"/>
  <c r="C854" i="22"/>
  <c r="C856" i="22"/>
  <c r="C858" i="22"/>
  <c r="C860" i="22"/>
  <c r="C862" i="22"/>
  <c r="C864" i="22"/>
  <c r="C866" i="22"/>
  <c r="C868" i="22"/>
  <c r="C870" i="22"/>
  <c r="C872" i="22"/>
  <c r="C874" i="22"/>
  <c r="C876" i="22"/>
  <c r="C878" i="22"/>
  <c r="C880" i="22"/>
  <c r="C882" i="22"/>
  <c r="C884" i="22"/>
  <c r="C886" i="22"/>
  <c r="C888" i="22"/>
  <c r="C890" i="22"/>
  <c r="C892" i="22"/>
  <c r="C894" i="22"/>
  <c r="C896" i="22"/>
  <c r="C898" i="22"/>
  <c r="C900" i="22"/>
  <c r="C902" i="22"/>
  <c r="C904" i="22"/>
  <c r="C906" i="22"/>
  <c r="C908" i="22"/>
  <c r="C910" i="22"/>
  <c r="C912" i="22"/>
  <c r="C914" i="22"/>
  <c r="C916" i="22"/>
  <c r="C918" i="22"/>
  <c r="C920" i="22"/>
  <c r="C922" i="22"/>
  <c r="C924" i="22"/>
  <c r="C926" i="22"/>
  <c r="C928" i="22"/>
  <c r="C930" i="22"/>
  <c r="C932" i="22"/>
  <c r="C934" i="22"/>
  <c r="C936" i="22"/>
  <c r="C938" i="22"/>
  <c r="C940" i="22"/>
  <c r="C942" i="22"/>
  <c r="C944" i="22"/>
  <c r="C946" i="22"/>
  <c r="C948" i="22"/>
  <c r="C950" i="22"/>
  <c r="C952" i="22"/>
  <c r="C954" i="22"/>
  <c r="C956" i="22"/>
  <c r="C958" i="22"/>
  <c r="C960" i="22"/>
  <c r="C962" i="22"/>
  <c r="C964" i="22"/>
  <c r="C966" i="22"/>
  <c r="C968" i="22"/>
  <c r="C597" i="22"/>
  <c r="C601" i="22"/>
  <c r="C605" i="22"/>
  <c r="C609" i="22"/>
  <c r="C613" i="22"/>
  <c r="C617" i="22"/>
  <c r="C621" i="22"/>
  <c r="C625" i="22"/>
  <c r="C629" i="22"/>
  <c r="C633" i="22"/>
  <c r="C637" i="22"/>
  <c r="C641" i="22"/>
  <c r="C645" i="22"/>
  <c r="C649" i="22"/>
  <c r="C653" i="22"/>
  <c r="C657" i="22"/>
  <c r="C659" i="22"/>
  <c r="C661" i="22"/>
  <c r="C663" i="22"/>
  <c r="C665" i="22"/>
  <c r="C667" i="22"/>
  <c r="C669" i="22"/>
  <c r="C671" i="22"/>
  <c r="C673" i="22"/>
  <c r="C675" i="22"/>
  <c r="C677" i="22"/>
  <c r="C679" i="22"/>
  <c r="C681" i="22"/>
  <c r="C683" i="22"/>
  <c r="C685" i="22"/>
  <c r="C687" i="22"/>
  <c r="C689" i="22"/>
  <c r="C691" i="22"/>
  <c r="C693" i="22"/>
  <c r="C695" i="22"/>
  <c r="C697" i="22"/>
  <c r="C699" i="22"/>
  <c r="C701" i="22"/>
  <c r="C703" i="22"/>
  <c r="C705" i="22"/>
  <c r="C707" i="22"/>
  <c r="C709" i="22"/>
  <c r="C711" i="22"/>
  <c r="C713" i="22"/>
  <c r="C715" i="22"/>
  <c r="C717" i="22"/>
  <c r="C719" i="22"/>
  <c r="C721" i="22"/>
  <c r="C723" i="22"/>
  <c r="C725" i="22"/>
  <c r="C727" i="22"/>
  <c r="C729" i="22"/>
  <c r="C731" i="22"/>
  <c r="C733" i="22"/>
  <c r="C735" i="22"/>
  <c r="C737" i="22"/>
  <c r="C739" i="22"/>
  <c r="C741" i="22"/>
  <c r="C743" i="22"/>
  <c r="C745" i="22"/>
  <c r="C747" i="22"/>
  <c r="C749" i="22"/>
  <c r="C751" i="22"/>
  <c r="C753" i="22"/>
  <c r="C755" i="22"/>
  <c r="C757" i="22"/>
  <c r="C759" i="22"/>
  <c r="C761" i="22"/>
  <c r="C763" i="22"/>
  <c r="C765" i="22"/>
  <c r="C767" i="22"/>
  <c r="C769" i="22"/>
  <c r="C771" i="22"/>
  <c r="C773" i="22"/>
  <c r="C775" i="22"/>
  <c r="C777" i="22"/>
  <c r="C779" i="22"/>
  <c r="C781" i="22"/>
  <c r="C783" i="22"/>
  <c r="C785" i="22"/>
  <c r="C787" i="22"/>
  <c r="C789" i="22"/>
  <c r="C791" i="22"/>
  <c r="C793" i="22"/>
  <c r="C795" i="22"/>
  <c r="C797" i="22"/>
  <c r="C799" i="22"/>
  <c r="C801" i="22"/>
  <c r="C803" i="22"/>
  <c r="C805" i="22"/>
  <c r="C807" i="22"/>
  <c r="C809" i="22"/>
  <c r="C811" i="22"/>
  <c r="C813" i="22"/>
  <c r="C815" i="22"/>
  <c r="C817" i="22"/>
  <c r="C819" i="22"/>
  <c r="C821" i="22"/>
  <c r="C823" i="22"/>
  <c r="C825" i="22"/>
  <c r="C827" i="22"/>
  <c r="C829" i="22"/>
  <c r="C831" i="22"/>
  <c r="C833" i="22"/>
  <c r="C835" i="22"/>
  <c r="C837" i="22"/>
  <c r="C839" i="22"/>
  <c r="C841" i="22"/>
  <c r="C843" i="22"/>
  <c r="C845" i="22"/>
  <c r="C847" i="22"/>
  <c r="C849" i="22"/>
  <c r="C851" i="22"/>
  <c r="C853" i="22"/>
  <c r="C855" i="22"/>
  <c r="C857" i="22"/>
  <c r="C859" i="22"/>
  <c r="C861" i="22"/>
  <c r="C863" i="22"/>
  <c r="C865" i="22"/>
  <c r="C867" i="22"/>
  <c r="C869" i="22"/>
  <c r="C871" i="22"/>
  <c r="C873" i="22"/>
  <c r="C875" i="22"/>
  <c r="C877" i="22"/>
  <c r="C879" i="22"/>
  <c r="C881" i="22"/>
  <c r="C883" i="22"/>
  <c r="C885" i="22"/>
  <c r="C887" i="22"/>
  <c r="C889" i="22"/>
  <c r="C891" i="22"/>
  <c r="C893" i="22"/>
  <c r="C895" i="22"/>
  <c r="C897" i="22"/>
  <c r="C899" i="22"/>
  <c r="C901" i="22"/>
  <c r="C903" i="22"/>
  <c r="C905" i="22"/>
  <c r="C907" i="22"/>
  <c r="C909" i="22"/>
  <c r="C911" i="22"/>
  <c r="C913" i="22"/>
  <c r="C915" i="22"/>
  <c r="C917" i="22"/>
  <c r="C919" i="22"/>
  <c r="C921" i="22"/>
  <c r="C923" i="22"/>
  <c r="C925" i="22"/>
  <c r="C927" i="22"/>
  <c r="C929" i="22"/>
  <c r="C931" i="22"/>
  <c r="C933" i="22"/>
  <c r="C935" i="22"/>
  <c r="C937" i="22"/>
  <c r="C939" i="22"/>
  <c r="C941" i="22"/>
  <c r="C943" i="22"/>
  <c r="C945" i="22"/>
  <c r="C947" i="22"/>
  <c r="C949" i="22"/>
  <c r="C951" i="22"/>
  <c r="C953" i="22"/>
  <c r="C955" i="22"/>
  <c r="C957" i="22"/>
  <c r="C959" i="22"/>
  <c r="C961" i="22"/>
  <c r="C963" i="22"/>
  <c r="C965" i="22"/>
  <c r="C967" i="22"/>
  <c r="C970" i="22"/>
  <c r="C972" i="22"/>
  <c r="C974" i="22"/>
  <c r="C976" i="22"/>
  <c r="C978" i="22"/>
  <c r="C980" i="22"/>
  <c r="C982" i="22"/>
  <c r="C984" i="22"/>
  <c r="C986" i="22"/>
  <c r="C988" i="22"/>
  <c r="C990" i="22"/>
  <c r="C992" i="22"/>
  <c r="C994" i="22"/>
  <c r="C996" i="22"/>
  <c r="C998" i="22"/>
  <c r="C1000" i="22"/>
  <c r="C1002" i="22"/>
  <c r="C1004" i="22"/>
  <c r="C1006" i="22"/>
  <c r="C1008" i="22"/>
  <c r="C1010" i="22"/>
  <c r="C1012" i="22"/>
  <c r="C1014" i="22"/>
  <c r="C1016" i="22"/>
  <c r="C1018" i="22"/>
  <c r="C1020" i="22"/>
  <c r="C1022" i="22"/>
  <c r="C1024" i="22"/>
  <c r="C1026" i="22"/>
  <c r="C1028" i="22"/>
  <c r="C1030" i="22"/>
  <c r="C1032" i="22"/>
  <c r="C1034" i="22"/>
  <c r="C1036" i="22"/>
  <c r="C1038" i="22"/>
  <c r="C1040" i="22"/>
  <c r="C1042" i="22"/>
  <c r="C1044" i="22"/>
  <c r="C1046" i="22"/>
  <c r="C1048" i="22"/>
  <c r="C1050" i="22"/>
  <c r="C1052" i="22"/>
  <c r="C1054" i="22"/>
  <c r="C1056" i="22"/>
  <c r="C1058" i="22"/>
  <c r="C1060" i="22"/>
  <c r="C1062" i="22"/>
  <c r="C1064" i="22"/>
  <c r="C1066" i="22"/>
  <c r="C1068" i="22"/>
  <c r="C1070" i="22"/>
  <c r="C1072" i="22"/>
  <c r="C1074" i="22"/>
  <c r="C1076" i="22"/>
  <c r="C1078" i="22"/>
  <c r="C1080" i="22"/>
  <c r="C1082" i="22"/>
  <c r="C1084" i="22"/>
  <c r="C1086" i="22"/>
  <c r="C1088" i="22"/>
  <c r="C1090" i="22"/>
  <c r="C1092" i="22"/>
  <c r="C1094" i="22"/>
  <c r="C1096" i="22"/>
  <c r="C1098" i="22"/>
  <c r="C1100" i="22"/>
  <c r="C1102" i="22"/>
  <c r="C1104" i="22"/>
  <c r="C1106" i="22"/>
  <c r="C1108" i="22"/>
  <c r="C1110" i="22"/>
  <c r="C1112" i="22"/>
  <c r="C1114" i="22"/>
  <c r="C1116" i="22"/>
  <c r="C1118" i="22"/>
  <c r="C1120" i="22"/>
  <c r="C1122" i="22"/>
  <c r="C1124" i="22"/>
  <c r="C1126" i="22"/>
  <c r="C1128" i="22"/>
  <c r="C1130" i="22"/>
  <c r="C1132" i="22"/>
  <c r="C1134" i="22"/>
  <c r="C1136" i="22"/>
  <c r="C1138" i="22"/>
  <c r="C1140" i="22"/>
  <c r="C1142" i="22"/>
  <c r="C1144" i="22"/>
  <c r="C1146" i="22"/>
  <c r="C1148" i="22"/>
  <c r="C1150" i="22"/>
  <c r="C1152" i="22"/>
  <c r="C1154" i="22"/>
  <c r="C1156" i="22"/>
  <c r="C1158" i="22"/>
  <c r="C1160" i="22"/>
  <c r="C1162" i="22"/>
  <c r="C1164" i="22"/>
  <c r="C1166" i="22"/>
  <c r="C1168" i="22"/>
  <c r="C1170" i="22"/>
  <c r="C1172" i="22"/>
  <c r="C1174" i="22"/>
  <c r="C1176" i="22"/>
  <c r="C1178" i="22"/>
  <c r="C1180" i="22"/>
  <c r="C1182" i="22"/>
  <c r="C1184" i="22"/>
  <c r="C1186" i="22"/>
  <c r="C1188" i="22"/>
  <c r="C1190" i="22"/>
  <c r="C1192" i="22"/>
  <c r="C1194" i="22"/>
  <c r="C1196" i="22"/>
  <c r="C1198" i="22"/>
  <c r="C1200" i="22"/>
  <c r="C1202" i="22"/>
  <c r="C1204" i="22"/>
  <c r="C1206" i="22"/>
  <c r="C1208" i="22"/>
  <c r="C1210" i="22"/>
  <c r="C1212" i="22"/>
  <c r="C1214" i="22"/>
  <c r="C1216" i="22"/>
  <c r="C1218" i="22"/>
  <c r="C1220" i="22"/>
  <c r="C1222" i="22"/>
  <c r="C1224" i="22"/>
  <c r="C1226" i="22"/>
  <c r="C1228" i="22"/>
  <c r="C1230" i="22"/>
  <c r="C1232" i="22"/>
  <c r="C1234" i="22"/>
  <c r="C1236" i="22"/>
  <c r="C1238" i="22"/>
  <c r="C1240" i="22"/>
  <c r="C1242" i="22"/>
  <c r="C1244" i="22"/>
  <c r="C1246" i="22"/>
  <c r="C1248" i="22"/>
  <c r="C1250" i="22"/>
  <c r="C1252" i="22"/>
  <c r="C1254" i="22"/>
  <c r="C1256" i="22"/>
  <c r="C1258" i="22"/>
  <c r="C1260" i="22"/>
  <c r="C1262" i="22"/>
  <c r="C1264" i="22"/>
  <c r="C1266" i="22"/>
  <c r="C1268" i="22"/>
  <c r="C1270" i="22"/>
  <c r="C1272" i="22"/>
  <c r="C1274" i="22"/>
  <c r="C1276" i="22"/>
  <c r="C1278" i="22"/>
  <c r="C1280" i="22"/>
  <c r="C1282" i="22"/>
  <c r="C1284" i="22"/>
  <c r="C1286" i="22"/>
  <c r="C1288" i="22"/>
  <c r="C1290" i="22"/>
  <c r="C1292" i="22"/>
  <c r="C1294" i="22"/>
  <c r="C1296" i="22"/>
  <c r="C1298" i="22"/>
  <c r="C1300" i="22"/>
  <c r="C1302" i="22"/>
  <c r="C1304" i="22"/>
  <c r="C1306" i="22"/>
  <c r="C1308" i="22"/>
  <c r="C1310" i="22"/>
  <c r="C1312" i="22"/>
  <c r="C1314" i="22"/>
  <c r="C1316" i="22"/>
  <c r="C1318" i="22"/>
  <c r="C1320" i="22"/>
  <c r="C1322" i="22"/>
  <c r="C1324" i="22"/>
  <c r="C1326" i="22"/>
  <c r="C1328" i="22"/>
  <c r="C1330" i="22"/>
  <c r="C1332" i="22"/>
  <c r="C1334" i="22"/>
  <c r="C1336" i="22"/>
  <c r="C1338" i="22"/>
  <c r="C1340" i="22"/>
  <c r="C1342" i="22"/>
  <c r="C1344" i="22"/>
  <c r="C1346" i="22"/>
  <c r="C1348" i="22"/>
  <c r="C1350" i="22"/>
  <c r="C1352" i="22"/>
  <c r="C1354" i="22"/>
  <c r="C1356" i="22"/>
  <c r="C1358" i="22"/>
  <c r="C1360" i="22"/>
  <c r="C1362" i="22"/>
  <c r="C1364" i="22"/>
  <c r="C1366" i="22"/>
  <c r="C1368" i="22"/>
  <c r="C1370" i="22"/>
  <c r="C1372" i="22"/>
  <c r="C1374" i="22"/>
  <c r="C1376" i="22"/>
  <c r="C1378" i="22"/>
  <c r="C1380" i="22"/>
  <c r="C1382" i="22"/>
  <c r="C1384" i="22"/>
  <c r="C1386" i="22"/>
  <c r="C1388" i="22"/>
  <c r="C1390" i="22"/>
  <c r="C1392" i="22"/>
  <c r="C1394" i="22"/>
  <c r="C1396" i="22"/>
  <c r="C1398" i="22"/>
  <c r="C1400" i="22"/>
  <c r="C1402" i="22"/>
  <c r="C1404" i="22"/>
  <c r="C1406" i="22"/>
  <c r="C1408" i="22"/>
  <c r="C1410" i="22"/>
  <c r="C1412" i="22"/>
  <c r="C1414" i="22"/>
  <c r="C1416" i="22"/>
  <c r="C1418" i="22"/>
  <c r="C1420" i="22"/>
  <c r="C1422" i="22"/>
  <c r="C1424" i="22"/>
  <c r="C1426" i="22"/>
  <c r="C1428" i="22"/>
  <c r="C1430" i="22"/>
  <c r="C1432" i="22"/>
  <c r="C1434" i="22"/>
  <c r="C1436" i="22"/>
  <c r="C1438" i="22"/>
  <c r="C1440" i="22"/>
  <c r="C1442" i="22"/>
  <c r="C1444" i="22"/>
  <c r="C1446" i="22"/>
  <c r="C1448" i="22"/>
  <c r="C1450" i="22"/>
  <c r="C1452" i="22"/>
  <c r="C1454" i="22"/>
  <c r="C1456" i="22"/>
  <c r="C1458" i="22"/>
  <c r="C1460" i="22"/>
  <c r="C1462" i="22"/>
  <c r="C1464" i="22"/>
  <c r="C1466" i="22"/>
  <c r="C1468" i="22"/>
  <c r="C1470" i="22"/>
  <c r="C1472" i="22"/>
  <c r="C1474" i="22"/>
  <c r="C1476" i="22"/>
  <c r="C1478" i="22"/>
  <c r="C1480" i="22"/>
  <c r="C1482" i="22"/>
  <c r="C1484" i="22"/>
  <c r="C1486" i="22"/>
  <c r="C1488" i="22"/>
  <c r="C1490" i="22"/>
  <c r="C1492" i="22"/>
  <c r="C1494" i="22"/>
  <c r="C1496" i="22"/>
  <c r="C1498" i="22"/>
  <c r="C1500" i="22"/>
  <c r="C1502" i="22"/>
  <c r="C1504" i="22"/>
  <c r="C1506" i="22"/>
  <c r="C1508" i="22"/>
  <c r="C1510" i="22"/>
  <c r="C1512" i="22"/>
  <c r="C1514" i="22"/>
  <c r="C1516" i="22"/>
  <c r="C1518" i="22"/>
  <c r="C1520" i="22"/>
  <c r="C1522" i="22"/>
  <c r="C1524" i="22"/>
  <c r="C1526" i="22"/>
  <c r="C1528" i="22"/>
  <c r="C1530" i="22"/>
  <c r="C1532" i="22"/>
  <c r="C1534" i="22"/>
  <c r="C1536" i="22"/>
  <c r="C1538" i="22"/>
  <c r="C1540" i="22"/>
  <c r="C1542" i="22"/>
  <c r="C1544" i="22"/>
  <c r="C1546" i="22"/>
  <c r="C1548" i="22"/>
  <c r="C1550" i="22"/>
  <c r="C1552" i="22"/>
  <c r="C1554" i="22"/>
  <c r="C1556" i="22"/>
  <c r="C1558" i="22"/>
  <c r="C1560" i="22"/>
  <c r="C1562" i="22"/>
  <c r="C1564" i="22"/>
  <c r="C1566" i="22"/>
  <c r="C1568" i="22"/>
  <c r="C1570" i="22"/>
  <c r="C1572" i="22"/>
  <c r="C1574" i="22"/>
  <c r="C1576" i="22"/>
  <c r="C1578" i="22"/>
  <c r="C1580" i="22"/>
  <c r="C1582" i="22"/>
  <c r="C1584" i="22"/>
  <c r="C1586" i="22"/>
  <c r="C1588" i="22"/>
  <c r="C1590" i="22"/>
  <c r="C1592" i="22"/>
  <c r="C1594" i="22"/>
  <c r="C1596" i="22"/>
  <c r="C1598" i="22"/>
  <c r="C1600" i="22"/>
  <c r="C1602" i="22"/>
  <c r="C1604" i="22"/>
  <c r="C1606" i="22"/>
  <c r="C1608" i="22"/>
  <c r="C1610" i="22"/>
  <c r="C1612" i="22"/>
  <c r="C1614" i="22"/>
  <c r="C1616" i="22"/>
  <c r="C1618" i="22"/>
  <c r="C1620" i="22"/>
  <c r="C1622" i="22"/>
  <c r="C1624" i="22"/>
  <c r="C1626" i="22"/>
  <c r="C1628" i="22"/>
  <c r="C1630" i="22"/>
  <c r="C1632" i="22"/>
  <c r="C1634" i="22"/>
  <c r="C1636" i="22"/>
  <c r="C1638" i="22"/>
  <c r="C1640" i="22"/>
  <c r="C1642" i="22"/>
  <c r="C1644" i="22"/>
  <c r="C1646" i="22"/>
  <c r="C1648" i="22"/>
  <c r="C969" i="22"/>
  <c r="C971" i="22"/>
  <c r="C973" i="22"/>
  <c r="C975" i="22"/>
  <c r="C977" i="22"/>
  <c r="C979" i="22"/>
  <c r="C981" i="22"/>
  <c r="C983" i="22"/>
  <c r="C985" i="22"/>
  <c r="C987" i="22"/>
  <c r="C989" i="22"/>
  <c r="C991" i="22"/>
  <c r="C993" i="22"/>
  <c r="C995" i="22"/>
  <c r="C997" i="22"/>
  <c r="C999" i="22"/>
  <c r="C1001" i="22"/>
  <c r="C1003" i="22"/>
  <c r="C1005" i="22"/>
  <c r="C1007" i="22"/>
  <c r="C1009" i="22"/>
  <c r="C1011" i="22"/>
  <c r="C1013" i="22"/>
  <c r="C1015" i="22"/>
  <c r="C1017" i="22"/>
  <c r="C1019" i="22"/>
  <c r="C1021" i="22"/>
  <c r="C1023" i="22"/>
  <c r="C1025" i="22"/>
  <c r="C1027" i="22"/>
  <c r="C1029" i="22"/>
  <c r="C1031" i="22"/>
  <c r="C1033" i="22"/>
  <c r="C1035" i="22"/>
  <c r="C1037" i="22"/>
  <c r="C1039" i="22"/>
  <c r="C1041" i="22"/>
  <c r="C1043" i="22"/>
  <c r="C1045" i="22"/>
  <c r="C1047" i="22"/>
  <c r="C1049" i="22"/>
  <c r="C1051" i="22"/>
  <c r="C1053" i="22"/>
  <c r="C1055" i="22"/>
  <c r="C1057" i="22"/>
  <c r="C1059" i="22"/>
  <c r="C1061" i="22"/>
  <c r="C1063" i="22"/>
  <c r="C1065" i="22"/>
  <c r="C1067" i="22"/>
  <c r="C1069" i="22"/>
  <c r="C1071" i="22"/>
  <c r="C1073" i="22"/>
  <c r="C1075" i="22"/>
  <c r="C1077" i="22"/>
  <c r="C1079" i="22"/>
  <c r="C1081" i="22"/>
  <c r="C1083" i="22"/>
  <c r="C1085" i="22"/>
  <c r="C1087" i="22"/>
  <c r="C1089" i="22"/>
  <c r="C1091" i="22"/>
  <c r="C1093" i="22"/>
  <c r="C1095" i="22"/>
  <c r="C1097" i="22"/>
  <c r="C1099" i="22"/>
  <c r="C1101" i="22"/>
  <c r="C1103" i="22"/>
  <c r="C1105" i="22"/>
  <c r="C1107" i="22"/>
  <c r="C1109" i="22"/>
  <c r="C1111" i="22"/>
  <c r="C1113" i="22"/>
  <c r="C1115" i="22"/>
  <c r="C1117" i="22"/>
  <c r="C1119" i="22"/>
  <c r="C1121" i="22"/>
  <c r="C1123" i="22"/>
  <c r="C1125" i="22"/>
  <c r="C1127" i="22"/>
  <c r="C1129" i="22"/>
  <c r="C1131" i="22"/>
  <c r="C1133" i="22"/>
  <c r="C1135" i="22"/>
  <c r="C1137" i="22"/>
  <c r="C1139" i="22"/>
  <c r="C1141" i="22"/>
  <c r="C1143" i="22"/>
  <c r="C1145" i="22"/>
  <c r="C1147" i="22"/>
  <c r="C1149" i="22"/>
  <c r="C1151" i="22"/>
  <c r="C1153" i="22"/>
  <c r="C1155" i="22"/>
  <c r="C1157" i="22"/>
  <c r="C1159" i="22"/>
  <c r="C1161" i="22"/>
  <c r="C1163" i="22"/>
  <c r="C1165" i="22"/>
  <c r="C1167" i="22"/>
  <c r="C1169" i="22"/>
  <c r="C1171" i="22"/>
  <c r="C1173" i="22"/>
  <c r="C1175" i="22"/>
  <c r="C1177" i="22"/>
  <c r="C1179" i="22"/>
  <c r="C1181" i="22"/>
  <c r="C1183" i="22"/>
  <c r="C1185" i="22"/>
  <c r="C1187" i="22"/>
  <c r="C1189" i="22"/>
  <c r="C1191" i="22"/>
  <c r="C1193" i="22"/>
  <c r="C1195" i="22"/>
  <c r="C1197" i="22"/>
  <c r="C1199" i="22"/>
  <c r="C1201" i="22"/>
  <c r="C1203" i="22"/>
  <c r="C1205" i="22"/>
  <c r="C1207" i="22"/>
  <c r="C1209" i="22"/>
  <c r="C1211" i="22"/>
  <c r="C1213" i="22"/>
  <c r="C1215" i="22"/>
  <c r="C1217" i="22"/>
  <c r="C1219" i="22"/>
  <c r="C1221" i="22"/>
  <c r="C1223" i="22"/>
  <c r="C1225" i="22"/>
  <c r="C1227" i="22"/>
  <c r="C1229" i="22"/>
  <c r="C1231" i="22"/>
  <c r="C1233" i="22"/>
  <c r="C1235" i="22"/>
  <c r="C1237" i="22"/>
  <c r="C1239" i="22"/>
  <c r="C1241" i="22"/>
  <c r="C1243" i="22"/>
  <c r="C1245" i="22"/>
  <c r="C1247" i="22"/>
  <c r="C1249" i="22"/>
  <c r="C1251" i="22"/>
  <c r="C1253" i="22"/>
  <c r="C1255" i="22"/>
  <c r="C1257" i="22"/>
  <c r="C1259" i="22"/>
  <c r="C1261" i="22"/>
  <c r="C1263" i="22"/>
  <c r="C1265" i="22"/>
  <c r="C1267" i="22"/>
  <c r="C1269" i="22"/>
  <c r="C1271" i="22"/>
  <c r="C1273" i="22"/>
  <c r="C1275" i="22"/>
  <c r="C1277" i="22"/>
  <c r="C1279" i="22"/>
  <c r="C1281" i="22"/>
  <c r="C1283" i="22"/>
  <c r="C1285" i="22"/>
  <c r="C1287" i="22"/>
  <c r="C1289" i="22"/>
  <c r="C1291" i="22"/>
  <c r="C1293" i="22"/>
  <c r="C1295" i="22"/>
  <c r="C1297" i="22"/>
  <c r="C1299" i="22"/>
  <c r="C1301" i="22"/>
  <c r="C1303" i="22"/>
  <c r="C1305" i="22"/>
  <c r="C1307" i="22"/>
  <c r="C1309" i="22"/>
  <c r="C1311" i="22"/>
  <c r="C1313" i="22"/>
  <c r="C1315" i="22"/>
  <c r="C1317" i="22"/>
  <c r="C1319" i="22"/>
  <c r="C1321" i="22"/>
  <c r="C1323" i="22"/>
  <c r="C1325" i="22"/>
  <c r="C1327" i="22"/>
  <c r="C1329" i="22"/>
  <c r="C1331" i="22"/>
  <c r="C1333" i="22"/>
  <c r="C1335" i="22"/>
  <c r="C1337" i="22"/>
  <c r="C1339" i="22"/>
  <c r="C1341" i="22"/>
  <c r="C1343" i="22"/>
  <c r="C1345" i="22"/>
  <c r="C1347" i="22"/>
  <c r="C1349" i="22"/>
  <c r="C1351" i="22"/>
  <c r="C1353" i="22"/>
  <c r="C1355" i="22"/>
  <c r="C1357" i="22"/>
  <c r="C1359" i="22"/>
  <c r="C1361" i="22"/>
  <c r="C1363" i="22"/>
  <c r="C1365" i="22"/>
  <c r="C1367" i="22"/>
  <c r="C1369" i="22"/>
  <c r="C1371" i="22"/>
  <c r="C1373" i="22"/>
  <c r="C1375" i="22"/>
  <c r="C1377" i="22"/>
  <c r="C1379" i="22"/>
  <c r="C1381" i="22"/>
  <c r="C1383" i="22"/>
  <c r="C1385" i="22"/>
  <c r="C1387" i="22"/>
  <c r="C1389" i="22"/>
  <c r="C1391" i="22"/>
  <c r="C1393" i="22"/>
  <c r="C1395" i="22"/>
  <c r="C1397" i="22"/>
  <c r="C1399" i="22"/>
  <c r="C1401" i="22"/>
  <c r="C1403" i="22"/>
  <c r="C1405" i="22"/>
  <c r="C1407" i="22"/>
  <c r="C1409" i="22"/>
  <c r="C1411" i="22"/>
  <c r="C1413" i="22"/>
  <c r="C1415" i="22"/>
  <c r="C1417" i="22"/>
  <c r="C1419" i="22"/>
  <c r="C1421" i="22"/>
  <c r="C1423" i="22"/>
  <c r="C1425" i="22"/>
  <c r="C1427" i="22"/>
  <c r="C1429" i="22"/>
  <c r="C1431" i="22"/>
  <c r="C1433" i="22"/>
  <c r="C1435" i="22"/>
  <c r="C1437" i="22"/>
  <c r="C1439" i="22"/>
  <c r="C1441" i="22"/>
  <c r="C1443" i="22"/>
  <c r="C1445" i="22"/>
  <c r="C1447" i="22"/>
  <c r="C1449" i="22"/>
  <c r="C1451" i="22"/>
  <c r="C1453" i="22"/>
  <c r="C1455" i="22"/>
  <c r="C1457" i="22"/>
  <c r="C1459" i="22"/>
  <c r="C1461" i="22"/>
  <c r="C1463" i="22"/>
  <c r="C1465" i="22"/>
  <c r="C1467" i="22"/>
  <c r="C1469" i="22"/>
  <c r="C1471" i="22"/>
  <c r="C1473" i="22"/>
  <c r="C1475" i="22"/>
  <c r="C1477" i="22"/>
  <c r="C1479" i="22"/>
  <c r="C1481" i="22"/>
  <c r="C1483" i="22"/>
  <c r="C1485" i="22"/>
  <c r="C1487" i="22"/>
  <c r="C1489" i="22"/>
  <c r="C1491" i="22"/>
  <c r="C1493" i="22"/>
  <c r="C1495" i="22"/>
  <c r="C1497" i="22"/>
  <c r="C1499" i="22"/>
  <c r="C1501" i="22"/>
  <c r="C1503" i="22"/>
  <c r="C1505" i="22"/>
  <c r="C1507" i="22"/>
  <c r="C1509" i="22"/>
  <c r="C1511" i="22"/>
  <c r="C1513" i="22"/>
  <c r="C1515" i="22"/>
  <c r="C1517" i="22"/>
  <c r="C1519" i="22"/>
  <c r="C1521" i="22"/>
  <c r="C1523" i="22"/>
  <c r="C1525" i="22"/>
  <c r="C1527" i="22"/>
  <c r="C1529" i="22"/>
  <c r="C1531" i="22"/>
  <c r="C1533" i="22"/>
  <c r="C1535" i="22"/>
  <c r="C1537" i="22"/>
  <c r="C1539" i="22"/>
  <c r="C1541" i="22"/>
  <c r="C1543" i="22"/>
  <c r="C1545" i="22"/>
  <c r="C1547" i="22"/>
  <c r="C1549" i="22"/>
  <c r="C1551" i="22"/>
  <c r="C1553" i="22"/>
  <c r="C1555" i="22"/>
  <c r="C1557" i="22"/>
  <c r="C1559" i="22"/>
  <c r="C1561" i="22"/>
  <c r="C1563" i="22"/>
  <c r="C1565" i="22"/>
  <c r="C1567" i="22"/>
  <c r="C1569" i="22"/>
  <c r="C1571" i="22"/>
  <c r="C1573" i="22"/>
  <c r="C1575" i="22"/>
  <c r="C1577" i="22"/>
  <c r="C1579" i="22"/>
  <c r="C1581" i="22"/>
  <c r="C1583" i="22"/>
  <c r="C1585" i="22"/>
  <c r="C1587" i="22"/>
  <c r="C1589" i="22"/>
  <c r="C1591" i="22"/>
  <c r="C1593" i="22"/>
  <c r="C1595" i="22"/>
  <c r="C1597" i="22"/>
  <c r="C1599" i="22"/>
  <c r="C1601" i="22"/>
  <c r="C1603" i="22"/>
  <c r="C1605" i="22"/>
  <c r="C1607" i="22"/>
  <c r="C1609" i="22"/>
  <c r="C1611" i="22"/>
  <c r="C1613" i="22"/>
  <c r="C1615" i="22"/>
  <c r="C1617" i="22"/>
  <c r="C1619" i="22"/>
  <c r="C1621" i="22"/>
  <c r="C1623" i="22"/>
  <c r="C1625" i="22"/>
  <c r="C1627" i="22"/>
  <c r="C1629" i="22"/>
  <c r="C1631" i="22"/>
  <c r="C1633" i="22"/>
  <c r="C1635" i="22"/>
  <c r="C1639" i="22"/>
  <c r="C1643" i="22"/>
  <c r="C1647" i="22"/>
  <c r="C1650" i="22"/>
  <c r="C1652" i="22"/>
  <c r="C1654" i="22"/>
  <c r="C1656" i="22"/>
  <c r="C1658" i="22"/>
  <c r="C1660" i="22"/>
  <c r="C1662" i="22"/>
  <c r="C1664" i="22"/>
  <c r="C1666" i="22"/>
  <c r="C1668" i="22"/>
  <c r="C1670" i="22"/>
  <c r="C1672" i="22"/>
  <c r="C1674" i="22"/>
  <c r="C1676" i="22"/>
  <c r="C1678" i="22"/>
  <c r="C1680" i="22"/>
  <c r="C1682" i="22"/>
  <c r="C1684" i="22"/>
  <c r="C1686" i="22"/>
  <c r="C1688" i="22"/>
  <c r="C1690" i="22"/>
  <c r="C1692" i="22"/>
  <c r="C1694" i="22"/>
  <c r="C1696" i="22"/>
  <c r="C1698" i="22"/>
  <c r="C1700" i="22"/>
  <c r="C1702" i="22"/>
  <c r="C1704" i="22"/>
  <c r="C1706" i="22"/>
  <c r="C1708" i="22"/>
  <c r="C1710" i="22"/>
  <c r="C1712" i="22"/>
  <c r="C1714" i="22"/>
  <c r="C1716" i="22"/>
  <c r="C1718" i="22"/>
  <c r="C1720" i="22"/>
  <c r="C1722" i="22"/>
  <c r="C1724" i="22"/>
  <c r="C1726" i="22"/>
  <c r="C1728" i="22"/>
  <c r="C1730" i="22"/>
  <c r="C1732" i="22"/>
  <c r="C1734" i="22"/>
  <c r="C1736" i="22"/>
  <c r="C1738" i="22"/>
  <c r="C1740" i="22"/>
  <c r="C1742" i="22"/>
  <c r="C1744" i="22"/>
  <c r="C1746" i="22"/>
  <c r="C1748" i="22"/>
  <c r="C1750" i="22"/>
  <c r="C1752" i="22"/>
  <c r="C1754" i="22"/>
  <c r="C1756" i="22"/>
  <c r="C1758" i="22"/>
  <c r="C1760" i="22"/>
  <c r="C1762" i="22"/>
  <c r="C1764" i="22"/>
  <c r="C1766" i="22"/>
  <c r="C1768" i="22"/>
  <c r="C1770" i="22"/>
  <c r="C1772" i="22"/>
  <c r="C1774" i="22"/>
  <c r="C1776" i="22"/>
  <c r="C1778" i="22"/>
  <c r="C1780" i="22"/>
  <c r="C1782" i="22"/>
  <c r="C1784" i="22"/>
  <c r="C1786" i="22"/>
  <c r="C1788" i="22"/>
  <c r="C1790" i="22"/>
  <c r="C1792" i="22"/>
  <c r="C1794" i="22"/>
  <c r="C1796" i="22"/>
  <c r="C1798" i="22"/>
  <c r="C1800" i="22"/>
  <c r="C1802" i="22"/>
  <c r="C1804" i="22"/>
  <c r="C1806" i="22"/>
  <c r="C1808" i="22"/>
  <c r="C1810" i="22"/>
  <c r="C1812" i="22"/>
  <c r="C1814" i="22"/>
  <c r="C1816" i="22"/>
  <c r="C1818" i="22"/>
  <c r="C1820" i="22"/>
  <c r="C1822" i="22"/>
  <c r="C1824" i="22"/>
  <c r="C1826" i="22"/>
  <c r="C1828" i="22"/>
  <c r="C1830" i="22"/>
  <c r="C1832" i="22"/>
  <c r="C1834" i="22"/>
  <c r="C1836" i="22"/>
  <c r="C1838" i="22"/>
  <c r="C1840" i="22"/>
  <c r="C1842" i="22"/>
  <c r="C1844" i="22"/>
  <c r="C1846" i="22"/>
  <c r="C1848" i="22"/>
  <c r="C1850" i="22"/>
  <c r="C1852" i="22"/>
  <c r="C1854" i="22"/>
  <c r="C1856" i="22"/>
  <c r="C1858" i="22"/>
  <c r="C1860" i="22"/>
  <c r="C1862" i="22"/>
  <c r="C1864" i="22"/>
  <c r="C1866" i="22"/>
  <c r="C1868" i="22"/>
  <c r="C1870" i="22"/>
  <c r="C1872" i="22"/>
  <c r="C1874" i="22"/>
  <c r="C1876" i="22"/>
  <c r="C1878" i="22"/>
  <c r="C1880" i="22"/>
  <c r="C1882" i="22"/>
  <c r="C1884" i="22"/>
  <c r="C1886" i="22"/>
  <c r="C1888" i="22"/>
  <c r="C1890" i="22"/>
  <c r="C1892" i="22"/>
  <c r="C1894" i="22"/>
  <c r="C1896" i="22"/>
  <c r="C1898" i="22"/>
  <c r="C1900" i="22"/>
  <c r="C1902" i="22"/>
  <c r="C1904" i="22"/>
  <c r="C1906" i="22"/>
  <c r="C1908" i="22"/>
  <c r="C1910" i="22"/>
  <c r="C1912" i="22"/>
  <c r="C1914" i="22"/>
  <c r="C1916" i="22"/>
  <c r="C1918" i="22"/>
  <c r="C1920" i="22"/>
  <c r="C1922" i="22"/>
  <c r="C1924" i="22"/>
  <c r="C1926" i="22"/>
  <c r="C1928" i="22"/>
  <c r="C1930" i="22"/>
  <c r="C1932" i="22"/>
  <c r="C1934" i="22"/>
  <c r="C1936" i="22"/>
  <c r="C1938" i="22"/>
  <c r="C1940" i="22"/>
  <c r="C1942" i="22"/>
  <c r="C1944" i="22"/>
  <c r="C1946" i="22"/>
  <c r="C1948" i="22"/>
  <c r="C1950" i="22"/>
  <c r="C1952" i="22"/>
  <c r="C1954" i="22"/>
  <c r="C1956" i="22"/>
  <c r="C1958" i="22"/>
  <c r="C1960" i="22"/>
  <c r="C1962" i="22"/>
  <c r="C1964" i="22"/>
  <c r="C1966" i="22"/>
  <c r="C1968" i="22"/>
  <c r="C1970" i="22"/>
  <c r="C1972" i="22"/>
  <c r="C1974" i="22"/>
  <c r="C1976" i="22"/>
  <c r="C4" i="22"/>
  <c r="C1637" i="22"/>
  <c r="C1641" i="22"/>
  <c r="C1645" i="22"/>
  <c r="C1649" i="22"/>
  <c r="C1651" i="22"/>
  <c r="C1653" i="22"/>
  <c r="C1655" i="22"/>
  <c r="C1657" i="22"/>
  <c r="C1659" i="22"/>
  <c r="C1661" i="22"/>
  <c r="C1663" i="22"/>
  <c r="C1665" i="22"/>
  <c r="C1667" i="22"/>
  <c r="C1669" i="22"/>
  <c r="C1671" i="22"/>
  <c r="C1673" i="22"/>
  <c r="C1675" i="22"/>
  <c r="C1677" i="22"/>
  <c r="C1679" i="22"/>
  <c r="C1681" i="22"/>
  <c r="C1683" i="22"/>
  <c r="C1685" i="22"/>
  <c r="C1687" i="22"/>
  <c r="C1689" i="22"/>
  <c r="C1691" i="22"/>
  <c r="C1693" i="22"/>
  <c r="C1695" i="22"/>
  <c r="C1697" i="22"/>
  <c r="C1699" i="22"/>
  <c r="C1701" i="22"/>
  <c r="C1703" i="22"/>
  <c r="C1705" i="22"/>
  <c r="C1707" i="22"/>
  <c r="C1709" i="22"/>
  <c r="C1711" i="22"/>
  <c r="C1713" i="22"/>
  <c r="C1715" i="22"/>
  <c r="C1717" i="22"/>
  <c r="C1719" i="22"/>
  <c r="C1721" i="22"/>
  <c r="C1723" i="22"/>
  <c r="C1725" i="22"/>
  <c r="C1727" i="22"/>
  <c r="C1729" i="22"/>
  <c r="C1731" i="22"/>
  <c r="C1733" i="22"/>
  <c r="C1735" i="22"/>
  <c r="C1737" i="22"/>
  <c r="C1739" i="22"/>
  <c r="C1741" i="22"/>
  <c r="C1743" i="22"/>
  <c r="C1745" i="22"/>
  <c r="C1747" i="22"/>
  <c r="C1749" i="22"/>
  <c r="C1751" i="22"/>
  <c r="C1753" i="22"/>
  <c r="C1755" i="22"/>
  <c r="C1757" i="22"/>
  <c r="C1759" i="22"/>
  <c r="C1761" i="22"/>
  <c r="C1763" i="22"/>
  <c r="C1765" i="22"/>
  <c r="C1767" i="22"/>
  <c r="C1769" i="22"/>
  <c r="C1771" i="22"/>
  <c r="C1773" i="22"/>
  <c r="C1775" i="22"/>
  <c r="C1777" i="22"/>
  <c r="C1779" i="22"/>
  <c r="C1781" i="22"/>
  <c r="C1783" i="22"/>
  <c r="C1785" i="22"/>
  <c r="C1787" i="22"/>
  <c r="C1789" i="22"/>
  <c r="C1791" i="22"/>
  <c r="C1793" i="22"/>
  <c r="C1795" i="22"/>
  <c r="C1797" i="22"/>
  <c r="C1799" i="22"/>
  <c r="C1801" i="22"/>
  <c r="C1803" i="22"/>
  <c r="C1805" i="22"/>
  <c r="C1807" i="22"/>
  <c r="C1809" i="22"/>
  <c r="C1811" i="22"/>
  <c r="C1813" i="22"/>
  <c r="C1815" i="22"/>
  <c r="C1817" i="22"/>
  <c r="C1819" i="22"/>
  <c r="C1821" i="22"/>
  <c r="C1823" i="22"/>
  <c r="C1825" i="22"/>
  <c r="C1827" i="22"/>
  <c r="C1829" i="22"/>
  <c r="C1831" i="22"/>
  <c r="C1833" i="22"/>
  <c r="C1835" i="22"/>
  <c r="C1837" i="22"/>
  <c r="C1839" i="22"/>
  <c r="C1841" i="22"/>
  <c r="C1843" i="22"/>
  <c r="C1845" i="22"/>
  <c r="C1847" i="22"/>
  <c r="C1849" i="22"/>
  <c r="C1851" i="22"/>
  <c r="C1853" i="22"/>
  <c r="C1855" i="22"/>
  <c r="C1857" i="22"/>
  <c r="C1859" i="22"/>
  <c r="C1861" i="22"/>
  <c r="C1863" i="22"/>
  <c r="C1865" i="22"/>
  <c r="C1867" i="22"/>
  <c r="C1869" i="22"/>
  <c r="C1871" i="22"/>
  <c r="C1873" i="22"/>
  <c r="C1875" i="22"/>
  <c r="C1877" i="22"/>
  <c r="C1879" i="22"/>
  <c r="C1881" i="22"/>
  <c r="C1883" i="22"/>
  <c r="C1885" i="22"/>
  <c r="C1887" i="22"/>
  <c r="C1889" i="22"/>
  <c r="C1891" i="22"/>
  <c r="C1893" i="22"/>
  <c r="C1895" i="22"/>
  <c r="C1897" i="22"/>
  <c r="C1899" i="22"/>
  <c r="C1901" i="22"/>
  <c r="C1903" i="22"/>
  <c r="C1905" i="22"/>
  <c r="C1907" i="22"/>
  <c r="C1909" i="22"/>
  <c r="C1911" i="22"/>
  <c r="C1913" i="22"/>
  <c r="C1915" i="22"/>
  <c r="C1917" i="22"/>
  <c r="C1919" i="22"/>
  <c r="C1921" i="22"/>
  <c r="C1923" i="22"/>
  <c r="C1925" i="22"/>
  <c r="C1927" i="22"/>
  <c r="C1929" i="22"/>
  <c r="C1931" i="22"/>
  <c r="C1933" i="22"/>
  <c r="C1935" i="22"/>
  <c r="C1937" i="22"/>
  <c r="C1939" i="22"/>
  <c r="C1941" i="22"/>
  <c r="C1943" i="22"/>
  <c r="C1945" i="22"/>
  <c r="C1947" i="22"/>
  <c r="C1949" i="22"/>
  <c r="C1951" i="22"/>
  <c r="C1953" i="22"/>
  <c r="C1955" i="22"/>
  <c r="C1957" i="22"/>
  <c r="C1959" i="22"/>
  <c r="C1961" i="22"/>
  <c r="C1963" i="22"/>
  <c r="C1965" i="22"/>
  <c r="C1967" i="22"/>
  <c r="C1969" i="22"/>
  <c r="C1971" i="22"/>
  <c r="C1973" i="22"/>
  <c r="C1975" i="22"/>
  <c r="C1977" i="22"/>
  <c r="C53" i="19"/>
  <c r="C27" i="19"/>
  <c r="C33" i="19" s="1"/>
  <c r="E53" i="19"/>
  <c r="E27" i="19"/>
  <c r="E33" i="19" s="1"/>
  <c r="E35" i="19" s="1"/>
  <c r="G53" i="19"/>
  <c r="G27" i="19"/>
  <c r="G33" i="19" s="1"/>
  <c r="G35" i="19" s="1"/>
  <c r="I53" i="19"/>
  <c r="I27" i="19"/>
  <c r="I33" i="19" s="1"/>
  <c r="K53" i="19"/>
  <c r="K27" i="19"/>
  <c r="K33" i="19" s="1"/>
  <c r="D53" i="19"/>
  <c r="D27" i="19"/>
  <c r="D33" i="19" s="1"/>
  <c r="F53" i="19"/>
  <c r="F27" i="19"/>
  <c r="F33" i="19" s="1"/>
  <c r="F35" i="19" s="1"/>
  <c r="H53" i="19"/>
  <c r="H27" i="19"/>
  <c r="H33" i="19" s="1"/>
  <c r="H35" i="19" s="1"/>
  <c r="J53" i="19"/>
  <c r="J27" i="19"/>
  <c r="J33" i="19" s="1"/>
  <c r="F4" i="9"/>
  <c r="O35" i="18"/>
  <c r="O36" i="18"/>
  <c r="O9" i="18"/>
  <c r="O87" i="15"/>
  <c r="D19" i="1"/>
  <c r="D5" i="15"/>
  <c r="K19" i="1"/>
  <c r="P5" i="15"/>
  <c r="N5" i="15"/>
  <c r="Q5" i="15" s="1"/>
  <c r="K5" i="15"/>
  <c r="O5" i="15"/>
  <c r="J49" i="15"/>
  <c r="J35" i="15"/>
  <c r="J90" i="15"/>
  <c r="J88" i="15"/>
  <c r="E90" i="15"/>
  <c r="E88" i="15"/>
  <c r="E49" i="15"/>
  <c r="E35" i="15"/>
  <c r="D49" i="15"/>
  <c r="D35" i="15"/>
  <c r="D90" i="15"/>
  <c r="D88" i="15"/>
  <c r="H19" i="1"/>
  <c r="H5" i="15"/>
  <c r="G19" i="1"/>
  <c r="G5" i="15"/>
  <c r="F19" i="1"/>
  <c r="F5" i="15"/>
  <c r="I19" i="1"/>
  <c r="I5" i="15"/>
  <c r="F49" i="15"/>
  <c r="F35" i="15"/>
  <c r="F90" i="15"/>
  <c r="F88" i="15"/>
  <c r="L48" i="15"/>
  <c r="K48" i="15"/>
  <c r="Q48" i="15" s="1"/>
  <c r="I24" i="2"/>
  <c r="I48" i="15"/>
  <c r="H24" i="2"/>
  <c r="H48" i="15"/>
  <c r="AU9" i="12"/>
  <c r="G120" i="13"/>
  <c r="G27" i="18"/>
  <c r="G26" i="18"/>
  <c r="K5" i="9"/>
  <c r="K4" i="9"/>
  <c r="K3" i="9"/>
  <c r="F28" i="15"/>
  <c r="F5" i="25" s="1"/>
  <c r="I27" i="18"/>
  <c r="I26" i="18"/>
  <c r="N12" i="18"/>
  <c r="O12" i="18"/>
  <c r="N42" i="18"/>
  <c r="N35" i="18"/>
  <c r="H26" i="18"/>
  <c r="H27" i="18"/>
  <c r="Q113" i="15"/>
  <c r="P113" i="15"/>
  <c r="O113" i="15"/>
  <c r="N113" i="15"/>
  <c r="E2" i="11"/>
  <c r="AV13" i="12"/>
  <c r="B2" i="10"/>
  <c r="B2" i="11"/>
  <c r="C2" i="11"/>
  <c r="B3" i="10"/>
  <c r="N11" i="9"/>
  <c r="Q13" i="15"/>
  <c r="Q3" i="15"/>
  <c r="Q14" i="15"/>
  <c r="P4" i="9"/>
  <c r="P3" i="9"/>
  <c r="P5" i="9"/>
  <c r="C74" i="15"/>
  <c r="I74" i="15"/>
  <c r="I77" i="15" s="1"/>
  <c r="I61" i="15"/>
  <c r="K86" i="14"/>
  <c r="J124" i="15"/>
  <c r="J127" i="15" s="1"/>
  <c r="AU7" i="12"/>
  <c r="E120" i="13"/>
  <c r="N36" i="18"/>
  <c r="M17" i="18"/>
  <c r="N17" i="18"/>
  <c r="O17" i="18"/>
  <c r="O38" i="18"/>
  <c r="M38" i="18"/>
  <c r="N38" i="18"/>
  <c r="J90" i="9"/>
  <c r="C4" i="9"/>
  <c r="C5" i="9"/>
  <c r="C3" i="9"/>
  <c r="AU8" i="12"/>
  <c r="F120" i="13"/>
  <c r="F25" i="18"/>
  <c r="O25" i="18" s="1"/>
  <c r="D5" i="9"/>
  <c r="D7" i="9" s="1"/>
  <c r="D3" i="9"/>
  <c r="D4" i="9"/>
  <c r="F5" i="9"/>
  <c r="F3" i="9"/>
  <c r="AU13" i="12"/>
  <c r="K120" i="13"/>
  <c r="E75" i="11" s="1"/>
  <c r="K26" i="18"/>
  <c r="K27" i="18"/>
  <c r="P20" i="9"/>
  <c r="P18" i="9"/>
  <c r="P21" i="9"/>
  <c r="P19" i="9"/>
  <c r="K90" i="9"/>
  <c r="K91" i="9" s="1"/>
  <c r="L19" i="9"/>
  <c r="L21" i="9"/>
  <c r="L20" i="9"/>
  <c r="L18" i="9"/>
  <c r="D8" i="15"/>
  <c r="N5" i="9"/>
  <c r="N4" i="9"/>
  <c r="N3" i="9"/>
  <c r="F74" i="15"/>
  <c r="F77" i="15" s="1"/>
  <c r="F61" i="15"/>
  <c r="F4" i="25" s="1"/>
  <c r="F86" i="14"/>
  <c r="E124" i="15"/>
  <c r="J86" i="14"/>
  <c r="I124" i="15"/>
  <c r="I127" i="15" s="1"/>
  <c r="H8" i="15"/>
  <c r="F4" i="8"/>
  <c r="E74" i="15"/>
  <c r="E77" i="15" s="1"/>
  <c r="E61" i="15"/>
  <c r="D3" i="11"/>
  <c r="B7" i="10"/>
  <c r="O8" i="15"/>
  <c r="P8" i="15"/>
  <c r="O13" i="9" s="1"/>
  <c r="K8" i="15"/>
  <c r="O14" i="9" s="1"/>
  <c r="H127" i="15"/>
  <c r="C19" i="1"/>
  <c r="C5" i="15"/>
  <c r="J19" i="1"/>
  <c r="J5" i="15"/>
  <c r="E19" i="1"/>
  <c r="E5" i="15"/>
  <c r="C90" i="15"/>
  <c r="C88" i="15"/>
  <c r="C49" i="15"/>
  <c r="C35" i="15"/>
  <c r="G90" i="15"/>
  <c r="G88" i="15"/>
  <c r="G49" i="15"/>
  <c r="G35" i="15"/>
  <c r="AU11" i="12"/>
  <c r="I120" i="13"/>
  <c r="O10" i="18"/>
  <c r="G15" i="18"/>
  <c r="G20" i="18"/>
  <c r="G23" i="18"/>
  <c r="M30" i="18"/>
  <c r="N30" i="18"/>
  <c r="O30" i="18"/>
  <c r="AU10" i="12"/>
  <c r="H120" i="13"/>
  <c r="H90" i="9"/>
  <c r="D26" i="18"/>
  <c r="D27" i="18"/>
  <c r="AU6" i="12"/>
  <c r="D120" i="13"/>
  <c r="A24" i="9"/>
  <c r="K28" i="15"/>
  <c r="K5" i="25" s="1"/>
  <c r="P87" i="15"/>
  <c r="Q87" i="15"/>
  <c r="B4" i="10"/>
  <c r="D2" i="11"/>
  <c r="G74" i="15"/>
  <c r="G77" i="15" s="1"/>
  <c r="G61" i="15"/>
  <c r="E86" i="14"/>
  <c r="D124" i="15"/>
  <c r="B26" i="18"/>
  <c r="B27" i="18"/>
  <c r="AU4" i="12"/>
  <c r="B120" i="13"/>
  <c r="AU5" i="12"/>
  <c r="C120" i="13"/>
  <c r="C27" i="18"/>
  <c r="C26" i="18"/>
  <c r="E27" i="18"/>
  <c r="E26" i="18"/>
  <c r="E90" i="9"/>
  <c r="E91" i="9" s="1"/>
  <c r="H15" i="18"/>
  <c r="H20" i="18"/>
  <c r="O20" i="18" s="1"/>
  <c r="H23" i="18"/>
  <c r="M10" i="18"/>
  <c r="N8" i="18"/>
  <c r="J26" i="18"/>
  <c r="J27" i="18"/>
  <c r="AU12" i="12"/>
  <c r="J120" i="13"/>
  <c r="E5" i="9"/>
  <c r="E7" i="9" s="1"/>
  <c r="E3" i="9"/>
  <c r="E4" i="9"/>
  <c r="F26" i="18"/>
  <c r="F27" i="18"/>
  <c r="G4" i="9"/>
  <c r="G3" i="9"/>
  <c r="F90" i="9"/>
  <c r="F91" i="9" s="1"/>
  <c r="G101" i="14"/>
  <c r="F77" i="9" s="1"/>
  <c r="K101" i="14"/>
  <c r="J77" i="9" s="1"/>
  <c r="Q4" i="15"/>
  <c r="H101" i="14"/>
  <c r="G77" i="9" s="1"/>
  <c r="J101" i="14"/>
  <c r="I77" i="9" s="1"/>
  <c r="I101" i="14"/>
  <c r="H77" i="9" s="1"/>
  <c r="C101" i="14"/>
  <c r="B77" i="9" s="1"/>
  <c r="N28" i="17"/>
  <c r="N38" i="17"/>
  <c r="M28" i="17"/>
  <c r="M38" i="17"/>
  <c r="D74" i="15"/>
  <c r="D77" i="15" s="1"/>
  <c r="D61" i="15"/>
  <c r="H74" i="15"/>
  <c r="H77" i="15" s="1"/>
  <c r="H61" i="15"/>
  <c r="H4" i="25" s="1"/>
  <c r="J74" i="15"/>
  <c r="J77" i="15" s="1"/>
  <c r="J61" i="15"/>
  <c r="D85" i="14"/>
  <c r="H85" i="14"/>
  <c r="L86" i="14"/>
  <c r="K124" i="15"/>
  <c r="K127" i="15" s="1"/>
  <c r="E8" i="15"/>
  <c r="C3" i="11"/>
  <c r="B6" i="10"/>
  <c r="E3" i="11"/>
  <c r="AW13" i="12"/>
  <c r="B24" i="9"/>
  <c r="F3" i="8" s="1"/>
  <c r="K74" i="15"/>
  <c r="K77" i="15" s="1"/>
  <c r="K61" i="15"/>
  <c r="G85" i="14"/>
  <c r="I86" i="14"/>
  <c r="P44" i="15"/>
  <c r="Q44" i="15"/>
  <c r="O44" i="15"/>
  <c r="D74" i="11"/>
  <c r="B115" i="10"/>
  <c r="B65" i="11"/>
  <c r="B83" i="10"/>
  <c r="L77" i="9"/>
  <c r="K77" i="9"/>
  <c r="D70" i="11"/>
  <c r="B103" i="10"/>
  <c r="C70" i="11"/>
  <c r="B102" i="10"/>
  <c r="B59" i="11"/>
  <c r="B80" i="10"/>
  <c r="G88" i="9"/>
  <c r="J19" i="9"/>
  <c r="K27" i="9" s="1"/>
  <c r="H91" i="9"/>
  <c r="J30" i="9"/>
  <c r="J33" i="9"/>
  <c r="K30" i="9"/>
  <c r="B88" i="9"/>
  <c r="J18" i="9"/>
  <c r="I88" i="9"/>
  <c r="B107" i="9" s="1"/>
  <c r="J20" i="9"/>
  <c r="J91" i="9"/>
  <c r="C74" i="11"/>
  <c r="B114" i="10"/>
  <c r="B74" i="11"/>
  <c r="B113" i="10"/>
  <c r="D59" i="11"/>
  <c r="B82" i="10"/>
  <c r="C59" i="11"/>
  <c r="B81" i="10"/>
  <c r="B70" i="11"/>
  <c r="B101" i="10"/>
  <c r="C26" i="8"/>
  <c r="C25" i="8"/>
  <c r="B37" i="8"/>
  <c r="F23" i="8"/>
  <c r="F15" i="8"/>
  <c r="B36" i="8"/>
  <c r="D36" i="8" s="1"/>
  <c r="B26" i="8"/>
  <c r="C36" i="8" s="1"/>
  <c r="B25" i="8"/>
  <c r="H12" i="8"/>
  <c r="G14" i="8"/>
  <c r="D16" i="8"/>
  <c r="K24" i="2"/>
  <c r="J24" i="2"/>
  <c r="F24" i="2"/>
  <c r="D24" i="2"/>
  <c r="C24" i="2"/>
  <c r="E24" i="2"/>
  <c r="G24" i="2"/>
  <c r="C3" i="4"/>
  <c r="D3" i="4"/>
  <c r="E3" i="4"/>
  <c r="F3" i="4"/>
  <c r="G3" i="4"/>
  <c r="H3" i="4"/>
  <c r="I3" i="4"/>
  <c r="J3" i="4"/>
  <c r="K3" i="4"/>
  <c r="C3" i="2"/>
  <c r="D3" i="2"/>
  <c r="E3" i="2"/>
  <c r="F3" i="2"/>
  <c r="G3" i="2"/>
  <c r="H3" i="2"/>
  <c r="I3" i="2"/>
  <c r="J3" i="2"/>
  <c r="K3" i="2"/>
  <c r="C3" i="3"/>
  <c r="D3" i="3"/>
  <c r="E3" i="3"/>
  <c r="F3" i="3"/>
  <c r="G3" i="3"/>
  <c r="H3" i="3"/>
  <c r="I3" i="3"/>
  <c r="J3" i="3"/>
  <c r="K3" i="3"/>
  <c r="C3" i="1"/>
  <c r="C1" i="15" s="1"/>
  <c r="D3" i="1"/>
  <c r="D1" i="15" s="1"/>
  <c r="E3" i="1"/>
  <c r="E1" i="15" s="1"/>
  <c r="F3" i="1"/>
  <c r="F1" i="15" s="1"/>
  <c r="G3" i="1"/>
  <c r="G1" i="15" s="1"/>
  <c r="H3" i="1"/>
  <c r="H1" i="15" s="1"/>
  <c r="I3" i="1"/>
  <c r="I1" i="15" s="1"/>
  <c r="J3" i="1"/>
  <c r="J1" i="15" s="1"/>
  <c r="K3" i="1"/>
  <c r="K1" i="15" s="1"/>
  <c r="E62" i="19" l="1"/>
  <c r="K46" i="18"/>
  <c r="K4" i="25"/>
  <c r="J46" i="18"/>
  <c r="J4" i="25"/>
  <c r="D46" i="18"/>
  <c r="D4" i="25"/>
  <c r="G46" i="18"/>
  <c r="G4" i="25"/>
  <c r="E46" i="18"/>
  <c r="E4" i="25"/>
  <c r="I46" i="18"/>
  <c r="I4" i="25"/>
  <c r="G62" i="19"/>
  <c r="F62" i="19"/>
  <c r="J35" i="19"/>
  <c r="J62" i="19"/>
  <c r="D35" i="19"/>
  <c r="D62" i="19"/>
  <c r="K35" i="19"/>
  <c r="K62" i="19"/>
  <c r="I35" i="19"/>
  <c r="I62" i="19"/>
  <c r="C35" i="19"/>
  <c r="C62" i="19"/>
  <c r="H62" i="19"/>
  <c r="K36" i="15"/>
  <c r="K64" i="15" s="1"/>
  <c r="K81" i="15" s="1"/>
  <c r="K109" i="15" s="1"/>
  <c r="K26" i="15"/>
  <c r="I36" i="15"/>
  <c r="I64" i="15" s="1"/>
  <c r="I81" i="15" s="1"/>
  <c r="I109" i="15" s="1"/>
  <c r="I26" i="15"/>
  <c r="G36" i="15"/>
  <c r="G64" i="15" s="1"/>
  <c r="G81" i="15" s="1"/>
  <c r="G109" i="15" s="1"/>
  <c r="G26" i="15"/>
  <c r="E36" i="15"/>
  <c r="E64" i="15" s="1"/>
  <c r="E81" i="15" s="1"/>
  <c r="E109" i="15" s="1"/>
  <c r="E26" i="15"/>
  <c r="C36" i="15"/>
  <c r="C64" i="15" s="1"/>
  <c r="C81" i="15" s="1"/>
  <c r="C109" i="15" s="1"/>
  <c r="C26" i="15"/>
  <c r="K33" i="9"/>
  <c r="B108" i="9"/>
  <c r="H86" i="14"/>
  <c r="G124" i="15"/>
  <c r="G127" i="15" s="1"/>
  <c r="O27" i="18"/>
  <c r="N23" i="18"/>
  <c r="O23" i="18"/>
  <c r="N15" i="18"/>
  <c r="M120" i="13"/>
  <c r="C27" i="9"/>
  <c r="F27" i="9" s="1"/>
  <c r="O12" i="9"/>
  <c r="R22" i="8"/>
  <c r="C7" i="9"/>
  <c r="C77" i="15"/>
  <c r="O15" i="18"/>
  <c r="M27" i="18"/>
  <c r="N27" i="18"/>
  <c r="L49" i="15"/>
  <c r="N49" i="15" s="1"/>
  <c r="N48" i="15"/>
  <c r="F53" i="15"/>
  <c r="F68" i="15" s="1"/>
  <c r="F52" i="15"/>
  <c r="F67" i="15" s="1"/>
  <c r="J53" i="15"/>
  <c r="J52" i="15"/>
  <c r="J36" i="15"/>
  <c r="J64" i="15" s="1"/>
  <c r="J81" i="15" s="1"/>
  <c r="J109" i="15" s="1"/>
  <c r="J26" i="15"/>
  <c r="H36" i="15"/>
  <c r="H64" i="15" s="1"/>
  <c r="H81" i="15" s="1"/>
  <c r="H109" i="15" s="1"/>
  <c r="H26" i="15"/>
  <c r="F36" i="15"/>
  <c r="F64" i="15" s="1"/>
  <c r="F81" i="15" s="1"/>
  <c r="F109" i="15" s="1"/>
  <c r="F26" i="15"/>
  <c r="D36" i="15"/>
  <c r="D64" i="15" s="1"/>
  <c r="D81" i="15" s="1"/>
  <c r="D109" i="15" s="1"/>
  <c r="D26" i="15"/>
  <c r="G86" i="14"/>
  <c r="F124" i="15"/>
  <c r="F127" i="15" s="1"/>
  <c r="B5" i="9"/>
  <c r="C124" i="15"/>
  <c r="H5" i="9"/>
  <c r="H46" i="18"/>
  <c r="O26" i="18"/>
  <c r="O120" i="13"/>
  <c r="D127" i="15"/>
  <c r="N46" i="18"/>
  <c r="N20" i="18"/>
  <c r="G53" i="15"/>
  <c r="G68" i="15" s="1"/>
  <c r="G52" i="15"/>
  <c r="G67" i="15" s="1"/>
  <c r="C53" i="15"/>
  <c r="C68" i="15" s="1"/>
  <c r="C52" i="15"/>
  <c r="C67" i="15" s="1"/>
  <c r="E127" i="15"/>
  <c r="F46" i="18"/>
  <c r="O46" i="18" s="1"/>
  <c r="H4" i="9"/>
  <c r="H3" i="9"/>
  <c r="M46" i="18"/>
  <c r="M26" i="18"/>
  <c r="N26" i="18"/>
  <c r="N120" i="13"/>
  <c r="H49" i="15"/>
  <c r="H35" i="15"/>
  <c r="H90" i="15"/>
  <c r="H88" i="15"/>
  <c r="P48" i="15"/>
  <c r="I90" i="15"/>
  <c r="I88" i="15"/>
  <c r="I49" i="15"/>
  <c r="I35" i="15"/>
  <c r="K90" i="15"/>
  <c r="K88" i="15"/>
  <c r="L35" i="15"/>
  <c r="N35" i="15" s="1"/>
  <c r="I33" i="9" s="1"/>
  <c r="K49" i="15"/>
  <c r="K35" i="15"/>
  <c r="O48" i="15"/>
  <c r="D53" i="15"/>
  <c r="D52" i="15"/>
  <c r="O49" i="15"/>
  <c r="E53" i="15"/>
  <c r="E68" i="15" s="1"/>
  <c r="E52" i="15"/>
  <c r="E67" i="15" s="1"/>
  <c r="D21" i="8"/>
  <c r="D24" i="8" s="1"/>
  <c r="G23" i="8"/>
  <c r="G15" i="8"/>
  <c r="G36" i="8"/>
  <c r="I36" i="8" s="1"/>
  <c r="B27" i="8"/>
  <c r="H36" i="8" s="1"/>
  <c r="G37" i="8"/>
  <c r="C27" i="8"/>
  <c r="H14" i="8"/>
  <c r="I12" i="8"/>
  <c r="C37" i="8"/>
  <c r="D37" i="8"/>
  <c r="B7" i="4"/>
  <c r="B6" i="4"/>
  <c r="B5" i="4"/>
  <c r="C11" i="15" s="1"/>
  <c r="B4" i="4"/>
  <c r="C10" i="15" s="1"/>
  <c r="B3" i="4"/>
  <c r="K21" i="2"/>
  <c r="J21" i="2"/>
  <c r="I21" i="2"/>
  <c r="H21" i="2"/>
  <c r="G21" i="2"/>
  <c r="F21" i="2"/>
  <c r="E21" i="2"/>
  <c r="D21" i="2"/>
  <c r="C21" i="2"/>
  <c r="B18" i="2"/>
  <c r="B13" i="2"/>
  <c r="B12" i="2"/>
  <c r="B11" i="2"/>
  <c r="B10" i="2"/>
  <c r="B8" i="2"/>
  <c r="B60" i="19" s="1"/>
  <c r="B61" i="19" s="1"/>
  <c r="B7" i="2"/>
  <c r="B6" i="2"/>
  <c r="B3" i="2"/>
  <c r="J14" i="3"/>
  <c r="H14" i="3"/>
  <c r="F14" i="3"/>
  <c r="D14" i="3"/>
  <c r="B12" i="3"/>
  <c r="B69" i="19" s="1"/>
  <c r="B11" i="3"/>
  <c r="B10" i="3"/>
  <c r="B9" i="3"/>
  <c r="B8" i="3"/>
  <c r="B7" i="3"/>
  <c r="B70" i="19" s="1"/>
  <c r="B4" i="3"/>
  <c r="B3" i="3"/>
  <c r="L15" i="1"/>
  <c r="B12" i="1"/>
  <c r="B11" i="1"/>
  <c r="B10" i="1"/>
  <c r="B9" i="1"/>
  <c r="B8" i="1"/>
  <c r="B20" i="2"/>
  <c r="B3" i="1"/>
  <c r="B21" i="2" l="1"/>
  <c r="B37" i="19"/>
  <c r="B75" i="19"/>
  <c r="B51" i="19"/>
  <c r="B54" i="19" s="1"/>
  <c r="B50" i="19"/>
  <c r="D68" i="15"/>
  <c r="I53" i="15"/>
  <c r="I68" i="15" s="1"/>
  <c r="I52" i="15"/>
  <c r="I67" i="15" s="1"/>
  <c r="C75" i="11"/>
  <c r="B90" i="10"/>
  <c r="O20" i="8"/>
  <c r="J5" i="9"/>
  <c r="J67" i="15"/>
  <c r="N6" i="15"/>
  <c r="Q6" i="15" s="1"/>
  <c r="C6" i="15"/>
  <c r="N7" i="15"/>
  <c r="Q7" i="15" s="1"/>
  <c r="R18" i="13"/>
  <c r="C7" i="15"/>
  <c r="C18" i="13"/>
  <c r="AW5" i="12" s="1"/>
  <c r="B71" i="19"/>
  <c r="B72" i="19" s="1"/>
  <c r="E16" i="8"/>
  <c r="D67" i="15"/>
  <c r="L53" i="15"/>
  <c r="K52" i="15"/>
  <c r="K67" i="15" s="1"/>
  <c r="K53" i="15"/>
  <c r="K68" i="15" s="1"/>
  <c r="L52" i="15"/>
  <c r="H53" i="15"/>
  <c r="H52" i="15"/>
  <c r="P49" i="15"/>
  <c r="B75" i="11"/>
  <c r="B89" i="10"/>
  <c r="M30" i="9"/>
  <c r="G27" i="9"/>
  <c r="I3" i="9"/>
  <c r="I4" i="9"/>
  <c r="Q49" i="15"/>
  <c r="J68" i="15"/>
  <c r="R26" i="8"/>
  <c r="R27" i="8"/>
  <c r="D75" i="11"/>
  <c r="B91" i="10"/>
  <c r="O109" i="15"/>
  <c r="P109" i="15"/>
  <c r="Q109" i="15"/>
  <c r="J12" i="8"/>
  <c r="I14" i="8"/>
  <c r="E21" i="8"/>
  <c r="E24" i="8" s="1"/>
  <c r="H23" i="8"/>
  <c r="H15" i="8"/>
  <c r="I37" i="8"/>
  <c r="H37" i="8"/>
  <c r="B38" i="8"/>
  <c r="D26" i="8"/>
  <c r="D25" i="8"/>
  <c r="B13" i="1"/>
  <c r="B23" i="2"/>
  <c r="B16" i="2"/>
  <c r="B24" i="2" s="1"/>
  <c r="B14" i="3"/>
  <c r="E14" i="3"/>
  <c r="I14" i="3"/>
  <c r="C14" i="3"/>
  <c r="G14" i="3"/>
  <c r="K14" i="3"/>
  <c r="K23" i="1"/>
  <c r="G20" i="2"/>
  <c r="I20" i="2"/>
  <c r="K20" i="2"/>
  <c r="D20" i="2"/>
  <c r="F20" i="2"/>
  <c r="H20" i="2"/>
  <c r="J20" i="2"/>
  <c r="C20" i="2"/>
  <c r="E20" i="2"/>
  <c r="L12" i="1"/>
  <c r="K24" i="1"/>
  <c r="L11" i="1"/>
  <c r="L10" i="1"/>
  <c r="L9" i="1"/>
  <c r="L8" i="1"/>
  <c r="M8" i="1" s="1"/>
  <c r="L7" i="1"/>
  <c r="L6" i="1"/>
  <c r="L5" i="15" s="1"/>
  <c r="L4" i="1"/>
  <c r="A1" i="3"/>
  <c r="A1" i="2"/>
  <c r="A1" i="4" s="1"/>
  <c r="H23" i="1"/>
  <c r="I24" i="1"/>
  <c r="I23" i="1"/>
  <c r="J24" i="1"/>
  <c r="J23" i="1"/>
  <c r="B19" i="1"/>
  <c r="H24" i="1" s="1"/>
  <c r="Q53" i="15" l="1"/>
  <c r="B53" i="19"/>
  <c r="B27" i="19"/>
  <c r="B33" i="19" s="1"/>
  <c r="B35" i="19" s="1"/>
  <c r="L6" i="15"/>
  <c r="L30" i="15"/>
  <c r="H68" i="15"/>
  <c r="P53" i="15"/>
  <c r="L68" i="15"/>
  <c r="N68" i="15" s="1"/>
  <c r="N53" i="15"/>
  <c r="Q52" i="15"/>
  <c r="R19" i="8"/>
  <c r="R17" i="8"/>
  <c r="R18" i="8"/>
  <c r="L23" i="1"/>
  <c r="L3" i="15"/>
  <c r="L89" i="15"/>
  <c r="L88" i="15"/>
  <c r="M9" i="1"/>
  <c r="L29" i="15"/>
  <c r="L111" i="15"/>
  <c r="L13" i="1"/>
  <c r="L31" i="15"/>
  <c r="L7" i="15"/>
  <c r="L91" i="15"/>
  <c r="L90" i="15"/>
  <c r="B14" i="1"/>
  <c r="C85" i="14"/>
  <c r="C8" i="15"/>
  <c r="N8" i="15"/>
  <c r="D86" i="14"/>
  <c r="H67" i="15"/>
  <c r="P52" i="15"/>
  <c r="L67" i="15"/>
  <c r="N67" i="15" s="1"/>
  <c r="N52" i="15"/>
  <c r="O52" i="15"/>
  <c r="B3" i="11"/>
  <c r="B5" i="10"/>
  <c r="O53" i="15"/>
  <c r="G38" i="8"/>
  <c r="D27" i="8"/>
  <c r="E26" i="8"/>
  <c r="E25" i="8"/>
  <c r="B39" i="8"/>
  <c r="I23" i="8"/>
  <c r="I15" i="8"/>
  <c r="C38" i="8"/>
  <c r="D38" i="8"/>
  <c r="F16" i="8"/>
  <c r="J14" i="8"/>
  <c r="K12" i="8"/>
  <c r="K14" i="8" s="1"/>
  <c r="L19" i="1"/>
  <c r="L24" i="1" s="1"/>
  <c r="M24" i="1" s="1"/>
  <c r="L5" i="1"/>
  <c r="N24" i="1"/>
  <c r="N11" i="1"/>
  <c r="M11" i="1"/>
  <c r="M23" i="1"/>
  <c r="M4" i="1" s="1"/>
  <c r="N23" i="1"/>
  <c r="N4" i="1" s="1"/>
  <c r="N9" i="1"/>
  <c r="N8" i="1"/>
  <c r="Q67" i="15" l="1"/>
  <c r="P67" i="15"/>
  <c r="O67" i="15"/>
  <c r="O11" i="9"/>
  <c r="Q8" i="15"/>
  <c r="O90" i="15"/>
  <c r="Q90" i="15"/>
  <c r="P90" i="15"/>
  <c r="L14" i="1"/>
  <c r="L8" i="15"/>
  <c r="B6" i="9"/>
  <c r="M85" i="14"/>
  <c r="N29" i="15"/>
  <c r="P29" i="15"/>
  <c r="O29" i="15"/>
  <c r="Q29" i="15"/>
  <c r="P88" i="15"/>
  <c r="O88" i="15"/>
  <c r="Q88" i="15"/>
  <c r="N30" i="15"/>
  <c r="P30" i="15"/>
  <c r="O30" i="15"/>
  <c r="Q30" i="15"/>
  <c r="L4" i="15"/>
  <c r="L27" i="15"/>
  <c r="O91" i="15"/>
  <c r="P91" i="15"/>
  <c r="Q91" i="15"/>
  <c r="N6" i="9"/>
  <c r="L74" i="15"/>
  <c r="N31" i="15"/>
  <c r="L61" i="15"/>
  <c r="H6" i="9" s="1"/>
  <c r="P31" i="15"/>
  <c r="Q31" i="15"/>
  <c r="O31" i="15"/>
  <c r="M31" i="15"/>
  <c r="M61" i="15" s="1"/>
  <c r="P6" i="9"/>
  <c r="P7" i="9" s="1"/>
  <c r="N111" i="15"/>
  <c r="O111" i="15"/>
  <c r="P111" i="15"/>
  <c r="Q111" i="15"/>
  <c r="P89" i="15"/>
  <c r="Q89" i="15"/>
  <c r="O89" i="15"/>
  <c r="O68" i="15"/>
  <c r="Q68" i="15"/>
  <c r="P68" i="15"/>
  <c r="J23" i="8"/>
  <c r="J15" i="8"/>
  <c r="C39" i="8"/>
  <c r="D39" i="8"/>
  <c r="K23" i="8"/>
  <c r="K15" i="8"/>
  <c r="F21" i="8"/>
  <c r="F24" i="8" s="1"/>
  <c r="G39" i="8"/>
  <c r="E27" i="8"/>
  <c r="I38" i="8"/>
  <c r="H38" i="8"/>
  <c r="M6" i="1"/>
  <c r="N6" i="1"/>
  <c r="G30" i="9" l="1"/>
  <c r="G33" i="9"/>
  <c r="N74" i="15"/>
  <c r="L77" i="15"/>
  <c r="P74" i="15"/>
  <c r="O74" i="15"/>
  <c r="Q74" i="15"/>
  <c r="M86" i="14"/>
  <c r="L124" i="15"/>
  <c r="B4" i="9"/>
  <c r="J3" i="9" s="1"/>
  <c r="B3" i="9"/>
  <c r="J4" i="9" s="1"/>
  <c r="D33" i="9"/>
  <c r="N7" i="9"/>
  <c r="C33" i="9"/>
  <c r="K6" i="9"/>
  <c r="K7" i="9" s="1"/>
  <c r="N27" i="15"/>
  <c r="L28" i="15"/>
  <c r="Q27" i="15"/>
  <c r="P27" i="15"/>
  <c r="O27" i="15"/>
  <c r="A30" i="9"/>
  <c r="B8" i="9"/>
  <c r="J6" i="9"/>
  <c r="B7" i="9"/>
  <c r="L25" i="1"/>
  <c r="H25" i="1"/>
  <c r="K25" i="1"/>
  <c r="M25" i="1" s="1"/>
  <c r="J25" i="1"/>
  <c r="I25" i="1"/>
  <c r="B40" i="8"/>
  <c r="F26" i="8"/>
  <c r="F25" i="8"/>
  <c r="I39" i="8"/>
  <c r="H39" i="8"/>
  <c r="G16" i="8"/>
  <c r="M10" i="1"/>
  <c r="M12" i="1" s="1"/>
  <c r="M13" i="1" s="1"/>
  <c r="N10" i="1"/>
  <c r="N12" i="1" s="1"/>
  <c r="N13" i="1" s="1"/>
  <c r="N5" i="1"/>
  <c r="M5" i="1"/>
  <c r="M14" i="1"/>
  <c r="N25" i="1" l="1"/>
  <c r="N77" i="15"/>
  <c r="Q77" i="15"/>
  <c r="O77" i="15"/>
  <c r="P77" i="15"/>
  <c r="J8" i="9"/>
  <c r="C30" i="9"/>
  <c r="J7" i="9"/>
  <c r="N28" i="15"/>
  <c r="P28" i="15"/>
  <c r="Q28" i="15"/>
  <c r="O28" i="15"/>
  <c r="L127" i="15"/>
  <c r="P124" i="15"/>
  <c r="Q124" i="15"/>
  <c r="O124" i="15"/>
  <c r="G21" i="8"/>
  <c r="G24" i="8" s="1"/>
  <c r="G40" i="8"/>
  <c r="F27" i="8"/>
  <c r="C40" i="8"/>
  <c r="D40" i="8"/>
  <c r="M15" i="1"/>
  <c r="N14" i="1"/>
  <c r="N15" i="1" s="1"/>
  <c r="H16" i="8" l="1"/>
  <c r="I6" i="9"/>
  <c r="P127" i="15"/>
  <c r="Q127" i="15"/>
  <c r="O127" i="15"/>
  <c r="G26" i="8"/>
  <c r="G25" i="8"/>
  <c r="B41" i="8"/>
  <c r="I40" i="8"/>
  <c r="H40" i="8"/>
  <c r="H21" i="8"/>
  <c r="H24" i="8" s="1"/>
  <c r="B30" i="9" l="1"/>
  <c r="I8" i="9"/>
  <c r="I7" i="9"/>
  <c r="I16" i="8"/>
  <c r="G41" i="8"/>
  <c r="G27" i="8"/>
  <c r="B42" i="8"/>
  <c r="H26" i="8"/>
  <c r="H25" i="8"/>
  <c r="C41" i="8"/>
  <c r="D41" i="8"/>
  <c r="I21" i="8" l="1"/>
  <c r="I24" i="8" s="1"/>
  <c r="I26" i="8" s="1"/>
  <c r="G42" i="8"/>
  <c r="H27" i="8"/>
  <c r="C42" i="8"/>
  <c r="D42" i="8"/>
  <c r="I41" i="8"/>
  <c r="H41" i="8"/>
  <c r="I25" i="8"/>
  <c r="B43" i="8" l="1"/>
  <c r="D43" i="8" s="1"/>
  <c r="J16" i="8"/>
  <c r="J21" i="8" s="1"/>
  <c r="J24" i="8" s="1"/>
  <c r="I42" i="8"/>
  <c r="H42" i="8"/>
  <c r="G43" i="8"/>
  <c r="I27" i="8"/>
  <c r="C43" i="8"/>
  <c r="K16" i="8" l="1"/>
  <c r="K21" i="8" s="1"/>
  <c r="K24" i="8" s="1"/>
  <c r="J26" i="8"/>
  <c r="B44" i="8"/>
  <c r="J25" i="8"/>
  <c r="K26" i="8"/>
  <c r="G44" i="8"/>
  <c r="C44" i="8"/>
  <c r="D44" i="8"/>
  <c r="I43" i="8"/>
  <c r="H43" i="8"/>
  <c r="K25" i="8" l="1"/>
  <c r="G45" i="8" s="1"/>
  <c r="I45" i="8" s="1"/>
  <c r="B45" i="8"/>
  <c r="J27" i="8"/>
  <c r="R4" i="8"/>
  <c r="R6" i="8" s="1"/>
  <c r="I44" i="8"/>
  <c r="H44" i="8"/>
  <c r="H45" i="8" l="1"/>
  <c r="C45" i="8"/>
  <c r="O4" i="8"/>
  <c r="O6" i="8" s="1"/>
  <c r="D45" i="8"/>
  <c r="O5" i="8" s="1"/>
  <c r="K27" i="8"/>
  <c r="R5" i="8"/>
  <c r="O7" i="8" l="1"/>
  <c r="R7" i="8"/>
  <c r="O9" i="8" l="1"/>
  <c r="O15" i="8" s="1"/>
  <c r="O10" i="8"/>
  <c r="O11" i="8"/>
  <c r="R9" i="8"/>
  <c r="R15" i="8" s="1"/>
  <c r="R11" i="8"/>
  <c r="R10" i="8"/>
</calcChain>
</file>

<file path=xl/comments1.xml><?xml version="1.0" encoding="utf-8"?>
<comments xmlns="http://schemas.openxmlformats.org/spreadsheetml/2006/main">
  <authors>
    <author>Kumar Saurabh</author>
  </authors>
  <commentList>
    <comment ref="B96" authorId="0">
      <text>
        <r>
          <rPr>
            <b/>
            <sz val="9"/>
            <color indexed="81"/>
            <rFont val="Tahoma"/>
            <family val="2"/>
          </rPr>
          <t>Kumar Saurabh:</t>
        </r>
        <r>
          <rPr>
            <sz val="9"/>
            <color indexed="81"/>
            <rFont val="Tahoma"/>
            <family val="2"/>
          </rPr>
          <t xml:space="preserve">
COGS or Sales?</t>
        </r>
      </text>
    </comment>
    <comment ref="B99" authorId="0">
      <text>
        <r>
          <rPr>
            <b/>
            <sz val="9"/>
            <color indexed="81"/>
            <rFont val="Tahoma"/>
            <family val="2"/>
          </rPr>
          <t>Kumar Saurabh:</t>
        </r>
        <r>
          <rPr>
            <sz val="9"/>
            <color indexed="81"/>
            <rFont val="Tahoma"/>
            <family val="2"/>
          </rPr>
          <t xml:space="preserve">
COGS or Sales?</t>
        </r>
      </text>
    </comment>
  </commentList>
</comments>
</file>

<file path=xl/comments2.xml><?xml version="1.0" encoding="utf-8"?>
<comments xmlns="http://schemas.openxmlformats.org/spreadsheetml/2006/main">
  <authors>
    <author>Kumar Saurabh</author>
  </authors>
  <commentList>
    <comment ref="A59" authorId="0">
      <text>
        <r>
          <rPr>
            <b/>
            <sz val="9"/>
            <color indexed="81"/>
            <rFont val="Tahoma"/>
            <family val="2"/>
          </rPr>
          <t>Kumar Saurabh:</t>
        </r>
        <r>
          <rPr>
            <sz val="9"/>
            <color indexed="81"/>
            <rFont val="Tahoma"/>
            <family val="2"/>
          </rPr>
          <t xml:space="preserve">
Trades Receiavbles</t>
        </r>
      </text>
    </comment>
    <comment ref="A65" author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3.xml><?xml version="1.0" encoding="utf-8"?>
<comments xmlns="http://schemas.openxmlformats.org/spreadsheetml/2006/main">
  <authors>
    <author>Kumar Saurabh</author>
    <author/>
  </authors>
  <commentList>
    <comment ref="A43" authorId="0">
      <text>
        <r>
          <rPr>
            <b/>
            <sz val="9"/>
            <color indexed="81"/>
            <rFont val="Tahoma"/>
            <family val="2"/>
          </rPr>
          <t>Kumar Saurabh:</t>
        </r>
        <r>
          <rPr>
            <sz val="9"/>
            <color indexed="81"/>
            <rFont val="Tahoma"/>
            <family val="2"/>
          </rPr>
          <t xml:space="preserve">
asset/(shareholder equity + liability)</t>
        </r>
      </text>
    </comment>
    <comment ref="A44" authorId="0">
      <text>
        <r>
          <rPr>
            <b/>
            <sz val="9"/>
            <color indexed="81"/>
            <rFont val="Tahoma"/>
            <family val="2"/>
          </rPr>
          <t>Kumar Saurabh:</t>
        </r>
        <r>
          <rPr>
            <sz val="9"/>
            <color indexed="81"/>
            <rFont val="Tahoma"/>
            <family val="2"/>
          </rPr>
          <t xml:space="preserve">
borrowing/pat</t>
        </r>
      </text>
    </comment>
    <comment ref="A45" authorId="0">
      <text>
        <r>
          <rPr>
            <b/>
            <sz val="9"/>
            <color indexed="81"/>
            <rFont val="Tahoma"/>
            <family val="2"/>
          </rPr>
          <t>Kumar Saurabh:</t>
        </r>
        <r>
          <rPr>
            <sz val="9"/>
            <color indexed="81"/>
            <rFont val="Tahoma"/>
            <family val="2"/>
          </rPr>
          <t xml:space="preserve">
working capital/pat</t>
        </r>
      </text>
    </comment>
    <comment ref="A46" authorId="1">
      <text>
        <r>
          <rPr>
            <b/>
            <sz val="9"/>
            <color indexed="8"/>
            <rFont val="Tahoma"/>
            <family val="2"/>
            <charset val="1"/>
          </rPr>
          <t xml:space="preserve">Shrey Sao:
</t>
        </r>
        <r>
          <rPr>
            <sz val="9"/>
            <color indexed="8"/>
            <rFont val="Tahoma"/>
            <family val="2"/>
            <charset val="1"/>
          </rPr>
          <t>measures potential credit risk. Borrowing + other liability</t>
        </r>
      </text>
    </comment>
    <comment ref="A47" authorId="1">
      <text>
        <r>
          <rPr>
            <b/>
            <sz val="9"/>
            <color indexed="8"/>
            <rFont val="Tahoma"/>
            <family val="2"/>
            <charset val="1"/>
          </rPr>
          <t xml:space="preserve">Shrey Sao:
</t>
        </r>
        <r>
          <rPr>
            <sz val="9"/>
            <color indexed="8"/>
            <rFont val="Tahoma"/>
            <family val="2"/>
            <charset val="1"/>
          </rPr>
          <t>measures current credit risk borrowing/shareholder equity</t>
        </r>
      </text>
    </comment>
    <comment ref="A49" authorId="1">
      <text>
        <r>
          <rPr>
            <sz val="9"/>
            <color indexed="8"/>
            <rFont val="Tahoma"/>
            <family val="2"/>
            <charset val="1"/>
          </rPr>
          <t xml:space="preserve">
</t>
        </r>
      </text>
    </comment>
    <comment ref="A50" authorId="0">
      <text>
        <r>
          <rPr>
            <b/>
            <sz val="9"/>
            <color indexed="81"/>
            <rFont val="Tahoma"/>
            <family val="2"/>
          </rPr>
          <t>Kumar Saurabh:</t>
        </r>
        <r>
          <rPr>
            <sz val="9"/>
            <color indexed="81"/>
            <rFont val="Tahoma"/>
            <family val="2"/>
          </rPr>
          <t xml:space="preserve">
how quickly cash is being collcted from debtors</t>
        </r>
      </text>
    </comment>
    <comment ref="A51" authorId="0">
      <text>
        <r>
          <rPr>
            <b/>
            <sz val="9"/>
            <color indexed="81"/>
            <rFont val="Tahoma"/>
            <family val="2"/>
          </rPr>
          <t>Kumar Saurabh:</t>
        </r>
        <r>
          <rPr>
            <sz val="9"/>
            <color indexed="81"/>
            <rFont val="Tahoma"/>
            <family val="2"/>
          </rPr>
          <t xml:space="preserve">
how quickly inventory is converted to sales</t>
        </r>
      </text>
    </comment>
    <comment ref="A52" authorId="1">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64" authorId="1">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70" authorId="1">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4.xml><?xml version="1.0" encoding="utf-8"?>
<comments xmlns="http://schemas.openxmlformats.org/spreadsheetml/2006/main">
  <authors>
    <author>Vishal</author>
    <author>Safal Niveshak</author>
  </authors>
  <commentList>
    <comment ref="A10" author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26" author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7" author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8" author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29" author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30" author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1" author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3" authorId="1">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sharedStrings.xml><?xml version="1.0" encoding="utf-8"?>
<sst xmlns="http://schemas.openxmlformats.org/spreadsheetml/2006/main" count="1532" uniqueCount="998">
  <si>
    <t>COMPANY NAME</t>
  </si>
  <si>
    <t>SCREENER.IN</t>
  </si>
  <si>
    <t>Narration</t>
  </si>
  <si>
    <t>Trailing</t>
  </si>
  <si>
    <t>Best Case</t>
  </si>
  <si>
    <t>Worst Case</t>
  </si>
  <si>
    <t>Sales</t>
  </si>
  <si>
    <t>Expenses</t>
  </si>
  <si>
    <t>Operating Profit</t>
  </si>
  <si>
    <t>Other Income</t>
  </si>
  <si>
    <t>Depreciation</t>
  </si>
  <si>
    <t>Interest</t>
  </si>
  <si>
    <t>Profit before tax</t>
  </si>
  <si>
    <t>Tax</t>
  </si>
  <si>
    <t>Net profit</t>
  </si>
  <si>
    <t>RATIOS:</t>
  </si>
  <si>
    <t>Price to earning</t>
  </si>
  <si>
    <t>Dividend Payout</t>
  </si>
  <si>
    <t>OPM</t>
  </si>
  <si>
    <t>TRENDS:</t>
  </si>
  <si>
    <t>BEST</t>
  </si>
  <si>
    <t>WORST</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</si>
  <si>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</si>
  <si>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</si>
  <si>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</si>
  <si>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</si>
  <si>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</si>
  <si>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</si>
  <si>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</si>
  <si>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</si>
  <si>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</si>
  <si>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</si>
  <si>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</si>
  <si>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</si>
  <si>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</si>
  <si>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</si>
  <si>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</si>
  <si>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</si>
  <si>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</si>
  <si>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</si>
  <si>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</si>
  <si>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</si>
  <si>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</si>
  <si>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</si>
  <si>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</si>
  <si>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</si>
  <si>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</si>
  <si>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</si>
  <si>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</si>
  <si>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</si>
  <si>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</si>
  <si>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</si>
  <si>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</si>
  <si>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</si>
  <si>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</si>
  <si>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</si>
  <si>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</si>
  <si>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</si>
  <si>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</si>
  <si>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</si>
  <si>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</si>
  <si>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</si>
  <si>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</si>
  <si>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</si>
  <si>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NITIN SPINNERS LTD</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</si>
  <si>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</si>
  <si>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</si>
  <si>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</si>
  <si>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</si>
  <si>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</si>
  <si>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</si>
  <si>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</si>
  <si>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</si>
  <si>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</si>
  <si>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</si>
  <si>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</si>
  <si>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</si>
  <si>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</si>
  <si>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</si>
  <si>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</si>
  <si>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</si>
  <si>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</si>
  <si>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</si>
  <si>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</si>
  <si>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</si>
  <si>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</si>
  <si>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</si>
  <si>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</si>
  <si>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</si>
  <si>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</si>
  <si>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</si>
  <si>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</si>
  <si>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</si>
  <si>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</si>
  <si>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Share Price</t>
  </si>
  <si>
    <t>Growth Multiple Aggressive</t>
  </si>
  <si>
    <t>Next 2 Quarter Profit Aggressive</t>
  </si>
  <si>
    <t>No. of Shares</t>
  </si>
  <si>
    <t>Gorwth Multiple Moderate</t>
  </si>
  <si>
    <t>Next 2 Quarter Profit Moderate</t>
  </si>
  <si>
    <t>Last 2 Quarter Profit</t>
  </si>
  <si>
    <t>Gorwth Multiple Conservative</t>
  </si>
  <si>
    <t>Next 2 Quarter Profit Conservative</t>
  </si>
  <si>
    <t>Previous Year Next 2 Quarter Profit</t>
  </si>
  <si>
    <t>Last 2 Quarter Growth Rate</t>
  </si>
  <si>
    <t>Total Profit Forecast Aggesive</t>
  </si>
  <si>
    <t>Total Profit Forecast Moderate</t>
  </si>
  <si>
    <t>Total Profit Forecast Conservative</t>
  </si>
  <si>
    <t>EPS Forecast Aggressive</t>
  </si>
  <si>
    <t>Aggressive PE 2 Quarters Forward</t>
  </si>
  <si>
    <t>EPS Forecast Moderate</t>
  </si>
  <si>
    <t>Moderate PE 2 Quarters Forward</t>
  </si>
  <si>
    <t>EPS Forecast Conservative</t>
  </si>
  <si>
    <t>Conservative PE 2 Quarters Forward</t>
  </si>
  <si>
    <t>Figures in Rs Crore | Enter values only in red cells</t>
  </si>
  <si>
    <t>Current PAT Margin</t>
  </si>
  <si>
    <t>Current CFO/PAT</t>
  </si>
  <si>
    <t>NORMAL</t>
  </si>
  <si>
    <t>CONSERVATIVE</t>
  </si>
  <si>
    <t>Average FCF</t>
  </si>
  <si>
    <t>Average PAT Margin</t>
  </si>
  <si>
    <t>Average CFO/PAT</t>
  </si>
  <si>
    <t>Terminal Year</t>
  </si>
  <si>
    <t>Historical FCF Growth Rate</t>
  </si>
  <si>
    <t>Current Dividend/PAT</t>
  </si>
  <si>
    <t>Net Fixed Asset</t>
  </si>
  <si>
    <t>PV of Year 1-10 Cash Flows</t>
  </si>
  <si>
    <t>Margin of Safety</t>
  </si>
  <si>
    <t>Average Dividend/PAT</t>
  </si>
  <si>
    <t>Maintenance Capex</t>
  </si>
  <si>
    <t>Terminal Value</t>
  </si>
  <si>
    <t>Historical CAPEX/NFA</t>
  </si>
  <si>
    <t>Current FCF</t>
  </si>
  <si>
    <t>Total PV of Cash Flows</t>
  </si>
  <si>
    <t>Current Revenue Growth</t>
  </si>
  <si>
    <t>Average Revenue Growth</t>
  </si>
  <si>
    <t>Number of Shares</t>
  </si>
  <si>
    <t>DCF Value / Share (Rs)</t>
  </si>
  <si>
    <t>Years</t>
  </si>
  <si>
    <t>PV Contribution</t>
  </si>
  <si>
    <t>Revenue Growth Rate</t>
  </si>
  <si>
    <t>TV Contribution</t>
  </si>
  <si>
    <t>Revenue</t>
  </si>
  <si>
    <t>PAT Margin</t>
  </si>
  <si>
    <t>Current Share Price</t>
  </si>
  <si>
    <t>PAT</t>
  </si>
  <si>
    <t>CFO</t>
  </si>
  <si>
    <t>Discount Moderate</t>
  </si>
  <si>
    <t>Discount Conservative</t>
  </si>
  <si>
    <t>Maintenance Capex %</t>
  </si>
  <si>
    <t>PE Attractiveness Aggressive</t>
  </si>
  <si>
    <t>Investment Capex Multiple</t>
  </si>
  <si>
    <t>PE Attractiveness Moderate</t>
  </si>
  <si>
    <t>Investment Capex %</t>
  </si>
  <si>
    <t>PE Attractiveness Conservative</t>
  </si>
  <si>
    <t>Total CAPEX as a % of NFA</t>
  </si>
  <si>
    <t>TTM PE Historical</t>
  </si>
  <si>
    <t>CAPEX</t>
  </si>
  <si>
    <t>Current P/B</t>
  </si>
  <si>
    <t>Dividend Growth</t>
  </si>
  <si>
    <t>PE Aggresion Multiple</t>
  </si>
  <si>
    <t>Histrorical P/B</t>
  </si>
  <si>
    <t>Dividend</t>
  </si>
  <si>
    <t>PE Normal Multiple</t>
  </si>
  <si>
    <t>Share Capital Annual Growth Rate</t>
  </si>
  <si>
    <t>FCF Normal</t>
  </si>
  <si>
    <t>PE Conservative Multiple</t>
  </si>
  <si>
    <t>Forward P/B</t>
  </si>
  <si>
    <t>FCF Conservative</t>
  </si>
  <si>
    <t>FCF Growth Rate Normal</t>
  </si>
  <si>
    <t>P/B Discount TTM</t>
  </si>
  <si>
    <t>FCF Growth Rate Conservative</t>
  </si>
  <si>
    <t>P/B Discount NTM</t>
  </si>
  <si>
    <t>Discount Rate Normal</t>
  </si>
  <si>
    <t>Discount Rate Conservative</t>
  </si>
  <si>
    <t>Terminal Growth Rate Normal</t>
  </si>
  <si>
    <t>Terminal Growth Rate Conservative</t>
  </si>
  <si>
    <t>Shares Outstanding (Crore)</t>
  </si>
  <si>
    <t>Net Debt Level</t>
  </si>
  <si>
    <t>MODERATE</t>
  </si>
  <si>
    <t>Year</t>
  </si>
  <si>
    <t>FCF</t>
  </si>
  <si>
    <t>Growth</t>
  </si>
  <si>
    <t>Present Value</t>
  </si>
  <si>
    <t>HISTORICAL VALUATIONS</t>
  </si>
  <si>
    <t>OPERATING AND FINANCIAL PARAMETERS</t>
  </si>
  <si>
    <t>P/E</t>
  </si>
  <si>
    <t>P/B</t>
  </si>
  <si>
    <t>EV/EBITDA</t>
  </si>
  <si>
    <t>P/SALES</t>
  </si>
  <si>
    <t>DIVIDEND YIELD</t>
  </si>
  <si>
    <t>Enterprise Value</t>
  </si>
  <si>
    <t>SSGR</t>
  </si>
  <si>
    <t>PEG</t>
  </si>
  <si>
    <t>Earnings Yield</t>
  </si>
  <si>
    <t>COGS</t>
  </si>
  <si>
    <t>EBITDA</t>
  </si>
  <si>
    <t>EBIT</t>
  </si>
  <si>
    <t>TAX</t>
  </si>
  <si>
    <t>INTEREST COVERAGE</t>
  </si>
  <si>
    <t>DEBT/EQUITY</t>
  </si>
  <si>
    <t>CURRENT RATIO</t>
  </si>
  <si>
    <t>WC/SALES</t>
  </si>
  <si>
    <t>INVENTORY DAYS</t>
  </si>
  <si>
    <t>DEBTOR DAYS</t>
  </si>
  <si>
    <t>INVENTORY TURNOVER</t>
  </si>
  <si>
    <t>DEBTOR TURNOVER</t>
  </si>
  <si>
    <t>INVENTORY %</t>
  </si>
  <si>
    <t>ACCOUNTS RECIVABLE %</t>
  </si>
  <si>
    <t>ASSET TURNOVER</t>
  </si>
  <si>
    <t>ROA</t>
  </si>
  <si>
    <t>LEVERAGE</t>
  </si>
  <si>
    <t>ROE</t>
  </si>
  <si>
    <t>ROCE</t>
  </si>
  <si>
    <t>SALARY/PAT</t>
  </si>
  <si>
    <t>PROMOTER SHAREHOLDING</t>
  </si>
  <si>
    <t>FII</t>
  </si>
  <si>
    <t>DII</t>
  </si>
  <si>
    <t>CREDIT RATING</t>
  </si>
  <si>
    <t>MIN</t>
  </si>
  <si>
    <t>MAX</t>
  </si>
  <si>
    <t>AVERGE</t>
  </si>
  <si>
    <t>CURRENT</t>
  </si>
  <si>
    <t>DISCOUNT TO AVG.</t>
  </si>
  <si>
    <t>BEST PRACTICE DISCOUNT</t>
  </si>
  <si>
    <t>MCAP TO CFO</t>
  </si>
  <si>
    <t>DELTA NETWORTH</t>
  </si>
  <si>
    <t>DELTA MKTCAP</t>
  </si>
  <si>
    <t>IMPACT*</t>
  </si>
  <si>
    <t>CFO/PAT</t>
  </si>
  <si>
    <t>FCF without Div.</t>
  </si>
  <si>
    <t>FCF/CFO</t>
  </si>
  <si>
    <t>SALES GROWTH</t>
  </si>
  <si>
    <t>EPS GROWTH</t>
  </si>
  <si>
    <t>AR GROWTH</t>
  </si>
  <si>
    <t>INVENTORY GROWTH</t>
  </si>
  <si>
    <t>10/9 YR</t>
  </si>
  <si>
    <t>5 YR</t>
  </si>
  <si>
    <t>3 YR</t>
  </si>
  <si>
    <t>1 YR</t>
  </si>
  <si>
    <t>* IMPACT – Every Rupee retained added xx.yy in incremental market value</t>
  </si>
  <si>
    <t>SALES</t>
  </si>
  <si>
    <t>GROSS PROFIT</t>
  </si>
  <si>
    <t>DIVIDEND</t>
  </si>
  <si>
    <t>ROIC</t>
  </si>
  <si>
    <t>ROIIC</t>
  </si>
  <si>
    <t>EPA</t>
  </si>
  <si>
    <t>EPA/Sales</t>
  </si>
  <si>
    <t>MKTCAP</t>
  </si>
  <si>
    <t>NETWORTH</t>
  </si>
  <si>
    <t>TOTAL RETURNS</t>
  </si>
  <si>
    <t>SALARY</t>
  </si>
  <si>
    <t>PRE-TAX BOND</t>
  </si>
  <si>
    <t>10 YR CAGR</t>
  </si>
  <si>
    <t>LongTerm Bond</t>
  </si>
  <si>
    <t>5 YR CAGR</t>
  </si>
  <si>
    <t>LTB Quote</t>
  </si>
  <si>
    <t>3 YR CAGR</t>
  </si>
  <si>
    <t>Quoting @</t>
  </si>
  <si>
    <t>1 YR GROWTH</t>
  </si>
  <si>
    <t>Gross Margin</t>
  </si>
  <si>
    <t>PAT/NPM Margin</t>
  </si>
  <si>
    <t>Tax Rate</t>
  </si>
  <si>
    <t>Receivable as a % of Sales</t>
  </si>
  <si>
    <t>Inventory as a % of Sales</t>
  </si>
  <si>
    <t>Interest Coverage</t>
  </si>
  <si>
    <t>Debt/Equity</t>
  </si>
  <si>
    <t>Current Ratio</t>
  </si>
  <si>
    <t>CFO 3 Year Average</t>
  </si>
  <si>
    <t>CFO/PAT 5 Year Average</t>
  </si>
  <si>
    <t>FCF/CFO 5 Year Average</t>
  </si>
  <si>
    <t>Promoter Share</t>
  </si>
  <si>
    <t>5 Years Sales Growth</t>
  </si>
  <si>
    <t>5 Years PAT Growth</t>
  </si>
  <si>
    <t>5 Years EPS Growth</t>
  </si>
  <si>
    <t>Dividend CAGR</t>
  </si>
  <si>
    <t>Sales Growth vs Peers</t>
  </si>
  <si>
    <t>PAT CAGR/Sales CAGR</t>
  </si>
  <si>
    <t>Average SSGR%</t>
  </si>
  <si>
    <t>5 Year ROIC</t>
  </si>
  <si>
    <t>5 Year ROIIC</t>
  </si>
  <si>
    <t>5 Year EPA</t>
  </si>
  <si>
    <t>5 Year EPA/Sales</t>
  </si>
  <si>
    <t>X years Salary/X Years PAT</t>
  </si>
  <si>
    <t>Capacity to Sales Growth</t>
  </si>
  <si>
    <t>Sales Volume to Sales Growth</t>
  </si>
  <si>
    <t>10 Year FCF Growth Rate</t>
  </si>
  <si>
    <t>EY</t>
  </si>
  <si>
    <t>5 Year Sustainable SSGR</t>
  </si>
  <si>
    <t>Market Cap to Retained Earings</t>
  </si>
  <si>
    <t>Not Required</t>
  </si>
  <si>
    <t>Revenue Trend</t>
  </si>
  <si>
    <t>EPS Trend</t>
  </si>
  <si>
    <t>GM% Trend</t>
  </si>
  <si>
    <t>PAT % Trend</t>
  </si>
  <si>
    <t>Receivables Trend</t>
  </si>
  <si>
    <t>Inventory Trend</t>
  </si>
  <si>
    <t>SSGR Trend</t>
  </si>
  <si>
    <t>ROIC Trend</t>
  </si>
  <si>
    <t>WC/Sales Trend</t>
  </si>
  <si>
    <t>EPA Trend</t>
  </si>
  <si>
    <t>EPA/Sales Trend</t>
  </si>
  <si>
    <t>Debt Equity Trend</t>
  </si>
  <si>
    <t>ROA Trend</t>
  </si>
  <si>
    <t>Promoter Share Trend</t>
  </si>
  <si>
    <t>Salary Gr./PAT Gr. Trend</t>
  </si>
  <si>
    <t xml:space="preserve">    </t>
  </si>
  <si>
    <t>Financial Leverage</t>
  </si>
  <si>
    <t>Long term debt/Earning</t>
  </si>
  <si>
    <t>Current liablility/Earning</t>
  </si>
  <si>
    <t>Total liability/Earning</t>
  </si>
  <si>
    <t>Working Capital/Sales</t>
  </si>
  <si>
    <t>Inventory Days</t>
  </si>
  <si>
    <t>Inventory turnover</t>
  </si>
  <si>
    <t>Cash In/Cash Out Ratio</t>
  </si>
  <si>
    <t>CAPEX/FCF</t>
  </si>
  <si>
    <t>FCF/PAT</t>
  </si>
  <si>
    <t xml:space="preserve"> </t>
  </si>
  <si>
    <t>EBITDA Margin</t>
  </si>
  <si>
    <t>Net Margin</t>
  </si>
  <si>
    <t>Free Cash Flow/Sales</t>
  </si>
  <si>
    <t>Capital Turns</t>
  </si>
  <si>
    <t>Fixed Asset Turns</t>
  </si>
  <si>
    <t>Total Asset Turns</t>
  </si>
  <si>
    <t>RoA</t>
  </si>
  <si>
    <t>RoE</t>
  </si>
  <si>
    <t>RoCE</t>
  </si>
  <si>
    <t>RoIC</t>
  </si>
  <si>
    <t>RoIIC(1yr)</t>
  </si>
  <si>
    <t>RoIIC(3yr)</t>
  </si>
  <si>
    <t>RoIIC (5yr)</t>
  </si>
  <si>
    <t>RoIIC(10yr)</t>
  </si>
  <si>
    <t>Altman Z-Score</t>
  </si>
  <si>
    <t>Share Capital Increase/Decrease</t>
  </si>
  <si>
    <t>Inventory Increase/Sales Increase</t>
  </si>
  <si>
    <t>Debtors Increase/Sales Increase</t>
  </si>
  <si>
    <t>Capex/Depreciation</t>
  </si>
  <si>
    <t>Cash/Assets</t>
  </si>
  <si>
    <t>EBIT/Invested Capital</t>
  </si>
  <si>
    <t>WACC</t>
  </si>
  <si>
    <t>MktCap</t>
  </si>
  <si>
    <t>MktCap Change</t>
  </si>
  <si>
    <t>MktCap Change - EPA</t>
  </si>
  <si>
    <t>Capex/Cash Flows 10 yr</t>
  </si>
  <si>
    <t>WRONG</t>
  </si>
  <si>
    <t>Capex/Cash Flows 7 yr</t>
  </si>
  <si>
    <t>Capex/Cash Flows 5 yr</t>
  </si>
  <si>
    <t>Capex/Cash Flows 3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</si>
  <si>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</si>
  <si>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</si>
  <si>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</si>
  <si>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</si>
  <si>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</si>
  <si>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</si>
  <si>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</si>
  <si>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</si>
  <si>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</si>
  <si>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</si>
  <si>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</si>
  <si>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Parameter</t>
  </si>
  <si>
    <t>Values</t>
  </si>
  <si>
    <t>Revenue CAGR Overall</t>
  </si>
  <si>
    <t>Revenue CAGR 5 Years</t>
  </si>
  <si>
    <t>Revenue CAGR 3 Years</t>
  </si>
  <si>
    <t>PAT CAGR Overall</t>
  </si>
  <si>
    <t>PAT CAGR 5 Years</t>
  </si>
  <si>
    <t>PAT CAGR 3 Years</t>
  </si>
  <si>
    <t>Receivables Overall Avg.</t>
  </si>
  <si>
    <t>Receivables 5 Year Avg.</t>
  </si>
  <si>
    <t>Receivables 3 Year Avg.</t>
  </si>
  <si>
    <t>Inventory Overall Avg.</t>
  </si>
  <si>
    <t>Inventory 5 Year Avg.</t>
  </si>
  <si>
    <t>Inventory 3 Year Avg.</t>
  </si>
  <si>
    <t>Gross Margin Overall Avg.</t>
  </si>
  <si>
    <t>Gross Margin 5 Year Avg.</t>
  </si>
  <si>
    <t>Gross Margin 3 Year Avg.</t>
  </si>
  <si>
    <t>EBIT Margin Overall Avg.</t>
  </si>
  <si>
    <t>EBIT Margin 5 Year Avg.</t>
  </si>
  <si>
    <t>EBIT Margin 3 Year Avg.</t>
  </si>
  <si>
    <t>PAT% Overall Avg.</t>
  </si>
  <si>
    <t>PAT% 5 Year Avg.</t>
  </si>
  <si>
    <t>PAT% 3 Year Avg.</t>
  </si>
  <si>
    <t>Tax Rate Overall Avg.</t>
  </si>
  <si>
    <t>Tax Rate 5 Year Avg.</t>
  </si>
  <si>
    <t>Tax Rate 3 Year Avg.</t>
  </si>
  <si>
    <t>Gross Asset to Revenue Overall Avg.</t>
  </si>
  <si>
    <t>Gross Asset to Revenue 5 Year Avg.</t>
  </si>
  <si>
    <t>Gross Asset to Revenue 3 Year Avg.</t>
  </si>
  <si>
    <t>Net Asset to Revenue Overall Avg.</t>
  </si>
  <si>
    <t>Net Asset to Revenue 5 Year Avg.</t>
  </si>
  <si>
    <t>Net Asset to Revenue 3 Year Avg.</t>
  </si>
  <si>
    <t>CAPEX to Net Asset Overall Avg.</t>
  </si>
  <si>
    <t>CAPEX to Net Asset 5 Year Avg.</t>
  </si>
  <si>
    <t>CAPEX to Net Asset 3 Year Avg.</t>
  </si>
  <si>
    <t>CWIP to Net Asset Overall Avg.</t>
  </si>
  <si>
    <t>CWIP to Net Asset 5 Year Avg.</t>
  </si>
  <si>
    <t>CWIP to Net Asset 3 Year Avg.</t>
  </si>
  <si>
    <t>Debt to Equity Overall Avg.</t>
  </si>
  <si>
    <t>Debt to Equity Overall 5 Year Avg.</t>
  </si>
  <si>
    <t>Current Ratio Overall Avg.</t>
  </si>
  <si>
    <t>Current Ratio Overall 5 Year Avg.</t>
  </si>
  <si>
    <t>Current Ratio Overall 3 Year Avg.</t>
  </si>
  <si>
    <t>Dep. to Gross Asset Overall Avg.</t>
  </si>
  <si>
    <t>Dep. to Gross Asset Overall 5 Year Avg.</t>
  </si>
  <si>
    <t>Debt to Equity Overall 3 Year Avg.</t>
  </si>
  <si>
    <t>Dep. to Net Asset Overall Avg.</t>
  </si>
  <si>
    <t>Dep. to Net Asset Overall 5 Year Avg.</t>
  </si>
  <si>
    <t>Dep. to Net Asset Overall 3 Year Avg.</t>
  </si>
  <si>
    <t>WC to Sales Overall Avg.</t>
  </si>
  <si>
    <t>WC to Sales Overall 5 Year Avg.</t>
  </si>
  <si>
    <t>WC to Sales Overall 3 Year Avg.</t>
  </si>
  <si>
    <t>Debtor Days Overall Avg.</t>
  </si>
  <si>
    <t>Debtor Days Overall 5 Year Avg.</t>
  </si>
  <si>
    <t>Debtor Days Overall 3 Year Avg.</t>
  </si>
  <si>
    <t>Debtor Turnover Overall Avg.</t>
  </si>
  <si>
    <t>Debtor Turnover Overall 5 Year Avg.</t>
  </si>
  <si>
    <t>Debtor Turnover Overall 3 Year Avg.</t>
  </si>
  <si>
    <t>Inventory Days Overall Avg.</t>
  </si>
  <si>
    <t>Inventory Days Overall 5 Year Avg.</t>
  </si>
  <si>
    <t>Inventory Days Overall 3 Year Avg.</t>
  </si>
  <si>
    <t>Inventory Turnover Overall Avg.</t>
  </si>
  <si>
    <t>Inventory Turnover Overall 5 Year Avg.</t>
  </si>
  <si>
    <t>Inventory Turnover Overall 3 Year Avg.</t>
  </si>
  <si>
    <t>Cash ROA Overall Avg.</t>
  </si>
  <si>
    <t>Cash ROA Overall 5 Year Avg.</t>
  </si>
  <si>
    <t>Cash ROA Overall 3 Year Avg.</t>
  </si>
  <si>
    <t>ROA Overall Avg.</t>
  </si>
  <si>
    <t>ROA Overall 5 Year Avg.</t>
  </si>
  <si>
    <t>ROA Overall 3 Year Avg.</t>
  </si>
  <si>
    <t>Asset turnover Overall Avg.</t>
  </si>
  <si>
    <t>Asset turnover Overall 5 Year Avg.</t>
  </si>
  <si>
    <t>Asset turnover Overall 3 Year Avg.</t>
  </si>
  <si>
    <t>CFO/APT Overall Avg.</t>
  </si>
  <si>
    <t>CFO/APT Overall 5 Year Avg.</t>
  </si>
  <si>
    <t>CFO/APT Overall 3 Year Avg.</t>
  </si>
  <si>
    <t>CFO/Sales Overall Avg.</t>
  </si>
  <si>
    <t>CFO/Sales Overall 5 Year Avg.</t>
  </si>
  <si>
    <t>CFO/Sales Overall 3 Year Avg.</t>
  </si>
  <si>
    <t>FCF/PAT Overall Avg.</t>
  </si>
  <si>
    <t>FCF/PAT Overall 5 Year Avg.</t>
  </si>
  <si>
    <t>FCF/PAT Overall 3 Year Avg.</t>
  </si>
  <si>
    <t>ROE Overall Avg.</t>
  </si>
  <si>
    <t>ROE Overall 5 Year Avg.</t>
  </si>
  <si>
    <t>ROE Overall 3 Year Avg.</t>
  </si>
  <si>
    <t>ROCE Overall Avg.</t>
  </si>
  <si>
    <t>ROCE Overall 5 Year Avg.</t>
  </si>
  <si>
    <t>ROCE Overall 3 Year Avg.</t>
  </si>
  <si>
    <t>CFO/EV Overall Avg.</t>
  </si>
  <si>
    <t>CFO/EV Overall 5 Year Avg.</t>
  </si>
  <si>
    <t>CFO/EV Overall 3 Year Avg.</t>
  </si>
  <si>
    <t>Sales/IC Overall Avg.</t>
  </si>
  <si>
    <t>Sales/IC Overall 5 Year Avg.</t>
  </si>
  <si>
    <t>Sales/IC Overall 3 Year Avg.</t>
  </si>
  <si>
    <t>PAT/IC Overall Avg.</t>
  </si>
  <si>
    <t>PAT/IC Overall 5 Year Avg.</t>
  </si>
  <si>
    <t>PAT/IC Overall 3 Year Avg.</t>
  </si>
  <si>
    <t>CFO/IC Overall Avg.</t>
  </si>
  <si>
    <t>CFO/IC Overall 5 Year Avg.</t>
  </si>
  <si>
    <t>CFO/IC Overall 3 Year Avg.</t>
  </si>
  <si>
    <t>FCF/IC Overall Avg.</t>
  </si>
  <si>
    <t>FCF/IC Overall 5 Year Avg.</t>
  </si>
  <si>
    <t>FCF/IC Overall 3 Year Avg.</t>
  </si>
  <si>
    <t>Inc. Sales/IC Overall 5 Year Avg.</t>
  </si>
  <si>
    <t>Inc. Sales/IC Overall 3 Year Avg.</t>
  </si>
  <si>
    <t>Inc. PAT/IC Overall Avg.</t>
  </si>
  <si>
    <t>Inc. PAT/IC Overall 5 Year Avg.</t>
  </si>
  <si>
    <t>Inc. PAT/IC Overall 3 Year Avg.</t>
  </si>
  <si>
    <t>Inc. CFO/IC Overall Avg.</t>
  </si>
  <si>
    <t>Inc. CFO/IC Overall 5 Year Avg.</t>
  </si>
  <si>
    <t>Inc. CFO/IC Overall 3 Year Avg.</t>
  </si>
  <si>
    <t>Inc. FCF/IC Overall Avg.</t>
  </si>
  <si>
    <t>Inc. FCF/IC Overall 5 Year Avg.</t>
  </si>
  <si>
    <t>Inc. FCF/IC Overall 3 Year Avg.</t>
  </si>
  <si>
    <t>Divident Tield Overall Avg.</t>
  </si>
  <si>
    <t>Divident Tield Overall 5 Year Avg.</t>
  </si>
  <si>
    <t>Divident Tield Overall 3 Year Avg.</t>
  </si>
  <si>
    <t>Dividend Payout Overall Avg.</t>
  </si>
  <si>
    <t>Dividend Payout Overall 5 Year Avg.</t>
  </si>
  <si>
    <t>Dividend Payout Overall 3 Year Avg.</t>
  </si>
  <si>
    <t>Overall</t>
  </si>
  <si>
    <t>5 Year</t>
  </si>
  <si>
    <t>3 Year</t>
  </si>
  <si>
    <t>Current</t>
  </si>
  <si>
    <t>Revenue Growth</t>
  </si>
  <si>
    <t>PAT Growth</t>
  </si>
  <si>
    <t>Receivables as a % of Sales</t>
  </si>
  <si>
    <t>CFO-PAT</t>
  </si>
  <si>
    <t>Profitability Ratios</t>
  </si>
  <si>
    <t>COGS/Sales</t>
  </si>
  <si>
    <t>Change in Inventory as a % of Sales</t>
  </si>
  <si>
    <t>Power and Fuel as a % of Sales</t>
  </si>
  <si>
    <t>Other Mfr. Exp as a % of Sales</t>
  </si>
  <si>
    <t>Employee Cost as a % of Sales</t>
  </si>
  <si>
    <t>Selling and admin as a % of Sales</t>
  </si>
  <si>
    <t>Other Expenses as a % of Sales</t>
  </si>
  <si>
    <t>Other Income as a % of Sales</t>
  </si>
  <si>
    <t>Depreciation as a % of Sales</t>
  </si>
  <si>
    <t>EBIT Margin</t>
  </si>
  <si>
    <t>Balance Sheet Ratios</t>
  </si>
  <si>
    <t>Gross Fixed Asset/Revenue</t>
  </si>
  <si>
    <t>Net Fixed Asset/Revenue</t>
  </si>
  <si>
    <t>Capex/Gross Fixed Asset</t>
  </si>
  <si>
    <t>Capex/Net Fixed Asset</t>
  </si>
  <si>
    <t>Capital Work in progress/Gross Fixed Asset</t>
  </si>
  <si>
    <t>Capital Work in progress/Net Fixed Asset</t>
  </si>
  <si>
    <t>Liquidity Ratios</t>
  </si>
  <si>
    <t>Debt to Equity</t>
  </si>
  <si>
    <t>Interest Coverage Ratio</t>
  </si>
  <si>
    <t>Leverage</t>
  </si>
  <si>
    <t>Quick Ratio</t>
  </si>
  <si>
    <t>Short term Debt Coverage</t>
  </si>
  <si>
    <t>Short Term/Long Term Debt</t>
  </si>
  <si>
    <t>Depreciation/Gross Asset</t>
  </si>
  <si>
    <t>Depreciation/Net Asset</t>
  </si>
  <si>
    <t>Operating Ratios</t>
  </si>
  <si>
    <t>Working Capital/Sales (including cash)</t>
  </si>
  <si>
    <t>Debtor Turnover</t>
  </si>
  <si>
    <t>Cash Return on Assets</t>
  </si>
  <si>
    <t>Return on Assets</t>
  </si>
  <si>
    <t>Asset Turnover</t>
  </si>
  <si>
    <t>Fixed Asset Turnover</t>
  </si>
  <si>
    <t>CFO/Sales</t>
  </si>
  <si>
    <t>CAPEX/PAT</t>
  </si>
  <si>
    <t>Dividend/PAT</t>
  </si>
  <si>
    <t>FCF/Sales</t>
  </si>
  <si>
    <t>Profit Margin</t>
  </si>
  <si>
    <t>Asset turnover</t>
  </si>
  <si>
    <t>Return on Capital</t>
  </si>
  <si>
    <t>Sales/Invested Capital</t>
  </si>
  <si>
    <t>PAT/invested Capital</t>
  </si>
  <si>
    <t>CFO/Invested Capital</t>
  </si>
  <si>
    <t>FCF/Invested Capital</t>
  </si>
  <si>
    <t>Incremental Sales/Incremental Invested Capital</t>
  </si>
  <si>
    <t>Incremental PAT/Incremental Invested Capital</t>
  </si>
  <si>
    <t>Incremental CFO/Incremental Invested Capital</t>
  </si>
  <si>
    <t>Incremental FCF/Incremental Invested Capital</t>
  </si>
  <si>
    <t>CFO/Enterprise Value</t>
  </si>
  <si>
    <t>Dividend Yield</t>
  </si>
  <si>
    <t>COMPANY_NAME</t>
  </si>
  <si>
    <t>DATE</t>
  </si>
  <si>
    <t>Invested Capital</t>
  </si>
  <si>
    <t>FCF including Dividend</t>
  </si>
  <si>
    <t>Gross Fixed Asset/Shareholder Equity</t>
  </si>
  <si>
    <t>Net Fixed Asset/Shareholder Equity</t>
  </si>
  <si>
    <t>Capex/Share Capital</t>
  </si>
  <si>
    <t>Gross Fixed Asset/Assets</t>
  </si>
  <si>
    <t>Net Fixed Asset/Asset</t>
  </si>
  <si>
    <t>Investment/Shareholder Equity</t>
  </si>
  <si>
    <t>Other Asset/Shareholder Equity</t>
  </si>
  <si>
    <t>Capital work in progress/Shareholder Equity</t>
  </si>
  <si>
    <t>Cash/Shareholders's Equity</t>
  </si>
  <si>
    <t>Cash to Long Term debt Ratio</t>
  </si>
  <si>
    <t>Cash to Short Term Debt Ratio</t>
  </si>
  <si>
    <t>cash to Market Cap</t>
  </si>
  <si>
    <t>Investments to Market Cap</t>
  </si>
  <si>
    <t>ID</t>
  </si>
  <si>
    <t>3 Year Average/Sum</t>
  </si>
  <si>
    <t>5 Year Average/Sum</t>
  </si>
  <si>
    <t>Overall Average/Sum</t>
  </si>
  <si>
    <t>3-Year CAGR</t>
  </si>
  <si>
    <t>5-Year CAGR</t>
  </si>
  <si>
    <t>Overall CAGR</t>
  </si>
  <si>
    <t>Expense</t>
  </si>
  <si>
    <t>Other Expense</t>
  </si>
  <si>
    <t>Return on Total Net Asset (EBIT)</t>
  </si>
  <si>
    <t>Return on Total Average Net Asset (EBIT)</t>
  </si>
  <si>
    <t>Return on Total Productive  Net Asset (EBIT)</t>
  </si>
  <si>
    <t>Return on Total Average Productive Net Asset (EBIT)</t>
  </si>
  <si>
    <t>1 Year forward Incremental Total Net Asset to Revenue Ratio</t>
  </si>
  <si>
    <t>2 Year forward Incremental Total Net Asset to Revenue Ratio</t>
  </si>
  <si>
    <t>1 Year forward Incremental Total Net Asset to EBIT Ratio</t>
  </si>
  <si>
    <t>2 Year forward Incremental Total Net Asset to EBIT Ratio</t>
  </si>
  <si>
    <t>1 Year forward Incremental Total Net Productive Asset to Revenue Ratio</t>
  </si>
  <si>
    <t>2 Year forward Incremental Total Net Productive Asset to Revenue Ratio</t>
  </si>
  <si>
    <t>1 Year forward Incremental Total Net Productive Asset to EBIT Ratio</t>
  </si>
  <si>
    <t>2 Year forward Incremental Total Net Productive Asset to EBIT Ratio</t>
  </si>
  <si>
    <t>Total Net Asset Turns</t>
  </si>
  <si>
    <t>Total Avregae Net Asset Turns</t>
  </si>
  <si>
    <t>Total Net Productive Asset Turns</t>
  </si>
  <si>
    <t>Total Avregae Net Productive Asset Turns</t>
  </si>
  <si>
    <t>COPY PASTE DATA FROM ANY FINANCIAL WEBSITE: ONLY FOR THE FIELDS MARKED GREEN BELOW</t>
  </si>
  <si>
    <t>TTM</t>
  </si>
  <si>
    <t>CONSOLIDATED</t>
  </si>
  <si>
    <t>Direct</t>
  </si>
  <si>
    <t>Cash &amp; Bank Balance</t>
  </si>
  <si>
    <t>Current Assets</t>
  </si>
  <si>
    <t>Current Liabilities</t>
  </si>
  <si>
    <t>Working Capital (check)</t>
  </si>
  <si>
    <t>Current Asset - Current Liability</t>
  </si>
  <si>
    <t>COPY PASTE DATA FROM ANNUAL REPORTS: ONLY FOR THE FIELDS MARKED ORANGE BELOW</t>
  </si>
  <si>
    <t>Operating Expenses/Capex</t>
  </si>
  <si>
    <t>Raw Materials</t>
  </si>
  <si>
    <t>Advertising and sales promotion</t>
  </si>
  <si>
    <t>Miscellaneous expenses</t>
  </si>
  <si>
    <t>Employee cost</t>
  </si>
  <si>
    <t>Freight, transport and distribution</t>
  </si>
  <si>
    <t>Royalty</t>
  </si>
  <si>
    <t>R&amp;D Cost</t>
  </si>
  <si>
    <t>Capex</t>
  </si>
  <si>
    <t>Change in NFA + Change in CWIP + Depreciation</t>
  </si>
  <si>
    <t>Gross Profit</t>
  </si>
  <si>
    <t>Sales-COGS</t>
  </si>
  <si>
    <t>GP-All Expenses + Change in Inventory + Other Income</t>
  </si>
  <si>
    <t>Depreciation &amp; Amortisation</t>
  </si>
  <si>
    <t>EBITDA - D&amp;A</t>
  </si>
  <si>
    <t>PBT</t>
  </si>
  <si>
    <t>EBIT - Interest</t>
  </si>
  <si>
    <t>PBT - Tax</t>
  </si>
  <si>
    <t>Dividends</t>
  </si>
  <si>
    <t>Market Cap</t>
  </si>
  <si>
    <t>Price*No. of Shares Outstanding</t>
  </si>
  <si>
    <t>Current Market Cap</t>
  </si>
  <si>
    <t>Equity</t>
  </si>
  <si>
    <t>Reserves &amp; Surplus</t>
  </si>
  <si>
    <t>Networth</t>
  </si>
  <si>
    <t>Equity + Reserves &amp; Surplus</t>
  </si>
  <si>
    <t>Secured Loans</t>
  </si>
  <si>
    <t>Unsecured Loans</t>
  </si>
  <si>
    <t>Current Asset</t>
  </si>
  <si>
    <t>Total Assets</t>
  </si>
  <si>
    <t>Net Block + CWIP + Investment + Other Assets</t>
  </si>
  <si>
    <t>Net Fixed Assets</t>
  </si>
  <si>
    <t>Cash</t>
  </si>
  <si>
    <t>Net Other Assets</t>
  </si>
  <si>
    <t>Equity + Reserves &amp; Surplus + Debt</t>
  </si>
  <si>
    <t>Average Invested Capital</t>
  </si>
  <si>
    <t>Capital Employed1 (Gross)</t>
  </si>
  <si>
    <t>Total Asset - Current Asset</t>
  </si>
  <si>
    <t>Capital Employed2 (Net)</t>
  </si>
  <si>
    <t>Capital Employed1 - CWIP</t>
  </si>
  <si>
    <t>Capital Employed3</t>
  </si>
  <si>
    <t>NFA + Investments + CA</t>
  </si>
  <si>
    <t>Average Capital Employed1 (Gross)</t>
  </si>
  <si>
    <t>(CE1 LY + CE1 CY)/2</t>
  </si>
  <si>
    <t>Average Capital Employed2 (Net)</t>
  </si>
  <si>
    <t>(CE2 LY + CE2 CY)/2</t>
  </si>
  <si>
    <t>Average Capital Employed3</t>
  </si>
  <si>
    <t>Current Liability</t>
  </si>
  <si>
    <t>Average Total Net Asset</t>
  </si>
  <si>
    <t>(Total Asset  LY + Total Asset CY)/2</t>
  </si>
  <si>
    <t>Total Productive Net Asset</t>
  </si>
  <si>
    <t>Net Block + CWIP</t>
  </si>
  <si>
    <t>Average Total Productive Net Asset</t>
  </si>
  <si>
    <t>(Total Productive Net Asset LY + Total Productive Net Asset LY)/2</t>
  </si>
  <si>
    <t>Operating Cash Flow</t>
  </si>
  <si>
    <t>Free Cash Flow</t>
  </si>
  <si>
    <t>CFO - CAPEX</t>
  </si>
  <si>
    <t>Tax/PBT</t>
  </si>
  <si>
    <t>NOPAT</t>
  </si>
  <si>
    <t>EBIT*(1-Tax Rate)</t>
  </si>
  <si>
    <t>MktCap+Dividend</t>
  </si>
  <si>
    <t>Retained Profit</t>
  </si>
  <si>
    <t>PAT - Dividend</t>
  </si>
  <si>
    <t>Price/EPS</t>
  </si>
  <si>
    <t>PE/Growth in EPS</t>
  </si>
  <si>
    <t>Price/Book</t>
  </si>
  <si>
    <t>Market Cap/(Equity + Reserves &amp; Surplus)</t>
  </si>
  <si>
    <t>Price/operating CashFlow</t>
  </si>
  <si>
    <t>Market Cap/ CFO</t>
  </si>
  <si>
    <t>Price/Free Cashflow</t>
  </si>
  <si>
    <t>Market Cap/FCF</t>
  </si>
  <si>
    <t>Price/Sales</t>
  </si>
  <si>
    <t>Market Cap/Revenue</t>
  </si>
  <si>
    <t>Enterprise Value/EBITDA</t>
  </si>
  <si>
    <t>Dividend/Market Cap</t>
  </si>
  <si>
    <t>Enterprise Value1</t>
  </si>
  <si>
    <t>Market Cap + Debt - Cash</t>
  </si>
  <si>
    <t>Enterprise Value2</t>
  </si>
  <si>
    <t>Market Cap + Debt - (Current Asset - Current Liability)</t>
  </si>
  <si>
    <t>Working Capital/Total Assets</t>
  </si>
  <si>
    <t>Retained Profits/Total Assets</t>
  </si>
  <si>
    <t>EBIT/Total Assets</t>
  </si>
  <si>
    <t>Market Cap/Total Liabilities</t>
  </si>
  <si>
    <t>Sales/Total Assets</t>
  </si>
  <si>
    <t>Z &gt; 2.99 -“Safe” Zones</t>
  </si>
  <si>
    <t>1.81 &lt; Z &lt; 2.99 -“Grey” Zones</t>
  </si>
  <si>
    <t>Z &lt; 1.81 -“Distress” Zones</t>
  </si>
  <si>
    <t>Growth Ratio</t>
  </si>
  <si>
    <t>Calculation</t>
  </si>
  <si>
    <t>CAGR Overall</t>
  </si>
  <si>
    <t>CAGR 5 Years</t>
  </si>
  <si>
    <t>CAGR 3 Years</t>
  </si>
  <si>
    <t>Indicator 1</t>
  </si>
  <si>
    <t>Indicator 2</t>
  </si>
  <si>
    <t>P&amp;L Items</t>
  </si>
  <si>
    <t>YoY Change</t>
  </si>
  <si>
    <t>Expense Growth Rate</t>
  </si>
  <si>
    <t>Operating profit Growth Rate</t>
  </si>
  <si>
    <t>PBT Growth Rate</t>
  </si>
  <si>
    <t>PAT Growth Rate</t>
  </si>
  <si>
    <t>EPS Growth Rate</t>
  </si>
  <si>
    <t>Cash Flow Items</t>
  </si>
  <si>
    <t>Operating Cashflow Growth Rate</t>
  </si>
  <si>
    <t>Free Cashflow Growth Rate</t>
  </si>
  <si>
    <t>Balance Sheet Items</t>
  </si>
  <si>
    <t>Accounts Receivable Growth</t>
  </si>
  <si>
    <t>Inventory Growth</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</si>
  <si>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</si>
  <si>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</si>
  <si>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</si>
  <si>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</si>
  <si>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</si>
  <si>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</si>
  <si>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</si>
  <si>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</si>
  <si>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</si>
  <si>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Depreciation/NFA</t>
  </si>
  <si>
    <t>Margin Ratio</t>
  </si>
  <si>
    <t>CAGR</t>
  </si>
  <si>
    <t>Min</t>
  </si>
  <si>
    <t>Max</t>
  </si>
  <si>
    <t>Avg.</t>
  </si>
  <si>
    <t>Expense as a % of Revenue</t>
  </si>
  <si>
    <t>COGS/Net Revenue from Operations</t>
  </si>
  <si>
    <t>Operating profit Margin</t>
  </si>
  <si>
    <t>Operating profit/Net Revenue from Operations</t>
  </si>
  <si>
    <t>Interest as a % of Revenue</t>
  </si>
  <si>
    <t>Interest/Net Revenue from Operations</t>
  </si>
  <si>
    <t>PBT Margin</t>
  </si>
  <si>
    <t>PBT/Net Revenue from Operations</t>
  </si>
  <si>
    <t>PAT/Net Revenue from Operations</t>
  </si>
  <si>
    <t>Accounts Receivable as a % of Revenue</t>
  </si>
  <si>
    <t>Inventory as a % of Revenue</t>
  </si>
  <si>
    <t>WC as a % of Revenue</t>
  </si>
  <si>
    <t>Derived Numbers</t>
  </si>
  <si>
    <t>High Price</t>
  </si>
  <si>
    <t>Low Price</t>
  </si>
  <si>
    <t>No. of Employees</t>
  </si>
  <si>
    <t>For IT Companies</t>
  </si>
  <si>
    <t>Share Price on Recorded Date</t>
  </si>
  <si>
    <t>No. of Shares Outstanding(Crores)</t>
  </si>
  <si>
    <t>Value</t>
  </si>
  <si>
    <t>Share Price* No. of Equity Shares</t>
  </si>
  <si>
    <t>Sum 9 Years</t>
  </si>
  <si>
    <t>Sum 5 Years</t>
  </si>
  <si>
    <t>Sum 3 Years</t>
  </si>
  <si>
    <t>Total Dividend Paid</t>
  </si>
  <si>
    <t>Operating Cash flow</t>
  </si>
  <si>
    <t>Change in Net Block + Change in WIP + Depreciation</t>
  </si>
  <si>
    <t>Free Cash Flow without dividend</t>
  </si>
  <si>
    <t>Cashflow from Operations - CAPEX</t>
  </si>
  <si>
    <t>Cashflow from Operations - CAPEX- Dividend Payout</t>
  </si>
  <si>
    <t>Working Capital1</t>
  </si>
  <si>
    <t>Current Assets - Current Liabilities</t>
  </si>
  <si>
    <t>Working Capital2 (Without Cash)</t>
  </si>
  <si>
    <t>Current Assets - Current Liabilities - Cash and Cash Equivalents</t>
  </si>
  <si>
    <t>Invested Capital1 (Equity + Long Debt)</t>
  </si>
  <si>
    <t>Invested Capital2 (Equity + Long Debt- Cash)</t>
  </si>
  <si>
    <t>invested Capital3(Net Block + Work in Progress + WC w/o cash)</t>
  </si>
  <si>
    <t>invested Capital4(Net Block  + WC w/o cash)</t>
  </si>
  <si>
    <t>Capital Employed</t>
  </si>
  <si>
    <t>(Total Asset - Current Liabilities) or (Shareholder's Equity + Debt Liabilities)</t>
  </si>
  <si>
    <t>Gross Asset</t>
  </si>
  <si>
    <t>Depreciation as a % of NPAT</t>
  </si>
  <si>
    <t>NFAT</t>
  </si>
  <si>
    <t>Return Ratios</t>
  </si>
  <si>
    <t>Return on Invested Capital1</t>
  </si>
  <si>
    <t>Return on Invested Capital2</t>
  </si>
  <si>
    <t>Return on Invested Capital3</t>
  </si>
  <si>
    <t>Return on Invested Capital4</t>
  </si>
  <si>
    <t>Return on Asset</t>
  </si>
  <si>
    <t>PAT/Total Assets</t>
  </si>
  <si>
    <t>Return on Real Assets</t>
  </si>
  <si>
    <t>Return on Capital Employed</t>
  </si>
  <si>
    <t>EBIT/Capital Employed</t>
  </si>
  <si>
    <t>Return on Invested Capital</t>
  </si>
  <si>
    <t>PAT/Shareholder's Equity</t>
  </si>
  <si>
    <t>PAT/Sales</t>
  </si>
  <si>
    <t>Sales/Asset</t>
  </si>
  <si>
    <t>Asset/Shareholder's Equity</t>
  </si>
  <si>
    <t>ROE by Dupont Analysis</t>
  </si>
  <si>
    <t>Profit Margin*Asset Turnover*Financial Leverage</t>
  </si>
  <si>
    <t>Dividend Paid/Share Price</t>
  </si>
  <si>
    <t>Dividend Payout Ratio</t>
  </si>
  <si>
    <t>Dividend Paid/Net Revenue from Operations</t>
  </si>
  <si>
    <t>Operating Ratio</t>
  </si>
  <si>
    <t>Accounts Recievable as a % of Sales</t>
  </si>
  <si>
    <t>Accounts Receivable/Sales</t>
  </si>
  <si>
    <t>Inventory/Sales</t>
  </si>
  <si>
    <t>Cash as a % of Long Term Debt</t>
  </si>
  <si>
    <t>Cash/Long Term Debt</t>
  </si>
  <si>
    <t>Interest as a % of Long Term Debt</t>
  </si>
  <si>
    <t>Reciebales and Inventory as a % of Sales</t>
  </si>
  <si>
    <t>(Receivables+Inventory)/Sales</t>
  </si>
  <si>
    <t>Working Capital Ratio</t>
  </si>
  <si>
    <t>Current Assets/Current Liabilities</t>
  </si>
  <si>
    <t>Working Capital as a % of Sales</t>
  </si>
  <si>
    <t>Capital Employed as a % of Sales</t>
  </si>
  <si>
    <t>Capital Employed/Sales</t>
  </si>
  <si>
    <t>Working Capital as a % of PAT</t>
  </si>
  <si>
    <t>Working Capital/PAT</t>
  </si>
  <si>
    <t>Capital Employed as a % of PAT</t>
  </si>
  <si>
    <t>PAT/Capital Employed</t>
  </si>
  <si>
    <t>Working Capital as a % of CFO</t>
  </si>
  <si>
    <t>Working Capital/CFO</t>
  </si>
  <si>
    <t>Capital Employed as a % of CFO</t>
  </si>
  <si>
    <t>Capital Employed/CFO</t>
  </si>
  <si>
    <t>Working Capital Growth Rate</t>
  </si>
  <si>
    <t>Capital Employed Growth Rate</t>
  </si>
  <si>
    <t>Sales/Inventory</t>
  </si>
  <si>
    <t>(Sales/Net Block)*365</t>
  </si>
  <si>
    <t>Revenue per Employee</t>
  </si>
  <si>
    <t>Saless/No. of Employees</t>
  </si>
  <si>
    <t>Days Inventory Outstanding/Inventory Days</t>
  </si>
  <si>
    <t>(Inventory/COGS)*365</t>
  </si>
  <si>
    <t>Days Sales Outstanding/Debtor Days</t>
  </si>
  <si>
    <t>(Accounts Receivable/Total Credit Sales)*365</t>
  </si>
  <si>
    <t>Days Payable Outstanding</t>
  </si>
  <si>
    <t>(Accounts Payable/Cost of Sales)*365</t>
  </si>
  <si>
    <t>Cash Conversion Cycle</t>
  </si>
  <si>
    <t>DIO+DSO-DPO</t>
  </si>
  <si>
    <t>Operating Cycle</t>
  </si>
  <si>
    <t>CFO-Capex</t>
  </si>
  <si>
    <t>MCAP to CFO</t>
  </si>
  <si>
    <t>Leverage Ratio</t>
  </si>
  <si>
    <t>Debt Equity Ratio</t>
  </si>
  <si>
    <t>Total Debt/Total Equity</t>
  </si>
  <si>
    <t>EBIT/Interest Expense</t>
  </si>
  <si>
    <t>Cashflow to Debt Ratio</t>
  </si>
  <si>
    <t>Operating Cashflow/Total Debt</t>
  </si>
  <si>
    <t>(Current Assets - Inventories)/Current Liabilities</t>
  </si>
  <si>
    <t>Cash Ratio</t>
  </si>
  <si>
    <t>(Cash + Cash Equivalent + Invested Funds)/ Current Liabilities</t>
  </si>
  <si>
    <t>Short Term Debt Coverage</t>
  </si>
  <si>
    <t>Operating Cash flow/Short Term Debt</t>
  </si>
  <si>
    <t>CAPEX Coverage</t>
  </si>
  <si>
    <t>Operating Cash Flow/CAPEX</t>
  </si>
  <si>
    <t>Operating Cash flow to Sales Ratio</t>
  </si>
  <si>
    <t>Operating Cashflow/Net Sales</t>
  </si>
  <si>
    <t>Free Cash Flow to Sales Ratio</t>
  </si>
  <si>
    <t>Free Cashflow/Net Sales</t>
  </si>
  <si>
    <t>Valuation Ratio</t>
  </si>
  <si>
    <t>Market Value of Common Stock + Market Value of Preferred Stock + Market Value of Debt + Minority Interest - Cash and Investments</t>
  </si>
  <si>
    <t>Book Value</t>
  </si>
  <si>
    <t>P/E Ratio</t>
  </si>
  <si>
    <t>Share Price/Diluted EPS</t>
  </si>
  <si>
    <t>P/B Ratio</t>
  </si>
  <si>
    <t>Share Price/Book Value per Share</t>
  </si>
  <si>
    <t>PEG Ratio</t>
  </si>
  <si>
    <t>(P/E)/EPS Growth Rate</t>
  </si>
  <si>
    <t>Market Cap to Sales Ratio</t>
  </si>
  <si>
    <t>Market Capitalization/Net Revenue from Operations</t>
  </si>
  <si>
    <t>Cash per Share</t>
  </si>
  <si>
    <t>Cash and Bank Balance/no. of Outstanding Equity Shares</t>
  </si>
  <si>
    <t>Cash as a % of Share Price</t>
  </si>
  <si>
    <t>Cash per Share/Share Price</t>
  </si>
  <si>
    <t>Banking Ratio</t>
  </si>
  <si>
    <t>NIM</t>
  </si>
  <si>
    <t>(Interest Return - Interest Expense)/Average Earning Assets</t>
  </si>
  <si>
    <t>Gross NPA %</t>
  </si>
  <si>
    <t>As per Annual Report</t>
  </si>
  <si>
    <t>Net NPA %</t>
  </si>
  <si>
    <t>Capital Adequacy Ratio</t>
  </si>
  <si>
    <t>Corporate Governance Ratio</t>
  </si>
  <si>
    <t>CEO Salary as a % of PAT</t>
  </si>
  <si>
    <t>CEO Salary/PAT</t>
  </si>
  <si>
    <t>CEO Salary as a % of OCF</t>
  </si>
  <si>
    <t>CEO Salary/OCF</t>
  </si>
  <si>
    <t>CEO Salary as a % of FCF</t>
  </si>
  <si>
    <t>CEO Salary/FCF</t>
  </si>
  <si>
    <t>Promoter's Share</t>
  </si>
  <si>
    <t>Pledged Share</t>
  </si>
  <si>
    <t>Unnecessary expenses</t>
  </si>
  <si>
    <t>Unnecessary Diversification</t>
  </si>
  <si>
    <t>Historical Quick Resignations</t>
  </si>
  <si>
    <t>CFO Return on Assets</t>
  </si>
  <si>
    <t>Cash Return on Total Average Productive Net Asset (FCF)</t>
  </si>
  <si>
    <t>Cash Return on Total Productive  Net Asset (FCF)</t>
  </si>
  <si>
    <t>Cash Return on Total Average Net Asset (FCF)</t>
  </si>
  <si>
    <t>Cash Return on Total Net Asset (FCF)</t>
  </si>
  <si>
    <t>Cash Return on Total Average Productive Net Asset (CFO)</t>
  </si>
  <si>
    <t>Cash Return on Total Productive  Net Asset (CFO)</t>
  </si>
  <si>
    <t>Cash Return on Total Average Net Asset (CFO)</t>
  </si>
  <si>
    <t>Cash Return on Total Net Asset (CFO)</t>
  </si>
  <si>
    <t>Asset Tunrover</t>
  </si>
  <si>
    <t>Finance Leverage</t>
  </si>
  <si>
    <t>Avg. ROIC</t>
  </si>
  <si>
    <t>ROCE1</t>
  </si>
  <si>
    <t>ROCE2</t>
  </si>
  <si>
    <t>ROCE3</t>
  </si>
  <si>
    <t>ROACE1</t>
  </si>
  <si>
    <t>ROACE2</t>
  </si>
  <si>
    <t>ROACE3</t>
  </si>
  <si>
    <t>CFO/Average Invested Capital</t>
  </si>
  <si>
    <t>FCF/Average Invested Capital</t>
  </si>
  <si>
    <t>CFO/Average Capital Employed1</t>
  </si>
  <si>
    <t>CFO/Average Capital Employed2</t>
  </si>
  <si>
    <t>CFO/Average Capital Employed3</t>
  </si>
  <si>
    <t>FCF/Average Capital Employed1</t>
  </si>
  <si>
    <t>FCF/Average Capital Employed2</t>
  </si>
  <si>
    <t>FCF/Average Capital Employed3</t>
  </si>
  <si>
    <t>EV/CFO</t>
  </si>
  <si>
    <t>EV/FCF</t>
  </si>
  <si>
    <t>Sales/Avg. Invested Capital</t>
  </si>
  <si>
    <t>PAT/Avg. invested Capital</t>
  </si>
  <si>
    <t>CFO/Avg. Invested Capital</t>
  </si>
  <si>
    <t>FCF/Avg. Invested Capital</t>
  </si>
  <si>
    <t>Sales Growth/Invested Capital Growth</t>
  </si>
  <si>
    <t>PAT Growth/Invested Capital Growth</t>
  </si>
  <si>
    <t>CFO Growth/Invested Capital Growth</t>
  </si>
  <si>
    <t>FCF Growth/Invested Capital Growth</t>
  </si>
  <si>
    <t>Possible Growth Rate</t>
  </si>
  <si>
    <t>Shareholders Funds (Equity + Reserves)</t>
  </si>
  <si>
    <t>Net Income (Net Profit)</t>
  </si>
  <si>
    <t>RoE = NetInc / (Avg of Sh.F btwn this &amp; prv yr)</t>
  </si>
  <si>
    <t>Gross Profit (Sales - RawMaterial + ChangeInInventory)</t>
  </si>
  <si>
    <t>Dividend (Paid)</t>
  </si>
  <si>
    <t>Divident Payout for AY 16, 17</t>
  </si>
  <si>
    <t>CFF equity</t>
  </si>
  <si>
    <t>CFF Debt</t>
  </si>
  <si>
    <t>CFO Interest</t>
  </si>
  <si>
    <t>PAT (P)</t>
  </si>
  <si>
    <t>Other Income (OI)</t>
  </si>
  <si>
    <t>Other Expenditure (OE)</t>
  </si>
  <si>
    <t>Tax Rate (TR)</t>
  </si>
  <si>
    <t>PAT Margin %</t>
  </si>
  <si>
    <t>Adj PAT = P - OI(1-TR)</t>
  </si>
  <si>
    <t>Ad PAT Margin %</t>
  </si>
  <si>
    <t>Extreme Adj PAT = P - OI(1-TR) + Exp(1-TR)</t>
  </si>
  <si>
    <t>Debt = Borr + Oth.L</t>
  </si>
  <si>
    <t>Comprehensive Debt = Borr + Oth.L + Recv</t>
  </si>
  <si>
    <t>Leverage = Debt / Sh.Funds</t>
  </si>
  <si>
    <t>Extreme.Leverage = Comp.Debt / Sh.Funds</t>
  </si>
  <si>
    <t>Quarterly</t>
  </si>
  <si>
    <t>Net Profit (PAT)</t>
  </si>
  <si>
    <t>Q - EPS (copy it from ratestar.in)</t>
  </si>
  <si>
    <t>Adj PAT = PAT - OI (1 - TR)</t>
  </si>
  <si>
    <t>TaxRate (TR)</t>
  </si>
  <si>
    <t>CFF (Issued Debt + Sell Equity - Dividend paid)</t>
  </si>
  <si>
    <t>Interest Paid (hopefully on borrowings)</t>
  </si>
  <si>
    <t>Month</t>
  </si>
  <si>
    <t>Serial</t>
  </si>
  <si>
    <t>For Beta calc via google finance</t>
  </si>
  <si>
    <t>NSE Beta</t>
  </si>
  <si>
    <t>NSE Rm</t>
  </si>
  <si>
    <t>BSE Beta</t>
  </si>
  <si>
    <t>BSE Rm</t>
  </si>
  <si>
    <t>Rf</t>
  </si>
  <si>
    <t>Cost of Equity (CAPM)</t>
  </si>
  <si>
    <t>Ratio of Equity raised while borrowing</t>
  </si>
  <si>
    <t>Ratio of Debt = 1 - Ratio-of-Equity</t>
  </si>
  <si>
    <t>Moat</t>
  </si>
  <si>
    <t>OperatingIncome * (1 - TR)</t>
  </si>
  <si>
    <t>Invested Capital (Debts - Long &amp; Short + Shareholders Equity - Cash - Goodwill)</t>
  </si>
  <si>
    <t>Moat (RoIC - WACC)?</t>
  </si>
  <si>
    <t xml:space="preserve">Cost of Capital for Interest Paid = (Int/Total.B) * (1 - TaxRate) </t>
  </si>
  <si>
    <t>For CF graphs</t>
  </si>
  <si>
    <t>For Gross graphs</t>
  </si>
  <si>
    <t>For RoE Graph</t>
  </si>
  <si>
    <t>For Moat graph</t>
  </si>
  <si>
    <t>For Leverage Graph</t>
  </si>
  <si>
    <t>For PAT and Adj PAT Graph</t>
  </si>
  <si>
    <t>Alternate Moat Calculation</t>
  </si>
  <si>
    <t>10 Yr Yield</t>
  </si>
  <si>
    <t>Average Risk Free Rate for a year</t>
  </si>
  <si>
    <t>Apr-08</t>
  </si>
  <si>
    <t>Apr-09</t>
  </si>
  <si>
    <t>Apr-10</t>
  </si>
  <si>
    <t>Apr-11</t>
  </si>
  <si>
    <t>Apr-12</t>
  </si>
  <si>
    <t>Apr-13</t>
  </si>
  <si>
    <t>Apr-14</t>
  </si>
  <si>
    <t>Apr-15</t>
  </si>
  <si>
    <t>Apr-16</t>
  </si>
  <si>
    <t>Apr-17</t>
  </si>
  <si>
    <t>CAPM Reqd Rate of Return = Rf + Beta*(Rm - Rf).          If beta*risk_premium is negative, then Rf is the base rate</t>
  </si>
  <si>
    <t>https://docs.google.com/spreadsheets/d/1dhpZDtGwki-T6OT_dwgBaiYAjTZxBRyWArqM1SDX64M/edit?usp=sharing</t>
  </si>
  <si>
    <t>Adjust Closing Price</t>
  </si>
  <si>
    <t>Date</t>
  </si>
  <si>
    <t>Mcap</t>
  </si>
  <si>
    <t>Outstanding Shares</t>
  </si>
  <si>
    <t>Capex = Change NFA + Change CWIP + Depr</t>
  </si>
  <si>
    <t>FCF (Direct) = CFO (Direct) - Capex</t>
  </si>
  <si>
    <t>FCF (Adj) = CFO (adj) - Capex</t>
  </si>
  <si>
    <t>9M LFY</t>
  </si>
  <si>
    <t>9M CFY</t>
  </si>
  <si>
    <t>9M LY</t>
  </si>
  <si>
    <t>9M CY</t>
  </si>
  <si>
    <t xml:space="preserve">CFO (adj) = CFO (Direct) - CFO Interest </t>
  </si>
  <si>
    <t>Growth Rate (OPM)</t>
  </si>
  <si>
    <t>Borrowings (absolute)</t>
  </si>
  <si>
    <t>Borrowings' Growth Rate</t>
  </si>
  <si>
    <t>Change in Borrowings From last year to this (Debt) +ve -&gt; Borrowed    -ve -&gt; Repaid</t>
  </si>
  <si>
    <t>Borrowings (debt; PrevY to CurrY) +ve -&gt; Borrowed   -ve -&gt; Repaid</t>
  </si>
  <si>
    <t>Other Liab (PrevY to CurrY) +ve -&gt; Borrowed   -ve -&gt; Repaid</t>
  </si>
  <si>
    <t>Other Liab Growth Rate</t>
  </si>
  <si>
    <t>Commentary: Company has witnessed an SSGR of -xy% to +ab% whereas the company has been growing at a rate of 10-12% over the years. As a result, it seems that the company is attempting to grow at a pace, which is higher than what the internal business cash generation is able to sustain. As a result, the company has resorted to raising external funds to meet its growth requirements as the debt has increased from ₹xyz cr in FY2008 to ₹abc cr in FY2017.</t>
  </si>
  <si>
    <t>10 Year Sum</t>
  </si>
  <si>
    <t>Interest Paid</t>
  </si>
  <si>
    <t>post the capital expenditure and the interest payment, the company had a cash deficit of ₹xyz cr (CFO – Int.Paid – Capex). Moreover, the company has paid out dividends over these years and has also made investments ……</t>
  </si>
  <si>
    <t>Free cash flow (FCF) and SSGR are the main pillars of assessing the margin of safety in the business model of any company</t>
  </si>
  <si>
    <t>SSGR (with 3 yr avg)</t>
  </si>
  <si>
    <t>SSGR (with 3yr avgs)</t>
  </si>
  <si>
    <t>Growth Rate (OPM, with 3yr avgs)</t>
  </si>
  <si>
    <t>Sales change %</t>
  </si>
  <si>
    <t>Debt change %</t>
  </si>
  <si>
    <t>Recv change %</t>
  </si>
  <si>
    <t>Manual Copy-Paste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</si>
</sst>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 #,##0.00_ ;_ * \-#,##0.00_ ;_ * &quot;-&quot;??_ ;_ @_ "/>
    <numFmt numFmtId="165" formatCode="[$-409]mmm\-yy;@"/>
    <numFmt numFmtId="166" formatCode="0.0"/>
    <numFmt numFmtId="167" formatCode="0.0%"/>
    <numFmt numFmtId="168" formatCode="_(* #,##0.0_);_(* \(#,##0.0\);_(* &quot;-&quot;??_);_(@_)"/>
    <numFmt numFmtId="169" formatCode="_(* #,##0_);_(* \(#,##0\);_(* &quot;-&quot;??_);_(@_)"/>
    <numFmt numFmtId="170" formatCode="0.000"/>
    <numFmt numFmtId="171" formatCode="[$-409]d\-mmm\-yy;@"/>
    <numFmt numFmtId="172" formatCode="_ * #,##0.0_ ;_ * \-#,##0.0_ ;_ * &quot;-&quot;??_ ;_ @_ "/>
    <numFmt numFmtId="173" formatCode="0.000%"/>
  </numFmts>
  <fonts count="49"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sz val="11"/>
      <color rgb="FF9C0006"/>
      <name val="Calibri"/>
      <family val="2"/>
      <scheme val="minor"/>
    </font>
    <font>
      <sz val="10"/>
      <name val="Arial"/>
      <family val="2"/>
    </font>
    <font>
      <sz val="11"/>
      <color indexed="8"/>
      <name val="Calibri"/>
      <family val="2"/>
      <charset val="1"/>
    </font>
    <font>
      <b/>
      <sz val="10"/>
      <name val="Arial"/>
      <family val="2"/>
    </font>
    <font>
      <sz val="10"/>
      <color theme="1"/>
      <name val="Calibri"/>
      <family val="2"/>
      <scheme val="minor"/>
    </font>
    <font>
      <i/>
      <sz val="10"/>
      <color rgb="FFC00000"/>
      <name val="Arial"/>
      <family val="2"/>
    </font>
    <font>
      <b/>
      <sz val="10"/>
      <color theme="1"/>
      <name val="Calibri"/>
      <family val="2"/>
      <scheme val="minor"/>
    </font>
    <font>
      <sz val="10"/>
      <color theme="1"/>
      <name val="Arial"/>
      <family val="2"/>
    </font>
    <font>
      <b/>
      <sz val="10"/>
      <color theme="0"/>
      <name val="Arial"/>
      <family val="2"/>
    </font>
    <font>
      <b/>
      <sz val="9"/>
      <color indexed="81"/>
      <name val="Tahoma"/>
      <family val="2"/>
    </font>
    <font>
      <sz val="9"/>
      <color indexed="81"/>
      <name val="Tahoma"/>
      <family val="2"/>
    </font>
    <font>
      <b/>
      <sz val="9"/>
      <color indexed="9"/>
      <name val="Calibri"/>
      <family val="2"/>
      <charset val="1"/>
    </font>
    <font>
      <sz val="9"/>
      <name val="Calibri"/>
      <family val="2"/>
      <charset val="1"/>
    </font>
    <font>
      <b/>
      <sz val="9"/>
      <color theme="1"/>
      <name val="Calibri"/>
      <family val="2"/>
      <charset val="1"/>
    </font>
    <font>
      <b/>
      <sz val="9"/>
      <name val="Calibri"/>
      <family val="2"/>
      <charset val="1"/>
    </font>
    <font>
      <sz val="9"/>
      <color indexed="9"/>
      <name val="Calibri"/>
      <family val="2"/>
      <charset val="1"/>
    </font>
    <font>
      <b/>
      <sz val="9"/>
      <color indexed="8"/>
      <name val="Calibri"/>
      <family val="2"/>
      <charset val="1"/>
    </font>
    <font>
      <b/>
      <sz val="9"/>
      <color theme="1"/>
      <name val="Calibri"/>
      <family val="2"/>
    </font>
    <font>
      <sz val="9"/>
      <color theme="1"/>
      <name val="Calibri"/>
      <family val="2"/>
      <charset val="1"/>
    </font>
    <font>
      <sz val="9"/>
      <color indexed="8"/>
      <name val="Calibri"/>
      <family val="2"/>
      <charset val="1"/>
    </font>
    <font>
      <b/>
      <sz val="9"/>
      <color indexed="8"/>
      <name val="Tahoma"/>
      <family val="2"/>
      <charset val="1"/>
    </font>
    <font>
      <sz val="9"/>
      <color indexed="8"/>
      <name val="Tahoma"/>
      <family val="2"/>
      <charset val="1"/>
    </font>
    <font>
      <sz val="9"/>
      <color theme="1"/>
      <name val="Calibri"/>
      <family val="2"/>
      <scheme val="minor"/>
    </font>
    <font>
      <b/>
      <u/>
      <sz val="9"/>
      <color theme="1"/>
      <name val="Calibri"/>
      <family val="2"/>
      <scheme val="minor"/>
    </font>
    <font>
      <i/>
      <sz val="9"/>
      <color theme="1"/>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9"/>
      <color theme="5" tint="0.39997558519241921"/>
      <name val="Calibri"/>
      <family val="2"/>
      <scheme val="minor"/>
    </font>
    <font>
      <sz val="9"/>
      <color rgb="FF00B050"/>
      <name val="Calibri"/>
      <family val="2"/>
      <scheme val="minor"/>
    </font>
    <font>
      <sz val="9"/>
      <color rgb="FFFF0000"/>
      <name val="Calibri"/>
      <family val="2"/>
      <scheme val="minor"/>
    </font>
    <font>
      <sz val="9"/>
      <color indexed="59"/>
      <name val="Calibri"/>
      <family val="2"/>
      <charset val="1"/>
    </font>
    <font>
      <sz val="9"/>
      <name val="Arial"/>
      <family val="2"/>
      <charset val="1"/>
    </font>
    <font>
      <b/>
      <u/>
      <sz val="10"/>
      <color theme="1"/>
      <name val="Calibri"/>
      <family val="2"/>
      <scheme val="minor"/>
    </font>
    <font>
      <i/>
      <sz val="10"/>
      <color theme="1"/>
      <name val="Calibri"/>
      <family val="2"/>
      <scheme val="minor"/>
    </font>
    <font>
      <b/>
      <i/>
      <sz val="10"/>
      <color theme="1"/>
      <name val="Calibri"/>
      <family val="2"/>
      <scheme val="minor"/>
    </font>
    <font>
      <sz val="11"/>
      <color rgb="FF006100"/>
      <name val="Calibri"/>
      <family val="2"/>
      <scheme val="minor"/>
    </font>
    <font>
      <sz val="10"/>
      <color rgb="FF000000"/>
      <name val="Arial"/>
      <family val="2"/>
    </font>
    <font>
      <sz val="11"/>
      <color rgb="FF9C6500"/>
      <name val="Calibri"/>
      <family val="2"/>
      <scheme val="minor"/>
    </font>
  </fonts>
  <fills count="30">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rgb="FFFFC7CE"/>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5C5"/>
        <bgColor indexed="64"/>
      </patternFill>
    </fill>
    <fill>
      <patternFill patternType="solid">
        <fgColor theme="1"/>
        <bgColor indexed="64"/>
      </patternFill>
    </fill>
    <fill>
      <patternFill patternType="solid">
        <fgColor theme="0"/>
        <bgColor indexed="64"/>
      </patternFill>
    </fill>
    <fill>
      <patternFill patternType="solid">
        <fgColor indexed="30"/>
        <bgColor indexed="40"/>
      </patternFill>
    </fill>
    <fill>
      <patternFill patternType="solid">
        <fgColor theme="0" tint="-0.249977111117893"/>
        <bgColor indexed="25"/>
      </patternFill>
    </fill>
    <fill>
      <patternFill patternType="solid">
        <fgColor indexed="61"/>
        <bgColor indexed="25"/>
      </patternFill>
    </fill>
    <fill>
      <patternFill patternType="solid">
        <fgColor theme="0"/>
        <bgColor indexed="25"/>
      </patternFill>
    </fill>
    <fill>
      <patternFill patternType="solid">
        <fgColor indexed="19"/>
        <bgColor indexed="23"/>
      </patternFill>
    </fill>
    <fill>
      <patternFill patternType="solid">
        <fgColor theme="0"/>
        <bgColor indexed="23"/>
      </patternFill>
    </fill>
    <fill>
      <patternFill patternType="solid">
        <fgColor indexed="9"/>
        <bgColor indexed="27"/>
      </patternFill>
    </fill>
    <fill>
      <patternFill patternType="solid">
        <fgColor indexed="41"/>
        <bgColor indexed="31"/>
      </patternFill>
    </fill>
    <fill>
      <patternFill patternType="solid">
        <fgColor rgb="FF0275D8"/>
        <bgColor indexed="31"/>
      </patternFill>
    </fill>
    <fill>
      <patternFill patternType="solid">
        <fgColor rgb="FFFFFF00"/>
        <bgColor indexed="64"/>
      </patternFill>
    </fill>
    <fill>
      <patternFill patternType="solid">
        <fgColor rgb="FFFFC000"/>
        <bgColor indexed="64"/>
      </patternFill>
    </fill>
    <fill>
      <patternFill patternType="solid">
        <fgColor indexed="16"/>
        <bgColor indexed="37"/>
      </patternFill>
    </fill>
    <fill>
      <patternFill patternType="solid">
        <fgColor indexed="50"/>
        <bgColor indexed="55"/>
      </patternFill>
    </fill>
    <fill>
      <patternFill patternType="solid">
        <fgColor indexed="51"/>
        <bgColor indexed="52"/>
      </patternFill>
    </fill>
    <fill>
      <patternFill patternType="solid">
        <fgColor indexed="40"/>
        <bgColor indexed="30"/>
      </patternFill>
    </fill>
    <fill>
      <patternFill patternType="solid">
        <fgColor rgb="FFC6EFCE"/>
      </patternFill>
    </fill>
    <fill>
      <patternFill patternType="solid">
        <fgColor rgb="FFFFEB9C"/>
      </patternFill>
    </fill>
    <fill>
      <patternFill patternType="solid">
        <fgColor theme="7" tint="0.39997558519241921"/>
        <bgColor indexed="65"/>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right/>
      <top style="thin">
        <color indexed="8"/>
      </top>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s>
  <cellStyleXfs count="13">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10" fillId="6" borderId="0" applyNumberFormat="0" applyBorder="0" applyAlignment="0" applyProtection="0"/>
    <xf numFmtId="0" fontId="11" fillId="0" borderId="0"/>
    <xf numFmtId="9" fontId="12" fillId="0" borderId="0"/>
    <xf numFmtId="0" fontId="46" fillId="27" borderId="0" applyNumberFormat="0" applyBorder="0" applyAlignment="0" applyProtection="0"/>
    <xf numFmtId="0" fontId="48" fillId="28" borderId="0" applyNumberFormat="0" applyBorder="0" applyAlignment="0" applyProtection="0"/>
    <xf numFmtId="0" fontId="5" fillId="29" borderId="0" applyNumberFormat="0" applyBorder="0" applyAlignment="0" applyProtection="0"/>
  </cellStyleXfs>
  <cellXfs count="437">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0" fontId="0" fillId="0" borderId="0" xfId="0" applyAlignment="1">
      <alignment horizontal="center" vertical="center"/>
    </xf>
    <xf numFmtId="166" fontId="0" fillId="0" borderId="0" xfId="0" applyNumberFormat="1" applyAlignment="1">
      <alignment horizontal="center" vertical="center"/>
    </xf>
    <xf numFmtId="43" fontId="0" fillId="0" borderId="0" xfId="0" applyNumberFormat="1" applyAlignment="1">
      <alignment horizontal="center" vertical="center"/>
    </xf>
    <xf numFmtId="167" fontId="0" fillId="0" borderId="0" xfId="6" applyNumberFormat="1" applyFont="1" applyAlignment="1">
      <alignment horizontal="center" vertical="center"/>
    </xf>
    <xf numFmtId="168" fontId="0" fillId="0" borderId="0" xfId="0" applyNumberFormat="1" applyAlignment="1">
      <alignment horizontal="center" vertical="center"/>
    </xf>
    <xf numFmtId="0" fontId="14" fillId="0" borderId="0" xfId="0" applyFont="1"/>
    <xf numFmtId="166" fontId="0" fillId="0" borderId="0" xfId="0" applyNumberFormat="1"/>
    <xf numFmtId="0" fontId="16" fillId="0" borderId="0" xfId="0" applyFont="1" applyAlignment="1">
      <alignment horizontal="left" vertical="center"/>
    </xf>
    <xf numFmtId="9" fontId="0" fillId="8" borderId="0" xfId="6" applyFont="1" applyFill="1" applyAlignment="1">
      <alignment horizontal="center" vertical="center"/>
    </xf>
    <xf numFmtId="0" fontId="11" fillId="0" borderId="7" xfId="0" applyFont="1" applyBorder="1" applyAlignment="1">
      <alignment horizontal="left"/>
    </xf>
    <xf numFmtId="169" fontId="11" fillId="0" borderId="8" xfId="0" applyNumberFormat="1" applyFont="1" applyBorder="1" applyAlignment="1">
      <alignment horizontal="center"/>
    </xf>
    <xf numFmtId="0" fontId="17" fillId="0" borderId="0" xfId="0" applyFont="1"/>
    <xf numFmtId="9" fontId="14" fillId="8" borderId="0" xfId="0" applyNumberFormat="1" applyFont="1" applyFill="1" applyAlignment="1">
      <alignment horizontal="center" vertical="center"/>
    </xf>
    <xf numFmtId="9" fontId="0" fillId="0" borderId="0" xfId="0" applyNumberFormat="1" applyAlignment="1">
      <alignment horizontal="center" vertical="center"/>
    </xf>
    <xf numFmtId="164" fontId="0" fillId="8" borderId="0" xfId="0" applyNumberFormat="1" applyFill="1" applyAlignment="1">
      <alignment horizontal="center" vertical="center"/>
    </xf>
    <xf numFmtId="1" fontId="0" fillId="0" borderId="0" xfId="0" applyNumberFormat="1"/>
    <xf numFmtId="0" fontId="11" fillId="0" borderId="7" xfId="0" quotePrefix="1" applyFont="1" applyBorder="1" applyAlignment="1">
      <alignment horizontal="left"/>
    </xf>
    <xf numFmtId="9" fontId="14" fillId="9" borderId="0" xfId="0" applyNumberFormat="1" applyFont="1" applyFill="1" applyAlignment="1">
      <alignment horizontal="center" vertical="center"/>
    </xf>
    <xf numFmtId="10" fontId="0" fillId="0" borderId="0" xfId="0" applyNumberFormat="1" applyAlignment="1">
      <alignment horizontal="center" vertical="center"/>
    </xf>
    <xf numFmtId="9" fontId="0" fillId="9" borderId="0" xfId="0" applyNumberFormat="1" applyFill="1" applyAlignment="1">
      <alignment horizontal="center" vertical="center"/>
    </xf>
    <xf numFmtId="9" fontId="0" fillId="0" borderId="0" xfId="6" applyFont="1" applyAlignment="1">
      <alignment horizontal="center" vertical="center"/>
    </xf>
    <xf numFmtId="1" fontId="0" fillId="0" borderId="0" xfId="0" applyNumberFormat="1" applyAlignment="1">
      <alignment horizontal="center" vertical="center"/>
    </xf>
    <xf numFmtId="9" fontId="14" fillId="0" borderId="0" xfId="0" applyNumberFormat="1" applyFont="1" applyAlignment="1">
      <alignment horizontal="center" vertical="center"/>
    </xf>
    <xf numFmtId="43" fontId="11" fillId="0" borderId="8" xfId="0" applyNumberFormat="1" applyFont="1" applyBorder="1" applyAlignment="1">
      <alignment horizontal="center"/>
    </xf>
    <xf numFmtId="0" fontId="18" fillId="10" borderId="4" xfId="0" applyFont="1" applyFill="1" applyBorder="1" applyAlignment="1">
      <alignment horizontal="left"/>
    </xf>
    <xf numFmtId="169" fontId="18" fillId="10" borderId="6" xfId="0" applyNumberFormat="1" applyFont="1" applyFill="1" applyBorder="1" applyAlignment="1">
      <alignment horizontal="center"/>
    </xf>
    <xf numFmtId="0" fontId="17" fillId="0" borderId="0" xfId="0" applyFont="1" applyAlignment="1">
      <alignment horizontal="left"/>
    </xf>
    <xf numFmtId="0" fontId="13" fillId="8" borderId="9" xfId="0" applyNumberFormat="1" applyFont="1" applyFill="1" applyBorder="1" applyAlignment="1">
      <alignment horizontal="center"/>
    </xf>
    <xf numFmtId="0" fontId="13" fillId="8" borderId="10" xfId="0" applyNumberFormat="1" applyFont="1" applyFill="1" applyBorder="1" applyAlignment="1">
      <alignment horizontal="center"/>
    </xf>
    <xf numFmtId="49" fontId="13" fillId="8" borderId="9" xfId="0" applyNumberFormat="1" applyFont="1" applyFill="1" applyBorder="1" applyAlignment="1">
      <alignment horizontal="center"/>
    </xf>
    <xf numFmtId="0" fontId="11" fillId="0" borderId="11" xfId="0" applyFont="1" applyFill="1" applyBorder="1" applyAlignment="1">
      <alignment horizontal="left"/>
    </xf>
    <xf numFmtId="9" fontId="14" fillId="0" borderId="0" xfId="6" applyFont="1"/>
    <xf numFmtId="9" fontId="0" fillId="0" borderId="0" xfId="6" applyFont="1"/>
    <xf numFmtId="1" fontId="14" fillId="8" borderId="0" xfId="0" applyNumberFormat="1" applyFont="1" applyFill="1" applyAlignment="1">
      <alignment horizontal="center" vertical="center"/>
    </xf>
    <xf numFmtId="167" fontId="0" fillId="9" borderId="0" xfId="6" applyNumberFormat="1" applyFont="1" applyFill="1" applyAlignment="1">
      <alignment horizontal="center" vertical="center"/>
    </xf>
    <xf numFmtId="0" fontId="11" fillId="0" borderId="0" xfId="0" applyFont="1" applyFill="1" applyBorder="1" applyAlignment="1">
      <alignment horizontal="left"/>
    </xf>
    <xf numFmtId="1" fontId="0" fillId="0" borderId="0" xfId="0" applyNumberFormat="1" applyAlignment="1"/>
    <xf numFmtId="166" fontId="11" fillId="8" borderId="0" xfId="0" applyNumberFormat="1" applyFont="1" applyFill="1" applyBorder="1" applyAlignment="1">
      <alignment horizontal="center"/>
    </xf>
    <xf numFmtId="0" fontId="18" fillId="10" borderId="0" xfId="0" applyFont="1" applyFill="1" applyBorder="1" applyAlignment="1">
      <alignment horizontal="left"/>
    </xf>
    <xf numFmtId="9" fontId="2" fillId="10" borderId="0" xfId="6" applyFont="1" applyFill="1" applyAlignment="1">
      <alignment horizontal="center" vertical="center"/>
    </xf>
    <xf numFmtId="9" fontId="11" fillId="9" borderId="0" xfId="6" applyFont="1" applyFill="1" applyBorder="1" applyAlignment="1">
      <alignment horizontal="center"/>
    </xf>
    <xf numFmtId="0" fontId="2" fillId="10" borderId="0" xfId="0" applyFont="1" applyFill="1"/>
    <xf numFmtId="166" fontId="11" fillId="9" borderId="0" xfId="0" applyNumberFormat="1" applyFont="1" applyFill="1" applyBorder="1" applyAlignment="1">
      <alignment horizontal="center"/>
    </xf>
    <xf numFmtId="9" fontId="11" fillId="8" borderId="0" xfId="6" applyFont="1" applyFill="1" applyBorder="1" applyAlignment="1">
      <alignment horizontal="center"/>
    </xf>
    <xf numFmtId="2" fontId="0" fillId="0" borderId="0" xfId="6" applyNumberFormat="1" applyFont="1" applyAlignment="1">
      <alignment horizontal="center" vertical="center"/>
    </xf>
    <xf numFmtId="0" fontId="0" fillId="11" borderId="0" xfId="0" applyFont="1" applyFill="1"/>
    <xf numFmtId="9" fontId="3" fillId="9" borderId="0" xfId="6" applyFont="1" applyFill="1" applyAlignment="1">
      <alignment horizontal="center" vertical="center"/>
    </xf>
    <xf numFmtId="0" fontId="0" fillId="7" borderId="0" xfId="0" applyFill="1"/>
    <xf numFmtId="0" fontId="0" fillId="7" borderId="0" xfId="0" applyFill="1" applyAlignment="1">
      <alignment horizontal="center" vertical="center"/>
    </xf>
    <xf numFmtId="2" fontId="0" fillId="0" borderId="0" xfId="0" applyNumberFormat="1" applyAlignment="1">
      <alignment horizontal="center"/>
    </xf>
    <xf numFmtId="170" fontId="0" fillId="0" borderId="0" xfId="0" applyNumberFormat="1" applyAlignment="1">
      <alignment horizontal="center" vertical="center"/>
    </xf>
    <xf numFmtId="167" fontId="5" fillId="10" borderId="0" xfId="6" applyNumberFormat="1" applyFont="1" applyFill="1" applyAlignment="1">
      <alignment horizontal="center" vertical="center"/>
    </xf>
    <xf numFmtId="0" fontId="14" fillId="0" borderId="0" xfId="0" applyFont="1" applyAlignment="1">
      <alignment horizontal="center" vertical="center"/>
    </xf>
    <xf numFmtId="9" fontId="0" fillId="0" borderId="0" xfId="0" applyNumberFormat="1"/>
    <xf numFmtId="2" fontId="14" fillId="8" borderId="0" xfId="0" applyNumberFormat="1" applyFont="1" applyFill="1" applyAlignment="1">
      <alignment horizontal="center" vertical="center"/>
    </xf>
    <xf numFmtId="0" fontId="11" fillId="0" borderId="0" xfId="0" applyFont="1"/>
    <xf numFmtId="0" fontId="13" fillId="8" borderId="1" xfId="0" applyFont="1" applyFill="1" applyBorder="1" applyAlignment="1">
      <alignment horizontal="center"/>
    </xf>
    <xf numFmtId="0" fontId="13" fillId="8" borderId="2" xfId="0" applyFont="1" applyFill="1" applyBorder="1" applyAlignment="1">
      <alignment horizontal="center"/>
    </xf>
    <xf numFmtId="0" fontId="13" fillId="8" borderId="3" xfId="0" applyFont="1" applyFill="1" applyBorder="1" applyAlignment="1">
      <alignment horizontal="center"/>
    </xf>
    <xf numFmtId="0" fontId="11" fillId="0" borderId="7" xfId="0" applyFont="1" applyBorder="1" applyAlignment="1">
      <alignment horizontal="center"/>
    </xf>
    <xf numFmtId="38" fontId="11" fillId="0" borderId="13" xfId="0" applyNumberFormat="1" applyFont="1" applyBorder="1" applyAlignment="1">
      <alignment horizontal="center" vertical="center"/>
    </xf>
    <xf numFmtId="9" fontId="11" fillId="0" borderId="13" xfId="0" applyNumberFormat="1" applyFont="1" applyBorder="1" applyAlignment="1">
      <alignment horizontal="center" vertical="center"/>
    </xf>
    <xf numFmtId="168" fontId="11" fillId="0" borderId="8" xfId="0" applyNumberFormat="1" applyFont="1" applyBorder="1" applyAlignment="1">
      <alignment horizontal="center" vertical="center"/>
    </xf>
    <xf numFmtId="0" fontId="11" fillId="0" borderId="4" xfId="0" applyFont="1" applyBorder="1" applyAlignment="1">
      <alignment horizontal="center"/>
    </xf>
    <xf numFmtId="168" fontId="11" fillId="0" borderId="6" xfId="0" applyNumberFormat="1" applyFont="1" applyBorder="1" applyAlignment="1">
      <alignment horizontal="center" vertical="center"/>
    </xf>
    <xf numFmtId="38" fontId="11" fillId="0" borderId="5" xfId="0" applyNumberFormat="1" applyFont="1" applyBorder="1" applyAlignment="1">
      <alignment horizontal="center" vertical="center"/>
    </xf>
    <xf numFmtId="38" fontId="11" fillId="0" borderId="13" xfId="0" applyNumberFormat="1" applyFont="1" applyBorder="1" applyAlignment="1">
      <alignment horizontal="center"/>
    </xf>
    <xf numFmtId="9" fontId="11" fillId="0" borderId="13" xfId="0" applyNumberFormat="1" applyFont="1" applyBorder="1" applyAlignment="1">
      <alignment horizontal="center"/>
    </xf>
    <xf numFmtId="10" fontId="0" fillId="0" borderId="0" xfId="0" applyNumberFormat="1"/>
    <xf numFmtId="0" fontId="22" fillId="0" borderId="0" xfId="8" applyFont="1" applyAlignment="1">
      <alignment wrapText="1"/>
    </xf>
    <xf numFmtId="0" fontId="22" fillId="0" borderId="14" xfId="8" applyFont="1" applyBorder="1" applyAlignment="1">
      <alignment wrapText="1"/>
    </xf>
    <xf numFmtId="0" fontId="23" fillId="13" borderId="14" xfId="8" applyFont="1" applyFill="1" applyBorder="1" applyAlignment="1">
      <alignment horizontal="center" wrapText="1"/>
    </xf>
    <xf numFmtId="0" fontId="24" fillId="0" borderId="15" xfId="8" applyFont="1" applyBorder="1" applyAlignment="1">
      <alignment wrapText="1"/>
    </xf>
    <xf numFmtId="2" fontId="25" fillId="14" borderId="15" xfId="8" applyNumberFormat="1" applyFont="1" applyFill="1" applyBorder="1" applyAlignment="1">
      <alignment horizontal="center" wrapText="1"/>
    </xf>
    <xf numFmtId="10" fontId="25" fillId="14" borderId="15" xfId="8" applyNumberFormat="1" applyFont="1" applyFill="1" applyBorder="1" applyAlignment="1">
      <alignment horizontal="center" wrapText="1"/>
    </xf>
    <xf numFmtId="1" fontId="25" fillId="14" borderId="15" xfId="8" applyNumberFormat="1" applyFont="1" applyFill="1" applyBorder="1" applyAlignment="1">
      <alignment horizontal="center" wrapText="1"/>
    </xf>
    <xf numFmtId="2" fontId="25" fillId="14" borderId="0" xfId="8" applyNumberFormat="1" applyFont="1" applyFill="1" applyBorder="1" applyAlignment="1">
      <alignment horizontal="center" wrapText="1"/>
    </xf>
    <xf numFmtId="10" fontId="25" fillId="14" borderId="0" xfId="8" applyNumberFormat="1" applyFont="1" applyFill="1" applyBorder="1" applyAlignment="1">
      <alignment horizontal="center" wrapText="1"/>
    </xf>
    <xf numFmtId="166" fontId="25" fillId="14" borderId="0" xfId="8" applyNumberFormat="1" applyFont="1" applyFill="1" applyBorder="1" applyAlignment="1">
      <alignment horizontal="center" wrapText="1"/>
    </xf>
    <xf numFmtId="9" fontId="25" fillId="14" borderId="0" xfId="6" applyFont="1" applyFill="1" applyBorder="1" applyAlignment="1">
      <alignment horizontal="center" wrapText="1"/>
    </xf>
    <xf numFmtId="10" fontId="25" fillId="14" borderId="0" xfId="6" applyNumberFormat="1" applyFont="1" applyFill="1" applyBorder="1" applyAlignment="1">
      <alignment horizontal="center" wrapText="1"/>
    </xf>
    <xf numFmtId="166" fontId="25" fillId="14" borderId="15" xfId="8" applyNumberFormat="1" applyFont="1" applyFill="1" applyBorder="1" applyAlignment="1">
      <alignment horizontal="center" wrapText="1"/>
    </xf>
    <xf numFmtId="9" fontId="25" fillId="14" borderId="15" xfId="6" applyFont="1" applyFill="1" applyBorder="1" applyAlignment="1">
      <alignment horizontal="center" wrapText="1"/>
    </xf>
    <xf numFmtId="10" fontId="25" fillId="14" borderId="15" xfId="6" applyNumberFormat="1" applyFont="1" applyFill="1" applyBorder="1" applyAlignment="1">
      <alignment horizontal="center" wrapText="1"/>
    </xf>
    <xf numFmtId="0" fontId="24" fillId="0" borderId="13" xfId="8" applyFont="1" applyBorder="1" applyAlignment="1">
      <alignment wrapText="1"/>
    </xf>
    <xf numFmtId="2" fontId="25" fillId="14" borderId="13" xfId="8" applyNumberFormat="1" applyFont="1" applyFill="1" applyBorder="1" applyAlignment="1">
      <alignment horizontal="center" wrapText="1"/>
    </xf>
    <xf numFmtId="10" fontId="25" fillId="14" borderId="13" xfId="8" applyNumberFormat="1" applyFont="1" applyFill="1" applyBorder="1" applyAlignment="1">
      <alignment horizontal="center" wrapText="1"/>
    </xf>
    <xf numFmtId="0" fontId="22" fillId="0" borderId="13" xfId="8" applyFont="1" applyBorder="1" applyAlignment="1">
      <alignment wrapText="1"/>
    </xf>
    <xf numFmtId="166" fontId="25" fillId="14" borderId="13" xfId="8" applyNumberFormat="1" applyFont="1" applyFill="1" applyBorder="1" applyAlignment="1">
      <alignment horizontal="center" wrapText="1"/>
    </xf>
    <xf numFmtId="9" fontId="25" fillId="14" borderId="13" xfId="6" applyFont="1" applyFill="1" applyBorder="1" applyAlignment="1">
      <alignment horizontal="center" wrapText="1"/>
    </xf>
    <xf numFmtId="10" fontId="25" fillId="14" borderId="13" xfId="6" applyNumberFormat="1" applyFont="1" applyFill="1" applyBorder="1" applyAlignment="1">
      <alignment horizontal="center" wrapText="1"/>
    </xf>
    <xf numFmtId="0" fontId="24" fillId="0" borderId="16" xfId="8" applyFont="1" applyBorder="1" applyAlignment="1">
      <alignment wrapText="1"/>
    </xf>
    <xf numFmtId="2" fontId="25" fillId="14" borderId="16" xfId="8" applyNumberFormat="1" applyFont="1" applyFill="1" applyBorder="1" applyAlignment="1">
      <alignment horizontal="center" wrapText="1"/>
    </xf>
    <xf numFmtId="10" fontId="25" fillId="14" borderId="16" xfId="8" applyNumberFormat="1" applyFont="1" applyFill="1" applyBorder="1" applyAlignment="1">
      <alignment horizontal="center" wrapText="1"/>
    </xf>
    <xf numFmtId="1" fontId="25" fillId="14" borderId="16" xfId="8" applyNumberFormat="1" applyFont="1" applyFill="1" applyBorder="1" applyAlignment="1">
      <alignment horizontal="center" wrapText="1"/>
    </xf>
    <xf numFmtId="166" fontId="25" fillId="14" borderId="16" xfId="8" applyNumberFormat="1" applyFont="1" applyFill="1" applyBorder="1" applyAlignment="1">
      <alignment horizontal="center" wrapText="1"/>
    </xf>
    <xf numFmtId="9" fontId="25" fillId="14" borderId="16" xfId="6" applyFont="1" applyFill="1" applyBorder="1" applyAlignment="1">
      <alignment horizontal="center" wrapText="1"/>
    </xf>
    <xf numFmtId="10" fontId="25" fillId="14" borderId="16" xfId="6" applyNumberFormat="1" applyFont="1" applyFill="1" applyBorder="1" applyAlignment="1">
      <alignment horizontal="center" wrapText="1"/>
    </xf>
    <xf numFmtId="167" fontId="23" fillId="14" borderId="13" xfId="8" applyNumberFormat="1" applyFont="1" applyFill="1" applyBorder="1" applyAlignment="1">
      <alignment horizontal="center" vertical="center" wrapText="1"/>
    </xf>
    <xf numFmtId="167" fontId="23" fillId="15" borderId="13" xfId="8" applyNumberFormat="1" applyFont="1" applyFill="1" applyBorder="1" applyAlignment="1">
      <alignment horizontal="center" vertical="center" wrapText="1"/>
    </xf>
    <xf numFmtId="10" fontId="24" fillId="0" borderId="13" xfId="8" applyNumberFormat="1" applyFont="1" applyBorder="1" applyAlignment="1">
      <alignment horizontal="center" vertical="center" wrapText="1"/>
    </xf>
    <xf numFmtId="0" fontId="24" fillId="0" borderId="13" xfId="8" applyFont="1" applyBorder="1" applyAlignment="1">
      <alignment horizontal="center" vertical="center" wrapText="1"/>
    </xf>
    <xf numFmtId="2" fontId="24" fillId="0" borderId="13" xfId="8" applyNumberFormat="1" applyFont="1" applyBorder="1" applyAlignment="1">
      <alignment horizontal="center" vertical="center" wrapText="1"/>
    </xf>
    <xf numFmtId="167" fontId="24" fillId="0" borderId="13" xfId="8" applyNumberFormat="1" applyFont="1" applyBorder="1" applyAlignment="1">
      <alignment horizontal="center" vertical="center" wrapText="1"/>
    </xf>
    <xf numFmtId="0" fontId="22" fillId="0" borderId="0" xfId="8" applyFont="1" applyBorder="1" applyAlignment="1">
      <alignment horizontal="center" wrapText="1"/>
    </xf>
    <xf numFmtId="0" fontId="22" fillId="0" borderId="0" xfId="8" applyFont="1" applyBorder="1" applyAlignment="1">
      <alignment wrapText="1"/>
    </xf>
    <xf numFmtId="0" fontId="24" fillId="0" borderId="0" xfId="8" applyFont="1" applyBorder="1" applyAlignment="1">
      <alignment wrapText="1"/>
    </xf>
    <xf numFmtId="0" fontId="21" fillId="12" borderId="15" xfId="8" applyFont="1" applyFill="1" applyBorder="1" applyAlignment="1">
      <alignment horizontal="center" wrapText="1"/>
    </xf>
    <xf numFmtId="0" fontId="21" fillId="12" borderId="17" xfId="8" applyFont="1" applyFill="1" applyBorder="1" applyAlignment="1">
      <alignment horizontal="center" wrapText="1"/>
    </xf>
    <xf numFmtId="0" fontId="26" fillId="0" borderId="15" xfId="8" applyFont="1" applyFill="1" applyBorder="1" applyAlignment="1">
      <alignment horizontal="right" wrapText="1"/>
    </xf>
    <xf numFmtId="1" fontId="25" fillId="14" borderId="15" xfId="8" applyNumberFormat="1" applyFont="1" applyFill="1" applyBorder="1" applyAlignment="1">
      <alignment horizontal="center" vertical="center" wrapText="1"/>
    </xf>
    <xf numFmtId="2" fontId="25" fillId="14" borderId="15" xfId="8" applyNumberFormat="1" applyFont="1" applyFill="1" applyBorder="1" applyAlignment="1">
      <alignment horizontal="center" vertical="center" wrapText="1"/>
    </xf>
    <xf numFmtId="2" fontId="21" fillId="14" borderId="15" xfId="8" applyNumberFormat="1" applyFont="1" applyFill="1" applyBorder="1" applyAlignment="1">
      <alignment horizontal="center" wrapText="1"/>
    </xf>
    <xf numFmtId="166" fontId="21" fillId="14" borderId="15" xfId="8" applyNumberFormat="1" applyFont="1" applyFill="1" applyBorder="1" applyAlignment="1">
      <alignment horizontal="center" wrapText="1"/>
    </xf>
    <xf numFmtId="9" fontId="21" fillId="14" borderId="15" xfId="6" applyFont="1" applyFill="1" applyBorder="1" applyAlignment="1">
      <alignment horizontal="center" wrapText="1"/>
    </xf>
    <xf numFmtId="0" fontId="22" fillId="0" borderId="19" xfId="8" applyFont="1" applyBorder="1" applyAlignment="1">
      <alignment horizontal="left" wrapText="1"/>
    </xf>
    <xf numFmtId="164" fontId="21" fillId="12" borderId="20" xfId="8" applyNumberFormat="1" applyFont="1" applyFill="1" applyBorder="1" applyAlignment="1">
      <alignment horizontal="center" wrapText="1"/>
    </xf>
    <xf numFmtId="0" fontId="21" fillId="12" borderId="20" xfId="8" applyFont="1" applyFill="1" applyBorder="1" applyAlignment="1">
      <alignment horizontal="center" wrapText="1"/>
    </xf>
    <xf numFmtId="0" fontId="21" fillId="12" borderId="13" xfId="8" applyFont="1" applyFill="1" applyBorder="1" applyAlignment="1">
      <alignment horizontal="center" wrapText="1"/>
    </xf>
    <xf numFmtId="0" fontId="24" fillId="0" borderId="20" xfId="8" applyFont="1" applyBorder="1" applyAlignment="1">
      <alignment horizontal="right" wrapText="1"/>
    </xf>
    <xf numFmtId="167" fontId="21" fillId="16" borderId="15" xfId="8" applyNumberFormat="1" applyFont="1" applyFill="1" applyBorder="1" applyAlignment="1">
      <alignment horizontal="center" vertical="center" wrapText="1"/>
    </xf>
    <xf numFmtId="167" fontId="25" fillId="14" borderId="15" xfId="8" applyNumberFormat="1" applyFont="1" applyFill="1" applyBorder="1" applyAlignment="1">
      <alignment horizontal="center" wrapText="1"/>
    </xf>
    <xf numFmtId="0" fontId="25" fillId="14" borderId="15" xfId="8" applyFont="1" applyFill="1" applyBorder="1" applyAlignment="1">
      <alignment wrapText="1"/>
    </xf>
    <xf numFmtId="9" fontId="25" fillId="14" borderId="15" xfId="8" applyNumberFormat="1" applyFont="1" applyFill="1" applyBorder="1" applyAlignment="1">
      <alignment horizontal="center" wrapText="1"/>
    </xf>
    <xf numFmtId="0" fontId="25" fillId="14" borderId="0" xfId="8" applyFont="1" applyFill="1" applyAlignment="1">
      <alignment wrapText="1"/>
    </xf>
    <xf numFmtId="0" fontId="25" fillId="14" borderId="15" xfId="8" applyFont="1" applyFill="1" applyBorder="1" applyAlignment="1">
      <alignment horizontal="left" wrapText="1"/>
    </xf>
    <xf numFmtId="10" fontId="21" fillId="16" borderId="15" xfId="8" applyNumberFormat="1" applyFont="1" applyFill="1" applyBorder="1" applyAlignment="1">
      <alignment horizontal="center" vertical="center" wrapText="1"/>
    </xf>
    <xf numFmtId="0" fontId="24" fillId="11" borderId="0" xfId="8" applyFont="1" applyFill="1" applyBorder="1" applyAlignment="1">
      <alignment horizontal="right" wrapText="1"/>
    </xf>
    <xf numFmtId="167" fontId="23" fillId="15" borderId="0" xfId="8" applyNumberFormat="1" applyFont="1" applyFill="1" applyBorder="1" applyAlignment="1">
      <alignment horizontal="center" vertical="center" wrapText="1"/>
    </xf>
    <xf numFmtId="167" fontId="21" fillId="17" borderId="0" xfId="8" applyNumberFormat="1" applyFont="1" applyFill="1" applyBorder="1" applyAlignment="1">
      <alignment horizontal="center" vertical="center" wrapText="1"/>
    </xf>
    <xf numFmtId="167" fontId="25" fillId="15" borderId="0" xfId="8" applyNumberFormat="1" applyFont="1" applyFill="1" applyBorder="1" applyAlignment="1">
      <alignment horizontal="center" wrapText="1"/>
    </xf>
    <xf numFmtId="0" fontId="22" fillId="11" borderId="0" xfId="8" applyFont="1" applyFill="1" applyAlignment="1">
      <alignment wrapText="1"/>
    </xf>
    <xf numFmtId="0" fontId="21" fillId="12" borderId="13" xfId="8" applyFont="1" applyFill="1" applyBorder="1" applyAlignment="1">
      <alignment horizontal="center" vertical="center" wrapText="1"/>
    </xf>
    <xf numFmtId="166" fontId="23" fillId="15" borderId="13" xfId="8" applyNumberFormat="1" applyFont="1" applyFill="1" applyBorder="1" applyAlignment="1">
      <alignment horizontal="center" vertical="center" wrapText="1"/>
    </xf>
    <xf numFmtId="1" fontId="24" fillId="11" borderId="13" xfId="8" applyNumberFormat="1" applyFont="1" applyFill="1" applyBorder="1" applyAlignment="1">
      <alignment horizontal="center" vertical="center" wrapText="1"/>
    </xf>
    <xf numFmtId="166" fontId="24" fillId="11" borderId="13" xfId="8" applyNumberFormat="1" applyFont="1" applyFill="1" applyBorder="1" applyAlignment="1">
      <alignment horizontal="center" vertical="center" wrapText="1"/>
    </xf>
    <xf numFmtId="2" fontId="24" fillId="11" borderId="13" xfId="8" applyNumberFormat="1" applyFont="1" applyFill="1" applyBorder="1" applyAlignment="1">
      <alignment horizontal="center" vertical="center" wrapText="1"/>
    </xf>
    <xf numFmtId="167" fontId="27" fillId="15" borderId="13" xfId="8" applyNumberFormat="1" applyFont="1" applyFill="1" applyBorder="1" applyAlignment="1">
      <alignment horizontal="center" vertical="center" wrapText="1"/>
    </xf>
    <xf numFmtId="166" fontId="23" fillId="15" borderId="0" xfId="8" applyNumberFormat="1" applyFont="1" applyFill="1" applyBorder="1" applyAlignment="1">
      <alignment horizontal="center" vertical="center" wrapText="1"/>
    </xf>
    <xf numFmtId="1" fontId="24" fillId="11" borderId="0" xfId="8" applyNumberFormat="1" applyFont="1" applyFill="1" applyBorder="1" applyAlignment="1">
      <alignment horizontal="center" vertical="center" wrapText="1"/>
    </xf>
    <xf numFmtId="166" fontId="24" fillId="11" borderId="0" xfId="8" applyNumberFormat="1" applyFont="1" applyFill="1" applyBorder="1" applyAlignment="1">
      <alignment horizontal="center" vertical="center" wrapText="1"/>
    </xf>
    <xf numFmtId="2" fontId="24" fillId="11" borderId="0" xfId="8" applyNumberFormat="1" applyFont="1" applyFill="1" applyBorder="1" applyAlignment="1">
      <alignment horizontal="center" vertical="center" wrapText="1"/>
    </xf>
    <xf numFmtId="167" fontId="24" fillId="11" borderId="13" xfId="8" applyNumberFormat="1" applyFont="1" applyFill="1" applyBorder="1" applyAlignment="1">
      <alignment horizontal="center" vertical="center" wrapText="1"/>
    </xf>
    <xf numFmtId="0" fontId="22" fillId="11" borderId="13" xfId="8" applyFont="1" applyFill="1" applyBorder="1" applyAlignment="1">
      <alignment wrapText="1"/>
    </xf>
    <xf numFmtId="166" fontId="23" fillId="17" borderId="13" xfId="8" applyNumberFormat="1" applyFont="1" applyFill="1" applyBorder="1" applyAlignment="1">
      <alignment horizontal="center" vertical="center" wrapText="1"/>
    </xf>
    <xf numFmtId="167" fontId="23" fillId="17" borderId="13" xfId="8" applyNumberFormat="1" applyFont="1" applyFill="1" applyBorder="1" applyAlignment="1">
      <alignment horizontal="center" vertical="center" wrapText="1"/>
    </xf>
    <xf numFmtId="167" fontId="28" fillId="15" borderId="13" xfId="8" applyNumberFormat="1" applyFont="1" applyFill="1" applyBorder="1" applyAlignment="1">
      <alignment horizontal="center" wrapText="1"/>
    </xf>
    <xf numFmtId="167" fontId="25" fillId="15" borderId="13" xfId="8" applyNumberFormat="1" applyFont="1" applyFill="1" applyBorder="1" applyAlignment="1">
      <alignment horizontal="center" wrapText="1"/>
    </xf>
    <xf numFmtId="167" fontId="24" fillId="11" borderId="0" xfId="8" applyNumberFormat="1" applyFont="1" applyFill="1" applyBorder="1" applyAlignment="1">
      <alignment horizontal="center" vertical="center" wrapText="1"/>
    </xf>
    <xf numFmtId="0" fontId="22" fillId="11" borderId="0" xfId="8" applyFont="1" applyFill="1" applyBorder="1" applyAlignment="1">
      <alignment wrapText="1"/>
    </xf>
    <xf numFmtId="166" fontId="23" fillId="17" borderId="0" xfId="8" applyNumberFormat="1" applyFont="1" applyFill="1" applyBorder="1" applyAlignment="1">
      <alignment horizontal="center" vertical="center" wrapText="1"/>
    </xf>
    <xf numFmtId="167" fontId="23" fillId="17" borderId="0" xfId="8" applyNumberFormat="1" applyFont="1" applyFill="1" applyBorder="1" applyAlignment="1">
      <alignment horizontal="center" vertical="center" wrapText="1"/>
    </xf>
    <xf numFmtId="167" fontId="28" fillId="15" borderId="0" xfId="8" applyNumberFormat="1" applyFont="1" applyFill="1" applyBorder="1" applyAlignment="1">
      <alignment horizontal="center" wrapText="1"/>
    </xf>
    <xf numFmtId="166" fontId="24" fillId="0" borderId="13" xfId="8" applyNumberFormat="1" applyFont="1" applyBorder="1" applyAlignment="1">
      <alignment horizontal="center" vertical="center" wrapText="1"/>
    </xf>
    <xf numFmtId="167" fontId="22" fillId="0" borderId="13" xfId="8" applyNumberFormat="1" applyFont="1" applyBorder="1" applyAlignment="1">
      <alignment horizontal="center" vertical="center" wrapText="1"/>
    </xf>
    <xf numFmtId="166" fontId="24" fillId="0" borderId="0" xfId="8" applyNumberFormat="1" applyFont="1" applyBorder="1" applyAlignment="1">
      <alignment horizontal="center" vertical="center" wrapText="1"/>
    </xf>
    <xf numFmtId="2" fontId="24" fillId="0" borderId="0" xfId="8" applyNumberFormat="1" applyFont="1" applyAlignment="1">
      <alignment horizontal="center" vertical="center" wrapText="1"/>
    </xf>
    <xf numFmtId="10" fontId="24" fillId="0" borderId="0" xfId="8" applyNumberFormat="1" applyFont="1" applyAlignment="1">
      <alignment horizontal="center" vertical="center" wrapText="1"/>
    </xf>
    <xf numFmtId="167" fontId="24" fillId="0" borderId="0" xfId="8" applyNumberFormat="1" applyFont="1" applyAlignment="1">
      <alignment horizontal="center" vertical="center" wrapText="1"/>
    </xf>
    <xf numFmtId="167" fontId="22" fillId="0" borderId="0" xfId="8" applyNumberFormat="1" applyFont="1" applyAlignment="1">
      <alignment horizontal="center" wrapText="1"/>
    </xf>
    <xf numFmtId="0" fontId="24" fillId="0" borderId="0" xfId="8" applyFont="1" applyAlignment="1">
      <alignment horizontal="center" vertical="center" wrapText="1"/>
    </xf>
    <xf numFmtId="0" fontId="22" fillId="11" borderId="13" xfId="8" applyFont="1" applyFill="1" applyBorder="1" applyAlignment="1">
      <alignment horizontal="center" vertical="center" wrapText="1"/>
    </xf>
    <xf numFmtId="10" fontId="24" fillId="0" borderId="0" xfId="8" applyNumberFormat="1" applyFont="1" applyBorder="1" applyAlignment="1">
      <alignment wrapText="1"/>
    </xf>
    <xf numFmtId="14" fontId="21" fillId="12" borderId="20" xfId="8" applyNumberFormat="1" applyFont="1" applyFill="1" applyBorder="1" applyAlignment="1">
      <alignment horizontal="center" wrapText="1"/>
    </xf>
    <xf numFmtId="166" fontId="21" fillId="14" borderId="20" xfId="8" applyNumberFormat="1" applyFont="1" applyFill="1" applyBorder="1" applyAlignment="1">
      <alignment horizontal="center" vertical="center" wrapText="1"/>
    </xf>
    <xf numFmtId="9" fontId="22" fillId="0" borderId="0" xfId="6" applyFont="1" applyAlignment="1">
      <alignment wrapText="1"/>
    </xf>
    <xf numFmtId="0" fontId="24" fillId="18" borderId="20" xfId="8" applyFont="1" applyFill="1" applyBorder="1" applyAlignment="1">
      <alignment horizontal="right" wrapText="1"/>
    </xf>
    <xf numFmtId="0" fontId="24" fillId="0" borderId="0" xfId="8" applyFont="1" applyAlignment="1">
      <alignment wrapText="1"/>
    </xf>
    <xf numFmtId="1" fontId="21" fillId="14" borderId="20" xfId="8" applyNumberFormat="1" applyFont="1" applyFill="1" applyBorder="1" applyAlignment="1">
      <alignment horizontal="center" vertical="center" wrapText="1"/>
    </xf>
    <xf numFmtId="0" fontId="24" fillId="0" borderId="0" xfId="8" applyFont="1" applyBorder="1" applyAlignment="1">
      <alignment horizontal="right" wrapText="1"/>
    </xf>
    <xf numFmtId="0" fontId="24" fillId="0" borderId="0" xfId="8" applyFont="1" applyAlignment="1">
      <alignment horizontal="right" wrapText="1"/>
    </xf>
    <xf numFmtId="0" fontId="24" fillId="0" borderId="20" xfId="8" applyFont="1" applyFill="1" applyBorder="1" applyAlignment="1">
      <alignment horizontal="right" wrapText="1"/>
    </xf>
    <xf numFmtId="10" fontId="25" fillId="16" borderId="20" xfId="8" applyNumberFormat="1" applyFont="1" applyFill="1" applyBorder="1" applyAlignment="1">
      <alignment horizontal="center" vertical="center" wrapText="1"/>
    </xf>
    <xf numFmtId="167" fontId="25" fillId="16" borderId="20" xfId="8" applyNumberFormat="1" applyFont="1" applyFill="1" applyBorder="1" applyAlignment="1">
      <alignment horizontal="center" vertical="center" wrapText="1"/>
    </xf>
    <xf numFmtId="10" fontId="22" fillId="0" borderId="0" xfId="8" applyNumberFormat="1" applyFont="1" applyAlignment="1">
      <alignment wrapText="1"/>
    </xf>
    <xf numFmtId="10" fontId="21" fillId="16" borderId="20" xfId="8" applyNumberFormat="1" applyFont="1" applyFill="1" applyBorder="1" applyAlignment="1">
      <alignment horizontal="center" vertical="center" wrapText="1"/>
    </xf>
    <xf numFmtId="167" fontId="21" fillId="16" borderId="20" xfId="8" applyNumberFormat="1" applyFont="1" applyFill="1" applyBorder="1" applyAlignment="1">
      <alignment horizontal="center" vertical="center" wrapText="1"/>
    </xf>
    <xf numFmtId="2" fontId="21" fillId="14" borderId="20" xfId="8" applyNumberFormat="1" applyFont="1" applyFill="1" applyBorder="1" applyAlignment="1">
      <alignment horizontal="center" vertical="center" wrapText="1"/>
    </xf>
    <xf numFmtId="167" fontId="21" fillId="16" borderId="23" xfId="8" applyNumberFormat="1" applyFont="1" applyFill="1" applyBorder="1" applyAlignment="1">
      <alignment vertical="center" wrapText="1"/>
    </xf>
    <xf numFmtId="10" fontId="21" fillId="16" borderId="20" xfId="8" applyNumberFormat="1" applyFont="1" applyFill="1" applyBorder="1" applyAlignment="1">
      <alignment wrapText="1"/>
    </xf>
    <xf numFmtId="10" fontId="21" fillId="16" borderId="21" xfId="8" applyNumberFormat="1" applyFont="1" applyFill="1" applyBorder="1" applyAlignment="1">
      <alignment horizontal="center" wrapText="1"/>
    </xf>
    <xf numFmtId="10" fontId="21" fillId="16" borderId="22" xfId="8" applyNumberFormat="1" applyFont="1" applyFill="1" applyBorder="1" applyAlignment="1">
      <alignment horizontal="center" wrapText="1"/>
    </xf>
    <xf numFmtId="10" fontId="21" fillId="16" borderId="23" xfId="8" applyNumberFormat="1" applyFont="1" applyFill="1" applyBorder="1" applyAlignment="1">
      <alignment horizontal="center" wrapText="1"/>
    </xf>
    <xf numFmtId="0" fontId="22" fillId="20" borderId="20" xfId="8" applyFont="1" applyFill="1" applyBorder="1" applyAlignment="1">
      <alignment wrapText="1"/>
    </xf>
    <xf numFmtId="14" fontId="22" fillId="20" borderId="20" xfId="8" applyNumberFormat="1" applyFont="1" applyFill="1" applyBorder="1" applyAlignment="1">
      <alignment wrapText="1"/>
    </xf>
    <xf numFmtId="0" fontId="22" fillId="0" borderId="20" xfId="8" applyFont="1" applyFill="1" applyBorder="1" applyAlignment="1">
      <alignment horizontal="left" wrapText="1"/>
    </xf>
    <xf numFmtId="2" fontId="22" fillId="0" borderId="20" xfId="8" applyNumberFormat="1" applyFont="1" applyFill="1" applyBorder="1" applyAlignment="1">
      <alignment horizontal="center" vertical="center" wrapText="1"/>
    </xf>
    <xf numFmtId="166" fontId="22" fillId="0" borderId="20" xfId="8" applyNumberFormat="1" applyFont="1" applyFill="1" applyBorder="1" applyAlignment="1">
      <alignment horizontal="center" vertical="center" wrapText="1"/>
    </xf>
    <xf numFmtId="0" fontId="22" fillId="0" borderId="20" xfId="8" applyFont="1" applyBorder="1" applyAlignment="1">
      <alignment wrapText="1"/>
    </xf>
    <xf numFmtId="10" fontId="22" fillId="0" borderId="20" xfId="8" applyNumberFormat="1" applyFont="1" applyBorder="1" applyAlignment="1">
      <alignment horizontal="center" vertical="center" wrapText="1"/>
    </xf>
    <xf numFmtId="164" fontId="22" fillId="0" borderId="20" xfId="8" applyNumberFormat="1" applyFont="1" applyBorder="1" applyAlignment="1">
      <alignment horizontal="center" vertical="center" wrapText="1"/>
    </xf>
    <xf numFmtId="2" fontId="22" fillId="0" borderId="20" xfId="8" applyNumberFormat="1" applyFont="1" applyBorder="1" applyAlignment="1">
      <alignment horizontal="center" vertical="center" wrapText="1"/>
    </xf>
    <xf numFmtId="9" fontId="22" fillId="0" borderId="20" xfId="6" applyFont="1" applyBorder="1" applyAlignment="1">
      <alignment horizontal="center" vertical="center" wrapText="1"/>
    </xf>
    <xf numFmtId="164" fontId="22" fillId="0" borderId="20" xfId="6" applyNumberFormat="1" applyFont="1" applyBorder="1" applyAlignment="1">
      <alignment horizontal="center" vertical="center" wrapText="1"/>
    </xf>
    <xf numFmtId="9" fontId="22" fillId="0" borderId="0" xfId="8" applyNumberFormat="1" applyFont="1" applyAlignment="1">
      <alignment horizontal="center" vertical="center" wrapText="1"/>
    </xf>
    <xf numFmtId="0" fontId="22" fillId="0" borderId="20" xfId="8" applyFont="1" applyFill="1" applyBorder="1" applyAlignment="1">
      <alignment wrapText="1"/>
    </xf>
    <xf numFmtId="43" fontId="22" fillId="0" borderId="20" xfId="8" applyNumberFormat="1" applyFont="1" applyFill="1" applyBorder="1" applyAlignment="1">
      <alignment horizontal="center" vertical="center" wrapText="1"/>
    </xf>
    <xf numFmtId="0" fontId="22" fillId="0" borderId="15" xfId="8" applyFont="1" applyFill="1" applyBorder="1" applyAlignment="1">
      <alignment wrapText="1"/>
    </xf>
    <xf numFmtId="0" fontId="22" fillId="0" borderId="15" xfId="8" applyFont="1" applyFill="1" applyBorder="1" applyAlignment="1">
      <alignment horizontal="center" vertical="center" wrapText="1"/>
    </xf>
    <xf numFmtId="43" fontId="22" fillId="0" borderId="15" xfId="8" applyNumberFormat="1" applyFont="1" applyFill="1" applyBorder="1" applyAlignment="1">
      <alignment horizontal="center" vertical="center" wrapText="1"/>
    </xf>
    <xf numFmtId="0" fontId="22" fillId="0" borderId="15" xfId="8" applyFont="1" applyBorder="1" applyAlignment="1">
      <alignment wrapText="1"/>
    </xf>
    <xf numFmtId="2" fontId="22" fillId="0" borderId="15" xfId="8" applyNumberFormat="1" applyFont="1" applyBorder="1" applyAlignment="1">
      <alignment horizontal="center" vertical="center" wrapText="1"/>
    </xf>
    <xf numFmtId="2" fontId="22" fillId="0" borderId="0" xfId="8" applyNumberFormat="1" applyFont="1" applyBorder="1" applyAlignment="1">
      <alignment wrapText="1"/>
    </xf>
    <xf numFmtId="10" fontId="22" fillId="0" borderId="15" xfId="8" applyNumberFormat="1" applyFont="1" applyFill="1" applyBorder="1" applyAlignment="1">
      <alignment horizontal="center" vertical="center" wrapText="1"/>
    </xf>
    <xf numFmtId="9" fontId="22" fillId="21" borderId="0" xfId="6" applyFont="1" applyFill="1" applyBorder="1" applyAlignment="1">
      <alignment wrapText="1"/>
    </xf>
    <xf numFmtId="2" fontId="22" fillId="0" borderId="0" xfId="8" applyNumberFormat="1" applyFont="1" applyFill="1" applyBorder="1" applyAlignment="1">
      <alignment wrapText="1"/>
    </xf>
    <xf numFmtId="2" fontId="22" fillId="0" borderId="0" xfId="8" applyNumberFormat="1" applyFont="1" applyFill="1" applyAlignment="1">
      <alignment wrapText="1"/>
    </xf>
    <xf numFmtId="10" fontId="22" fillId="0" borderId="0" xfId="8" applyNumberFormat="1" applyFont="1" applyFill="1" applyAlignment="1">
      <alignment wrapText="1"/>
    </xf>
    <xf numFmtId="0" fontId="22" fillId="0" borderId="0" xfId="8" applyFont="1" applyFill="1" applyAlignment="1">
      <alignment wrapText="1"/>
    </xf>
    <xf numFmtId="0" fontId="22" fillId="0" borderId="0" xfId="8" applyFont="1" applyAlignment="1">
      <alignment horizontal="center" vertical="center" wrapText="1"/>
    </xf>
    <xf numFmtId="10" fontId="22" fillId="0" borderId="13" xfId="8" applyNumberFormat="1" applyFont="1" applyBorder="1" applyAlignment="1">
      <alignment horizontal="center" vertical="center" wrapText="1"/>
    </xf>
    <xf numFmtId="2" fontId="22" fillId="0" borderId="13" xfId="8" applyNumberFormat="1" applyFont="1" applyBorder="1" applyAlignment="1">
      <alignment horizontal="center" vertical="center" wrapText="1"/>
    </xf>
    <xf numFmtId="10" fontId="29" fillId="0" borderId="13" xfId="9" applyNumberFormat="1" applyFont="1" applyBorder="1" applyAlignment="1">
      <alignment horizontal="center" vertical="center" wrapText="1"/>
    </xf>
    <xf numFmtId="0" fontId="1" fillId="0" borderId="0" xfId="0" applyFont="1" applyAlignment="1">
      <alignment horizontal="center" vertical="center"/>
    </xf>
    <xf numFmtId="0" fontId="32" fillId="0" borderId="0" xfId="0" applyFont="1"/>
    <xf numFmtId="0" fontId="33" fillId="0" borderId="0" xfId="0" applyFont="1" applyAlignment="1">
      <alignment vertical="center"/>
    </xf>
    <xf numFmtId="164" fontId="32" fillId="0" borderId="0" xfId="1" applyFont="1" applyBorder="1"/>
    <xf numFmtId="0" fontId="33" fillId="0" borderId="0" xfId="0" applyFont="1"/>
    <xf numFmtId="2" fontId="0" fillId="0" borderId="0" xfId="0" applyNumberFormat="1"/>
    <xf numFmtId="0" fontId="34" fillId="0" borderId="0" xfId="0" applyFont="1" applyAlignment="1">
      <alignment horizontal="left" vertical="center"/>
    </xf>
    <xf numFmtId="0" fontId="35" fillId="0" borderId="0" xfId="0" applyFont="1"/>
    <xf numFmtId="164" fontId="35" fillId="0" borderId="0" xfId="1" applyFont="1" applyBorder="1"/>
    <xf numFmtId="0" fontId="36" fillId="0" borderId="0" xfId="0" applyFont="1" applyAlignment="1">
      <alignment horizontal="left" vertical="center"/>
    </xf>
    <xf numFmtId="171" fontId="0" fillId="0" borderId="0" xfId="0" applyNumberFormat="1"/>
    <xf numFmtId="167" fontId="0" fillId="0" borderId="0" xfId="6" applyNumberFormat="1" applyFont="1"/>
    <xf numFmtId="165" fontId="37" fillId="5" borderId="0" xfId="0" applyNumberFormat="1" applyFont="1" applyFill="1" applyBorder="1" applyAlignment="1">
      <alignment horizontal="center"/>
    </xf>
    <xf numFmtId="166" fontId="37" fillId="5" borderId="0" xfId="0" applyNumberFormat="1" applyFont="1" applyFill="1" applyBorder="1" applyAlignment="1">
      <alignment horizontal="center"/>
    </xf>
    <xf numFmtId="1" fontId="32" fillId="0" borderId="0" xfId="0" applyNumberFormat="1" applyFont="1" applyAlignment="1">
      <alignment horizontal="center" vertical="center"/>
    </xf>
    <xf numFmtId="166" fontId="32" fillId="0" borderId="0" xfId="0" applyNumberFormat="1" applyFont="1" applyAlignment="1">
      <alignment horizontal="center" vertical="center"/>
    </xf>
    <xf numFmtId="9" fontId="32" fillId="0" borderId="0" xfId="6" applyFont="1" applyAlignment="1">
      <alignment horizontal="center" vertical="center"/>
    </xf>
    <xf numFmtId="9" fontId="38" fillId="0" borderId="0" xfId="6" applyFont="1" applyAlignment="1">
      <alignment horizontal="center" vertical="center"/>
    </xf>
    <xf numFmtId="9" fontId="32" fillId="0" borderId="0" xfId="6" applyFont="1"/>
    <xf numFmtId="9" fontId="39" fillId="0" borderId="0" xfId="6" applyFont="1" applyAlignment="1">
      <alignment horizontal="center" vertical="center"/>
    </xf>
    <xf numFmtId="9" fontId="40" fillId="0" borderId="0" xfId="6" applyFont="1" applyAlignment="1">
      <alignment horizontal="center" vertical="center"/>
    </xf>
    <xf numFmtId="167" fontId="32" fillId="0" borderId="0" xfId="6" applyNumberFormat="1" applyFont="1" applyAlignment="1">
      <alignment horizontal="center" vertical="center"/>
    </xf>
    <xf numFmtId="167" fontId="39" fillId="0" borderId="0" xfId="6" applyNumberFormat="1" applyFont="1" applyAlignment="1">
      <alignment horizontal="center" vertical="center"/>
    </xf>
    <xf numFmtId="167" fontId="40" fillId="0" borderId="0" xfId="6" applyNumberFormat="1" applyFont="1" applyAlignment="1">
      <alignment horizontal="center" vertical="center"/>
    </xf>
    <xf numFmtId="9" fontId="32" fillId="0" borderId="0" xfId="0" applyNumberFormat="1" applyFont="1" applyAlignment="1">
      <alignment horizontal="center" vertical="center"/>
    </xf>
    <xf numFmtId="166" fontId="39" fillId="0" borderId="0" xfId="0" applyNumberFormat="1" applyFont="1" applyAlignment="1">
      <alignment horizontal="center" vertical="center"/>
    </xf>
    <xf numFmtId="1" fontId="39" fillId="0" borderId="0" xfId="0" applyNumberFormat="1" applyFont="1" applyAlignment="1">
      <alignment horizontal="center" vertical="center"/>
    </xf>
    <xf numFmtId="1" fontId="40" fillId="0" borderId="0" xfId="0" applyNumberFormat="1" applyFont="1" applyAlignment="1">
      <alignment horizontal="center" vertical="center"/>
    </xf>
    <xf numFmtId="9" fontId="32" fillId="0" borderId="0" xfId="6" applyNumberFormat="1" applyFont="1" applyAlignment="1">
      <alignment horizontal="center" vertical="center"/>
    </xf>
    <xf numFmtId="167" fontId="38" fillId="0" borderId="0" xfId="6" applyNumberFormat="1" applyFont="1" applyAlignment="1">
      <alignment horizontal="center" vertical="center"/>
    </xf>
    <xf numFmtId="166" fontId="40" fillId="0" borderId="0" xfId="0" applyNumberFormat="1" applyFont="1" applyAlignment="1">
      <alignment horizontal="center" vertical="center"/>
    </xf>
    <xf numFmtId="166" fontId="32" fillId="0" borderId="0" xfId="6" applyNumberFormat="1" applyFont="1" applyAlignment="1">
      <alignment horizontal="center" vertical="center"/>
    </xf>
    <xf numFmtId="166" fontId="40" fillId="0" borderId="0" xfId="6" applyNumberFormat="1" applyFont="1" applyAlignment="1">
      <alignment horizontal="center" vertical="center"/>
    </xf>
    <xf numFmtId="2" fontId="32" fillId="0" borderId="0" xfId="6" applyNumberFormat="1" applyFont="1" applyAlignment="1">
      <alignment horizontal="center" vertical="center"/>
    </xf>
    <xf numFmtId="2" fontId="40" fillId="0" borderId="0" xfId="6" applyNumberFormat="1" applyFont="1" applyAlignment="1">
      <alignment horizontal="center" vertical="center"/>
    </xf>
    <xf numFmtId="166" fontId="39" fillId="0" borderId="0" xfId="6" applyNumberFormat="1" applyFont="1" applyAlignment="1">
      <alignment horizontal="center" vertical="center"/>
    </xf>
    <xf numFmtId="164" fontId="24" fillId="0" borderId="0" xfId="0" applyNumberFormat="1" applyFont="1" applyBorder="1" applyAlignment="1">
      <alignment wrapText="1"/>
    </xf>
    <xf numFmtId="0" fontId="22" fillId="0" borderId="0" xfId="0" applyFont="1" applyBorder="1" applyAlignment="1">
      <alignment wrapText="1"/>
    </xf>
    <xf numFmtId="0" fontId="32" fillId="0" borderId="0" xfId="0" applyFont="1" applyAlignment="1">
      <alignment wrapText="1"/>
    </xf>
    <xf numFmtId="0" fontId="24" fillId="0" borderId="0" xfId="0" applyFont="1" applyBorder="1" applyAlignment="1">
      <alignment wrapText="1"/>
    </xf>
    <xf numFmtId="0" fontId="22" fillId="24" borderId="0" xfId="0" applyFont="1" applyFill="1" applyAlignment="1">
      <alignment wrapText="1"/>
    </xf>
    <xf numFmtId="0" fontId="22" fillId="0" borderId="0" xfId="0" applyFont="1" applyAlignment="1">
      <alignment wrapText="1"/>
    </xf>
    <xf numFmtId="164" fontId="21" fillId="12" borderId="20" xfId="0" applyNumberFormat="1" applyFont="1" applyFill="1" applyBorder="1" applyAlignment="1">
      <alignment horizontal="center" wrapText="1"/>
    </xf>
    <xf numFmtId="14" fontId="21" fillId="12" borderId="20" xfId="0" applyNumberFormat="1" applyFont="1" applyFill="1" applyBorder="1" applyAlignment="1">
      <alignment horizontal="center" wrapText="1"/>
    </xf>
    <xf numFmtId="0" fontId="24" fillId="0" borderId="20" xfId="0" applyFont="1" applyBorder="1" applyAlignment="1">
      <alignment wrapText="1"/>
    </xf>
    <xf numFmtId="0" fontId="22" fillId="0" borderId="20" xfId="0" applyFont="1" applyBorder="1" applyAlignment="1">
      <alignment wrapText="1"/>
    </xf>
    <xf numFmtId="0" fontId="22" fillId="0" borderId="20" xfId="0" applyFont="1" applyFill="1" applyBorder="1" applyAlignment="1">
      <alignment horizontal="left" wrapText="1"/>
    </xf>
    <xf numFmtId="0" fontId="22" fillId="0" borderId="0" xfId="0" applyFont="1" applyFill="1" applyBorder="1" applyAlignment="1">
      <alignment horizontal="left" wrapText="1"/>
    </xf>
    <xf numFmtId="4" fontId="41" fillId="0" borderId="13" xfId="0" applyNumberFormat="1" applyFont="1" applyFill="1" applyBorder="1" applyAlignment="1">
      <alignment horizontal="right" vertical="center" wrapText="1"/>
    </xf>
    <xf numFmtId="0" fontId="42" fillId="25" borderId="15" xfId="0" applyFont="1" applyFill="1" applyBorder="1" applyAlignment="1">
      <alignment horizontal="right" vertical="center" wrapText="1"/>
    </xf>
    <xf numFmtId="0" fontId="21" fillId="26" borderId="15" xfId="0" applyFont="1" applyFill="1" applyBorder="1" applyAlignment="1">
      <alignment wrapText="1"/>
    </xf>
    <xf numFmtId="14" fontId="21" fillId="12" borderId="15" xfId="0" applyNumberFormat="1" applyFont="1" applyFill="1" applyBorder="1" applyAlignment="1">
      <alignment horizontal="center" wrapText="1"/>
    </xf>
    <xf numFmtId="0" fontId="22" fillId="0" borderId="15" xfId="0" applyFont="1" applyFill="1" applyBorder="1" applyAlignment="1">
      <alignment wrapText="1"/>
    </xf>
    <xf numFmtId="2" fontId="22" fillId="0" borderId="15" xfId="0" applyNumberFormat="1" applyFont="1" applyFill="1" applyBorder="1" applyAlignment="1">
      <alignment wrapText="1"/>
    </xf>
    <xf numFmtId="164" fontId="32" fillId="0" borderId="0" xfId="1" applyFont="1" applyBorder="1" applyAlignment="1">
      <alignment wrapText="1"/>
    </xf>
    <xf numFmtId="2" fontId="22" fillId="0" borderId="15" xfId="0" applyNumberFormat="1" applyFont="1" applyFill="1" applyBorder="1" applyAlignment="1">
      <alignment horizontal="right" wrapText="1"/>
    </xf>
    <xf numFmtId="0" fontId="22" fillId="22" borderId="15" xfId="0" applyFont="1" applyFill="1" applyBorder="1" applyAlignment="1">
      <alignment wrapText="1"/>
    </xf>
    <xf numFmtId="164" fontId="21" fillId="12" borderId="24" xfId="0" applyNumberFormat="1" applyFont="1" applyFill="1" applyBorder="1" applyAlignment="1">
      <alignment horizontal="center" wrapText="1"/>
    </xf>
    <xf numFmtId="14" fontId="21" fillId="12" borderId="24" xfId="0" applyNumberFormat="1" applyFont="1" applyFill="1" applyBorder="1" applyAlignment="1">
      <alignment horizontal="center" wrapText="1"/>
    </xf>
    <xf numFmtId="0" fontId="22" fillId="0" borderId="13" xfId="0" applyFont="1" applyBorder="1" applyAlignment="1">
      <alignment wrapText="1"/>
    </xf>
    <xf numFmtId="164" fontId="22" fillId="0" borderId="13" xfId="0" applyNumberFormat="1" applyFont="1" applyBorder="1" applyAlignment="1">
      <alignment wrapText="1"/>
    </xf>
    <xf numFmtId="43" fontId="22" fillId="0" borderId="13" xfId="0" applyNumberFormat="1" applyFont="1" applyBorder="1" applyAlignment="1">
      <alignment wrapText="1"/>
    </xf>
    <xf numFmtId="0" fontId="22" fillId="24" borderId="25" xfId="0" applyFont="1" applyFill="1" applyBorder="1" applyAlignment="1">
      <alignment wrapText="1"/>
    </xf>
    <xf numFmtId="0" fontId="22" fillId="0" borderId="13" xfId="0" applyFont="1" applyFill="1" applyBorder="1" applyAlignment="1">
      <alignment wrapText="1"/>
    </xf>
    <xf numFmtId="0" fontId="22" fillId="22" borderId="13" xfId="0" applyFont="1" applyFill="1" applyBorder="1" applyAlignment="1">
      <alignment wrapText="1"/>
    </xf>
    <xf numFmtId="0" fontId="22" fillId="21" borderId="13" xfId="0" applyFont="1" applyFill="1" applyBorder="1" applyAlignment="1">
      <alignment wrapText="1"/>
    </xf>
    <xf numFmtId="164" fontId="22" fillId="0" borderId="13" xfId="0" applyNumberFormat="1" applyFont="1" applyFill="1" applyBorder="1" applyAlignment="1">
      <alignment wrapText="1"/>
    </xf>
    <xf numFmtId="1" fontId="22" fillId="0" borderId="13" xfId="0" applyNumberFormat="1" applyFont="1" applyBorder="1" applyAlignment="1">
      <alignment wrapText="1"/>
    </xf>
    <xf numFmtId="169" fontId="22" fillId="0" borderId="13" xfId="0" applyNumberFormat="1" applyFont="1" applyBorder="1" applyAlignment="1">
      <alignment wrapText="1"/>
    </xf>
    <xf numFmtId="0" fontId="22" fillId="21" borderId="0" xfId="0" applyFont="1" applyFill="1" applyBorder="1" applyAlignment="1">
      <alignment wrapText="1"/>
    </xf>
    <xf numFmtId="0" fontId="22" fillId="22" borderId="0" xfId="0" applyFont="1" applyFill="1" applyBorder="1" applyAlignment="1">
      <alignment wrapText="1"/>
    </xf>
    <xf numFmtId="1" fontId="22" fillId="0" borderId="0" xfId="0" applyNumberFormat="1" applyFont="1" applyBorder="1" applyAlignment="1">
      <alignment wrapText="1"/>
    </xf>
    <xf numFmtId="169" fontId="22" fillId="0" borderId="0" xfId="0" applyNumberFormat="1" applyFont="1" applyBorder="1" applyAlignment="1">
      <alignment horizontal="center" vertical="center" wrapText="1"/>
    </xf>
    <xf numFmtId="2" fontId="22" fillId="0" borderId="13" xfId="0" applyNumberFormat="1" applyFont="1" applyBorder="1" applyAlignment="1">
      <alignment wrapText="1"/>
    </xf>
    <xf numFmtId="9" fontId="29" fillId="0" borderId="13" xfId="6" applyFont="1" applyBorder="1" applyAlignment="1">
      <alignment wrapText="1"/>
    </xf>
    <xf numFmtId="0" fontId="22" fillId="0" borderId="15" xfId="0" applyFont="1" applyFill="1" applyBorder="1" applyAlignment="1">
      <alignment horizontal="left" wrapText="1"/>
    </xf>
    <xf numFmtId="0" fontId="22" fillId="0" borderId="15" xfId="0" applyFont="1" applyBorder="1" applyAlignment="1">
      <alignment wrapText="1"/>
    </xf>
    <xf numFmtId="2" fontId="22" fillId="0" borderId="13" xfId="0" applyNumberFormat="1" applyFont="1" applyFill="1" applyBorder="1" applyAlignment="1">
      <alignment horizontal="center" vertical="center" wrapText="1"/>
    </xf>
    <xf numFmtId="0" fontId="22" fillId="0" borderId="0" xfId="0" applyFont="1" applyFill="1" applyBorder="1" applyAlignment="1">
      <alignment wrapText="1"/>
    </xf>
    <xf numFmtId="2" fontId="22" fillId="0" borderId="13" xfId="0" applyNumberFormat="1" applyFont="1" applyBorder="1" applyAlignment="1">
      <alignment horizontal="center" vertical="center" wrapText="1"/>
    </xf>
    <xf numFmtId="10" fontId="22" fillId="0" borderId="13" xfId="0" applyNumberFormat="1" applyFont="1" applyBorder="1" applyAlignment="1">
      <alignment wrapText="1"/>
    </xf>
    <xf numFmtId="168" fontId="22" fillId="0" borderId="0" xfId="0" applyNumberFormat="1" applyFont="1" applyBorder="1" applyAlignment="1">
      <alignment wrapText="1"/>
    </xf>
    <xf numFmtId="0" fontId="43" fillId="0" borderId="0" xfId="0" applyFont="1" applyAlignment="1">
      <alignment horizontal="left" vertical="center"/>
    </xf>
    <xf numFmtId="0" fontId="16" fillId="0" borderId="0" xfId="0" applyFont="1" applyAlignment="1">
      <alignment wrapText="1"/>
    </xf>
    <xf numFmtId="171" fontId="16" fillId="0" borderId="0" xfId="0" applyNumberFormat="1" applyFont="1"/>
    <xf numFmtId="0" fontId="16" fillId="0" borderId="0" xfId="0" applyFont="1"/>
    <xf numFmtId="0" fontId="16" fillId="0" borderId="0" xfId="0" applyFont="1" applyAlignment="1">
      <alignment horizontal="center" vertical="center"/>
    </xf>
    <xf numFmtId="0" fontId="44" fillId="0" borderId="0" xfId="0" applyFont="1" applyAlignment="1">
      <alignment horizontal="left" vertical="center"/>
    </xf>
    <xf numFmtId="0" fontId="44" fillId="0" borderId="0" xfId="0" applyFont="1" applyAlignment="1">
      <alignment wrapText="1"/>
    </xf>
    <xf numFmtId="9" fontId="14" fillId="0" borderId="0" xfId="6" applyFont="1" applyAlignment="1">
      <alignment horizontal="center" vertical="center"/>
    </xf>
    <xf numFmtId="0" fontId="44" fillId="0" borderId="0" xfId="0" applyFont="1" applyFill="1" applyAlignment="1">
      <alignment horizontal="left" vertical="center"/>
    </xf>
    <xf numFmtId="171" fontId="16" fillId="0" borderId="0" xfId="0" applyNumberFormat="1" applyFont="1" applyAlignment="1">
      <alignment horizontal="center" vertical="center"/>
    </xf>
    <xf numFmtId="9" fontId="14" fillId="0" borderId="0" xfId="0" applyNumberFormat="1" applyFont="1"/>
    <xf numFmtId="164" fontId="14" fillId="0" borderId="0" xfId="6" applyNumberFormat="1" applyFont="1" applyAlignment="1">
      <alignment horizontal="center" vertical="center"/>
    </xf>
    <xf numFmtId="2" fontId="14" fillId="0" borderId="0" xfId="6" applyNumberFormat="1" applyFont="1" applyAlignment="1">
      <alignment horizontal="center" vertical="center"/>
    </xf>
    <xf numFmtId="10" fontId="14" fillId="0" borderId="0" xfId="6" applyNumberFormat="1" applyFont="1" applyAlignment="1">
      <alignment horizontal="center" vertical="center"/>
    </xf>
    <xf numFmtId="171" fontId="16" fillId="0" borderId="0" xfId="6" applyNumberFormat="1" applyFont="1" applyAlignment="1">
      <alignment horizontal="center" vertical="center"/>
    </xf>
    <xf numFmtId="1" fontId="14" fillId="0" borderId="0" xfId="6" applyNumberFormat="1" applyFont="1" applyAlignment="1">
      <alignment horizontal="center" vertical="center"/>
    </xf>
    <xf numFmtId="1" fontId="14" fillId="21" borderId="0" xfId="6" applyNumberFormat="1" applyFont="1" applyFill="1" applyAlignment="1">
      <alignment horizontal="center" vertical="center"/>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0" fontId="14" fillId="0" borderId="0" xfId="0" applyFont="1" applyAlignment="1">
      <alignment wrapText="1"/>
    </xf>
    <xf numFmtId="0" fontId="14" fillId="0" borderId="0" xfId="0" applyFont="1" applyFill="1" applyAlignment="1">
      <alignment horizontal="center"/>
    </xf>
    <xf numFmtId="164" fontId="14" fillId="0" borderId="0" xfId="0" applyNumberFormat="1" applyFont="1" applyFill="1" applyAlignment="1">
      <alignment horizontal="center"/>
    </xf>
    <xf numFmtId="1" fontId="14" fillId="0" borderId="0" xfId="0" applyNumberFormat="1" applyFont="1" applyFill="1" applyAlignment="1">
      <alignment horizontal="center" vertical="center"/>
    </xf>
    <xf numFmtId="166" fontId="14" fillId="0" borderId="0" xfId="0" applyNumberFormat="1" applyFont="1" applyFill="1" applyAlignment="1">
      <alignment horizontal="center" vertical="center"/>
    </xf>
    <xf numFmtId="166" fontId="14" fillId="0" borderId="0" xfId="6" applyNumberFormat="1" applyFont="1" applyAlignment="1">
      <alignment horizontal="center" vertical="center"/>
    </xf>
    <xf numFmtId="166" fontId="14" fillId="0" borderId="0" xfId="0" applyNumberFormat="1" applyFont="1"/>
    <xf numFmtId="9" fontId="14" fillId="0" borderId="0" xfId="6" applyFont="1" applyFill="1" applyAlignment="1">
      <alignment horizontal="center" vertical="center"/>
    </xf>
    <xf numFmtId="2" fontId="14" fillId="0" borderId="0" xfId="6" applyNumberFormat="1" applyFont="1" applyFill="1" applyAlignment="1">
      <alignment horizontal="center" vertical="center"/>
    </xf>
    <xf numFmtId="9" fontId="16" fillId="0" borderId="0" xfId="6" applyFont="1" applyAlignment="1">
      <alignment horizontal="center" vertical="center"/>
    </xf>
    <xf numFmtId="167" fontId="14" fillId="0" borderId="0" xfId="6" applyNumberFormat="1" applyFont="1" applyAlignment="1">
      <alignment horizontal="center" vertical="center"/>
    </xf>
    <xf numFmtId="0" fontId="45" fillId="0" borderId="0" xfId="0" applyFont="1" applyAlignment="1">
      <alignment wrapText="1"/>
    </xf>
    <xf numFmtId="2" fontId="14" fillId="0" borderId="0" xfId="0" applyNumberFormat="1" applyFont="1" applyAlignment="1">
      <alignment horizontal="center" vertical="center"/>
    </xf>
    <xf numFmtId="166" fontId="14" fillId="0" borderId="0" xfId="0" applyNumberFormat="1" applyFont="1" applyAlignment="1">
      <alignment horizontal="center" vertical="center"/>
    </xf>
    <xf numFmtId="164" fontId="14" fillId="0" borderId="0" xfId="0" applyNumberFormat="1" applyFont="1"/>
    <xf numFmtId="2" fontId="14" fillId="0" borderId="0" xfId="6" applyNumberFormat="1" applyFont="1"/>
    <xf numFmtId="0" fontId="14" fillId="0" borderId="0" xfId="0" applyFont="1" applyAlignment="1">
      <alignment horizontal="left" vertical="center"/>
    </xf>
    <xf numFmtId="1" fontId="14" fillId="0" borderId="0" xfId="0" applyNumberFormat="1" applyFont="1" applyAlignment="1">
      <alignment horizontal="center" vertical="center"/>
    </xf>
    <xf numFmtId="0" fontId="45" fillId="0" borderId="0" xfId="0" applyFont="1" applyAlignment="1">
      <alignment horizontal="left" vertical="center"/>
    </xf>
    <xf numFmtId="43" fontId="32" fillId="0" borderId="0" xfId="6" applyNumberFormat="1" applyFont="1"/>
    <xf numFmtId="43" fontId="32" fillId="0" borderId="0" xfId="0" applyNumberFormat="1" applyFont="1" applyAlignment="1">
      <alignment wrapText="1"/>
    </xf>
    <xf numFmtId="43" fontId="22" fillId="0" borderId="0" xfId="8" applyNumberFormat="1" applyFont="1" applyAlignment="1">
      <alignment wrapText="1"/>
    </xf>
    <xf numFmtId="9" fontId="32" fillId="0" borderId="0" xfId="6" applyFont="1" applyAlignment="1">
      <alignment horizontal="center"/>
    </xf>
    <xf numFmtId="9" fontId="0" fillId="0" borderId="0" xfId="6" applyFont="1" applyBorder="1"/>
    <xf numFmtId="9" fontId="0" fillId="0" borderId="0" xfId="6" applyFont="1" applyBorder="1" applyAlignment="1">
      <alignment horizontal="center" vertical="center"/>
    </xf>
    <xf numFmtId="172" fontId="0" fillId="0" borderId="0" xfId="1" applyNumberFormat="1" applyFont="1" applyBorder="1"/>
    <xf numFmtId="166" fontId="0" fillId="0" borderId="0" xfId="1" applyNumberFormat="1" applyFont="1" applyBorder="1" applyAlignment="1">
      <alignment horizontal="center" vertical="center"/>
    </xf>
    <xf numFmtId="166" fontId="32" fillId="0" borderId="0" xfId="0" applyNumberFormat="1" applyFont="1" applyAlignment="1">
      <alignment horizontal="center"/>
    </xf>
    <xf numFmtId="166" fontId="0" fillId="0" borderId="0" xfId="6" applyNumberFormat="1" applyFont="1" applyBorder="1"/>
    <xf numFmtId="166" fontId="0" fillId="0" borderId="0" xfId="6" applyNumberFormat="1" applyFont="1" applyBorder="1" applyAlignment="1">
      <alignment horizontal="center" vertical="center"/>
    </xf>
    <xf numFmtId="166" fontId="32" fillId="0" borderId="0" xfId="6" applyNumberFormat="1" applyFont="1" applyAlignment="1">
      <alignment horizontal="center"/>
    </xf>
    <xf numFmtId="0" fontId="32" fillId="0" borderId="0" xfId="0" applyFont="1" applyAlignment="1">
      <alignment horizontal="left" vertical="center"/>
    </xf>
    <xf numFmtId="0" fontId="0" fillId="0" borderId="0" xfId="0" applyAlignment="1">
      <alignment wrapText="1"/>
    </xf>
    <xf numFmtId="173" fontId="0" fillId="0" borderId="0" xfId="6" applyNumberFormat="1" applyFont="1"/>
    <xf numFmtId="10" fontId="0" fillId="0" borderId="0" xfId="6" applyNumberFormat="1" applyFont="1"/>
    <xf numFmtId="0" fontId="10" fillId="6" borderId="0" xfId="7"/>
    <xf numFmtId="0" fontId="0" fillId="0" borderId="0" xfId="0" applyAlignment="1">
      <alignment horizontal="right" vertical="center"/>
    </xf>
    <xf numFmtId="0" fontId="1" fillId="0" borderId="0" xfId="0" applyFont="1"/>
    <xf numFmtId="17" fontId="0" fillId="0" borderId="0" xfId="0" applyNumberFormat="1" applyAlignment="1">
      <alignment vertical="center" wrapText="1"/>
    </xf>
    <xf numFmtId="0" fontId="0" fillId="0" borderId="0" xfId="0" applyAlignment="1">
      <alignment vertical="center" wrapText="1"/>
    </xf>
    <xf numFmtId="17" fontId="0" fillId="0" borderId="0" xfId="0" applyNumberFormat="1" applyAlignment="1">
      <alignment vertical="center"/>
    </xf>
    <xf numFmtId="0" fontId="47" fillId="0" borderId="29" xfId="0" applyFont="1" applyBorder="1" applyAlignment="1">
      <alignment horizontal="right" wrapText="1"/>
    </xf>
    <xf numFmtId="10" fontId="17" fillId="0" borderId="29" xfId="0" applyNumberFormat="1" applyFont="1" applyBorder="1" applyAlignment="1">
      <alignment horizontal="right" wrapText="1"/>
    </xf>
    <xf numFmtId="10" fontId="17" fillId="0" borderId="29" xfId="0" applyNumberFormat="1" applyFont="1" applyFill="1" applyBorder="1" applyAlignment="1">
      <alignment horizontal="right" wrapText="1"/>
    </xf>
    <xf numFmtId="0" fontId="17" fillId="0" borderId="29" xfId="0" applyFont="1" applyFill="1" applyBorder="1" applyAlignment="1">
      <alignment horizontal="right" wrapText="1"/>
    </xf>
    <xf numFmtId="0" fontId="46" fillId="27" borderId="0" xfId="10" applyAlignment="1">
      <alignment vertical="center" wrapText="1"/>
    </xf>
    <xf numFmtId="0" fontId="22" fillId="0" borderId="0" xfId="0" applyFont="1" applyAlignment="1"/>
    <xf numFmtId="0" fontId="46" fillId="27" borderId="0" xfId="10"/>
    <xf numFmtId="0" fontId="46" fillId="27" borderId="0" xfId="10" applyAlignment="1">
      <alignment wrapText="1"/>
    </xf>
    <xf numFmtId="17" fontId="48" fillId="28" borderId="0" xfId="11" applyNumberFormat="1" applyAlignment="1">
      <alignment vertical="center"/>
    </xf>
    <xf numFmtId="0" fontId="48" fillId="28" borderId="0" xfId="11"/>
    <xf numFmtId="17" fontId="5" fillId="29" borderId="0" xfId="12" applyNumberFormat="1"/>
    <xf numFmtId="0" fontId="5" fillId="29" borderId="0" xfId="12" applyAlignment="1">
      <alignment vertical="center" wrapText="1"/>
    </xf>
    <xf numFmtId="10" fontId="17" fillId="0" borderId="30" xfId="0" applyNumberFormat="1" applyFont="1" applyFill="1" applyBorder="1" applyAlignment="1">
      <alignment horizontal="right" wrapText="1"/>
    </xf>
    <xf numFmtId="10" fontId="17" fillId="0" borderId="30" xfId="0" applyNumberFormat="1" applyFont="1" applyBorder="1" applyAlignment="1">
      <alignment horizontal="right" wrapText="1"/>
    </xf>
    <xf numFmtId="9" fontId="0" fillId="0" borderId="0" xfId="6" applyNumberFormat="1" applyFont="1"/>
    <xf numFmtId="22" fontId="0" fillId="0" borderId="0" xfId="0" applyNumberFormat="1"/>
    <xf numFmtId="43" fontId="0" fillId="0" borderId="0" xfId="0" applyNumberFormat="1"/>
    <xf numFmtId="0" fontId="0" fillId="0" borderId="0" xfId="0" applyAlignment="1">
      <alignment horizontal="center" wrapText="1"/>
    </xf>
    <xf numFmtId="9" fontId="14" fillId="0" borderId="0" xfId="6" quotePrefix="1" applyFont="1" applyFill="1" applyAlignment="1">
      <alignment horizontal="center" vertical="center"/>
    </xf>
    <xf numFmtId="0" fontId="0" fillId="0" borderId="0" xfId="0" applyAlignment="1">
      <alignment vertical="center" wrapText="1"/>
    </xf>
    <xf numFmtId="0" fontId="0" fillId="0" borderId="0" xfId="0" applyAlignment="1">
      <alignment horizontal="center" wrapText="1"/>
    </xf>
    <xf numFmtId="0" fontId="46" fillId="27" borderId="0" xfId="10" applyAlignment="1">
      <alignment horizontal="center"/>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22" fillId="19" borderId="25" xfId="0" applyFont="1" applyFill="1" applyBorder="1" applyAlignment="1">
      <alignment wrapText="1"/>
    </xf>
    <xf numFmtId="0" fontId="22" fillId="19" borderId="24" xfId="0" applyFont="1" applyFill="1" applyBorder="1" applyAlignment="1">
      <alignment wrapText="1"/>
    </xf>
    <xf numFmtId="0" fontId="21" fillId="23" borderId="0" xfId="0" applyFont="1" applyFill="1" applyBorder="1" applyAlignment="1">
      <alignment horizontal="center" wrapText="1"/>
    </xf>
    <xf numFmtId="0" fontId="22" fillId="19" borderId="20" xfId="0" applyFont="1" applyFill="1" applyBorder="1" applyAlignment="1">
      <alignment wrapText="1"/>
    </xf>
    <xf numFmtId="0" fontId="22" fillId="0" borderId="26" xfId="0" applyFont="1" applyBorder="1" applyAlignment="1">
      <alignment horizontal="center" wrapText="1"/>
    </xf>
    <xf numFmtId="0" fontId="22" fillId="0" borderId="19" xfId="0" applyFont="1" applyBorder="1" applyAlignment="1">
      <alignment horizontal="center" wrapText="1"/>
    </xf>
    <xf numFmtId="0" fontId="22" fillId="0" borderId="27" xfId="0" applyFont="1" applyBorder="1" applyAlignment="1">
      <alignment horizontal="center" wrapText="1"/>
    </xf>
    <xf numFmtId="0" fontId="22" fillId="19" borderId="28" xfId="0" applyFont="1" applyFill="1" applyBorder="1" applyAlignment="1">
      <alignment wrapText="1"/>
    </xf>
    <xf numFmtId="167" fontId="21" fillId="16" borderId="21" xfId="8" applyNumberFormat="1" applyFont="1" applyFill="1" applyBorder="1" applyAlignment="1">
      <alignment horizontal="center" vertical="center" wrapText="1"/>
    </xf>
    <xf numFmtId="167" fontId="21" fillId="16" borderId="22" xfId="8" applyNumberFormat="1" applyFont="1" applyFill="1" applyBorder="1" applyAlignment="1">
      <alignment horizontal="center" vertical="center" wrapText="1"/>
    </xf>
    <xf numFmtId="167" fontId="21" fillId="16" borderId="23" xfId="8" applyNumberFormat="1" applyFont="1" applyFill="1" applyBorder="1" applyAlignment="1">
      <alignment horizontal="center" vertical="center" wrapText="1"/>
    </xf>
    <xf numFmtId="0" fontId="21" fillId="12" borderId="13" xfId="8" applyFont="1" applyFill="1" applyBorder="1" applyAlignment="1">
      <alignment horizontal="center" vertical="center" wrapText="1"/>
    </xf>
    <xf numFmtId="0" fontId="22" fillId="0" borderId="18" xfId="8" applyFont="1" applyBorder="1" applyAlignment="1">
      <alignment horizontal="center" wrapText="1"/>
    </xf>
    <xf numFmtId="0" fontId="22" fillId="19" borderId="20" xfId="8" applyFont="1" applyFill="1" applyBorder="1" applyAlignment="1">
      <alignment horizontal="right" wrapText="1"/>
    </xf>
    <xf numFmtId="0" fontId="13" fillId="7" borderId="1"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5" fillId="0" borderId="0" xfId="0" applyFont="1" applyBorder="1" applyAlignment="1">
      <alignment horizontal="center"/>
    </xf>
    <xf numFmtId="0" fontId="16" fillId="0" borderId="0" xfId="0" applyFont="1" applyAlignment="1">
      <alignment horizontal="left" vertical="center"/>
    </xf>
    <xf numFmtId="0" fontId="13" fillId="8" borderId="1" xfId="0" applyFont="1" applyFill="1" applyBorder="1" applyAlignment="1">
      <alignment horizontal="center"/>
    </xf>
    <xf numFmtId="0" fontId="13" fillId="8" borderId="3" xfId="0" applyFont="1" applyFill="1" applyBorder="1" applyAlignment="1">
      <alignment horizontal="center"/>
    </xf>
    <xf numFmtId="0" fontId="16" fillId="7" borderId="12" xfId="0" applyFont="1" applyFill="1" applyBorder="1" applyAlignment="1">
      <alignment horizontal="center"/>
    </xf>
    <xf numFmtId="0" fontId="10" fillId="6" borderId="0" xfId="7" applyAlignment="1">
      <alignment horizontal="center"/>
    </xf>
  </cellXfs>
  <cellStyles count="13">
    <cellStyle name="60% - Accent1" xfId="3" builtinId="32"/>
    <cellStyle name="60% - Accent3" xfId="4" builtinId="40"/>
    <cellStyle name="60% - Accent4" xfId="12" builtinId="44"/>
    <cellStyle name="Accent6" xfId="5" builtinId="49"/>
    <cellStyle name="Bad" xfId="7" builtinId="27"/>
    <cellStyle name="Comma" xfId="1" builtinId="3"/>
    <cellStyle name="Good" xfId="10" builtinId="26"/>
    <cellStyle name="Hyperlink" xfId="2" builtinId="8"/>
    <cellStyle name="Neutral" xfId="11" builtinId="28"/>
    <cellStyle name="Normal" xfId="0" builtinId="0"/>
    <cellStyle name="Normal 2" xfId="8"/>
    <cellStyle name="Percent" xfId="6" builtinId="5"/>
    <cellStyle name="Percent 2" xfId="9"/>
  </cellStyles>
  <dxfs count="165">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color theme="0"/>
      </font>
      <fill>
        <patternFill>
          <bgColor theme="5"/>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
      <border outline="0">
        <bottom style="medium">
          <color rgb="FFCCCCCC"/>
        </bottom>
      </border>
    </dxf>
    <dxf>
      <numFmt numFmtId="22" formatCode="mmm/yy"/>
    </dxf>
    <dxf>
      <font>
        <b val="0"/>
        <i val="0"/>
        <strike val="0"/>
        <condense val="0"/>
        <extend val="0"/>
        <outline val="0"/>
        <shadow val="0"/>
        <u val="none"/>
        <vertAlign val="baseline"/>
        <sz val="11"/>
        <color theme="1"/>
        <name val="Calibri"/>
        <scheme val="minor"/>
      </font>
    </dxf>
    <dxf>
      <numFmt numFmtId="13" formatCode="0%"/>
    </dxf>
    <dxf>
      <font>
        <b val="0"/>
        <i val="0"/>
        <strike val="0"/>
        <condense val="0"/>
        <extend val="0"/>
        <outline val="0"/>
        <shadow val="0"/>
        <u val="none"/>
        <vertAlign val="baseline"/>
        <sz val="11"/>
        <color theme="1"/>
        <name val="Calibri"/>
        <scheme val="minor"/>
      </font>
    </dxf>
    <dxf>
      <numFmt numFmtId="13" formatCode="0%"/>
    </dxf>
    <dxf>
      <font>
        <b val="0"/>
        <i val="0"/>
        <strike val="0"/>
        <condense val="0"/>
        <extend val="0"/>
        <outline val="0"/>
        <shadow val="0"/>
        <u val="none"/>
        <vertAlign val="baseline"/>
        <sz val="11"/>
        <color theme="1"/>
        <name val="Calibri"/>
        <scheme val="minor"/>
      </font>
    </dxf>
    <dxf>
      <numFmt numFmtId="13" formatCode="0%"/>
    </dxf>
    <dxf>
      <font>
        <b val="0"/>
        <i val="0"/>
        <strike val="0"/>
        <condense val="0"/>
        <extend val="0"/>
        <outline val="0"/>
        <shadow val="0"/>
        <u val="none"/>
        <vertAlign val="baseline"/>
        <sz val="11"/>
        <color theme="1"/>
        <name val="Calibri"/>
        <scheme val="minor"/>
      </font>
    </dxf>
    <dxf>
      <numFmt numFmtId="13" formatCode="0%"/>
    </dxf>
    <dxf>
      <font>
        <b val="0"/>
        <i val="0"/>
        <strike val="0"/>
        <condense val="0"/>
        <extend val="0"/>
        <outline val="0"/>
        <shadow val="0"/>
        <u val="none"/>
        <vertAlign val="baseline"/>
        <sz val="11"/>
        <color theme="1"/>
        <name val="Calibri"/>
        <scheme val="minor"/>
      </font>
    </dxf>
    <dxf>
      <numFmt numFmtId="13" formatCode="0%"/>
    </dxf>
    <dxf>
      <font>
        <b val="0"/>
        <i val="0"/>
        <strike val="0"/>
        <condense val="0"/>
        <extend val="0"/>
        <outline val="0"/>
        <shadow val="0"/>
        <u val="none"/>
        <vertAlign val="baseline"/>
        <sz val="11"/>
        <color theme="1"/>
        <name val="Calibri"/>
        <scheme val="minor"/>
      </font>
    </dxf>
    <dxf>
      <numFmt numFmtId="13" formatCode="0%"/>
    </dxf>
    <dxf>
      <font>
        <b val="0"/>
        <i val="0"/>
        <strike val="0"/>
        <condense val="0"/>
        <extend val="0"/>
        <outline val="0"/>
        <shadow val="0"/>
        <u val="none"/>
        <vertAlign val="baseline"/>
        <sz val="11"/>
        <color theme="1"/>
        <name val="Calibri"/>
        <scheme val="minor"/>
      </font>
    </dxf>
    <dxf>
      <numFmt numFmtId="13" formatCode="0%"/>
    </dxf>
    <dxf>
      <font>
        <b val="0"/>
        <i val="0"/>
        <strike val="0"/>
        <condense val="0"/>
        <extend val="0"/>
        <outline val="0"/>
        <shadow val="0"/>
        <u val="none"/>
        <vertAlign val="baseline"/>
        <sz val="11"/>
        <color theme="1"/>
        <name val="Calibri"/>
        <scheme val="minor"/>
      </font>
    </dxf>
    <dxf>
      <numFmt numFmtId="13" formatCode="0%"/>
    </dxf>
    <dxf>
      <font>
        <b val="0"/>
        <i val="0"/>
        <strike val="0"/>
        <condense val="0"/>
        <extend val="0"/>
        <outline val="0"/>
        <shadow val="0"/>
        <u val="none"/>
        <vertAlign val="baseline"/>
        <sz val="11"/>
        <color theme="1"/>
        <name val="Calibri"/>
        <scheme val="minor"/>
      </font>
    </dxf>
    <dxf>
      <numFmt numFmtId="14" formatCode="0.00%"/>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11"/>
        <color theme="1"/>
        <name val="Calibri"/>
        <scheme val="minor"/>
      </font>
    </dxf>
    <dxf>
      <numFmt numFmtId="13" formatCode="0%"/>
    </dxf>
    <dxf>
      <numFmt numFmtId="0" formatCode="General"/>
    </dxf>
    <dxf>
      <font>
        <b val="0"/>
        <i val="0"/>
        <strike val="0"/>
        <condense val="0"/>
        <extend val="0"/>
        <outline val="0"/>
        <shadow val="0"/>
        <u val="none"/>
        <vertAlign val="baseline"/>
        <sz val="9"/>
        <color theme="1"/>
        <name val="Calibri"/>
        <scheme val="minor"/>
      </font>
    </dxf>
  </dxfs>
  <tableStyles count="0" defaultTableStyle="TableStyleMedium9" defaultPivotStyle="PivotStyleLight16"/>
  <colors>
    <mruColors>
      <color rgb="FFC2E8C7"/>
      <color rgb="FFB1CFC4"/>
      <color rgb="FF0275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Sales</c:v>
          </c:tx>
          <c:spPr>
            <a:solidFill>
              <a:srgbClr val="92D050"/>
            </a:solidFill>
          </c:spPr>
          <c:invertIfNegative val="1"/>
          <c:dLbls>
            <c:numFmt formatCode="#,##0" sourceLinked="0"/>
            <c:txPr>
              <a:bodyPr/>
              <a:lstStyle/>
              <a:p>
                <a:pPr>
                  <a:defRPr sz="800"/>
                </a:pPr>
                <a:endParaRPr lang="en-US"/>
              </a:p>
            </c:txPr>
            <c:showLegendKey val="0"/>
            <c:showVal val="1"/>
            <c:showCatName val="0"/>
            <c:showSerName val="0"/>
            <c:showPercent val="0"/>
            <c:showBubbleSize val="0"/>
            <c:showLeaderLines val="0"/>
          </c:dLbls>
          <c:cat>
            <c:numRef>
              <c:f>'Data Sheet'!$B$16:$K$16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Sheet'!$B$17:$K$17</c:f>
              <c:numCache>
                <c:formatCode>General</c:formatCode>
                <c:ptCount val="10"/>
                <c:pt idx="0">
                  <c:v>203.76</c:v>
                </c:pt>
                <c:pt idx="1">
                  <c:v>262.27</c:v>
                </c:pt>
                <c:pt idx="2">
                  <c:v>301.95</c:v>
                </c:pt>
                <c:pt idx="3">
                  <c:v>410.92</c:v>
                </c:pt>
                <c:pt idx="4">
                  <c:v>428.3</c:v>
                </c:pt>
                <c:pt idx="5">
                  <c:v>446.05</c:v>
                </c:pt>
                <c:pt idx="6">
                  <c:v>488.34</c:v>
                </c:pt>
                <c:pt idx="7">
                  <c:v>616.47</c:v>
                </c:pt>
                <c:pt idx="8">
                  <c:v>766.87</c:v>
                </c:pt>
                <c:pt idx="9">
                  <c:v>933.38</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47303680"/>
        <c:axId val="185537280"/>
      </c:barChart>
      <c:catAx>
        <c:axId val="47303680"/>
        <c:scaling>
          <c:orientation val="minMax"/>
        </c:scaling>
        <c:delete val="0"/>
        <c:axPos val="b"/>
        <c:numFmt formatCode="yy;@" sourceLinked="0"/>
        <c:majorTickMark val="out"/>
        <c:minorTickMark val="none"/>
        <c:tickLblPos val="nextTo"/>
        <c:txPr>
          <a:bodyPr/>
          <a:lstStyle/>
          <a:p>
            <a:pPr>
              <a:defRPr sz="800"/>
            </a:pPr>
            <a:endParaRPr lang="en-US"/>
          </a:p>
        </c:txPr>
        <c:crossAx val="185537280"/>
        <c:crosses val="autoZero"/>
        <c:auto val="0"/>
        <c:lblAlgn val="ctr"/>
        <c:lblOffset val="100"/>
        <c:noMultiLvlLbl val="0"/>
      </c:catAx>
      <c:valAx>
        <c:axId val="185537280"/>
        <c:scaling>
          <c:orientation val="minMax"/>
        </c:scaling>
        <c:delete val="1"/>
        <c:axPos val="l"/>
        <c:majorGridlines>
          <c:spPr>
            <a:ln>
              <a:noFill/>
            </a:ln>
          </c:spPr>
        </c:majorGridlines>
        <c:numFmt formatCode="General" sourceLinked="1"/>
        <c:majorTickMark val="none"/>
        <c:minorTickMark val="none"/>
        <c:tickLblPos val="none"/>
        <c:crossAx val="47303680"/>
        <c:crosses val="autoZero"/>
        <c:crossBetween val="between"/>
      </c:valAx>
      <c:spPr>
        <a:noFill/>
        <a:ln w="25400">
          <a:noFill/>
        </a:ln>
      </c:spPr>
    </c:plotArea>
    <c:legend>
      <c:legendPos val="r"/>
      <c:layout>
        <c:manualLayout>
          <c:xMode val="edge"/>
          <c:yMode val="edge"/>
          <c:x val="7.398170094821771E-2"/>
          <c:y val="3.9101979003010767E-2"/>
          <c:w val="0.19546184870643013"/>
          <c:h val="0.1369917680744452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Fixed Asset Turn</a:t>
            </a:r>
          </a:p>
        </c:rich>
      </c:tx>
      <c:layout>
        <c:manualLayout>
          <c:xMode val="edge"/>
          <c:yMode val="edge"/>
          <c:x val="5.296996901299489E-3"/>
          <c:y val="2.7777777777777776E-2"/>
        </c:manualLayout>
      </c:layout>
      <c:overlay val="1"/>
    </c:title>
    <c:autoTitleDeleted val="0"/>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Fixed Asset Turn</c:v>
          </c:tx>
          <c:spPr>
            <a:solidFill>
              <a:srgbClr val="DEF5FA">
                <a:lumMod val="90000"/>
              </a:srgbClr>
            </a:solidFill>
          </c:spPr>
          <c:invertIfNegative val="0"/>
          <c:dLbls>
            <c:numFmt formatCode="#,##0.0" sourceLinked="0"/>
            <c:txPr>
              <a:bodyPr/>
              <a:lstStyle/>
              <a:p>
                <a:pPr>
                  <a:defRPr sz="800"/>
                </a:pPr>
                <a:endParaRPr lang="en-US"/>
              </a:p>
            </c:txPr>
            <c:dLblPos val="inEnd"/>
            <c:showLegendKey val="0"/>
            <c:showVal val="1"/>
            <c:showCatName val="0"/>
            <c:showSerName val="0"/>
            <c:showPercent val="0"/>
            <c:showBubbleSize val="0"/>
            <c:showLeaderLines val="0"/>
          </c:dLbls>
          <c:cat>
            <c:numRef>
              <c:f>Asset_Ratio!$B$1:$K$1</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Asset_Ratio!$B$54:$K$54</c:f>
              <c:numCache>
                <c:formatCode>0.0</c:formatCode>
                <c:ptCount val="10"/>
                <c:pt idx="0">
                  <c:v>0.85073692121414557</c:v>
                </c:pt>
                <c:pt idx="1">
                  <c:v>0.8374952101162344</c:v>
                </c:pt>
                <c:pt idx="2">
                  <c:v>1.0232818218788124</c:v>
                </c:pt>
                <c:pt idx="3">
                  <c:v>1.6484274711168165</c:v>
                </c:pt>
                <c:pt idx="4">
                  <c:v>1.8777675478977596</c:v>
                </c:pt>
                <c:pt idx="5">
                  <c:v>2.0942297760458235</c:v>
                </c:pt>
                <c:pt idx="6">
                  <c:v>2.5539459233303696</c:v>
                </c:pt>
                <c:pt idx="7">
                  <c:v>1.4792676488937948</c:v>
                </c:pt>
                <c:pt idx="8">
                  <c:v>2.0071452875127593</c:v>
                </c:pt>
                <c:pt idx="9">
                  <c:v>1.5194452131729315</c:v>
                </c:pt>
              </c:numCache>
            </c:numRef>
          </c:val>
        </c:ser>
        <c:dLbls>
          <c:showLegendKey val="0"/>
          <c:showVal val="1"/>
          <c:showCatName val="0"/>
          <c:showSerName val="0"/>
          <c:showPercent val="0"/>
          <c:showBubbleSize val="0"/>
        </c:dLbls>
        <c:gapWidth val="25"/>
        <c:overlap val="1"/>
        <c:axId val="186058624"/>
        <c:axId val="186073856"/>
      </c:barChart>
      <c:catAx>
        <c:axId val="186058624"/>
        <c:scaling>
          <c:orientation val="minMax"/>
        </c:scaling>
        <c:delete val="0"/>
        <c:axPos val="b"/>
        <c:numFmt formatCode="yy;@" sourceLinked="0"/>
        <c:majorTickMark val="out"/>
        <c:minorTickMark val="none"/>
        <c:tickLblPos val="nextTo"/>
        <c:crossAx val="186073856"/>
        <c:crosses val="autoZero"/>
        <c:auto val="0"/>
        <c:lblAlgn val="ctr"/>
        <c:lblOffset val="100"/>
        <c:noMultiLvlLbl val="0"/>
      </c:catAx>
      <c:valAx>
        <c:axId val="186073856"/>
        <c:scaling>
          <c:orientation val="minMax"/>
        </c:scaling>
        <c:delete val="1"/>
        <c:axPos val="l"/>
        <c:majorGridlines>
          <c:spPr>
            <a:ln>
              <a:noFill/>
            </a:ln>
          </c:spPr>
        </c:majorGridlines>
        <c:numFmt formatCode="0.0" sourceLinked="1"/>
        <c:majorTickMark val="none"/>
        <c:minorTickMark val="none"/>
        <c:tickLblPos val="none"/>
        <c:crossAx val="186058624"/>
        <c:crosses val="autoZero"/>
        <c:crossBetween val="between"/>
      </c:valAx>
      <c:spPr>
        <a:noFill/>
        <a:ln w="25400">
          <a:noFill/>
        </a:ln>
      </c:spPr>
    </c:plotArea>
    <c:plotVisOnly val="1"/>
    <c:dispBlanksAs val="gap"/>
    <c:showDLblsOverMax val="0"/>
  </c:chart>
  <c:spPr>
    <a:ln w="3175"/>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CFI</a:t>
            </a:r>
          </a:p>
        </c:rich>
      </c:tx>
      <c:layout>
        <c:manualLayout>
          <c:xMode val="edge"/>
          <c:yMode val="edge"/>
          <c:x val="4.9813948314956428E-4"/>
          <c:y val="0"/>
        </c:manualLayout>
      </c:layout>
      <c:overlay val="1"/>
    </c:title>
    <c:autoTitleDeleted val="0"/>
    <c:plotArea>
      <c:layout>
        <c:manualLayout>
          <c:layoutTarget val="inner"/>
          <c:xMode val="edge"/>
          <c:yMode val="edge"/>
          <c:x val="1.2787245656366472E-2"/>
          <c:y val="2.745844269466317E-2"/>
          <c:w val="0.9639871697662179"/>
          <c:h val="0.8488779527559055"/>
        </c:manualLayout>
      </c:layout>
      <c:barChart>
        <c:barDir val="col"/>
        <c:grouping val="clustered"/>
        <c:varyColors val="0"/>
        <c:ser>
          <c:idx val="0"/>
          <c:order val="0"/>
          <c:tx>
            <c:v>CFI</c:v>
          </c:tx>
          <c:spPr>
            <a:solidFill>
              <a:srgbClr val="92D050"/>
            </a:solidFill>
          </c:spPr>
          <c:invertIfNegative val="1"/>
          <c:dLbls>
            <c:numFmt formatCode="0_);\(0\)" sourceLinked="0"/>
            <c:txPr>
              <a:bodyPr/>
              <a:lstStyle/>
              <a:p>
                <a:pPr>
                  <a:defRPr sz="800"/>
                </a:pPr>
                <a:endParaRPr lang="en-US"/>
              </a:p>
            </c:txPr>
            <c:dLblPos val="inEnd"/>
            <c:showLegendKey val="0"/>
            <c:showVal val="1"/>
            <c:showCatName val="0"/>
            <c:showSerName val="0"/>
            <c:showPercent val="0"/>
            <c:showBubbleSize val="0"/>
            <c:showLeaderLines val="0"/>
          </c:dLbls>
          <c:cat>
            <c:numRef>
              <c:f>'Data Sheet'!$B$81:$K$81</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Sheet'!$B$83:$K$83</c:f>
              <c:numCache>
                <c:formatCode>General</c:formatCode>
                <c:ptCount val="10"/>
                <c:pt idx="0">
                  <c:v>-62.64</c:v>
                </c:pt>
                <c:pt idx="1">
                  <c:v>-21.88</c:v>
                </c:pt>
                <c:pt idx="2">
                  <c:v>-7.0000000000000007E-2</c:v>
                </c:pt>
                <c:pt idx="3">
                  <c:v>0.2</c:v>
                </c:pt>
                <c:pt idx="4">
                  <c:v>-8.2899999999999991</c:v>
                </c:pt>
                <c:pt idx="5">
                  <c:v>-4.3899999999999997</c:v>
                </c:pt>
                <c:pt idx="6">
                  <c:v>-38.85</c:v>
                </c:pt>
                <c:pt idx="7">
                  <c:v>-219.45</c:v>
                </c:pt>
                <c:pt idx="8">
                  <c:v>-35.78</c:v>
                </c:pt>
                <c:pt idx="9">
                  <c:v>-242.12</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186080256"/>
        <c:axId val="186087296"/>
      </c:barChart>
      <c:catAx>
        <c:axId val="186080256"/>
        <c:scaling>
          <c:orientation val="minMax"/>
        </c:scaling>
        <c:delete val="0"/>
        <c:axPos val="b"/>
        <c:numFmt formatCode="yy;@" sourceLinked="0"/>
        <c:majorTickMark val="out"/>
        <c:minorTickMark val="none"/>
        <c:tickLblPos val="low"/>
        <c:txPr>
          <a:bodyPr/>
          <a:lstStyle/>
          <a:p>
            <a:pPr>
              <a:defRPr sz="800"/>
            </a:pPr>
            <a:endParaRPr lang="en-US"/>
          </a:p>
        </c:txPr>
        <c:crossAx val="186087296"/>
        <c:crosses val="autoZero"/>
        <c:auto val="0"/>
        <c:lblAlgn val="ctr"/>
        <c:lblOffset val="100"/>
        <c:noMultiLvlLbl val="0"/>
      </c:catAx>
      <c:valAx>
        <c:axId val="186087296"/>
        <c:scaling>
          <c:orientation val="minMax"/>
        </c:scaling>
        <c:delete val="1"/>
        <c:axPos val="l"/>
        <c:majorGridlines>
          <c:spPr>
            <a:ln>
              <a:noFill/>
            </a:ln>
          </c:spPr>
        </c:majorGridlines>
        <c:numFmt formatCode="General" sourceLinked="1"/>
        <c:majorTickMark val="none"/>
        <c:minorTickMark val="none"/>
        <c:tickLblPos val="none"/>
        <c:crossAx val="18608025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93713199912510936"/>
        </c:manualLayout>
      </c:layout>
      <c:barChart>
        <c:barDir val="col"/>
        <c:grouping val="clustered"/>
        <c:varyColors val="0"/>
        <c:ser>
          <c:idx val="0"/>
          <c:order val="0"/>
          <c:tx>
            <c:v>RoE</c:v>
          </c:tx>
          <c:spPr>
            <a:solidFill>
              <a:srgbClr val="B5E9F4"/>
            </a:solidFill>
          </c:spPr>
          <c:invertIfNegative val="1"/>
          <c:dLbls>
            <c:numFmt formatCode="0%;\(0%\)" sourceLinked="0"/>
            <c:txPr>
              <a:bodyPr rot="5400000" vert="horz"/>
              <a:lstStyle/>
              <a:p>
                <a:pPr>
                  <a:defRPr sz="1000"/>
                </a:pPr>
                <a:endParaRPr lang="en-US"/>
              </a:p>
            </c:txPr>
            <c:dLblPos val="inEnd"/>
            <c:showLegendKey val="0"/>
            <c:showVal val="1"/>
            <c:showCatName val="0"/>
            <c:showSerName val="0"/>
            <c:showPercent val="0"/>
            <c:showBubbleSize val="0"/>
            <c:showLeaderLines val="0"/>
          </c:dLbls>
          <c:cat>
            <c:numRef>
              <c:f>'Financial Analysis'!$C$64:$K$64</c:f>
              <c:numCache>
                <c:formatCode>[$-409]d\-mmm\-yy;@</c:formatCode>
                <c:ptCount val="9"/>
                <c:pt idx="0">
                  <c:v>39903</c:v>
                </c:pt>
                <c:pt idx="1">
                  <c:v>40268</c:v>
                </c:pt>
                <c:pt idx="2">
                  <c:v>40633</c:v>
                </c:pt>
                <c:pt idx="3">
                  <c:v>40999</c:v>
                </c:pt>
                <c:pt idx="4">
                  <c:v>41364</c:v>
                </c:pt>
                <c:pt idx="5">
                  <c:v>41729</c:v>
                </c:pt>
                <c:pt idx="6">
                  <c:v>42094</c:v>
                </c:pt>
                <c:pt idx="7">
                  <c:v>42460</c:v>
                </c:pt>
                <c:pt idx="8">
                  <c:v>42825</c:v>
                </c:pt>
              </c:numCache>
            </c:numRef>
          </c:cat>
          <c:val>
            <c:numRef>
              <c:f>Others!$C$5:$K$5</c:f>
              <c:numCache>
                <c:formatCode>0.00%</c:formatCode>
                <c:ptCount val="9"/>
                <c:pt idx="0">
                  <c:v>-0.17419753086419754</c:v>
                </c:pt>
                <c:pt idx="1">
                  <c:v>8.8570498209052419E-3</c:v>
                </c:pt>
                <c:pt idx="2">
                  <c:v>8.1224391419619194E-2</c:v>
                </c:pt>
                <c:pt idx="3">
                  <c:v>3.4680076296167853E-3</c:v>
                </c:pt>
                <c:pt idx="4">
                  <c:v>0.15086689783942386</c:v>
                </c:pt>
                <c:pt idx="5">
                  <c:v>0.29938882671946287</c:v>
                </c:pt>
                <c:pt idx="6">
                  <c:v>0.27440209017217121</c:v>
                </c:pt>
                <c:pt idx="7">
                  <c:v>0.23701795346590451</c:v>
                </c:pt>
                <c:pt idx="8">
                  <c:v>0.24750438492020527</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ser>
          <c:idx val="1"/>
          <c:order val="1"/>
          <c:tx>
            <c:v>RoCE</c:v>
          </c:tx>
          <c:spPr>
            <a:solidFill>
              <a:srgbClr val="F2A4A7"/>
            </a:solidFill>
          </c:spPr>
          <c:invertIfNegative val="1"/>
          <c:dLbls>
            <c:numFmt formatCode="0%;\(0%\)" sourceLinked="0"/>
            <c:txPr>
              <a:bodyPr rot="5400000" vert="horz"/>
              <a:lstStyle/>
              <a:p>
                <a:pPr>
                  <a:defRPr sz="1000"/>
                </a:pPr>
                <a:endParaRPr lang="en-US"/>
              </a:p>
            </c:txPr>
            <c:dLblPos val="inEnd"/>
            <c:showLegendKey val="0"/>
            <c:showVal val="1"/>
            <c:showCatName val="0"/>
            <c:showSerName val="0"/>
            <c:showPercent val="0"/>
            <c:showBubbleSize val="0"/>
            <c:showLeaderLines val="0"/>
          </c:dLbls>
          <c:cat>
            <c:numRef>
              <c:f>'Financial Analysis'!$C$64:$K$64</c:f>
              <c:numCache>
                <c:formatCode>[$-409]d\-mmm\-yy;@</c:formatCode>
                <c:ptCount val="9"/>
                <c:pt idx="0">
                  <c:v>39903</c:v>
                </c:pt>
                <c:pt idx="1">
                  <c:v>40268</c:v>
                </c:pt>
                <c:pt idx="2">
                  <c:v>40633</c:v>
                </c:pt>
                <c:pt idx="3">
                  <c:v>40999</c:v>
                </c:pt>
                <c:pt idx="4">
                  <c:v>41364</c:v>
                </c:pt>
                <c:pt idx="5">
                  <c:v>41729</c:v>
                </c:pt>
                <c:pt idx="6">
                  <c:v>42094</c:v>
                </c:pt>
                <c:pt idx="7">
                  <c:v>42460</c:v>
                </c:pt>
                <c:pt idx="8">
                  <c:v>42825</c:v>
                </c:pt>
              </c:numCache>
            </c:numRef>
          </c:cat>
          <c:val>
            <c:numRef>
              <c:f>'Financial Analysis'!$C$71:$K$71</c:f>
              <c:numCache>
                <c:formatCode>0.0%</c:formatCode>
                <c:ptCount val="9"/>
                <c:pt idx="0">
                  <c:v>2.2498995580554435E-3</c:v>
                </c:pt>
                <c:pt idx="1">
                  <c:v>4.1610842007626506E-2</c:v>
                </c:pt>
                <c:pt idx="2">
                  <c:v>8.2914844214050432E-2</c:v>
                </c:pt>
                <c:pt idx="3">
                  <c:v>6.3174205852553789E-2</c:v>
                </c:pt>
                <c:pt idx="4">
                  <c:v>0.15704387990762128</c:v>
                </c:pt>
                <c:pt idx="5">
                  <c:v>0.22563552434822182</c:v>
                </c:pt>
                <c:pt idx="6">
                  <c:v>0.14006162197850569</c:v>
                </c:pt>
                <c:pt idx="7">
                  <c:v>0.17607717272417561</c:v>
                </c:pt>
                <c:pt idx="8">
                  <c:v>0.11255886587121487</c:v>
                </c:pt>
              </c:numCache>
            </c:numRef>
          </c:val>
          <c:extLst>
            <c:ext xmlns:c14="http://schemas.microsoft.com/office/drawing/2007/8/2/chart" uri="{6F2FDCE9-48DA-4B69-8628-5D25D57E5C99}">
              <c14:invertSolidFillFmt>
                <c14:spPr xmlns:c14="http://schemas.microsoft.com/office/drawing/2007/8/2/chart">
                  <a:solidFill>
                    <a:srgbClr val="FFC000"/>
                  </a:solidFill>
                </c14:spPr>
              </c14:invertSolidFillFmt>
            </c:ext>
          </c:extLst>
        </c:ser>
        <c:dLbls>
          <c:showLegendKey val="0"/>
          <c:showVal val="1"/>
          <c:showCatName val="0"/>
          <c:showSerName val="0"/>
          <c:showPercent val="0"/>
          <c:showBubbleSize val="0"/>
        </c:dLbls>
        <c:gapWidth val="25"/>
        <c:overlap val="1"/>
        <c:axId val="186108928"/>
        <c:axId val="186118912"/>
      </c:barChart>
      <c:catAx>
        <c:axId val="186108928"/>
        <c:scaling>
          <c:orientation val="minMax"/>
        </c:scaling>
        <c:delete val="0"/>
        <c:axPos val="b"/>
        <c:numFmt formatCode="yy;@" sourceLinked="0"/>
        <c:majorTickMark val="out"/>
        <c:minorTickMark val="none"/>
        <c:tickLblPos val="low"/>
        <c:txPr>
          <a:bodyPr/>
          <a:lstStyle/>
          <a:p>
            <a:pPr>
              <a:defRPr sz="800"/>
            </a:pPr>
            <a:endParaRPr lang="en-US"/>
          </a:p>
        </c:txPr>
        <c:crossAx val="186118912"/>
        <c:crosses val="autoZero"/>
        <c:auto val="0"/>
        <c:lblAlgn val="ctr"/>
        <c:lblOffset val="100"/>
        <c:noMultiLvlLbl val="0"/>
      </c:catAx>
      <c:valAx>
        <c:axId val="186118912"/>
        <c:scaling>
          <c:orientation val="minMax"/>
        </c:scaling>
        <c:delete val="1"/>
        <c:axPos val="l"/>
        <c:majorGridlines>
          <c:spPr>
            <a:ln>
              <a:noFill/>
            </a:ln>
          </c:spPr>
        </c:majorGridlines>
        <c:numFmt formatCode="0.00%" sourceLinked="1"/>
        <c:majorTickMark val="none"/>
        <c:minorTickMark val="none"/>
        <c:tickLblPos val="none"/>
        <c:crossAx val="186108928"/>
        <c:crosses val="autoZero"/>
        <c:crossBetween val="between"/>
      </c:valAx>
      <c:spPr>
        <a:noFill/>
        <a:ln w="25400">
          <a:noFill/>
        </a:ln>
      </c:spPr>
    </c:plotArea>
    <c:legend>
      <c:legendPos val="r"/>
      <c:layout>
        <c:manualLayout>
          <c:xMode val="edge"/>
          <c:yMode val="edge"/>
          <c:x val="1.009273840769904E-2"/>
          <c:y val="2.0583624963546224E-2"/>
          <c:w val="0.16240497604517495"/>
          <c:h val="0.25115157480314959"/>
        </c:manualLayout>
      </c:layout>
      <c:overlay val="0"/>
    </c:legend>
    <c:plotVisOnly val="1"/>
    <c:dispBlanksAs val="gap"/>
    <c:showDLblsOverMax val="0"/>
  </c:chart>
  <c:spPr>
    <a:ln w="3175"/>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93221128608923898"/>
        </c:manualLayout>
      </c:layout>
      <c:barChart>
        <c:barDir val="col"/>
        <c:grouping val="clustered"/>
        <c:varyColors val="0"/>
        <c:ser>
          <c:idx val="9"/>
          <c:order val="0"/>
          <c:tx>
            <c:v>Operating Profit</c:v>
          </c:tx>
          <c:spPr>
            <a:solidFill>
              <a:srgbClr val="B1CFC4"/>
            </a:solidFill>
          </c:spPr>
          <c:invertIfNegative val="1"/>
          <c:dLbls>
            <c:numFmt formatCode="#,##0_);\(#,##0\)" sourceLinked="0"/>
            <c:txPr>
              <a:bodyPr/>
              <a:lstStyle/>
              <a:p>
                <a:pPr>
                  <a:defRPr sz="800"/>
                </a:pPr>
                <a:endParaRPr lang="en-US"/>
              </a:p>
            </c:txPr>
            <c:dLblPos val="inEnd"/>
            <c:showLegendKey val="0"/>
            <c:showVal val="1"/>
            <c:showCatName val="0"/>
            <c:showSerName val="0"/>
            <c:showPercent val="0"/>
            <c:showBubbleSize val="0"/>
            <c:showLeaderLines val="0"/>
          </c:dLbls>
          <c:cat>
            <c:numRef>
              <c:f>'Profit &amp; Loss'!$B$3:$K$3</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'Profit &amp; Loss'!$B$6:$K$6</c:f>
              <c:numCache>
                <c:formatCode>_ * #,##0.00_ ;_ * \-#,##0.00_ ;_ * "-"??_ ;_ @_ </c:formatCode>
                <c:ptCount val="10"/>
                <c:pt idx="0">
                  <c:v>33.240000000000009</c:v>
                </c:pt>
                <c:pt idx="1">
                  <c:v>-3.2100000000000364</c:v>
                </c:pt>
                <c:pt idx="2">
                  <c:v>34.239999999999952</c:v>
                </c:pt>
                <c:pt idx="3">
                  <c:v>75.800000000000068</c:v>
                </c:pt>
                <c:pt idx="4">
                  <c:v>45.050000000000011</c:v>
                </c:pt>
                <c:pt idx="5">
                  <c:v>72.490000000000009</c:v>
                </c:pt>
                <c:pt idx="6">
                  <c:v>93.940000000000055</c:v>
                </c:pt>
                <c:pt idx="7">
                  <c:v>99.190000000000055</c:v>
                </c:pt>
                <c:pt idx="8">
                  <c:v>137.03000000000009</c:v>
                </c:pt>
                <c:pt idx="9">
                  <c:v>133.12</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186129792"/>
        <c:axId val="186140928"/>
      </c:barChart>
      <c:catAx>
        <c:axId val="186129792"/>
        <c:scaling>
          <c:orientation val="minMax"/>
        </c:scaling>
        <c:delete val="0"/>
        <c:axPos val="b"/>
        <c:numFmt formatCode="yy;@" sourceLinked="0"/>
        <c:majorTickMark val="out"/>
        <c:minorTickMark val="none"/>
        <c:tickLblPos val="low"/>
        <c:txPr>
          <a:bodyPr/>
          <a:lstStyle/>
          <a:p>
            <a:pPr>
              <a:defRPr sz="800"/>
            </a:pPr>
            <a:endParaRPr lang="en-US"/>
          </a:p>
        </c:txPr>
        <c:crossAx val="186140928"/>
        <c:crosses val="autoZero"/>
        <c:auto val="0"/>
        <c:lblAlgn val="ctr"/>
        <c:lblOffset val="100"/>
        <c:noMultiLvlLbl val="0"/>
      </c:catAx>
      <c:valAx>
        <c:axId val="186140928"/>
        <c:scaling>
          <c:orientation val="minMax"/>
        </c:scaling>
        <c:delete val="1"/>
        <c:axPos val="l"/>
        <c:majorGridlines>
          <c:spPr>
            <a:ln>
              <a:noFill/>
            </a:ln>
          </c:spPr>
        </c:majorGridlines>
        <c:numFmt formatCode="_ * #,##0.00_ ;_ * \-#,##0.00_ ;_ * &quot;-&quot;??_ ;_ @_ " sourceLinked="1"/>
        <c:majorTickMark val="none"/>
        <c:minorTickMark val="none"/>
        <c:tickLblPos val="none"/>
        <c:crossAx val="186129792"/>
        <c:crosses val="autoZero"/>
        <c:crossBetween val="between"/>
      </c:valAx>
      <c:spPr>
        <a:noFill/>
        <a:ln w="25400">
          <a:noFill/>
        </a:ln>
      </c:spPr>
    </c:plotArea>
    <c:legend>
      <c:legendPos val="r"/>
      <c:layout>
        <c:manualLayout>
          <c:xMode val="edge"/>
          <c:yMode val="edge"/>
          <c:x val="0.1098339816890264"/>
          <c:y val="3.9101979003010767E-2"/>
          <c:w val="0.48740324067613966"/>
          <c:h val="0.13699176807444524"/>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Operating Margin</c:v>
          </c:tx>
          <c:spPr>
            <a:solidFill>
              <a:srgbClr val="B1CFC4"/>
            </a:solidFill>
          </c:spPr>
          <c:invertIfNegative val="1"/>
          <c:dLbls>
            <c:numFmt formatCode="0%" sourceLinked="0"/>
            <c:txPr>
              <a:bodyPr/>
              <a:lstStyle/>
              <a:p>
                <a:pPr>
                  <a:defRPr sz="800"/>
                </a:pPr>
                <a:endParaRPr lang="en-US"/>
              </a:p>
            </c:txPr>
            <c:dLblPos val="inEnd"/>
            <c:showLegendKey val="0"/>
            <c:showVal val="1"/>
            <c:showCatName val="0"/>
            <c:showSerName val="0"/>
            <c:showPercent val="0"/>
            <c:showBubbleSize val="0"/>
            <c:showLeaderLines val="0"/>
          </c:dLbls>
          <c:cat>
            <c:numRef>
              <c:f>'Profit &amp; Loss'!$B$3:$K$3</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'Profit &amp; Loss'!$B$19:$K$19</c:f>
              <c:numCache>
                <c:formatCode>0.00%</c:formatCode>
                <c:ptCount val="10"/>
                <c:pt idx="0">
                  <c:v>0.16313309776207308</c:v>
                </c:pt>
                <c:pt idx="1">
                  <c:v>0</c:v>
                </c:pt>
                <c:pt idx="2">
                  <c:v>0.11339625765855259</c:v>
                </c:pt>
                <c:pt idx="3">
                  <c:v>0.18446412927090447</c:v>
                </c:pt>
                <c:pt idx="4">
                  <c:v>0.10518328274573899</c:v>
                </c:pt>
                <c:pt idx="5">
                  <c:v>0.16251541307028361</c:v>
                </c:pt>
                <c:pt idx="6">
                  <c:v>0.19236597452594517</c:v>
                </c:pt>
                <c:pt idx="7">
                  <c:v>0.16089996269080417</c:v>
                </c:pt>
                <c:pt idx="8">
                  <c:v>0.17868739160483535</c:v>
                </c:pt>
                <c:pt idx="9">
                  <c:v>0.14262144035655361</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186160256"/>
        <c:axId val="186163200"/>
      </c:barChart>
      <c:catAx>
        <c:axId val="186160256"/>
        <c:scaling>
          <c:orientation val="minMax"/>
        </c:scaling>
        <c:delete val="0"/>
        <c:axPos val="b"/>
        <c:numFmt formatCode="yy;@" sourceLinked="0"/>
        <c:majorTickMark val="out"/>
        <c:minorTickMark val="none"/>
        <c:tickLblPos val="nextTo"/>
        <c:txPr>
          <a:bodyPr/>
          <a:lstStyle/>
          <a:p>
            <a:pPr>
              <a:defRPr sz="800"/>
            </a:pPr>
            <a:endParaRPr lang="en-US"/>
          </a:p>
        </c:txPr>
        <c:crossAx val="186163200"/>
        <c:crosses val="autoZero"/>
        <c:auto val="0"/>
        <c:lblAlgn val="ctr"/>
        <c:lblOffset val="100"/>
        <c:noMultiLvlLbl val="0"/>
      </c:catAx>
      <c:valAx>
        <c:axId val="186163200"/>
        <c:scaling>
          <c:orientation val="minMax"/>
        </c:scaling>
        <c:delete val="1"/>
        <c:axPos val="l"/>
        <c:majorGridlines>
          <c:spPr>
            <a:ln>
              <a:noFill/>
            </a:ln>
          </c:spPr>
        </c:majorGridlines>
        <c:numFmt formatCode="0.00%" sourceLinked="1"/>
        <c:majorTickMark val="none"/>
        <c:minorTickMark val="none"/>
        <c:tickLblPos val="none"/>
        <c:crossAx val="186160256"/>
        <c:crosses val="autoZero"/>
        <c:crossBetween val="between"/>
      </c:valAx>
      <c:spPr>
        <a:noFill/>
        <a:ln w="25400">
          <a:noFill/>
        </a:ln>
      </c:spPr>
    </c:plotArea>
    <c:legend>
      <c:legendPos val="r"/>
      <c:layout>
        <c:manualLayout>
          <c:xMode val="edge"/>
          <c:yMode val="edge"/>
          <c:x val="2.2656935132535593E-2"/>
          <c:y val="3.9101979003010767E-2"/>
          <c:w val="0.64712155930860848"/>
          <c:h val="0.13699176807444524"/>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9"/>
          <c:order val="0"/>
          <c:tx>
            <c:v>Q - Operating Profit</c:v>
          </c:tx>
          <c:spPr>
            <a:solidFill>
              <a:srgbClr val="B1CFC4"/>
            </a:solidFill>
          </c:spPr>
          <c:invertIfNegative val="1"/>
          <c:dLbls>
            <c:numFmt formatCode="#,##0_);\(#,##0\)" sourceLinked="0"/>
            <c:txPr>
              <a:bodyPr/>
              <a:lstStyle/>
              <a:p>
                <a:pPr>
                  <a:defRPr sz="800"/>
                </a:pPr>
                <a:endParaRPr lang="en-US"/>
              </a:p>
            </c:txPr>
            <c:dLblPos val="inEnd"/>
            <c:showLegendKey val="0"/>
            <c:showVal val="1"/>
            <c:showCatName val="0"/>
            <c:showSerName val="0"/>
            <c:showPercent val="0"/>
            <c:showBubbleSize val="0"/>
            <c:showLeaderLines val="0"/>
          </c:dLbls>
          <c:cat>
            <c:numRef>
              <c:f>Quarters!$B$3:$K$3</c:f>
              <c:numCache>
                <c:formatCode>[$-409]mmm\-yy;@</c:formatCode>
                <c:ptCount val="10"/>
                <c:pt idx="0">
                  <c:v>42277</c:v>
                </c:pt>
                <c:pt idx="1">
                  <c:v>42369</c:v>
                </c:pt>
                <c:pt idx="2">
                  <c:v>42460</c:v>
                </c:pt>
                <c:pt idx="3">
                  <c:v>42551</c:v>
                </c:pt>
                <c:pt idx="4">
                  <c:v>42643</c:v>
                </c:pt>
                <c:pt idx="5">
                  <c:v>42735</c:v>
                </c:pt>
                <c:pt idx="6">
                  <c:v>42825</c:v>
                </c:pt>
                <c:pt idx="7">
                  <c:v>42916</c:v>
                </c:pt>
                <c:pt idx="8">
                  <c:v>43008</c:v>
                </c:pt>
                <c:pt idx="9">
                  <c:v>43100</c:v>
                </c:pt>
              </c:numCache>
            </c:numRef>
          </c:cat>
          <c:val>
            <c:numRef>
              <c:f>Quarters!$B$6:$K$6</c:f>
              <c:numCache>
                <c:formatCode>_ * #,##0.00_ ;_ * \-#,##0.00_ ;_ * "-"??_ ;_ @_ </c:formatCode>
                <c:ptCount val="10"/>
                <c:pt idx="0">
                  <c:v>34.840000000000003</c:v>
                </c:pt>
                <c:pt idx="1">
                  <c:v>33.93</c:v>
                </c:pt>
                <c:pt idx="2">
                  <c:v>31.1</c:v>
                </c:pt>
                <c:pt idx="3">
                  <c:v>30.88</c:v>
                </c:pt>
                <c:pt idx="4">
                  <c:v>31.7</c:v>
                </c:pt>
                <c:pt idx="5">
                  <c:v>33.69</c:v>
                </c:pt>
                <c:pt idx="6">
                  <c:v>37.32</c:v>
                </c:pt>
                <c:pt idx="7">
                  <c:v>41.33</c:v>
                </c:pt>
                <c:pt idx="8">
                  <c:v>33.49</c:v>
                </c:pt>
                <c:pt idx="9">
                  <c:v>38.14</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186202752"/>
        <c:axId val="186209792"/>
      </c:barChart>
      <c:catAx>
        <c:axId val="186202752"/>
        <c:scaling>
          <c:orientation val="minMax"/>
        </c:scaling>
        <c:delete val="0"/>
        <c:axPos val="b"/>
        <c:numFmt formatCode="[$-409]mmmmm-yy;@" sourceLinked="0"/>
        <c:majorTickMark val="out"/>
        <c:minorTickMark val="none"/>
        <c:tickLblPos val="low"/>
        <c:txPr>
          <a:bodyPr/>
          <a:lstStyle/>
          <a:p>
            <a:pPr>
              <a:defRPr sz="800"/>
            </a:pPr>
            <a:endParaRPr lang="en-US"/>
          </a:p>
        </c:txPr>
        <c:crossAx val="186209792"/>
        <c:crosses val="autoZero"/>
        <c:auto val="0"/>
        <c:lblAlgn val="ctr"/>
        <c:lblOffset val="100"/>
        <c:noMultiLvlLbl val="0"/>
      </c:catAx>
      <c:valAx>
        <c:axId val="186209792"/>
        <c:scaling>
          <c:orientation val="minMax"/>
        </c:scaling>
        <c:delete val="1"/>
        <c:axPos val="l"/>
        <c:majorGridlines>
          <c:spPr>
            <a:ln>
              <a:noFill/>
            </a:ln>
          </c:spPr>
        </c:majorGridlines>
        <c:numFmt formatCode="_ * #,##0.00_ ;_ * \-#,##0.00_ ;_ * &quot;-&quot;??_ ;_ @_ " sourceLinked="1"/>
        <c:majorTickMark val="none"/>
        <c:minorTickMark val="none"/>
        <c:tickLblPos val="none"/>
        <c:crossAx val="186202752"/>
        <c:crosses val="autoZero"/>
        <c:crossBetween val="between"/>
      </c:valAx>
      <c:spPr>
        <a:noFill/>
        <a:ln w="25400">
          <a:noFill/>
        </a:ln>
      </c:spPr>
    </c:plotArea>
    <c:legend>
      <c:legendPos val="r"/>
      <c:layout>
        <c:manualLayout>
          <c:xMode val="edge"/>
          <c:yMode val="edge"/>
          <c:x val="7.398170094821771E-2"/>
          <c:y val="3.9101979003010767E-2"/>
          <c:w val="0.56278698746854439"/>
          <c:h val="0.10458442694663167"/>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Inventory Days</a:t>
            </a:r>
          </a:p>
        </c:rich>
      </c:tx>
      <c:layout>
        <c:manualLayout>
          <c:xMode val="edge"/>
          <c:yMode val="edge"/>
          <c:x val="5.7388397990246101E-4"/>
          <c:y val="0"/>
        </c:manualLayout>
      </c:layout>
      <c:overlay val="1"/>
    </c:title>
    <c:autoTitleDeleted val="0"/>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Inventory Days</c:v>
          </c:tx>
          <c:spPr>
            <a:solidFill>
              <a:srgbClr val="474B78">
                <a:lumMod val="40000"/>
                <a:lumOff val="60000"/>
              </a:srgbClr>
            </a:solidFill>
          </c:spPr>
          <c:invertIfNegative val="0"/>
          <c:dLbls>
            <c:numFmt formatCode="#,##0" sourceLinked="0"/>
            <c:txPr>
              <a:bodyPr/>
              <a:lstStyle/>
              <a:p>
                <a:pPr>
                  <a:defRPr sz="800"/>
                </a:pPr>
                <a:endParaRPr lang="en-US"/>
              </a:p>
            </c:txPr>
            <c:dLblPos val="inEnd"/>
            <c:showLegendKey val="0"/>
            <c:showVal val="1"/>
            <c:showCatName val="0"/>
            <c:showSerName val="0"/>
            <c:showPercent val="0"/>
            <c:showBubbleSize val="0"/>
            <c:showLeaderLines val="0"/>
          </c:dLbls>
          <c:cat>
            <c:numRef>
              <c:f>'Balance Sheet'!$B$3:$K$3</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Others!$B$37:$K$37</c:f>
              <c:numCache>
                <c:formatCode>0</c:formatCode>
                <c:ptCount val="10"/>
                <c:pt idx="0">
                  <c:v>87.327002355712608</c:v>
                </c:pt>
                <c:pt idx="1">
                  <c:v>57.031684904869032</c:v>
                </c:pt>
                <c:pt idx="2">
                  <c:v>91.905779102500418</c:v>
                </c:pt>
                <c:pt idx="3">
                  <c:v>72.694441740484763</c:v>
                </c:pt>
                <c:pt idx="4">
                  <c:v>65.730679430305855</c:v>
                </c:pt>
                <c:pt idx="5">
                  <c:v>67.018271494227108</c:v>
                </c:pt>
                <c:pt idx="6">
                  <c:v>52.843305893434902</c:v>
                </c:pt>
                <c:pt idx="7">
                  <c:v>55.768082793972127</c:v>
                </c:pt>
                <c:pt idx="8">
                  <c:v>54.621252624303992</c:v>
                </c:pt>
                <c:pt idx="9">
                  <c:v>66.494460991236153</c:v>
                </c:pt>
              </c:numCache>
            </c:numRef>
          </c:val>
        </c:ser>
        <c:dLbls>
          <c:showLegendKey val="0"/>
          <c:showVal val="1"/>
          <c:showCatName val="0"/>
          <c:showSerName val="0"/>
          <c:showPercent val="0"/>
          <c:showBubbleSize val="0"/>
        </c:dLbls>
        <c:gapWidth val="25"/>
        <c:overlap val="1"/>
        <c:axId val="186225024"/>
        <c:axId val="186227712"/>
      </c:barChart>
      <c:catAx>
        <c:axId val="186225024"/>
        <c:scaling>
          <c:orientation val="minMax"/>
        </c:scaling>
        <c:delete val="0"/>
        <c:axPos val="b"/>
        <c:numFmt formatCode="yy;@" sourceLinked="0"/>
        <c:majorTickMark val="out"/>
        <c:minorTickMark val="none"/>
        <c:tickLblPos val="nextTo"/>
        <c:txPr>
          <a:bodyPr/>
          <a:lstStyle/>
          <a:p>
            <a:pPr>
              <a:defRPr sz="800"/>
            </a:pPr>
            <a:endParaRPr lang="en-US"/>
          </a:p>
        </c:txPr>
        <c:crossAx val="186227712"/>
        <c:crosses val="autoZero"/>
        <c:auto val="0"/>
        <c:lblAlgn val="ctr"/>
        <c:lblOffset val="100"/>
        <c:noMultiLvlLbl val="0"/>
      </c:catAx>
      <c:valAx>
        <c:axId val="186227712"/>
        <c:scaling>
          <c:orientation val="minMax"/>
        </c:scaling>
        <c:delete val="1"/>
        <c:axPos val="l"/>
        <c:majorGridlines>
          <c:spPr>
            <a:ln>
              <a:noFill/>
            </a:ln>
          </c:spPr>
        </c:majorGridlines>
        <c:numFmt formatCode="0" sourceLinked="1"/>
        <c:majorTickMark val="none"/>
        <c:minorTickMark val="none"/>
        <c:tickLblPos val="none"/>
        <c:crossAx val="186225024"/>
        <c:crosses val="autoZero"/>
        <c:crossBetween val="between"/>
      </c:valAx>
      <c:spPr>
        <a:noFill/>
        <a:ln w="25400">
          <a:noFill/>
        </a:ln>
      </c:spPr>
    </c:plotArea>
    <c:plotVisOnly val="1"/>
    <c:dispBlanksAs val="gap"/>
    <c:showDLblsOverMax val="0"/>
  </c:chart>
  <c:spPr>
    <a:ln w="3175"/>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Recv Days</a:t>
            </a:r>
          </a:p>
        </c:rich>
      </c:tx>
      <c:layout>
        <c:manualLayout>
          <c:xMode val="edge"/>
          <c:yMode val="edge"/>
          <c:x val="1.511170948505345E-2"/>
          <c:y val="0"/>
        </c:manualLayout>
      </c:layout>
      <c:overlay val="1"/>
    </c:title>
    <c:autoTitleDeleted val="0"/>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Debtor Days</c:v>
          </c:tx>
          <c:spPr>
            <a:solidFill>
              <a:srgbClr val="EB641B">
                <a:lumMod val="40000"/>
                <a:lumOff val="60000"/>
              </a:srgbClr>
            </a:solidFill>
          </c:spPr>
          <c:invertIfNegative val="0"/>
          <c:dLbls>
            <c:numFmt formatCode="#,##0" sourceLinked="0"/>
            <c:txPr>
              <a:bodyPr/>
              <a:lstStyle/>
              <a:p>
                <a:pPr>
                  <a:defRPr sz="800"/>
                </a:pPr>
                <a:endParaRPr lang="en-US"/>
              </a:p>
            </c:txPr>
            <c:dLblPos val="inEnd"/>
            <c:showLegendKey val="0"/>
            <c:showVal val="1"/>
            <c:showCatName val="0"/>
            <c:showSerName val="0"/>
            <c:showPercent val="0"/>
            <c:showBubbleSize val="0"/>
            <c:showLeaderLines val="0"/>
          </c:dLbls>
          <c:cat>
            <c:numRef>
              <c:f>'Balance Sheet'!$B$3:$K$3</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'Balance Sheet'!$B$20:$K$20</c:f>
              <c:numCache>
                <c:formatCode>_ * #,##0.00_ ;_ * \-#,##0.00_ ;_ * "-"??_ ;_ @_ </c:formatCode>
                <c:ptCount val="10"/>
                <c:pt idx="0">
                  <c:v>21.11969964664311</c:v>
                </c:pt>
                <c:pt idx="1">
                  <c:v>21.209440652762424</c:v>
                </c:pt>
                <c:pt idx="2">
                  <c:v>11.362808411988741</c:v>
                </c:pt>
                <c:pt idx="3">
                  <c:v>31.390781660663876</c:v>
                </c:pt>
                <c:pt idx="4">
                  <c:v>15.765818351622693</c:v>
                </c:pt>
                <c:pt idx="5">
                  <c:v>22.944961327205469</c:v>
                </c:pt>
                <c:pt idx="6">
                  <c:v>18.603534422738257</c:v>
                </c:pt>
                <c:pt idx="7">
                  <c:v>23.931902606777296</c:v>
                </c:pt>
                <c:pt idx="8">
                  <c:v>18.681458395816762</c:v>
                </c:pt>
                <c:pt idx="9">
                  <c:v>18.899537165998844</c:v>
                </c:pt>
              </c:numCache>
            </c:numRef>
          </c:val>
        </c:ser>
        <c:dLbls>
          <c:showLegendKey val="0"/>
          <c:showVal val="1"/>
          <c:showCatName val="0"/>
          <c:showSerName val="0"/>
          <c:showPercent val="0"/>
          <c:showBubbleSize val="0"/>
        </c:dLbls>
        <c:gapWidth val="25"/>
        <c:overlap val="1"/>
        <c:axId val="186259328"/>
        <c:axId val="186274560"/>
      </c:barChart>
      <c:catAx>
        <c:axId val="186259328"/>
        <c:scaling>
          <c:orientation val="minMax"/>
        </c:scaling>
        <c:delete val="0"/>
        <c:axPos val="b"/>
        <c:numFmt formatCode="yy;@" sourceLinked="0"/>
        <c:majorTickMark val="out"/>
        <c:minorTickMark val="none"/>
        <c:tickLblPos val="nextTo"/>
        <c:txPr>
          <a:bodyPr/>
          <a:lstStyle/>
          <a:p>
            <a:pPr>
              <a:defRPr sz="800"/>
            </a:pPr>
            <a:endParaRPr lang="en-US"/>
          </a:p>
        </c:txPr>
        <c:crossAx val="186274560"/>
        <c:crosses val="autoZero"/>
        <c:auto val="0"/>
        <c:lblAlgn val="ctr"/>
        <c:lblOffset val="100"/>
        <c:noMultiLvlLbl val="0"/>
      </c:catAx>
      <c:valAx>
        <c:axId val="186274560"/>
        <c:scaling>
          <c:orientation val="minMax"/>
        </c:scaling>
        <c:delete val="1"/>
        <c:axPos val="l"/>
        <c:majorGridlines>
          <c:spPr>
            <a:ln>
              <a:noFill/>
            </a:ln>
          </c:spPr>
        </c:majorGridlines>
        <c:numFmt formatCode="_ * #,##0.00_ ;_ * \-#,##0.00_ ;_ * &quot;-&quot;??_ ;_ @_ " sourceLinked="1"/>
        <c:majorTickMark val="none"/>
        <c:minorTickMark val="none"/>
        <c:tickLblPos val="none"/>
        <c:crossAx val="186259328"/>
        <c:crosses val="autoZero"/>
        <c:crossBetween val="between"/>
      </c:valAx>
      <c:spPr>
        <a:noFill/>
        <a:ln w="25400">
          <a:noFill/>
        </a:ln>
      </c:spPr>
    </c:plotArea>
    <c:plotVisOnly val="1"/>
    <c:dispBlanksAs val="gap"/>
    <c:showDLblsOverMax val="0"/>
  </c:chart>
  <c:spPr>
    <a:ln w="3175"/>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CFF</a:t>
            </a:r>
          </a:p>
        </c:rich>
      </c:tx>
      <c:layout>
        <c:manualLayout>
          <c:xMode val="edge"/>
          <c:yMode val="edge"/>
          <c:x val="6.6054660231340946E-4"/>
          <c:y val="0"/>
        </c:manualLayout>
      </c:layout>
      <c:overlay val="1"/>
    </c:title>
    <c:autoTitleDeleted val="0"/>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CFF</c:v>
          </c:tx>
          <c:spPr>
            <a:solidFill>
              <a:srgbClr val="DEF5FA">
                <a:lumMod val="90000"/>
              </a:srgbClr>
            </a:solidFill>
          </c:spPr>
          <c:invertIfNegative val="0"/>
          <c:dLbls>
            <c:numFmt formatCode="#,##0_);\(#,##0\)" sourceLinked="0"/>
            <c:txPr>
              <a:bodyPr/>
              <a:lstStyle/>
              <a:p>
                <a:pPr>
                  <a:defRPr sz="800"/>
                </a:pPr>
                <a:endParaRPr lang="en-US"/>
              </a:p>
            </c:txPr>
            <c:showLegendKey val="0"/>
            <c:showVal val="1"/>
            <c:showCatName val="0"/>
            <c:showSerName val="0"/>
            <c:showPercent val="0"/>
            <c:showBubbleSize val="0"/>
            <c:showLeaderLines val="0"/>
          </c:dLbls>
          <c:cat>
            <c:numRef>
              <c:f>Others!$C$2:$K$2</c:f>
              <c:numCache>
                <c:formatCode>[$-409]mmm\-yy;@</c:formatCode>
                <c:ptCount val="9"/>
                <c:pt idx="0">
                  <c:v>39903</c:v>
                </c:pt>
                <c:pt idx="1">
                  <c:v>40268</c:v>
                </c:pt>
                <c:pt idx="2">
                  <c:v>40633</c:v>
                </c:pt>
                <c:pt idx="3">
                  <c:v>40999</c:v>
                </c:pt>
                <c:pt idx="4">
                  <c:v>41364</c:v>
                </c:pt>
                <c:pt idx="5">
                  <c:v>41729</c:v>
                </c:pt>
                <c:pt idx="6">
                  <c:v>42094</c:v>
                </c:pt>
                <c:pt idx="7">
                  <c:v>42460</c:v>
                </c:pt>
                <c:pt idx="8">
                  <c:v>42825</c:v>
                </c:pt>
              </c:numCache>
            </c:numRef>
          </c:cat>
          <c:val>
            <c:numRef>
              <c:f>Others!$C$17:$K$17</c:f>
              <c:numCache>
                <c:formatCode>General</c:formatCode>
                <c:ptCount val="9"/>
                <c:pt idx="0">
                  <c:v>32.07000000000005</c:v>
                </c:pt>
                <c:pt idx="1">
                  <c:v>14.099999999999966</c:v>
                </c:pt>
                <c:pt idx="2">
                  <c:v>-24.480000000000018</c:v>
                </c:pt>
                <c:pt idx="3">
                  <c:v>-35.109999999999985</c:v>
                </c:pt>
                <c:pt idx="4">
                  <c:v>-42.28</c:v>
                </c:pt>
                <c:pt idx="5">
                  <c:v>-34.009999999999991</c:v>
                </c:pt>
                <c:pt idx="6">
                  <c:v>197.61999999999998</c:v>
                </c:pt>
                <c:pt idx="7">
                  <c:v>-30.779999999999987</c:v>
                </c:pt>
                <c:pt idx="8">
                  <c:v>205.92000000000002</c:v>
                </c:pt>
              </c:numCache>
            </c:numRef>
          </c:val>
        </c:ser>
        <c:dLbls>
          <c:showLegendKey val="0"/>
          <c:showVal val="1"/>
          <c:showCatName val="0"/>
          <c:showSerName val="0"/>
          <c:showPercent val="0"/>
          <c:showBubbleSize val="0"/>
        </c:dLbls>
        <c:gapWidth val="25"/>
        <c:overlap val="1"/>
        <c:axId val="186281344"/>
        <c:axId val="186292480"/>
      </c:barChart>
      <c:catAx>
        <c:axId val="186281344"/>
        <c:scaling>
          <c:orientation val="minMax"/>
        </c:scaling>
        <c:delete val="0"/>
        <c:axPos val="b"/>
        <c:numFmt formatCode="yy;@" sourceLinked="0"/>
        <c:majorTickMark val="out"/>
        <c:minorTickMark val="none"/>
        <c:tickLblPos val="low"/>
        <c:txPr>
          <a:bodyPr/>
          <a:lstStyle/>
          <a:p>
            <a:pPr>
              <a:defRPr sz="800"/>
            </a:pPr>
            <a:endParaRPr lang="en-US"/>
          </a:p>
        </c:txPr>
        <c:crossAx val="186292480"/>
        <c:crosses val="autoZero"/>
        <c:auto val="0"/>
        <c:lblAlgn val="ctr"/>
        <c:lblOffset val="100"/>
        <c:noMultiLvlLbl val="0"/>
      </c:catAx>
      <c:valAx>
        <c:axId val="186292480"/>
        <c:scaling>
          <c:orientation val="minMax"/>
        </c:scaling>
        <c:delete val="1"/>
        <c:axPos val="l"/>
        <c:majorGridlines>
          <c:spPr>
            <a:ln>
              <a:noFill/>
            </a:ln>
          </c:spPr>
        </c:majorGridlines>
        <c:numFmt formatCode="General" sourceLinked="1"/>
        <c:majorTickMark val="none"/>
        <c:minorTickMark val="none"/>
        <c:tickLblPos val="none"/>
        <c:crossAx val="18628134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CFF Equity</a:t>
            </a:r>
          </a:p>
        </c:rich>
      </c:tx>
      <c:layout>
        <c:manualLayout>
          <c:xMode val="edge"/>
          <c:yMode val="edge"/>
          <c:x val="1.2522748938382879E-2"/>
          <c:y val="4.1666666666666664E-2"/>
        </c:manualLayout>
      </c:layout>
      <c:overlay val="1"/>
    </c:title>
    <c:autoTitleDeleted val="0"/>
    <c:plotArea>
      <c:layout>
        <c:manualLayout>
          <c:layoutTarget val="inner"/>
          <c:xMode val="edge"/>
          <c:yMode val="edge"/>
          <c:x val="1.2787326955344343E-2"/>
          <c:y val="4.1347331583552055E-2"/>
          <c:w val="0.9639871697662179"/>
          <c:h val="0.82110001175226233"/>
        </c:manualLayout>
      </c:layout>
      <c:barChart>
        <c:barDir val="col"/>
        <c:grouping val="clustered"/>
        <c:varyColors val="0"/>
        <c:ser>
          <c:idx val="0"/>
          <c:order val="0"/>
          <c:tx>
            <c:v>CFF Equity</c:v>
          </c:tx>
          <c:spPr>
            <a:solidFill>
              <a:srgbClr val="00B0F0"/>
            </a:solidFill>
          </c:spPr>
          <c:invertIfNegative val="1"/>
          <c:dLbls>
            <c:numFmt formatCode="#,##0.0_);\(#,##0.0\)" sourceLinked="0"/>
            <c:dLblPos val="inEnd"/>
            <c:showLegendKey val="0"/>
            <c:showVal val="1"/>
            <c:showCatName val="0"/>
            <c:showSerName val="0"/>
            <c:showPercent val="0"/>
            <c:showBubbleSize val="0"/>
            <c:showLeaderLines val="0"/>
          </c:dLbls>
          <c:cat>
            <c:numRef>
              <c:f>Others!$C$2:$K$2</c:f>
              <c:numCache>
                <c:formatCode>[$-409]mmm\-yy;@</c:formatCode>
                <c:ptCount val="9"/>
                <c:pt idx="0">
                  <c:v>39903</c:v>
                </c:pt>
                <c:pt idx="1">
                  <c:v>40268</c:v>
                </c:pt>
                <c:pt idx="2">
                  <c:v>40633</c:v>
                </c:pt>
                <c:pt idx="3">
                  <c:v>40999</c:v>
                </c:pt>
                <c:pt idx="4">
                  <c:v>41364</c:v>
                </c:pt>
                <c:pt idx="5">
                  <c:v>41729</c:v>
                </c:pt>
                <c:pt idx="6">
                  <c:v>42094</c:v>
                </c:pt>
                <c:pt idx="7">
                  <c:v>42460</c:v>
                </c:pt>
                <c:pt idx="8">
                  <c:v>42825</c:v>
                </c:pt>
              </c:numCache>
            </c:numRef>
          </c:cat>
          <c:val>
            <c:numRef>
              <c:f>Others!$C$15:$K$15</c:f>
              <c:numCache>
                <c:formatCode>General</c:formatCode>
                <c:ptCount val="9"/>
                <c:pt idx="0">
                  <c:v>0</c:v>
                </c:pt>
                <c:pt idx="1">
                  <c:v>5</c:v>
                </c:pt>
                <c:pt idx="2">
                  <c:v>0</c:v>
                </c:pt>
                <c:pt idx="3">
                  <c:v>0</c:v>
                </c:pt>
                <c:pt idx="4">
                  <c:v>0</c:v>
                </c:pt>
                <c:pt idx="5">
                  <c:v>0</c:v>
                </c:pt>
                <c:pt idx="6">
                  <c:v>0</c:v>
                </c:pt>
                <c:pt idx="7">
                  <c:v>0</c:v>
                </c:pt>
                <c:pt idx="8">
                  <c:v>0</c:v>
                </c:pt>
              </c:numCache>
            </c:numRef>
          </c:val>
          <c:extLst>
            <c:ext xmlns:c14="http://schemas.microsoft.com/office/drawing/2007/8/2/chart" uri="{6F2FDCE9-48DA-4B69-8628-5D25D57E5C99}">
              <c14:invertSolidFillFmt>
                <c14:spPr xmlns:c14="http://schemas.microsoft.com/office/drawing/2007/8/2/chart">
                  <a:solidFill>
                    <a:srgbClr val="00B050"/>
                  </a:solidFill>
                </c14:spPr>
              </c14:invertSolidFillFmt>
            </c:ext>
          </c:extLst>
        </c:ser>
        <c:dLbls>
          <c:showLegendKey val="0"/>
          <c:showVal val="1"/>
          <c:showCatName val="0"/>
          <c:showSerName val="0"/>
          <c:showPercent val="0"/>
          <c:showBubbleSize val="0"/>
        </c:dLbls>
        <c:gapWidth val="25"/>
        <c:overlap val="1"/>
        <c:axId val="186307712"/>
        <c:axId val="186314752"/>
      </c:barChart>
      <c:catAx>
        <c:axId val="186307712"/>
        <c:scaling>
          <c:orientation val="minMax"/>
        </c:scaling>
        <c:delete val="0"/>
        <c:axPos val="b"/>
        <c:numFmt formatCode="yy;@" sourceLinked="0"/>
        <c:majorTickMark val="out"/>
        <c:minorTickMark val="none"/>
        <c:tickLblPos val="low"/>
        <c:crossAx val="186314752"/>
        <c:crosses val="autoZero"/>
        <c:auto val="0"/>
        <c:lblAlgn val="ctr"/>
        <c:lblOffset val="100"/>
        <c:noMultiLvlLbl val="0"/>
      </c:catAx>
      <c:valAx>
        <c:axId val="186314752"/>
        <c:scaling>
          <c:orientation val="minMax"/>
        </c:scaling>
        <c:delete val="1"/>
        <c:axPos val="l"/>
        <c:majorGridlines>
          <c:spPr>
            <a:ln>
              <a:noFill/>
            </a:ln>
          </c:spPr>
        </c:majorGridlines>
        <c:numFmt formatCode="General" sourceLinked="1"/>
        <c:majorTickMark val="none"/>
        <c:minorTickMark val="none"/>
        <c:tickLblPos val="none"/>
        <c:crossAx val="186307712"/>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3233306280654802E-2"/>
          <c:y val="0"/>
          <c:w val="0.97414342986344282"/>
          <c:h val="0.86075240594925639"/>
        </c:manualLayout>
      </c:layout>
      <c:barChart>
        <c:barDir val="col"/>
        <c:grouping val="clustered"/>
        <c:varyColors val="0"/>
        <c:ser>
          <c:idx val="0"/>
          <c:order val="0"/>
          <c:tx>
            <c:v>OtherIncome</c:v>
          </c:tx>
          <c:spPr>
            <a:solidFill>
              <a:srgbClr val="FF0000"/>
            </a:solidFill>
          </c:spPr>
          <c:invertIfNegative val="0"/>
          <c:dLbls>
            <c:numFmt formatCode="#,##0_);\(#,##0\)" sourceLinked="0"/>
            <c:txPr>
              <a:bodyPr/>
              <a:lstStyle/>
              <a:p>
                <a:pPr>
                  <a:defRPr sz="800"/>
                </a:pPr>
                <a:endParaRPr lang="en-US"/>
              </a:p>
            </c:txPr>
            <c:showLegendKey val="0"/>
            <c:showVal val="1"/>
            <c:showCatName val="0"/>
            <c:showSerName val="0"/>
            <c:showPercent val="0"/>
            <c:showBubbleSize val="0"/>
            <c:showLeaderLines val="0"/>
          </c:dLbls>
          <c:cat>
            <c:numRef>
              <c:f>'Data Sheet'!$B$16:$K$16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Sheet'!$B$25:$K$25</c:f>
              <c:numCache>
                <c:formatCode>General</c:formatCode>
                <c:ptCount val="10"/>
                <c:pt idx="0">
                  <c:v>0.17</c:v>
                </c:pt>
                <c:pt idx="1">
                  <c:v>0.98</c:v>
                </c:pt>
                <c:pt idx="2">
                  <c:v>0.56000000000000005</c:v>
                </c:pt>
                <c:pt idx="3">
                  <c:v>0.24</c:v>
                </c:pt>
                <c:pt idx="4">
                  <c:v>0.13</c:v>
                </c:pt>
                <c:pt idx="5">
                  <c:v>0.3</c:v>
                </c:pt>
                <c:pt idx="6">
                  <c:v>0.35</c:v>
                </c:pt>
                <c:pt idx="7">
                  <c:v>5.13</c:v>
                </c:pt>
                <c:pt idx="8">
                  <c:v>0.72</c:v>
                </c:pt>
                <c:pt idx="9">
                  <c:v>0.79</c:v>
                </c:pt>
              </c:numCache>
            </c:numRef>
          </c:val>
        </c:ser>
        <c:dLbls>
          <c:showLegendKey val="0"/>
          <c:showVal val="1"/>
          <c:showCatName val="0"/>
          <c:showSerName val="0"/>
          <c:showPercent val="0"/>
          <c:showBubbleSize val="0"/>
        </c:dLbls>
        <c:gapWidth val="25"/>
        <c:axId val="186377344"/>
        <c:axId val="186381056"/>
      </c:barChart>
      <c:catAx>
        <c:axId val="186377344"/>
        <c:scaling>
          <c:orientation val="minMax"/>
        </c:scaling>
        <c:delete val="0"/>
        <c:axPos val="b"/>
        <c:numFmt formatCode="yy;@" sourceLinked="0"/>
        <c:majorTickMark val="out"/>
        <c:minorTickMark val="none"/>
        <c:tickLblPos val="nextTo"/>
        <c:txPr>
          <a:bodyPr/>
          <a:lstStyle/>
          <a:p>
            <a:pPr>
              <a:defRPr sz="800"/>
            </a:pPr>
            <a:endParaRPr lang="en-US"/>
          </a:p>
        </c:txPr>
        <c:crossAx val="186381056"/>
        <c:crosses val="autoZero"/>
        <c:auto val="0"/>
        <c:lblAlgn val="ctr"/>
        <c:lblOffset val="100"/>
        <c:noMultiLvlLbl val="0"/>
      </c:catAx>
      <c:valAx>
        <c:axId val="186381056"/>
        <c:scaling>
          <c:orientation val="minMax"/>
        </c:scaling>
        <c:delete val="1"/>
        <c:axPos val="l"/>
        <c:majorGridlines>
          <c:spPr>
            <a:ln>
              <a:noFill/>
            </a:ln>
          </c:spPr>
        </c:majorGridlines>
        <c:numFmt formatCode="General" sourceLinked="1"/>
        <c:majorTickMark val="out"/>
        <c:minorTickMark val="none"/>
        <c:tickLblPos val="nextTo"/>
        <c:crossAx val="186377344"/>
        <c:crosses val="autoZero"/>
        <c:crossBetween val="between"/>
      </c:valAx>
    </c:plotArea>
    <c:legend>
      <c:legendPos val="r"/>
      <c:layout>
        <c:manualLayout>
          <c:xMode val="edge"/>
          <c:yMode val="edge"/>
          <c:x val="8.1197506561679789E-2"/>
          <c:y val="4.7530985710119565E-2"/>
          <c:w val="0.44530530959894604"/>
          <c:h val="9.2075313502478842E-2"/>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CFF Debt</a:t>
            </a:r>
          </a:p>
        </c:rich>
      </c:tx>
      <c:layout>
        <c:manualLayout>
          <c:xMode val="edge"/>
          <c:yMode val="edge"/>
          <c:x val="8.3953562482044532E-3"/>
          <c:y val="6.9444444444444441E-3"/>
        </c:manualLayout>
      </c:layout>
      <c:overlay val="1"/>
    </c:title>
    <c:autoTitleDeleted val="0"/>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CFF Debt</c:v>
          </c:tx>
          <c:spPr>
            <a:solidFill>
              <a:srgbClr val="FF0000"/>
            </a:solidFill>
          </c:spPr>
          <c:invertIfNegative val="0"/>
          <c:dLbls>
            <c:numFmt formatCode="#,##0_);\(#,##0\)" sourceLinked="0"/>
            <c:txPr>
              <a:bodyPr/>
              <a:lstStyle/>
              <a:p>
                <a:pPr>
                  <a:defRPr sz="800"/>
                </a:pPr>
                <a:endParaRPr lang="en-US"/>
              </a:p>
            </c:txPr>
            <c:showLegendKey val="0"/>
            <c:showVal val="1"/>
            <c:showCatName val="0"/>
            <c:showSerName val="0"/>
            <c:showPercent val="0"/>
            <c:showBubbleSize val="0"/>
            <c:showLeaderLines val="0"/>
          </c:dLbls>
          <c:cat>
            <c:numRef>
              <c:f>Others!$C$2:$K$2</c:f>
              <c:numCache>
                <c:formatCode>[$-409]mmm\-yy;@</c:formatCode>
                <c:ptCount val="9"/>
                <c:pt idx="0">
                  <c:v>39903</c:v>
                </c:pt>
                <c:pt idx="1">
                  <c:v>40268</c:v>
                </c:pt>
                <c:pt idx="2">
                  <c:v>40633</c:v>
                </c:pt>
                <c:pt idx="3">
                  <c:v>40999</c:v>
                </c:pt>
                <c:pt idx="4">
                  <c:v>41364</c:v>
                </c:pt>
                <c:pt idx="5">
                  <c:v>41729</c:v>
                </c:pt>
                <c:pt idx="6">
                  <c:v>42094</c:v>
                </c:pt>
                <c:pt idx="7">
                  <c:v>42460</c:v>
                </c:pt>
                <c:pt idx="8">
                  <c:v>42825</c:v>
                </c:pt>
              </c:numCache>
            </c:numRef>
          </c:cat>
          <c:val>
            <c:numRef>
              <c:f>Others!$C$16:$K$16</c:f>
              <c:numCache>
                <c:formatCode>General</c:formatCode>
                <c:ptCount val="9"/>
                <c:pt idx="0">
                  <c:v>32.07000000000005</c:v>
                </c:pt>
                <c:pt idx="1">
                  <c:v>9.0999999999999659</c:v>
                </c:pt>
                <c:pt idx="2">
                  <c:v>-24.480000000000018</c:v>
                </c:pt>
                <c:pt idx="3">
                  <c:v>-35.109999999999985</c:v>
                </c:pt>
                <c:pt idx="4">
                  <c:v>-42.28</c:v>
                </c:pt>
                <c:pt idx="5">
                  <c:v>-30.569999999999993</c:v>
                </c:pt>
                <c:pt idx="6">
                  <c:v>202.2</c:v>
                </c:pt>
                <c:pt idx="7">
                  <c:v>-26.199999999999989</c:v>
                </c:pt>
                <c:pt idx="8">
                  <c:v>211.42000000000002</c:v>
                </c:pt>
              </c:numCache>
            </c:numRef>
          </c:val>
        </c:ser>
        <c:dLbls>
          <c:showLegendKey val="0"/>
          <c:showVal val="1"/>
          <c:showCatName val="0"/>
          <c:showSerName val="0"/>
          <c:showPercent val="0"/>
          <c:showBubbleSize val="0"/>
        </c:dLbls>
        <c:gapWidth val="25"/>
        <c:overlap val="1"/>
        <c:axId val="186329728"/>
        <c:axId val="186353152"/>
      </c:barChart>
      <c:catAx>
        <c:axId val="186329728"/>
        <c:scaling>
          <c:orientation val="minMax"/>
        </c:scaling>
        <c:delete val="0"/>
        <c:axPos val="b"/>
        <c:numFmt formatCode="yy;@" sourceLinked="0"/>
        <c:majorTickMark val="out"/>
        <c:minorTickMark val="none"/>
        <c:tickLblPos val="low"/>
        <c:txPr>
          <a:bodyPr/>
          <a:lstStyle/>
          <a:p>
            <a:pPr>
              <a:defRPr sz="800"/>
            </a:pPr>
            <a:endParaRPr lang="en-US"/>
          </a:p>
        </c:txPr>
        <c:crossAx val="186353152"/>
        <c:crosses val="autoZero"/>
        <c:auto val="0"/>
        <c:lblAlgn val="ctr"/>
        <c:lblOffset val="100"/>
        <c:noMultiLvlLbl val="0"/>
      </c:catAx>
      <c:valAx>
        <c:axId val="186353152"/>
        <c:scaling>
          <c:orientation val="minMax"/>
        </c:scaling>
        <c:delete val="1"/>
        <c:axPos val="l"/>
        <c:majorGridlines>
          <c:spPr>
            <a:ln>
              <a:noFill/>
            </a:ln>
          </c:spPr>
        </c:majorGridlines>
        <c:numFmt formatCode="General" sourceLinked="1"/>
        <c:majorTickMark val="none"/>
        <c:minorTickMark val="none"/>
        <c:tickLblPos val="none"/>
        <c:crossAx val="186329728"/>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CFF Interest</a:t>
            </a:r>
          </a:p>
        </c:rich>
      </c:tx>
      <c:layout>
        <c:manualLayout>
          <c:xMode val="edge"/>
          <c:yMode val="edge"/>
          <c:x val="2.0517205260079992E-2"/>
          <c:y val="0.77083333333333337"/>
        </c:manualLayout>
      </c:layout>
      <c:overlay val="1"/>
    </c:title>
    <c:autoTitleDeleted val="0"/>
    <c:plotArea>
      <c:layout>
        <c:manualLayout>
          <c:layoutTarget val="inner"/>
          <c:xMode val="edge"/>
          <c:yMode val="edge"/>
          <c:x val="1.2787245656366472E-2"/>
          <c:y val="2.745844269466317E-2"/>
          <c:w val="0.9639871697662179"/>
          <c:h val="0.8488779527559055"/>
        </c:manualLayout>
      </c:layout>
      <c:barChart>
        <c:barDir val="col"/>
        <c:grouping val="clustered"/>
        <c:varyColors val="0"/>
        <c:ser>
          <c:idx val="0"/>
          <c:order val="0"/>
          <c:tx>
            <c:v>CFF Interest</c:v>
          </c:tx>
          <c:spPr>
            <a:solidFill>
              <a:srgbClr val="FF0000"/>
            </a:solidFill>
          </c:spPr>
          <c:invertIfNegative val="0"/>
          <c:dLbls>
            <c:numFmt formatCode="#,##0_);\(#,##0\)" sourceLinked="0"/>
            <c:txPr>
              <a:bodyPr/>
              <a:lstStyle/>
              <a:p>
                <a:pPr>
                  <a:defRPr sz="800"/>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Others!$B$18:$K$18</c:f>
              <c:numCache>
                <c:formatCode>General</c:formatCode>
                <c:ptCount val="10"/>
                <c:pt idx="0">
                  <c:v>-14.59</c:v>
                </c:pt>
                <c:pt idx="1">
                  <c:v>-23.9</c:v>
                </c:pt>
                <c:pt idx="2">
                  <c:v>-15.15</c:v>
                </c:pt>
                <c:pt idx="3">
                  <c:v>-21.04</c:v>
                </c:pt>
                <c:pt idx="4">
                  <c:v>-20.9</c:v>
                </c:pt>
                <c:pt idx="5">
                  <c:v>-27.31</c:v>
                </c:pt>
                <c:pt idx="6">
                  <c:v>-17.46</c:v>
                </c:pt>
                <c:pt idx="7">
                  <c:v>-22.62</c:v>
                </c:pt>
                <c:pt idx="8">
                  <c:v>-33.01</c:v>
                </c:pt>
                <c:pt idx="9">
                  <c:v>-22.24</c:v>
                </c:pt>
              </c:numCache>
            </c:numRef>
          </c:val>
        </c:ser>
        <c:dLbls>
          <c:showLegendKey val="0"/>
          <c:showVal val="1"/>
          <c:showCatName val="0"/>
          <c:showSerName val="0"/>
          <c:showPercent val="0"/>
          <c:showBubbleSize val="0"/>
        </c:dLbls>
        <c:gapWidth val="25"/>
        <c:overlap val="1"/>
        <c:axId val="186474880"/>
        <c:axId val="186477568"/>
      </c:barChart>
      <c:catAx>
        <c:axId val="186474880"/>
        <c:scaling>
          <c:orientation val="minMax"/>
        </c:scaling>
        <c:delete val="0"/>
        <c:axPos val="b"/>
        <c:numFmt formatCode="yy;@" sourceLinked="0"/>
        <c:majorTickMark val="out"/>
        <c:minorTickMark val="none"/>
        <c:tickLblPos val="low"/>
        <c:txPr>
          <a:bodyPr/>
          <a:lstStyle/>
          <a:p>
            <a:pPr>
              <a:defRPr sz="800"/>
            </a:pPr>
            <a:endParaRPr lang="en-US"/>
          </a:p>
        </c:txPr>
        <c:crossAx val="186477568"/>
        <c:crosses val="autoZero"/>
        <c:auto val="0"/>
        <c:lblAlgn val="ctr"/>
        <c:lblOffset val="100"/>
        <c:noMultiLvlLbl val="0"/>
      </c:catAx>
      <c:valAx>
        <c:axId val="186477568"/>
        <c:scaling>
          <c:orientation val="minMax"/>
        </c:scaling>
        <c:delete val="1"/>
        <c:axPos val="l"/>
        <c:majorGridlines>
          <c:spPr>
            <a:ln>
              <a:noFill/>
            </a:ln>
          </c:spPr>
        </c:majorGridlines>
        <c:numFmt formatCode="General" sourceLinked="1"/>
        <c:majorTickMark val="none"/>
        <c:minorTickMark val="none"/>
        <c:tickLblPos val="none"/>
        <c:crossAx val="186474880"/>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RoA</a:t>
            </a:r>
          </a:p>
        </c:rich>
      </c:tx>
      <c:layout>
        <c:manualLayout>
          <c:xMode val="edge"/>
          <c:yMode val="edge"/>
          <c:x val="3.9636867231329087E-3"/>
          <c:y val="2.0833333333333332E-2"/>
        </c:manualLayout>
      </c:layout>
      <c:overlay val="1"/>
    </c:title>
    <c:autoTitleDeleted val="0"/>
    <c:plotArea>
      <c:layout>
        <c:manualLayout>
          <c:layoutTarget val="inner"/>
          <c:xMode val="edge"/>
          <c:yMode val="edge"/>
          <c:x val="1.2787245656366472E-2"/>
          <c:y val="5.523641634347945E-2"/>
          <c:w val="0.9639871697662179"/>
          <c:h val="0.82110017497812771"/>
        </c:manualLayout>
      </c:layout>
      <c:barChart>
        <c:barDir val="col"/>
        <c:grouping val="clustered"/>
        <c:varyColors val="0"/>
        <c:ser>
          <c:idx val="0"/>
          <c:order val="0"/>
          <c:tx>
            <c:v>RoA</c:v>
          </c:tx>
          <c:spPr>
            <a:solidFill>
              <a:srgbClr val="B5E9F4"/>
            </a:solidFill>
          </c:spPr>
          <c:invertIfNegative val="1"/>
          <c:dLbls>
            <c:numFmt formatCode="0%;\(0%\)" sourceLinked="0"/>
            <c:txPr>
              <a:bodyPr/>
              <a:lstStyle/>
              <a:p>
                <a:pPr>
                  <a:defRPr sz="800"/>
                </a:pPr>
                <a:endParaRPr lang="en-US"/>
              </a:p>
            </c:txPr>
            <c:showLegendKey val="0"/>
            <c:showVal val="1"/>
            <c:showCatName val="0"/>
            <c:showSerName val="0"/>
            <c:showPercent val="0"/>
            <c:showBubbleSize val="0"/>
            <c:showLeaderLines val="0"/>
          </c:dLbls>
          <c:cat>
            <c:numRef>
              <c:f>Investment_Ratio!$B$1:$K$1</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Investment_Ratio!$B$6:$K$6</c:f>
              <c:numCache>
                <c:formatCode>0%</c:formatCode>
                <c:ptCount val="10"/>
                <c:pt idx="0">
                  <c:v>-1.1549955577093924E-2</c:v>
                </c:pt>
                <c:pt idx="1">
                  <c:v>-3.2900412712477012E-2</c:v>
                </c:pt>
                <c:pt idx="2">
                  <c:v>1.5785686096989233E-3</c:v>
                </c:pt>
                <c:pt idx="3">
                  <c:v>1.64880865012966E-2</c:v>
                </c:pt>
                <c:pt idx="4">
                  <c:v>8.6380650734239829E-4</c:v>
                </c:pt>
                <c:pt idx="5">
                  <c:v>3.8866441274291549E-2</c:v>
                </c:pt>
                <c:pt idx="6">
                  <c:v>9.7908986013002006E-2</c:v>
                </c:pt>
                <c:pt idx="7">
                  <c:v>6.6943350598846485E-2</c:v>
                </c:pt>
                <c:pt idx="8">
                  <c:v>6.9282687176267482E-2</c:v>
                </c:pt>
                <c:pt idx="9">
                  <c:v>6.169441025973188E-2</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186521472"/>
        <c:axId val="186540800"/>
      </c:barChart>
      <c:catAx>
        <c:axId val="186521472"/>
        <c:scaling>
          <c:orientation val="minMax"/>
        </c:scaling>
        <c:delete val="0"/>
        <c:axPos val="b"/>
        <c:numFmt formatCode="yy;@" sourceLinked="0"/>
        <c:majorTickMark val="out"/>
        <c:minorTickMark val="none"/>
        <c:tickLblPos val="low"/>
        <c:txPr>
          <a:bodyPr/>
          <a:lstStyle/>
          <a:p>
            <a:pPr>
              <a:defRPr sz="800"/>
            </a:pPr>
            <a:endParaRPr lang="en-US"/>
          </a:p>
        </c:txPr>
        <c:crossAx val="186540800"/>
        <c:crosses val="autoZero"/>
        <c:auto val="0"/>
        <c:lblAlgn val="ctr"/>
        <c:lblOffset val="100"/>
        <c:noMultiLvlLbl val="0"/>
      </c:catAx>
      <c:valAx>
        <c:axId val="186540800"/>
        <c:scaling>
          <c:orientation val="minMax"/>
        </c:scaling>
        <c:delete val="1"/>
        <c:axPos val="l"/>
        <c:majorGridlines>
          <c:spPr>
            <a:ln>
              <a:noFill/>
            </a:ln>
          </c:spPr>
        </c:majorGridlines>
        <c:numFmt formatCode="0%" sourceLinked="1"/>
        <c:majorTickMark val="none"/>
        <c:minorTickMark val="none"/>
        <c:tickLblPos val="none"/>
        <c:crossAx val="186521472"/>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Net Margin</a:t>
            </a:r>
          </a:p>
        </c:rich>
      </c:tx>
      <c:layout>
        <c:manualLayout>
          <c:xMode val="edge"/>
          <c:yMode val="edge"/>
          <c:x val="3.8119323919108584E-3"/>
          <c:y val="0"/>
        </c:manualLayout>
      </c:layout>
      <c:overlay val="1"/>
    </c:title>
    <c:autoTitleDeleted val="0"/>
    <c:plotArea>
      <c:layout>
        <c:manualLayout>
          <c:layoutTarget val="inner"/>
          <c:xMode val="edge"/>
          <c:yMode val="edge"/>
          <c:x val="1.2787245656366472E-2"/>
          <c:y val="5.523641634347945E-2"/>
          <c:w val="0.9639871697662179"/>
          <c:h val="0.86568241469816276"/>
        </c:manualLayout>
      </c:layout>
      <c:barChart>
        <c:barDir val="col"/>
        <c:grouping val="clustered"/>
        <c:varyColors val="0"/>
        <c:ser>
          <c:idx val="0"/>
          <c:order val="0"/>
          <c:tx>
            <c:v>Net Margin</c:v>
          </c:tx>
          <c:spPr>
            <a:solidFill>
              <a:srgbClr val="B5E9F4"/>
            </a:solidFill>
          </c:spPr>
          <c:invertIfNegative val="1"/>
          <c:dLbls>
            <c:numFmt formatCode="0%;\(0%\)" sourceLinked="0"/>
            <c:txPr>
              <a:bodyPr/>
              <a:lstStyle/>
              <a:p>
                <a:pPr>
                  <a:defRPr sz="800"/>
                </a:pPr>
                <a:endParaRPr lang="en-US"/>
              </a:p>
            </c:txPr>
            <c:dLblPos val="inEnd"/>
            <c:showLegendKey val="0"/>
            <c:showVal val="1"/>
            <c:showCatName val="0"/>
            <c:showSerName val="0"/>
            <c:showPercent val="0"/>
            <c:showBubbleSize val="0"/>
            <c:showLeaderLines val="0"/>
          </c:dLbls>
          <c:cat>
            <c:numRef>
              <c:f>Investment_Ratio!$B$1:$K$1</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Investment_Ratio!$B$4:$K$4</c:f>
              <c:numCache>
                <c:formatCode>0%</c:formatCode>
                <c:ptCount val="10"/>
                <c:pt idx="0">
                  <c:v>-2.1054181389870415E-2</c:v>
                </c:pt>
                <c:pt idx="1">
                  <c:v>-5.3799519579059818E-2</c:v>
                </c:pt>
                <c:pt idx="2">
                  <c:v>2.2520284815366956E-3</c:v>
                </c:pt>
                <c:pt idx="3">
                  <c:v>1.6402219410104214E-2</c:v>
                </c:pt>
                <c:pt idx="4">
                  <c:v>7.0044361428908458E-4</c:v>
                </c:pt>
                <c:pt idx="5">
                  <c:v>3.1700482008743432E-2</c:v>
                </c:pt>
                <c:pt idx="6">
                  <c:v>7.1241348240979649E-2</c:v>
                </c:pt>
                <c:pt idx="7">
                  <c:v>6.6459032880756622E-2</c:v>
                </c:pt>
                <c:pt idx="8">
                  <c:v>5.7558647489144195E-2</c:v>
                </c:pt>
                <c:pt idx="9">
                  <c:v>6.1229081403072733E-2</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186555776"/>
        <c:axId val="186566912"/>
      </c:barChart>
      <c:catAx>
        <c:axId val="186555776"/>
        <c:scaling>
          <c:orientation val="minMax"/>
        </c:scaling>
        <c:delete val="0"/>
        <c:axPos val="b"/>
        <c:numFmt formatCode="yy;@" sourceLinked="0"/>
        <c:majorTickMark val="out"/>
        <c:minorTickMark val="none"/>
        <c:tickLblPos val="low"/>
        <c:txPr>
          <a:bodyPr/>
          <a:lstStyle/>
          <a:p>
            <a:pPr>
              <a:defRPr sz="800"/>
            </a:pPr>
            <a:endParaRPr lang="en-US"/>
          </a:p>
        </c:txPr>
        <c:crossAx val="186566912"/>
        <c:crosses val="autoZero"/>
        <c:auto val="0"/>
        <c:lblAlgn val="ctr"/>
        <c:lblOffset val="100"/>
        <c:noMultiLvlLbl val="0"/>
      </c:catAx>
      <c:valAx>
        <c:axId val="186566912"/>
        <c:scaling>
          <c:orientation val="minMax"/>
        </c:scaling>
        <c:delete val="1"/>
        <c:axPos val="l"/>
        <c:majorGridlines>
          <c:spPr>
            <a:ln>
              <a:noFill/>
            </a:ln>
          </c:spPr>
        </c:majorGridlines>
        <c:numFmt formatCode="0%" sourceLinked="1"/>
        <c:majorTickMark val="none"/>
        <c:minorTickMark val="none"/>
        <c:tickLblPos val="none"/>
        <c:crossAx val="18655577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Asset Turn</a:t>
            </a:r>
          </a:p>
        </c:rich>
      </c:tx>
      <c:layout>
        <c:manualLayout>
          <c:xMode val="edge"/>
          <c:yMode val="edge"/>
          <c:x val="1.862997553856589E-3"/>
          <c:y val="3.4722222222222224E-2"/>
        </c:manualLayout>
      </c:layout>
      <c:overlay val="1"/>
    </c:title>
    <c:autoTitleDeleted val="0"/>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Asset Turn</c:v>
          </c:tx>
          <c:spPr>
            <a:solidFill>
              <a:srgbClr val="B5E9F4"/>
            </a:solidFill>
          </c:spPr>
          <c:invertIfNegative val="1"/>
          <c:dLbls>
            <c:numFmt formatCode="#,##0.0_);[Red]\(#,##0.0\)" sourceLinked="0"/>
            <c:txPr>
              <a:bodyPr/>
              <a:lstStyle/>
              <a:p>
                <a:pPr>
                  <a:defRPr sz="800"/>
                </a:pPr>
                <a:endParaRPr lang="en-US"/>
              </a:p>
            </c:txPr>
            <c:dLblPos val="inEnd"/>
            <c:showLegendKey val="0"/>
            <c:showVal val="1"/>
            <c:showCatName val="0"/>
            <c:showSerName val="0"/>
            <c:showPercent val="0"/>
            <c:showBubbleSize val="0"/>
            <c:showLeaderLines val="0"/>
          </c:dLbls>
          <c:cat>
            <c:numRef>
              <c:f>Investment_Ratio!$B$1:$K$1</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Investment_Ratio!$B$5:$K$5</c:f>
              <c:numCache>
                <c:formatCode>_ * #,##0.0_ ;_ * \-#,##0.0_ ;_ * "-"??_ ;_ @_ </c:formatCode>
                <c:ptCount val="10"/>
                <c:pt idx="0">
                  <c:v>0.54858250545190212</c:v>
                </c:pt>
                <c:pt idx="1">
                  <c:v>0.61153729568400672</c:v>
                </c:pt>
                <c:pt idx="2">
                  <c:v>0.70095410543909742</c:v>
                </c:pt>
                <c:pt idx="3">
                  <c:v>1.0052350897793436</c:v>
                </c:pt>
                <c:pt idx="4">
                  <c:v>1.2332277569824359</c:v>
                </c:pt>
                <c:pt idx="5">
                  <c:v>1.2260520601412825</c:v>
                </c:pt>
                <c:pt idx="6">
                  <c:v>1.3743280893817016</c:v>
                </c:pt>
                <c:pt idx="7">
                  <c:v>1.0072874626231598</c:v>
                </c:pt>
                <c:pt idx="8">
                  <c:v>1.2036885889185371</c:v>
                </c:pt>
                <c:pt idx="9">
                  <c:v>1.0075998013688279</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186586240"/>
        <c:axId val="186593280"/>
      </c:barChart>
      <c:catAx>
        <c:axId val="186586240"/>
        <c:scaling>
          <c:orientation val="minMax"/>
        </c:scaling>
        <c:delete val="0"/>
        <c:axPos val="b"/>
        <c:numFmt formatCode="yy;@" sourceLinked="0"/>
        <c:majorTickMark val="out"/>
        <c:minorTickMark val="none"/>
        <c:tickLblPos val="nextTo"/>
        <c:txPr>
          <a:bodyPr/>
          <a:lstStyle/>
          <a:p>
            <a:pPr>
              <a:defRPr sz="800"/>
            </a:pPr>
            <a:endParaRPr lang="en-US"/>
          </a:p>
        </c:txPr>
        <c:crossAx val="186593280"/>
        <c:crosses val="autoZero"/>
        <c:auto val="0"/>
        <c:lblAlgn val="ctr"/>
        <c:lblOffset val="100"/>
        <c:noMultiLvlLbl val="0"/>
      </c:catAx>
      <c:valAx>
        <c:axId val="186593280"/>
        <c:scaling>
          <c:orientation val="minMax"/>
        </c:scaling>
        <c:delete val="1"/>
        <c:axPos val="l"/>
        <c:majorGridlines>
          <c:spPr>
            <a:ln>
              <a:noFill/>
            </a:ln>
          </c:spPr>
        </c:majorGridlines>
        <c:numFmt formatCode="_ * #,##0.0_ ;_ * \-#,##0.0_ ;_ * &quot;-&quot;??_ ;_ @_ " sourceLinked="1"/>
        <c:majorTickMark val="none"/>
        <c:minorTickMark val="none"/>
        <c:tickLblPos val="none"/>
        <c:crossAx val="186586240"/>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1.7736617664688516E-2"/>
          <c:w val="0.9639871697662179"/>
          <c:h val="0.88651574803149602"/>
        </c:manualLayout>
      </c:layout>
      <c:barChart>
        <c:barDir val="col"/>
        <c:grouping val="clustered"/>
        <c:varyColors val="0"/>
        <c:ser>
          <c:idx val="0"/>
          <c:order val="0"/>
          <c:tx>
            <c:v>EBITDA</c:v>
          </c:tx>
          <c:spPr>
            <a:solidFill>
              <a:srgbClr val="92D050"/>
            </a:solidFill>
          </c:spPr>
          <c:invertIfNegative val="1"/>
          <c:dLbls>
            <c:numFmt formatCode="#,##0_);\(#,##0\)" sourceLinked="0"/>
            <c:txPr>
              <a:bodyPr/>
              <a:lstStyle/>
              <a:p>
                <a:pPr>
                  <a:defRPr sz="800"/>
                </a:pPr>
                <a:endParaRPr lang="en-US"/>
              </a:p>
            </c:txPr>
            <c:dLblPos val="inEnd"/>
            <c:showLegendKey val="0"/>
            <c:showVal val="1"/>
            <c:showCatName val="0"/>
            <c:showSerName val="0"/>
            <c:showPercent val="0"/>
            <c:showBubbleSize val="0"/>
            <c:showLeaderLines val="0"/>
          </c:dLbls>
          <c:cat>
            <c:numRef>
              <c:f>Other_input_data!$C$31:$L$31</c:f>
              <c:numCache>
                <c:formatCode>dd-mm-yy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Other_input_data!$C$35:$L$35</c:f>
              <c:numCache>
                <c:formatCode>_ * #,##0.00_ ;_ * \-#,##0.00_ ;_ * "-"??_ ;_ @_ </c:formatCode>
                <c:ptCount val="10"/>
                <c:pt idx="0">
                  <c:v>33.410000000000004</c:v>
                </c:pt>
                <c:pt idx="1">
                  <c:v>-2.2300000000000177</c:v>
                </c:pt>
                <c:pt idx="2">
                  <c:v>34.800000000000004</c:v>
                </c:pt>
                <c:pt idx="3">
                  <c:v>76.04000000000002</c:v>
                </c:pt>
                <c:pt idx="4">
                  <c:v>45.180000000000014</c:v>
                </c:pt>
                <c:pt idx="5">
                  <c:v>72.790000000000006</c:v>
                </c:pt>
                <c:pt idx="6">
                  <c:v>94.29</c:v>
                </c:pt>
                <c:pt idx="7">
                  <c:v>104.32000000000004</c:v>
                </c:pt>
                <c:pt idx="8">
                  <c:v>137.75</c:v>
                </c:pt>
                <c:pt idx="9">
                  <c:v>133.91000000000003</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186604160"/>
        <c:axId val="186643968"/>
      </c:barChart>
      <c:catAx>
        <c:axId val="186604160"/>
        <c:scaling>
          <c:orientation val="minMax"/>
        </c:scaling>
        <c:delete val="0"/>
        <c:axPos val="b"/>
        <c:numFmt formatCode="yy;@" sourceLinked="0"/>
        <c:majorTickMark val="out"/>
        <c:minorTickMark val="none"/>
        <c:tickLblPos val="low"/>
        <c:txPr>
          <a:bodyPr/>
          <a:lstStyle/>
          <a:p>
            <a:pPr>
              <a:defRPr sz="800"/>
            </a:pPr>
            <a:endParaRPr lang="en-US"/>
          </a:p>
        </c:txPr>
        <c:crossAx val="186643968"/>
        <c:crosses val="autoZero"/>
        <c:auto val="0"/>
        <c:lblAlgn val="ctr"/>
        <c:lblOffset val="100"/>
        <c:noMultiLvlLbl val="0"/>
      </c:catAx>
      <c:valAx>
        <c:axId val="186643968"/>
        <c:scaling>
          <c:orientation val="minMax"/>
        </c:scaling>
        <c:delete val="1"/>
        <c:axPos val="l"/>
        <c:majorGridlines>
          <c:spPr>
            <a:ln>
              <a:noFill/>
            </a:ln>
          </c:spPr>
        </c:majorGridlines>
        <c:numFmt formatCode="_ * #,##0.00_ ;_ * \-#,##0.00_ ;_ * &quot;-&quot;??_ ;_ @_ " sourceLinked="1"/>
        <c:majorTickMark val="none"/>
        <c:minorTickMark val="none"/>
        <c:tickLblPos val="none"/>
        <c:crossAx val="186604160"/>
        <c:crosses val="autoZero"/>
        <c:crossBetween val="between"/>
      </c:valAx>
      <c:spPr>
        <a:noFill/>
        <a:ln w="25400">
          <a:noFill/>
        </a:ln>
      </c:spPr>
    </c:plotArea>
    <c:legend>
      <c:legendPos val="r"/>
      <c:layout>
        <c:manualLayout>
          <c:xMode val="edge"/>
          <c:yMode val="edge"/>
          <c:x val="1.7691651838671413E-2"/>
          <c:y val="3.9101979003010767E-2"/>
          <c:w val="0.25175195987415544"/>
          <c:h val="0.13699176807444524"/>
        </c:manualLayout>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4.0283122780928361E-2"/>
          <c:w val="0.9639871697662179"/>
          <c:h val="0.95563156167979002"/>
        </c:manualLayout>
      </c:layout>
      <c:barChart>
        <c:barDir val="col"/>
        <c:grouping val="clustered"/>
        <c:varyColors val="0"/>
        <c:ser>
          <c:idx val="1"/>
          <c:order val="0"/>
          <c:tx>
            <c:v>EBITDA Margin</c:v>
          </c:tx>
          <c:spPr>
            <a:solidFill>
              <a:srgbClr val="92D050"/>
            </a:solidFill>
          </c:spPr>
          <c:invertIfNegative val="1"/>
          <c:dLbls>
            <c:numFmt formatCode="0%" sourceLinked="0"/>
            <c:txPr>
              <a:bodyPr rot="0" vert="horz"/>
              <a:lstStyle/>
              <a:p>
                <a:pPr>
                  <a:defRPr sz="800"/>
                </a:pPr>
                <a:endParaRPr lang="en-US"/>
              </a:p>
            </c:txPr>
            <c:dLblPos val="inEnd"/>
            <c:showLegendKey val="0"/>
            <c:showVal val="1"/>
            <c:showCatName val="0"/>
            <c:showSerName val="0"/>
            <c:showPercent val="0"/>
            <c:showBubbleSize val="0"/>
            <c:showLeaderLines val="0"/>
          </c:dLbls>
          <c:cat>
            <c:numRef>
              <c:f>Analysis2!$B$42:$K$42</c:f>
              <c:numCache>
                <c:formatCode>dd-mm-yy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Analysis2!$B$60:$K$60</c:f>
              <c:numCache>
                <c:formatCode>0.0%</c:formatCode>
                <c:ptCount val="10"/>
                <c:pt idx="0" formatCode="0.00%">
                  <c:v>0.16396741264232434</c:v>
                </c:pt>
                <c:pt idx="1">
                  <c:v>-8.5026880695467186E-3</c:v>
                </c:pt>
                <c:pt idx="2">
                  <c:v>0.11525086934923003</c:v>
                </c:pt>
                <c:pt idx="3">
                  <c:v>0.18504818456147187</c:v>
                </c:pt>
                <c:pt idx="4">
                  <c:v>0.10548680831193091</c:v>
                </c:pt>
                <c:pt idx="5">
                  <c:v>0.16318798340993163</c:v>
                </c:pt>
                <c:pt idx="6">
                  <c:v>0.19308268829094485</c:v>
                </c:pt>
                <c:pt idx="7">
                  <c:v>0.16922153551673241</c:v>
                </c:pt>
                <c:pt idx="8">
                  <c:v>0.17962627303193501</c:v>
                </c:pt>
                <c:pt idx="9">
                  <c:v>0.14346782660866961</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186700160"/>
        <c:axId val="186702848"/>
      </c:barChart>
      <c:catAx>
        <c:axId val="186700160"/>
        <c:scaling>
          <c:orientation val="minMax"/>
        </c:scaling>
        <c:delete val="0"/>
        <c:axPos val="b"/>
        <c:numFmt formatCode="yy;@" sourceLinked="0"/>
        <c:majorTickMark val="out"/>
        <c:minorTickMark val="none"/>
        <c:tickLblPos val="low"/>
        <c:txPr>
          <a:bodyPr/>
          <a:lstStyle/>
          <a:p>
            <a:pPr>
              <a:defRPr sz="800"/>
            </a:pPr>
            <a:endParaRPr lang="en-US"/>
          </a:p>
        </c:txPr>
        <c:crossAx val="186702848"/>
        <c:crosses val="autoZero"/>
        <c:auto val="0"/>
        <c:lblAlgn val="ctr"/>
        <c:lblOffset val="100"/>
        <c:noMultiLvlLbl val="0"/>
      </c:catAx>
      <c:valAx>
        <c:axId val="186702848"/>
        <c:scaling>
          <c:orientation val="minMax"/>
        </c:scaling>
        <c:delete val="1"/>
        <c:axPos val="l"/>
        <c:majorGridlines>
          <c:spPr>
            <a:ln>
              <a:noFill/>
            </a:ln>
          </c:spPr>
        </c:majorGridlines>
        <c:numFmt formatCode="0.00%" sourceLinked="1"/>
        <c:majorTickMark val="none"/>
        <c:minorTickMark val="none"/>
        <c:tickLblPos val="none"/>
        <c:crossAx val="186700160"/>
        <c:crosses val="autoZero"/>
        <c:crossBetween val="between"/>
      </c:valAx>
      <c:spPr>
        <a:noFill/>
        <a:ln w="25400">
          <a:noFill/>
        </a:ln>
      </c:spPr>
    </c:plotArea>
    <c:legend>
      <c:legendPos val="r"/>
      <c:layout>
        <c:manualLayout>
          <c:xMode val="edge"/>
          <c:yMode val="edge"/>
          <c:x val="0"/>
          <c:y val="2.4148915565336007E-2"/>
          <c:w val="0.61653460729391296"/>
          <c:h val="7.2177019539224258E-2"/>
        </c:manualLayout>
      </c:layout>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1744533225049212E-2"/>
          <c:y val="3.2523616090536986E-2"/>
          <c:w val="0.94977690166629436"/>
          <c:h val="0.83108541119860013"/>
        </c:manualLayout>
      </c:layout>
      <c:barChart>
        <c:barDir val="col"/>
        <c:grouping val="clustered"/>
        <c:varyColors val="0"/>
        <c:ser>
          <c:idx val="0"/>
          <c:order val="0"/>
          <c:tx>
            <c:v>Q - EBITDA</c:v>
          </c:tx>
          <c:spPr>
            <a:solidFill>
              <a:srgbClr val="92D050"/>
            </a:solidFill>
          </c:spPr>
          <c:invertIfNegative val="1"/>
          <c:dLbls>
            <c:numFmt formatCode="#,##0_);\(#,##0\)" sourceLinked="0"/>
            <c:txPr>
              <a:bodyPr/>
              <a:lstStyle/>
              <a:p>
                <a:pPr>
                  <a:defRPr sz="900"/>
                </a:pPr>
                <a:endParaRPr lang="en-US"/>
              </a:p>
            </c:txPr>
            <c:dLblPos val="inEnd"/>
            <c:showLegendKey val="0"/>
            <c:showVal val="1"/>
            <c:showCatName val="0"/>
            <c:showSerName val="0"/>
            <c:showPercent val="0"/>
            <c:showBubbleSize val="0"/>
            <c:showLeaderLines val="0"/>
          </c:dLbls>
          <c:cat>
            <c:numRef>
              <c:f>Quarters!$B$3:$K$3</c:f>
              <c:numCache>
                <c:formatCode>[$-409]mmm\-yy;@</c:formatCode>
                <c:ptCount val="10"/>
                <c:pt idx="0">
                  <c:v>42277</c:v>
                </c:pt>
                <c:pt idx="1">
                  <c:v>42369</c:v>
                </c:pt>
                <c:pt idx="2">
                  <c:v>42460</c:v>
                </c:pt>
                <c:pt idx="3">
                  <c:v>42551</c:v>
                </c:pt>
                <c:pt idx="4">
                  <c:v>42643</c:v>
                </c:pt>
                <c:pt idx="5">
                  <c:v>42735</c:v>
                </c:pt>
                <c:pt idx="6">
                  <c:v>42825</c:v>
                </c:pt>
                <c:pt idx="7">
                  <c:v>42916</c:v>
                </c:pt>
                <c:pt idx="8">
                  <c:v>43008</c:v>
                </c:pt>
                <c:pt idx="9">
                  <c:v>43100</c:v>
                </c:pt>
              </c:numCache>
            </c:numRef>
          </c:cat>
          <c:val>
            <c:numRef>
              <c:f>Others!$B$75:$K$75</c:f>
              <c:numCache>
                <c:formatCode>0</c:formatCode>
                <c:ptCount val="10"/>
                <c:pt idx="0">
                  <c:v>34.85</c:v>
                </c:pt>
                <c:pt idx="1">
                  <c:v>33.95999999999998</c:v>
                </c:pt>
                <c:pt idx="2">
                  <c:v>31.099999999999994</c:v>
                </c:pt>
                <c:pt idx="3">
                  <c:v>31.019999999999996</c:v>
                </c:pt>
                <c:pt idx="4">
                  <c:v>32.109999999999985</c:v>
                </c:pt>
                <c:pt idx="5">
                  <c:v>33.76</c:v>
                </c:pt>
                <c:pt idx="6">
                  <c:v>37.47999999999999</c:v>
                </c:pt>
                <c:pt idx="7">
                  <c:v>41.52000000000001</c:v>
                </c:pt>
                <c:pt idx="8">
                  <c:v>34.27999999999998</c:v>
                </c:pt>
                <c:pt idx="9">
                  <c:v>38.970000000000013</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189634432"/>
        <c:axId val="191435520"/>
      </c:barChart>
      <c:catAx>
        <c:axId val="189634432"/>
        <c:scaling>
          <c:orientation val="minMax"/>
        </c:scaling>
        <c:delete val="0"/>
        <c:axPos val="b"/>
        <c:numFmt formatCode="[$-409]mmmmm-yy;@" sourceLinked="0"/>
        <c:majorTickMark val="out"/>
        <c:minorTickMark val="none"/>
        <c:tickLblPos val="low"/>
        <c:txPr>
          <a:bodyPr/>
          <a:lstStyle/>
          <a:p>
            <a:pPr>
              <a:defRPr sz="800"/>
            </a:pPr>
            <a:endParaRPr lang="en-US"/>
          </a:p>
        </c:txPr>
        <c:crossAx val="191435520"/>
        <c:crosses val="autoZero"/>
        <c:auto val="0"/>
        <c:lblAlgn val="ctr"/>
        <c:lblOffset val="100"/>
        <c:noMultiLvlLbl val="0"/>
      </c:catAx>
      <c:valAx>
        <c:axId val="191435520"/>
        <c:scaling>
          <c:orientation val="minMax"/>
        </c:scaling>
        <c:delete val="1"/>
        <c:axPos val="l"/>
        <c:majorGridlines>
          <c:spPr>
            <a:ln>
              <a:noFill/>
            </a:ln>
          </c:spPr>
        </c:majorGridlines>
        <c:numFmt formatCode="0" sourceLinked="1"/>
        <c:majorTickMark val="none"/>
        <c:minorTickMark val="none"/>
        <c:tickLblPos val="none"/>
        <c:crossAx val="189634432"/>
        <c:crosses val="autoZero"/>
        <c:crossBetween val="between"/>
      </c:valAx>
      <c:spPr>
        <a:noFill/>
        <a:ln w="25400">
          <a:noFill/>
        </a:ln>
      </c:spPr>
    </c:plotArea>
    <c:legend>
      <c:legendPos val="r"/>
      <c:layout>
        <c:manualLayout>
          <c:xMode val="edge"/>
          <c:yMode val="edge"/>
          <c:x val="0"/>
          <c:y val="1.8739063867016623E-3"/>
          <c:w val="0.26534101617789424"/>
          <c:h val="8.838090551181102E-2"/>
        </c:manualLayout>
      </c:layout>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2.745844269466317E-2"/>
          <c:w val="0.9639871697662179"/>
          <c:h val="0.95998906386701666"/>
        </c:manualLayout>
      </c:layout>
      <c:barChart>
        <c:barDir val="col"/>
        <c:grouping val="clustered"/>
        <c:varyColors val="0"/>
        <c:ser>
          <c:idx val="0"/>
          <c:order val="0"/>
          <c:tx>
            <c:v>UnAdj EPS</c:v>
          </c:tx>
          <c:spPr>
            <a:solidFill>
              <a:srgbClr val="92D050"/>
            </a:solidFill>
          </c:spPr>
          <c:invertIfNegative val="1"/>
          <c:dLbls>
            <c:numFmt formatCode="#,##0_);\(#,##0\)" sourceLinked="0"/>
            <c:txPr>
              <a:bodyPr/>
              <a:lstStyle/>
              <a:p>
                <a:pPr>
                  <a:defRPr sz="800"/>
                </a:pPr>
                <a:endParaRPr lang="en-US"/>
              </a:p>
            </c:txPr>
            <c:dLblPos val="inEnd"/>
            <c:showLegendKey val="0"/>
            <c:showVal val="1"/>
            <c:showCatName val="0"/>
            <c:showSerName val="0"/>
            <c:showPercent val="0"/>
            <c:showBubbleSize val="0"/>
            <c:showLeaderLines val="0"/>
          </c:dLbls>
          <c:cat>
            <c:numRef>
              <c:f>'Profit &amp; Loss'!$B$3:$K$3</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'Profit &amp; Loss'!$B$13:$K$13</c:f>
              <c:numCache>
                <c:formatCode>_ * #,##0.00_ ;_ * \-#,##0.00_ ;_ * "-"??_ ;_ @_ </c:formatCode>
                <c:ptCount val="10"/>
                <c:pt idx="0">
                  <c:v>-1.0505965073910934</c:v>
                </c:pt>
                <c:pt idx="1">
                  <c:v>-3.4554584427245518</c:v>
                </c:pt>
                <c:pt idx="2">
                  <c:v>0.14836165640989446</c:v>
                </c:pt>
                <c:pt idx="3">
                  <c:v>1.4705258297098363</c:v>
                </c:pt>
                <c:pt idx="4">
                  <c:v>6.5453671945541678E-2</c:v>
                </c:pt>
                <c:pt idx="5">
                  <c:v>3.0850497376998645</c:v>
                </c:pt>
                <c:pt idx="6">
                  <c:v>7.5882623675531313</c:v>
                </c:pt>
                <c:pt idx="7">
                  <c:v>8.936608009631291</c:v>
                </c:pt>
                <c:pt idx="8">
                  <c:v>9.6347805103837345</c:v>
                </c:pt>
                <c:pt idx="9">
                  <c:v>12.468924505625688</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191454592"/>
        <c:axId val="191486208"/>
      </c:barChart>
      <c:catAx>
        <c:axId val="191454592"/>
        <c:scaling>
          <c:orientation val="minMax"/>
        </c:scaling>
        <c:delete val="0"/>
        <c:axPos val="b"/>
        <c:numFmt formatCode="yy;@" sourceLinked="0"/>
        <c:majorTickMark val="out"/>
        <c:minorTickMark val="none"/>
        <c:tickLblPos val="low"/>
        <c:txPr>
          <a:bodyPr/>
          <a:lstStyle/>
          <a:p>
            <a:pPr>
              <a:defRPr sz="800"/>
            </a:pPr>
            <a:endParaRPr lang="en-US"/>
          </a:p>
        </c:txPr>
        <c:crossAx val="191486208"/>
        <c:crosses val="autoZero"/>
        <c:auto val="0"/>
        <c:lblAlgn val="ctr"/>
        <c:lblOffset val="100"/>
        <c:noMultiLvlLbl val="0"/>
      </c:catAx>
      <c:valAx>
        <c:axId val="191486208"/>
        <c:scaling>
          <c:orientation val="minMax"/>
        </c:scaling>
        <c:delete val="1"/>
        <c:axPos val="l"/>
        <c:majorGridlines>
          <c:spPr>
            <a:ln>
              <a:noFill/>
            </a:ln>
          </c:spPr>
        </c:majorGridlines>
        <c:numFmt formatCode="_ * #,##0.00_ ;_ * \-#,##0.00_ ;_ * &quot;-&quot;??_ ;_ @_ " sourceLinked="1"/>
        <c:majorTickMark val="none"/>
        <c:minorTickMark val="none"/>
        <c:tickLblPos val="none"/>
        <c:crossAx val="191454592"/>
        <c:crosses val="autoZero"/>
        <c:crossBetween val="between"/>
      </c:valAx>
      <c:spPr>
        <a:noFill/>
        <a:ln w="25400">
          <a:noFill/>
        </a:ln>
      </c:spPr>
    </c:plotArea>
    <c:legend>
      <c:legendPos val="r"/>
      <c:layout>
        <c:manualLayout>
          <c:xMode val="edge"/>
          <c:yMode val="edge"/>
          <c:x val="7.398170094821771E-2"/>
          <c:y val="3.9101979003010767E-2"/>
          <c:w val="0.37426132078317798"/>
          <c:h val="0.13699176807444524"/>
        </c:manualLayout>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Sh Out</c:v>
          </c:tx>
          <c:spPr>
            <a:solidFill>
              <a:srgbClr val="00B0F0"/>
            </a:solidFill>
          </c:spPr>
          <c:invertIfNegative val="0"/>
          <c:dLbls>
            <c:numFmt formatCode="0.0" sourceLinked="0"/>
            <c:txPr>
              <a:bodyPr/>
              <a:lstStyle/>
              <a:p>
                <a:pPr>
                  <a:defRPr sz="800"/>
                </a:pPr>
                <a:endParaRPr lang="en-US"/>
              </a:p>
            </c:txPr>
            <c:showLegendKey val="0"/>
            <c:showVal val="1"/>
            <c:showCatName val="0"/>
            <c:showSerName val="0"/>
            <c:showPercent val="0"/>
            <c:showBubbleSize val="0"/>
            <c:showLeaderLines val="0"/>
          </c:dLbls>
          <c:cat>
            <c:numRef>
              <c:f>'Data Sheet'!$B$81:$K$81</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Sheet'!$B$93:$K$93</c:f>
              <c:numCache>
                <c:formatCode>_(* #,##0.00_);_(* \(#,##0.00\);_(* "-"??_);_(@_)</c:formatCode>
                <c:ptCount val="10"/>
                <c:pt idx="0">
                  <c:v>4.0833944999999998</c:v>
                </c:pt>
                <c:pt idx="1">
                  <c:v>4.0833944999999998</c:v>
                </c:pt>
                <c:pt idx="2">
                  <c:v>4.5833944999999998</c:v>
                </c:pt>
                <c:pt idx="3">
                  <c:v>4.5833944999999998</c:v>
                </c:pt>
                <c:pt idx="4">
                  <c:v>4.5833944999999998</c:v>
                </c:pt>
                <c:pt idx="5">
                  <c:v>4.5833944999999998</c:v>
                </c:pt>
                <c:pt idx="6">
                  <c:v>4.5833944999999998</c:v>
                </c:pt>
                <c:pt idx="7">
                  <c:v>4.5833944999999998</c:v>
                </c:pt>
                <c:pt idx="8">
                  <c:v>4.5833944999999998</c:v>
                </c:pt>
                <c:pt idx="9">
                  <c:v>4.5833944999999998</c:v>
                </c:pt>
              </c:numCache>
            </c:numRef>
          </c:val>
        </c:ser>
        <c:dLbls>
          <c:showLegendKey val="0"/>
          <c:showVal val="1"/>
          <c:showCatName val="0"/>
          <c:showSerName val="0"/>
          <c:showPercent val="0"/>
          <c:showBubbleSize val="0"/>
        </c:dLbls>
        <c:gapWidth val="25"/>
        <c:overlap val="1"/>
        <c:axId val="191521920"/>
        <c:axId val="191528960"/>
      </c:barChart>
      <c:catAx>
        <c:axId val="191521920"/>
        <c:scaling>
          <c:orientation val="minMax"/>
        </c:scaling>
        <c:delete val="0"/>
        <c:axPos val="b"/>
        <c:numFmt formatCode="yy;@" sourceLinked="0"/>
        <c:majorTickMark val="out"/>
        <c:minorTickMark val="none"/>
        <c:tickLblPos val="nextTo"/>
        <c:txPr>
          <a:bodyPr/>
          <a:lstStyle/>
          <a:p>
            <a:pPr>
              <a:defRPr sz="800"/>
            </a:pPr>
            <a:endParaRPr lang="en-US"/>
          </a:p>
        </c:txPr>
        <c:crossAx val="191528960"/>
        <c:crosses val="autoZero"/>
        <c:auto val="0"/>
        <c:lblAlgn val="ctr"/>
        <c:lblOffset val="100"/>
        <c:noMultiLvlLbl val="0"/>
      </c:catAx>
      <c:valAx>
        <c:axId val="191528960"/>
        <c:scaling>
          <c:orientation val="minMax"/>
        </c:scaling>
        <c:delete val="1"/>
        <c:axPos val="l"/>
        <c:majorGridlines>
          <c:spPr>
            <a:ln>
              <a:noFill/>
            </a:ln>
          </c:spPr>
        </c:majorGridlines>
        <c:numFmt formatCode="_(* #,##0.00_);_(* \(#,##0.00\);_(* &quot;-&quot;??_);_(@_)" sourceLinked="1"/>
        <c:majorTickMark val="none"/>
        <c:minorTickMark val="none"/>
        <c:tickLblPos val="none"/>
        <c:crossAx val="191521920"/>
        <c:crosses val="autoZero"/>
        <c:crossBetween val="between"/>
      </c:valAx>
      <c:spPr>
        <a:noFill/>
        <a:ln w="25400">
          <a:noFill/>
        </a:ln>
      </c:spPr>
    </c:plotArea>
    <c:legend>
      <c:legendPos val="r"/>
      <c:layout>
        <c:manualLayout>
          <c:xMode val="edge"/>
          <c:yMode val="edge"/>
          <c:x val="7.398170094821771E-2"/>
          <c:y val="3.9101979003010767E-2"/>
          <c:w val="0.30246800643241628"/>
          <c:h val="0.1369917680744452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3066072552623842E-2"/>
          <c:y val="2.2422398927302207E-2"/>
          <c:w val="0.9654321507412732"/>
          <c:h val="0.83831747594050743"/>
        </c:manualLayout>
      </c:layout>
      <c:barChart>
        <c:barDir val="col"/>
        <c:grouping val="clustered"/>
        <c:varyColors val="0"/>
        <c:ser>
          <c:idx val="0"/>
          <c:order val="0"/>
          <c:tx>
            <c:v>Q-Sales</c:v>
          </c:tx>
          <c:spPr>
            <a:solidFill>
              <a:srgbClr val="92D050"/>
            </a:solidFill>
          </c:spPr>
          <c:invertIfNegative val="1"/>
          <c:dLbls>
            <c:numFmt formatCode="#,##0_);\(#,##0\)" sourceLinked="0"/>
            <c:txPr>
              <a:bodyPr/>
              <a:lstStyle/>
              <a:p>
                <a:pPr>
                  <a:defRPr sz="800"/>
                </a:pPr>
                <a:endParaRPr lang="en-US"/>
              </a:p>
            </c:txPr>
            <c:showLegendKey val="0"/>
            <c:showVal val="1"/>
            <c:showCatName val="0"/>
            <c:showSerName val="0"/>
            <c:showPercent val="0"/>
            <c:showBubbleSize val="0"/>
            <c:showLeaderLines val="0"/>
          </c:dLbls>
          <c:cat>
            <c:numRef>
              <c:f>Quarters!$D$3:$K$3</c:f>
              <c:numCache>
                <c:formatCode>[$-409]mmm\-yy;@</c:formatCode>
                <c:ptCount val="8"/>
                <c:pt idx="0">
                  <c:v>42460</c:v>
                </c:pt>
                <c:pt idx="1">
                  <c:v>42551</c:v>
                </c:pt>
                <c:pt idx="2">
                  <c:v>42643</c:v>
                </c:pt>
                <c:pt idx="3">
                  <c:v>42735</c:v>
                </c:pt>
                <c:pt idx="4">
                  <c:v>42825</c:v>
                </c:pt>
                <c:pt idx="5">
                  <c:v>42916</c:v>
                </c:pt>
                <c:pt idx="6">
                  <c:v>43008</c:v>
                </c:pt>
                <c:pt idx="7">
                  <c:v>43100</c:v>
                </c:pt>
              </c:numCache>
            </c:numRef>
          </c:cat>
          <c:val>
            <c:numRef>
              <c:f>Quarters!$D$4:$K$4</c:f>
              <c:numCache>
                <c:formatCode>_ * #,##0.00_ ;_ * \-#,##0.00_ ;_ * "-"??_ ;_ @_ </c:formatCode>
                <c:ptCount val="8"/>
                <c:pt idx="0">
                  <c:v>190.47</c:v>
                </c:pt>
                <c:pt idx="1">
                  <c:v>193.53</c:v>
                </c:pt>
                <c:pt idx="2">
                  <c:v>206.47</c:v>
                </c:pt>
                <c:pt idx="3">
                  <c:v>248.17</c:v>
                </c:pt>
                <c:pt idx="4">
                  <c:v>285.2</c:v>
                </c:pt>
                <c:pt idx="5">
                  <c:v>287.25</c:v>
                </c:pt>
                <c:pt idx="6">
                  <c:v>284.45</c:v>
                </c:pt>
                <c:pt idx="7">
                  <c:v>287.10000000000002</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axId val="186470400"/>
        <c:axId val="191579648"/>
      </c:barChart>
      <c:catAx>
        <c:axId val="186470400"/>
        <c:scaling>
          <c:orientation val="minMax"/>
        </c:scaling>
        <c:delete val="0"/>
        <c:axPos val="b"/>
        <c:numFmt formatCode="[$-409]mmmmm-yy;@" sourceLinked="0"/>
        <c:majorTickMark val="out"/>
        <c:minorTickMark val="none"/>
        <c:tickLblPos val="nextTo"/>
        <c:txPr>
          <a:bodyPr/>
          <a:lstStyle/>
          <a:p>
            <a:pPr>
              <a:defRPr sz="800"/>
            </a:pPr>
            <a:endParaRPr lang="en-US"/>
          </a:p>
        </c:txPr>
        <c:crossAx val="191579648"/>
        <c:crosses val="autoZero"/>
        <c:auto val="0"/>
        <c:lblAlgn val="ctr"/>
        <c:lblOffset val="100"/>
        <c:noMultiLvlLbl val="0"/>
      </c:catAx>
      <c:valAx>
        <c:axId val="191579648"/>
        <c:scaling>
          <c:orientation val="minMax"/>
        </c:scaling>
        <c:delete val="1"/>
        <c:axPos val="l"/>
        <c:majorGridlines>
          <c:spPr>
            <a:ln>
              <a:noFill/>
            </a:ln>
          </c:spPr>
        </c:majorGridlines>
        <c:numFmt formatCode="#,##0" sourceLinked="0"/>
        <c:majorTickMark val="out"/>
        <c:minorTickMark val="none"/>
        <c:tickLblPos val="nextTo"/>
        <c:crossAx val="186470400"/>
        <c:crosses val="autoZero"/>
        <c:crossBetween val="between"/>
      </c:valAx>
    </c:plotArea>
    <c:legend>
      <c:legendPos val="r"/>
      <c:layout>
        <c:manualLayout>
          <c:xMode val="edge"/>
          <c:yMode val="edge"/>
          <c:x val="0.15692128901617086"/>
          <c:y val="3.1954447251436126E-2"/>
          <c:w val="0.25091762177534754"/>
          <c:h val="5.1978850469778237E-2"/>
        </c:manualLayout>
      </c:layout>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Liabilities</a:t>
            </a:r>
          </a:p>
        </c:rich>
      </c:tx>
      <c:layout/>
      <c:overlay val="0"/>
    </c:title>
    <c:autoTitleDeleted val="0"/>
    <c:plotArea>
      <c:layout>
        <c:manualLayout>
          <c:layoutTarget val="inner"/>
          <c:xMode val="edge"/>
          <c:yMode val="edge"/>
          <c:x val="5.2516339869281045E-2"/>
          <c:y val="3.6921478565179355E-2"/>
          <c:w val="0.91130718954248369"/>
          <c:h val="0.89871034639188618"/>
        </c:manualLayout>
      </c:layout>
      <c:areaChart>
        <c:grouping val="stacked"/>
        <c:varyColors val="0"/>
        <c:ser>
          <c:idx val="0"/>
          <c:order val="0"/>
          <c:tx>
            <c:v>Eq</c:v>
          </c:tx>
          <c:spPr>
            <a:solidFill>
              <a:srgbClr val="92D050"/>
            </a:solidFill>
          </c:spPr>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Sheet'!$B$57:$K$57</c:f>
              <c:numCache>
                <c:formatCode>General</c:formatCode>
                <c:ptCount val="10"/>
                <c:pt idx="0">
                  <c:v>40.83</c:v>
                </c:pt>
                <c:pt idx="1">
                  <c:v>40.83</c:v>
                </c:pt>
                <c:pt idx="2">
                  <c:v>45.83</c:v>
                </c:pt>
                <c:pt idx="3">
                  <c:v>45.83</c:v>
                </c:pt>
                <c:pt idx="4">
                  <c:v>45.83</c:v>
                </c:pt>
                <c:pt idx="5">
                  <c:v>45.83</c:v>
                </c:pt>
                <c:pt idx="6">
                  <c:v>45.83</c:v>
                </c:pt>
                <c:pt idx="7">
                  <c:v>45.83</c:v>
                </c:pt>
                <c:pt idx="8">
                  <c:v>45.83</c:v>
                </c:pt>
                <c:pt idx="9">
                  <c:v>45.83</c:v>
                </c:pt>
              </c:numCache>
            </c:numRef>
          </c:val>
        </c:ser>
        <c:ser>
          <c:idx val="1"/>
          <c:order val="1"/>
          <c:tx>
            <c:v>Rsrv</c:v>
          </c:tx>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Sheet'!$B$58:$K$58</c:f>
              <c:numCache>
                <c:formatCode>General</c:formatCode>
                <c:ptCount val="10"/>
                <c:pt idx="0">
                  <c:v>47.23</c:v>
                </c:pt>
                <c:pt idx="1">
                  <c:v>33.11</c:v>
                </c:pt>
                <c:pt idx="2">
                  <c:v>33.78</c:v>
                </c:pt>
                <c:pt idx="3">
                  <c:v>40.520000000000003</c:v>
                </c:pt>
                <c:pt idx="4">
                  <c:v>40.83</c:v>
                </c:pt>
                <c:pt idx="5">
                  <c:v>54.96</c:v>
                </c:pt>
                <c:pt idx="6">
                  <c:v>85.72</c:v>
                </c:pt>
                <c:pt idx="7">
                  <c:v>121.16</c:v>
                </c:pt>
                <c:pt idx="8">
                  <c:v>159.81</c:v>
                </c:pt>
                <c:pt idx="9">
                  <c:v>210.34</c:v>
                </c:pt>
              </c:numCache>
            </c:numRef>
          </c:val>
        </c:ser>
        <c:ser>
          <c:idx val="2"/>
          <c:order val="2"/>
          <c:tx>
            <c:v>Borw</c:v>
          </c:tx>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Sheet'!$B$59:$K$59</c:f>
              <c:numCache>
                <c:formatCode>General</c:formatCode>
                <c:ptCount val="10"/>
                <c:pt idx="0">
                  <c:v>267.33999999999997</c:v>
                </c:pt>
                <c:pt idx="1">
                  <c:v>299.41000000000003</c:v>
                </c:pt>
                <c:pt idx="2">
                  <c:v>308.51</c:v>
                </c:pt>
                <c:pt idx="3">
                  <c:v>284.02999999999997</c:v>
                </c:pt>
                <c:pt idx="4">
                  <c:v>248.92</c:v>
                </c:pt>
                <c:pt idx="5">
                  <c:v>206.64</c:v>
                </c:pt>
                <c:pt idx="6">
                  <c:v>176.07</c:v>
                </c:pt>
                <c:pt idx="7">
                  <c:v>378.27</c:v>
                </c:pt>
                <c:pt idx="8">
                  <c:v>352.07</c:v>
                </c:pt>
                <c:pt idx="9">
                  <c:v>563.49</c:v>
                </c:pt>
              </c:numCache>
            </c:numRef>
          </c:val>
        </c:ser>
        <c:ser>
          <c:idx val="3"/>
          <c:order val="3"/>
          <c:tx>
            <c:v>Oth.L</c:v>
          </c:tx>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Sheet'!$B$60:$K$60</c:f>
              <c:numCache>
                <c:formatCode>General</c:formatCode>
                <c:ptCount val="10"/>
                <c:pt idx="0">
                  <c:v>16.03</c:v>
                </c:pt>
                <c:pt idx="1">
                  <c:v>55.52</c:v>
                </c:pt>
                <c:pt idx="2">
                  <c:v>42.65</c:v>
                </c:pt>
                <c:pt idx="3">
                  <c:v>38.4</c:v>
                </c:pt>
                <c:pt idx="4">
                  <c:v>11.72</c:v>
                </c:pt>
                <c:pt idx="5">
                  <c:v>56.38</c:v>
                </c:pt>
                <c:pt idx="6">
                  <c:v>47.71</c:v>
                </c:pt>
                <c:pt idx="7">
                  <c:v>66.75</c:v>
                </c:pt>
                <c:pt idx="8">
                  <c:v>79.39</c:v>
                </c:pt>
                <c:pt idx="9">
                  <c:v>106.68</c:v>
                </c:pt>
              </c:numCache>
            </c:numRef>
          </c:val>
        </c:ser>
        <c:ser>
          <c:idx val="4"/>
          <c:order val="4"/>
          <c:tx>
            <c:v>Total</c:v>
          </c:tx>
          <c:spPr>
            <a:solidFill>
              <a:srgbClr val="00B050"/>
            </a:solidFill>
          </c:spPr>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Sheet'!$B$61:$K$61</c:f>
              <c:numCache>
                <c:formatCode>General</c:formatCode>
                <c:ptCount val="10"/>
                <c:pt idx="0">
                  <c:v>371.43</c:v>
                </c:pt>
                <c:pt idx="1">
                  <c:v>428.87</c:v>
                </c:pt>
                <c:pt idx="2">
                  <c:v>430.77</c:v>
                </c:pt>
                <c:pt idx="3">
                  <c:v>408.78</c:v>
                </c:pt>
                <c:pt idx="4">
                  <c:v>347.3</c:v>
                </c:pt>
                <c:pt idx="5">
                  <c:v>363.81</c:v>
                </c:pt>
                <c:pt idx="6">
                  <c:v>355.33</c:v>
                </c:pt>
                <c:pt idx="7">
                  <c:v>612.01</c:v>
                </c:pt>
                <c:pt idx="8">
                  <c:v>637.1</c:v>
                </c:pt>
                <c:pt idx="9">
                  <c:v>926.34</c:v>
                </c:pt>
              </c:numCache>
            </c:numRef>
          </c:val>
        </c:ser>
        <c:dLbls>
          <c:showLegendKey val="0"/>
          <c:showVal val="0"/>
          <c:showCatName val="0"/>
          <c:showSerName val="0"/>
          <c:showPercent val="0"/>
          <c:showBubbleSize val="0"/>
        </c:dLbls>
        <c:axId val="191564416"/>
        <c:axId val="191570304"/>
      </c:areaChart>
      <c:catAx>
        <c:axId val="191564416"/>
        <c:scaling>
          <c:orientation val="minMax"/>
        </c:scaling>
        <c:delete val="0"/>
        <c:axPos val="b"/>
        <c:numFmt formatCode="yy;@" sourceLinked="0"/>
        <c:majorTickMark val="none"/>
        <c:minorTickMark val="none"/>
        <c:tickLblPos val="nextTo"/>
        <c:txPr>
          <a:bodyPr/>
          <a:lstStyle/>
          <a:p>
            <a:pPr>
              <a:defRPr sz="800"/>
            </a:pPr>
            <a:endParaRPr lang="en-US"/>
          </a:p>
        </c:txPr>
        <c:crossAx val="191570304"/>
        <c:crosses val="autoZero"/>
        <c:auto val="0"/>
        <c:lblAlgn val="ctr"/>
        <c:lblOffset val="100"/>
        <c:noMultiLvlLbl val="0"/>
      </c:catAx>
      <c:valAx>
        <c:axId val="191570304"/>
        <c:scaling>
          <c:orientation val="minMax"/>
        </c:scaling>
        <c:delete val="0"/>
        <c:axPos val="r"/>
        <c:majorGridlines>
          <c:spPr>
            <a:ln>
              <a:noFill/>
            </a:ln>
          </c:spPr>
        </c:majorGridlines>
        <c:numFmt formatCode="General" sourceLinked="1"/>
        <c:majorTickMark val="none"/>
        <c:minorTickMark val="none"/>
        <c:tickLblPos val="nextTo"/>
        <c:txPr>
          <a:bodyPr/>
          <a:lstStyle/>
          <a:p>
            <a:pPr>
              <a:defRPr sz="800"/>
            </a:pPr>
            <a:endParaRPr lang="en-US"/>
          </a:p>
        </c:txPr>
        <c:crossAx val="191564416"/>
        <c:crosses val="max"/>
        <c:crossBetween val="midCat"/>
      </c:valAx>
      <c:spPr>
        <a:noFill/>
        <a:ln w="25400">
          <a:noFill/>
        </a:ln>
      </c:spPr>
    </c:plotArea>
    <c:legend>
      <c:legendPos val="r"/>
      <c:layout>
        <c:manualLayout>
          <c:xMode val="edge"/>
          <c:yMode val="edge"/>
          <c:x val="4.9195319335083122E-2"/>
          <c:y val="0.14481590842811315"/>
          <c:w val="0.45913801399825022"/>
          <c:h val="0.15469706911636044"/>
        </c:manualLayout>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Assets</a:t>
            </a:r>
          </a:p>
        </c:rich>
      </c:tx>
      <c:layout>
        <c:manualLayout>
          <c:xMode val="edge"/>
          <c:yMode val="edge"/>
          <c:x val="0.36302607628591882"/>
          <c:y val="2.2153841859945855E-2"/>
        </c:manualLayout>
      </c:layout>
      <c:overlay val="0"/>
    </c:title>
    <c:autoTitleDeleted val="0"/>
    <c:plotArea>
      <c:layout>
        <c:manualLayout>
          <c:layoutTarget val="inner"/>
          <c:xMode val="edge"/>
          <c:yMode val="edge"/>
          <c:x val="5.2516339869281045E-2"/>
          <c:y val="1.674389466748755E-2"/>
          <c:w val="0.91130718954248369"/>
          <c:h val="0.92721449942214018"/>
        </c:manualLayout>
      </c:layout>
      <c:areaChart>
        <c:grouping val="stacked"/>
        <c:varyColors val="0"/>
        <c:ser>
          <c:idx val="0"/>
          <c:order val="0"/>
          <c:tx>
            <c:v>NetBlk</c:v>
          </c:tx>
          <c:spPr>
            <a:ln w="25400">
              <a:noFill/>
            </a:ln>
          </c:spPr>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Sheet'!$B$62:$K$62</c:f>
              <c:numCache>
                <c:formatCode>General</c:formatCode>
                <c:ptCount val="10"/>
                <c:pt idx="0">
                  <c:v>239.51</c:v>
                </c:pt>
                <c:pt idx="1">
                  <c:v>313.16000000000003</c:v>
                </c:pt>
                <c:pt idx="2">
                  <c:v>295.08</c:v>
                </c:pt>
                <c:pt idx="3">
                  <c:v>249.28</c:v>
                </c:pt>
                <c:pt idx="4">
                  <c:v>228.09</c:v>
                </c:pt>
                <c:pt idx="5">
                  <c:v>212.99</c:v>
                </c:pt>
                <c:pt idx="6">
                  <c:v>191.21</c:v>
                </c:pt>
                <c:pt idx="7">
                  <c:v>416.74</c:v>
                </c:pt>
                <c:pt idx="8">
                  <c:v>382.07</c:v>
                </c:pt>
                <c:pt idx="9">
                  <c:v>614.29</c:v>
                </c:pt>
              </c:numCache>
            </c:numRef>
          </c:val>
        </c:ser>
        <c:ser>
          <c:idx val="1"/>
          <c:order val="1"/>
          <c:tx>
            <c:v>CWIP</c:v>
          </c:tx>
          <c:spPr>
            <a:ln w="25400">
              <a:noFill/>
            </a:ln>
          </c:spPr>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Sheet'!$B$63:$K$63</c:f>
              <c:numCache>
                <c:formatCode>General</c:formatCode>
                <c:ptCount val="10"/>
                <c:pt idx="0">
                  <c:v>47.89</c:v>
                </c:pt>
                <c:pt idx="1">
                  <c:v>0.08</c:v>
                </c:pt>
                <c:pt idx="4">
                  <c:v>3.38</c:v>
                </c:pt>
                <c:pt idx="6">
                  <c:v>21.18</c:v>
                </c:pt>
                <c:pt idx="8">
                  <c:v>17.059999999999999</c:v>
                </c:pt>
              </c:numCache>
            </c:numRef>
          </c:val>
        </c:ser>
        <c:ser>
          <c:idx val="2"/>
          <c:order val="2"/>
          <c:tx>
            <c:v>Inv</c:v>
          </c:tx>
          <c:spPr>
            <a:ln w="25400">
              <a:noFill/>
            </a:ln>
          </c:spPr>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Sheet'!$B$64:$K$64</c:f>
              <c:numCache>
                <c:formatCode>_ * #,##0.00_ ;_ * \-#,##0.00_ ;_ * "-"??_ ;_ @_ </c:formatCode>
                <c:ptCount val="10"/>
              </c:numCache>
            </c:numRef>
          </c:val>
        </c:ser>
        <c:ser>
          <c:idx val="3"/>
          <c:order val="3"/>
          <c:tx>
            <c:v>Oth.A</c:v>
          </c:tx>
          <c:spPr>
            <a:ln w="25400">
              <a:noFill/>
            </a:ln>
          </c:spPr>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Sheet'!$B$65:$K$65</c:f>
              <c:numCache>
                <c:formatCode>General</c:formatCode>
                <c:ptCount val="10"/>
                <c:pt idx="0">
                  <c:v>84.03</c:v>
                </c:pt>
                <c:pt idx="1">
                  <c:v>115.63</c:v>
                </c:pt>
                <c:pt idx="2">
                  <c:v>135.69</c:v>
                </c:pt>
                <c:pt idx="3">
                  <c:v>159.5</c:v>
                </c:pt>
                <c:pt idx="4">
                  <c:v>115.83</c:v>
                </c:pt>
                <c:pt idx="5">
                  <c:v>150.82</c:v>
                </c:pt>
                <c:pt idx="6">
                  <c:v>142.94</c:v>
                </c:pt>
                <c:pt idx="7">
                  <c:v>195.27</c:v>
                </c:pt>
                <c:pt idx="8">
                  <c:v>237.97</c:v>
                </c:pt>
                <c:pt idx="9">
                  <c:v>312.05</c:v>
                </c:pt>
              </c:numCache>
            </c:numRef>
          </c:val>
        </c:ser>
        <c:ser>
          <c:idx val="4"/>
          <c:order val="4"/>
          <c:tx>
            <c:v>Total</c:v>
          </c:tx>
          <c:spPr>
            <a:solidFill>
              <a:srgbClr val="92D050"/>
            </a:solidFill>
            <a:ln w="25400">
              <a:noFill/>
            </a:ln>
          </c:spPr>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Sheet'!$B$66:$K$66</c:f>
              <c:numCache>
                <c:formatCode>General</c:formatCode>
                <c:ptCount val="10"/>
                <c:pt idx="0">
                  <c:v>371.43</c:v>
                </c:pt>
                <c:pt idx="1">
                  <c:v>428.87</c:v>
                </c:pt>
                <c:pt idx="2">
                  <c:v>430.77</c:v>
                </c:pt>
                <c:pt idx="3">
                  <c:v>408.78</c:v>
                </c:pt>
                <c:pt idx="4">
                  <c:v>347.3</c:v>
                </c:pt>
                <c:pt idx="5">
                  <c:v>363.81</c:v>
                </c:pt>
                <c:pt idx="6">
                  <c:v>355.33</c:v>
                </c:pt>
                <c:pt idx="7">
                  <c:v>612.01</c:v>
                </c:pt>
                <c:pt idx="8">
                  <c:v>637.1</c:v>
                </c:pt>
                <c:pt idx="9">
                  <c:v>926.34</c:v>
                </c:pt>
              </c:numCache>
            </c:numRef>
          </c:val>
        </c:ser>
        <c:dLbls>
          <c:showLegendKey val="0"/>
          <c:showVal val="0"/>
          <c:showCatName val="0"/>
          <c:showSerName val="0"/>
          <c:showPercent val="0"/>
          <c:showBubbleSize val="0"/>
        </c:dLbls>
        <c:axId val="191593856"/>
        <c:axId val="191612032"/>
      </c:areaChart>
      <c:catAx>
        <c:axId val="191593856"/>
        <c:scaling>
          <c:orientation val="minMax"/>
        </c:scaling>
        <c:delete val="0"/>
        <c:axPos val="b"/>
        <c:numFmt formatCode="yy;@" sourceLinked="0"/>
        <c:majorTickMark val="none"/>
        <c:minorTickMark val="none"/>
        <c:tickLblPos val="nextTo"/>
        <c:txPr>
          <a:bodyPr/>
          <a:lstStyle/>
          <a:p>
            <a:pPr>
              <a:defRPr sz="800"/>
            </a:pPr>
            <a:endParaRPr lang="en-US"/>
          </a:p>
        </c:txPr>
        <c:crossAx val="191612032"/>
        <c:crosses val="autoZero"/>
        <c:auto val="0"/>
        <c:lblAlgn val="ctr"/>
        <c:lblOffset val="100"/>
        <c:noMultiLvlLbl val="0"/>
      </c:catAx>
      <c:valAx>
        <c:axId val="191612032"/>
        <c:scaling>
          <c:orientation val="minMax"/>
        </c:scaling>
        <c:delete val="0"/>
        <c:axPos val="r"/>
        <c:majorGridlines>
          <c:spPr>
            <a:ln>
              <a:noFill/>
            </a:ln>
          </c:spPr>
        </c:majorGridlines>
        <c:numFmt formatCode="General" sourceLinked="1"/>
        <c:majorTickMark val="none"/>
        <c:minorTickMark val="none"/>
        <c:tickLblPos val="nextTo"/>
        <c:txPr>
          <a:bodyPr/>
          <a:lstStyle/>
          <a:p>
            <a:pPr>
              <a:defRPr sz="800"/>
            </a:pPr>
            <a:endParaRPr lang="en-US"/>
          </a:p>
        </c:txPr>
        <c:crossAx val="191593856"/>
        <c:crosses val="max"/>
        <c:crossBetween val="midCat"/>
      </c:valAx>
      <c:spPr>
        <a:noFill/>
        <a:ln w="25400">
          <a:noFill/>
        </a:ln>
      </c:spPr>
    </c:plotArea>
    <c:legend>
      <c:legendPos val="r"/>
      <c:layout>
        <c:manualLayout>
          <c:xMode val="edge"/>
          <c:yMode val="edge"/>
          <c:x val="1.8026383065753139E-2"/>
          <c:y val="5.9892707955380653E-2"/>
          <c:w val="0.35994641578893555"/>
          <c:h val="0.23783835487082158"/>
        </c:manualLayout>
      </c:layout>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Int. Cov. Rat</a:t>
            </a:r>
          </a:p>
        </c:rich>
      </c:tx>
      <c:layout>
        <c:manualLayout>
          <c:xMode val="edge"/>
          <c:yMode val="edge"/>
          <c:x val="1.7321606356532741E-2"/>
          <c:y val="4.1666666666666664E-2"/>
        </c:manualLayout>
      </c:layout>
      <c:overlay val="1"/>
    </c:title>
    <c:autoTitleDeleted val="0"/>
    <c:plotArea>
      <c:layout>
        <c:manualLayout>
          <c:layoutTarget val="inner"/>
          <c:xMode val="edge"/>
          <c:yMode val="edge"/>
          <c:x val="3.239493592712675E-2"/>
          <c:y val="5.5236392394182175E-2"/>
          <c:w val="0.9639871697662179"/>
          <c:h val="0.82110001175226233"/>
        </c:manualLayout>
      </c:layout>
      <c:barChart>
        <c:barDir val="col"/>
        <c:grouping val="clustered"/>
        <c:varyColors val="0"/>
        <c:ser>
          <c:idx val="0"/>
          <c:order val="0"/>
          <c:tx>
            <c:v>Int. Cov. Rat</c:v>
          </c:tx>
          <c:spPr>
            <a:solidFill>
              <a:srgbClr val="92D050"/>
            </a:solidFill>
          </c:spPr>
          <c:invertIfNegative val="0"/>
          <c:dLbls>
            <c:numFmt formatCode="#,##0_);[Red]\(#,##0\)" sourceLinked="0"/>
            <c:txPr>
              <a:bodyPr/>
              <a:lstStyle/>
              <a:p>
                <a:pPr>
                  <a:defRPr sz="800"/>
                </a:pPr>
                <a:endParaRPr lang="en-US"/>
              </a:p>
            </c:txPr>
            <c:showLegendKey val="0"/>
            <c:showVal val="1"/>
            <c:showCatName val="0"/>
            <c:showSerName val="0"/>
            <c:showPercent val="0"/>
            <c:showBubbleSize val="0"/>
            <c:showLeaderLines val="0"/>
          </c:dLbls>
          <c:cat>
            <c:numRef>
              <c:f>Trend!$B$1:$K$1</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Trend!$B$56:$K$56</c:f>
              <c:numCache>
                <c:formatCode>0.0</c:formatCode>
                <c:ptCount val="10"/>
                <c:pt idx="0">
                  <c:v>0.84441398217957508</c:v>
                </c:pt>
                <c:pt idx="1">
                  <c:v>3.5146443514644347E-2</c:v>
                </c:pt>
                <c:pt idx="2">
                  <c:v>1.0660066006600659</c:v>
                </c:pt>
                <c:pt idx="3">
                  <c:v>1.459600760456274</c:v>
                </c:pt>
                <c:pt idx="4">
                  <c:v>1.0143540669856459</c:v>
                </c:pt>
                <c:pt idx="5">
                  <c:v>1.7678506041742952</c:v>
                </c:pt>
                <c:pt idx="6">
                  <c:v>3.9753722794959905</c:v>
                </c:pt>
                <c:pt idx="7">
                  <c:v>3.3762157382847038</c:v>
                </c:pt>
                <c:pt idx="8">
                  <c:v>2.9748561042108452</c:v>
                </c:pt>
                <c:pt idx="9">
                  <c:v>4.1483812949640289</c:v>
                </c:pt>
              </c:numCache>
            </c:numRef>
          </c:val>
        </c:ser>
        <c:dLbls>
          <c:showLegendKey val="0"/>
          <c:showVal val="1"/>
          <c:showCatName val="0"/>
          <c:showSerName val="0"/>
          <c:showPercent val="0"/>
          <c:showBubbleSize val="0"/>
        </c:dLbls>
        <c:gapWidth val="25"/>
        <c:overlap val="1"/>
        <c:axId val="192353024"/>
        <c:axId val="192355712"/>
      </c:barChart>
      <c:catAx>
        <c:axId val="192353024"/>
        <c:scaling>
          <c:orientation val="minMax"/>
        </c:scaling>
        <c:delete val="0"/>
        <c:axPos val="b"/>
        <c:numFmt formatCode="yy;@" sourceLinked="0"/>
        <c:majorTickMark val="out"/>
        <c:minorTickMark val="none"/>
        <c:tickLblPos val="low"/>
        <c:txPr>
          <a:bodyPr/>
          <a:lstStyle/>
          <a:p>
            <a:pPr>
              <a:defRPr sz="800"/>
            </a:pPr>
            <a:endParaRPr lang="en-US"/>
          </a:p>
        </c:txPr>
        <c:crossAx val="192355712"/>
        <c:crosses val="autoZero"/>
        <c:auto val="0"/>
        <c:lblAlgn val="ctr"/>
        <c:lblOffset val="100"/>
        <c:noMultiLvlLbl val="0"/>
      </c:catAx>
      <c:valAx>
        <c:axId val="192355712"/>
        <c:scaling>
          <c:orientation val="minMax"/>
        </c:scaling>
        <c:delete val="1"/>
        <c:axPos val="l"/>
        <c:majorGridlines>
          <c:spPr>
            <a:ln>
              <a:noFill/>
            </a:ln>
          </c:spPr>
        </c:majorGridlines>
        <c:numFmt formatCode="0.0" sourceLinked="1"/>
        <c:majorTickMark val="none"/>
        <c:minorTickMark val="none"/>
        <c:tickLblPos val="none"/>
        <c:crossAx val="19235302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678513637484054"/>
          <c:h val="0.81682633420822393"/>
        </c:manualLayout>
      </c:layout>
      <c:barChart>
        <c:barDir val="col"/>
        <c:grouping val="clustered"/>
        <c:varyColors val="0"/>
        <c:ser>
          <c:idx val="0"/>
          <c:order val="0"/>
          <c:tx>
            <c:v>Manual: Moat = RoIC - Cost of Cap.</c:v>
          </c:tx>
          <c:spPr>
            <a:solidFill>
              <a:srgbClr val="DEF5FA">
                <a:lumMod val="90000"/>
              </a:srgbClr>
            </a:solidFill>
          </c:spPr>
          <c:invertIfNegative val="0"/>
          <c:dLbls>
            <c:numFmt formatCode="0%;\(0%\)" sourceLinked="0"/>
            <c:txPr>
              <a:bodyPr/>
              <a:lstStyle/>
              <a:p>
                <a:pPr>
                  <a:defRPr sz="800"/>
                </a:pPr>
                <a:endParaRPr lang="en-US"/>
              </a:p>
            </c:txPr>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Others!$B$35:$K$35</c:f>
              <c:numCache>
                <c:formatCode>0%</c:formatCode>
                <c:ptCount val="10"/>
                <c:pt idx="0">
                  <c:v>-5.5498242018196794E-2</c:v>
                </c:pt>
                <c:pt idx="1">
                  <c:v>-4.6714264937985875E-2</c:v>
                </c:pt>
                <c:pt idx="2">
                  <c:v>-2.9676555270437902E-3</c:v>
                </c:pt>
                <c:pt idx="3">
                  <c:v>2.5586612811731586E-2</c:v>
                </c:pt>
                <c:pt idx="4">
                  <c:v>-1.6396074093082927E-2</c:v>
                </c:pt>
                <c:pt idx="5">
                  <c:v>7.0270753824256293E-2</c:v>
                </c:pt>
                <c:pt idx="6">
                  <c:v>1.7732609166379171E-2</c:v>
                </c:pt>
                <c:pt idx="7">
                  <c:v>8.4313679735329355E-2</c:v>
                </c:pt>
                <c:pt idx="8">
                  <c:v>3.3771708152211449E-2</c:v>
                </c:pt>
                <c:pt idx="9">
                  <c:v>6.0533705505891863E-2</c:v>
                </c:pt>
              </c:numCache>
            </c:numRef>
          </c:val>
        </c:ser>
        <c:dLbls>
          <c:showLegendKey val="0"/>
          <c:showVal val="1"/>
          <c:showCatName val="0"/>
          <c:showSerName val="0"/>
          <c:showPercent val="0"/>
          <c:showBubbleSize val="0"/>
        </c:dLbls>
        <c:gapWidth val="100"/>
        <c:overlap val="1"/>
        <c:axId val="227662080"/>
        <c:axId val="227665024"/>
      </c:barChart>
      <c:catAx>
        <c:axId val="227662080"/>
        <c:scaling>
          <c:orientation val="minMax"/>
        </c:scaling>
        <c:delete val="0"/>
        <c:axPos val="b"/>
        <c:numFmt formatCode="yy;@" sourceLinked="0"/>
        <c:majorTickMark val="out"/>
        <c:minorTickMark val="none"/>
        <c:tickLblPos val="low"/>
        <c:txPr>
          <a:bodyPr/>
          <a:lstStyle/>
          <a:p>
            <a:pPr>
              <a:defRPr sz="800"/>
            </a:pPr>
            <a:endParaRPr lang="en-US"/>
          </a:p>
        </c:txPr>
        <c:crossAx val="227665024"/>
        <c:crosses val="autoZero"/>
        <c:auto val="0"/>
        <c:lblAlgn val="ctr"/>
        <c:lblOffset val="100"/>
        <c:noMultiLvlLbl val="0"/>
      </c:catAx>
      <c:valAx>
        <c:axId val="227665024"/>
        <c:scaling>
          <c:orientation val="minMax"/>
        </c:scaling>
        <c:delete val="1"/>
        <c:axPos val="l"/>
        <c:majorGridlines>
          <c:spPr>
            <a:ln>
              <a:noFill/>
            </a:ln>
          </c:spPr>
        </c:majorGridlines>
        <c:numFmt formatCode="0%" sourceLinked="1"/>
        <c:majorTickMark val="none"/>
        <c:minorTickMark val="none"/>
        <c:tickLblPos val="none"/>
        <c:crossAx val="227662080"/>
        <c:crosses val="autoZero"/>
        <c:crossBetween val="between"/>
      </c:valAx>
      <c:spPr>
        <a:noFill/>
        <a:ln w="25400">
          <a:noFill/>
        </a:ln>
      </c:spPr>
    </c:plotArea>
    <c:legend>
      <c:legendPos val="r"/>
      <c:layout>
        <c:manualLayout>
          <c:xMode val="edge"/>
          <c:yMode val="edge"/>
          <c:x val="0"/>
          <c:y val="3.9101979003010767E-2"/>
          <c:w val="0.33981906321108141"/>
          <c:h val="0.2933940288713911"/>
        </c:manualLayout>
      </c:layout>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82110001175226233"/>
        </c:manualLayout>
      </c:layout>
      <c:barChart>
        <c:barDir val="col"/>
        <c:grouping val="stacked"/>
        <c:varyColors val="0"/>
        <c:ser>
          <c:idx val="0"/>
          <c:order val="0"/>
          <c:tx>
            <c:v>PAT</c:v>
          </c:tx>
          <c:spPr>
            <a:solidFill>
              <a:srgbClr val="DEF5FA">
                <a:lumMod val="90000"/>
              </a:srgbClr>
            </a:solidFill>
          </c:spPr>
          <c:invertIfNegative val="0"/>
          <c:dLbls>
            <c:numFmt formatCode="#,##0_);\(#,##0\)" sourceLinked="0"/>
            <c:txPr>
              <a:bodyPr/>
              <a:lstStyle/>
              <a:p>
                <a:pPr>
                  <a:defRPr sz="800"/>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Others!$B$40:$K$40</c:f>
              <c:numCache>
                <c:formatCode>0</c:formatCode>
                <c:ptCount val="10"/>
                <c:pt idx="0">
                  <c:v>-4.29</c:v>
                </c:pt>
                <c:pt idx="1">
                  <c:v>-14.11</c:v>
                </c:pt>
                <c:pt idx="2">
                  <c:v>0.68</c:v>
                </c:pt>
                <c:pt idx="3">
                  <c:v>6.74</c:v>
                </c:pt>
                <c:pt idx="4">
                  <c:v>0.3</c:v>
                </c:pt>
                <c:pt idx="5">
                  <c:v>14.14</c:v>
                </c:pt>
                <c:pt idx="6">
                  <c:v>34.78</c:v>
                </c:pt>
                <c:pt idx="7">
                  <c:v>40.96</c:v>
                </c:pt>
                <c:pt idx="8">
                  <c:v>44.16</c:v>
                </c:pt>
                <c:pt idx="9">
                  <c:v>57.15</c:v>
                </c:pt>
              </c:numCache>
            </c:numRef>
          </c:val>
        </c:ser>
        <c:ser>
          <c:idx val="1"/>
          <c:order val="1"/>
          <c:tx>
            <c:v>PAT (Adj using OI)</c:v>
          </c:tx>
          <c:spPr>
            <a:solidFill>
              <a:srgbClr val="EB641B">
                <a:lumMod val="40000"/>
                <a:lumOff val="60000"/>
              </a:srgbClr>
            </a:solidFill>
          </c:spPr>
          <c:invertIfNegative val="0"/>
          <c:dLbls>
            <c:numFmt formatCode="[Blue]#,##0;[Blue]\(#,##0\)" sourceLinked="0"/>
            <c:spPr>
              <a:ln w="3175"/>
            </c:spPr>
            <c:txPr>
              <a:bodyPr/>
              <a:lstStyle/>
              <a:p>
                <a:pPr>
                  <a:defRPr sz="800"/>
                </a:pPr>
                <a:endParaRPr lang="en-US"/>
              </a:p>
            </c:txPr>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Others!$B$45:$K$45</c:f>
              <c:numCache>
                <c:formatCode>0</c:formatCode>
                <c:ptCount val="10"/>
                <c:pt idx="0">
                  <c:v>-4.6112775330396474</c:v>
                </c:pt>
                <c:pt idx="1">
                  <c:v>-14.709644405897658</c:v>
                </c:pt>
                <c:pt idx="2">
                  <c:v>0.29920000000000002</c:v>
                </c:pt>
                <c:pt idx="3">
                  <c:v>6.5727197518097213</c:v>
                </c:pt>
                <c:pt idx="4">
                  <c:v>0.16999999999999998</c:v>
                </c:pt>
                <c:pt idx="5">
                  <c:v>13.937854077253219</c:v>
                </c:pt>
                <c:pt idx="6">
                  <c:v>34.545678537054862</c:v>
                </c:pt>
                <c:pt idx="7">
                  <c:v>37.050701395348838</c:v>
                </c:pt>
                <c:pt idx="8">
                  <c:v>43.672379199263688</c:v>
                </c:pt>
                <c:pt idx="9">
                  <c:v>56.505205655526993</c:v>
                </c:pt>
              </c:numCache>
            </c:numRef>
          </c:val>
        </c:ser>
        <c:dLbls>
          <c:showLegendKey val="0"/>
          <c:showVal val="1"/>
          <c:showCatName val="0"/>
          <c:showSerName val="0"/>
          <c:showPercent val="0"/>
          <c:showBubbleSize val="0"/>
        </c:dLbls>
        <c:gapWidth val="25"/>
        <c:overlap val="100"/>
        <c:axId val="228804864"/>
        <c:axId val="228814848"/>
      </c:barChart>
      <c:catAx>
        <c:axId val="228804864"/>
        <c:scaling>
          <c:orientation val="minMax"/>
        </c:scaling>
        <c:delete val="0"/>
        <c:axPos val="b"/>
        <c:numFmt formatCode="yy;@" sourceLinked="0"/>
        <c:majorTickMark val="out"/>
        <c:minorTickMark val="none"/>
        <c:tickLblPos val="low"/>
        <c:crossAx val="228814848"/>
        <c:crosses val="autoZero"/>
        <c:auto val="0"/>
        <c:lblAlgn val="ctr"/>
        <c:lblOffset val="100"/>
        <c:noMultiLvlLbl val="0"/>
      </c:catAx>
      <c:valAx>
        <c:axId val="228814848"/>
        <c:scaling>
          <c:orientation val="minMax"/>
        </c:scaling>
        <c:delete val="1"/>
        <c:axPos val="l"/>
        <c:majorGridlines>
          <c:spPr>
            <a:ln>
              <a:noFill/>
            </a:ln>
          </c:spPr>
        </c:majorGridlines>
        <c:numFmt formatCode="0" sourceLinked="1"/>
        <c:majorTickMark val="none"/>
        <c:minorTickMark val="none"/>
        <c:tickLblPos val="none"/>
        <c:crossAx val="228804864"/>
        <c:crosses val="autoZero"/>
        <c:crossBetween val="between"/>
      </c:valAx>
      <c:spPr>
        <a:noFill/>
        <a:ln w="25400">
          <a:noFill/>
        </a:ln>
      </c:spPr>
    </c:plotArea>
    <c:legend>
      <c:legendPos val="r"/>
      <c:layout>
        <c:manualLayout>
          <c:xMode val="edge"/>
          <c:yMode val="edge"/>
          <c:x val="7.398170094821771E-2"/>
          <c:y val="3.9101979003010767E-2"/>
          <c:w val="0.50271363026186611"/>
          <c:h val="0.16743438320209975"/>
        </c:manualLayout>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b="0"/>
              <a:t>Margin %</a:t>
            </a:r>
          </a:p>
        </c:rich>
      </c:tx>
      <c:layout>
        <c:manualLayout>
          <c:xMode val="edge"/>
          <c:yMode val="edge"/>
          <c:x val="8.8634375248548333E-3"/>
          <c:y val="0"/>
        </c:manualLayout>
      </c:layout>
      <c:overlay val="0"/>
    </c:title>
    <c:autoTitleDeleted val="0"/>
    <c:plotArea>
      <c:layout>
        <c:manualLayout>
          <c:layoutTarget val="inner"/>
          <c:xMode val="edge"/>
          <c:yMode val="edge"/>
          <c:x val="1.2787245656366472E-2"/>
          <c:y val="5.523641634347945E-2"/>
          <c:w val="0.9639871697662179"/>
          <c:h val="0.94476377952755908"/>
        </c:manualLayout>
      </c:layout>
      <c:barChart>
        <c:barDir val="col"/>
        <c:grouping val="clustered"/>
        <c:varyColors val="0"/>
        <c:ser>
          <c:idx val="0"/>
          <c:order val="0"/>
          <c:tx>
            <c:v>PAT</c:v>
          </c:tx>
          <c:spPr>
            <a:solidFill>
              <a:srgbClr val="DEF5FA">
                <a:lumMod val="90000"/>
              </a:srgbClr>
            </a:solidFill>
          </c:spPr>
          <c:invertIfNegative val="0"/>
          <c:dLbls>
            <c:numFmt formatCode="#,##0.0_);\(#,##0.0\)" sourceLinked="0"/>
            <c:txPr>
              <a:bodyPr rot="5400000" vert="horz"/>
              <a:lstStyle/>
              <a:p>
                <a:pPr>
                  <a:defRPr/>
                </a:pPr>
                <a:endParaRPr lang="en-US"/>
              </a:p>
            </c:txPr>
            <c:dLblPos val="inBase"/>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Others!$B$44:$K$44</c:f>
              <c:numCache>
                <c:formatCode>0.0</c:formatCode>
                <c:ptCount val="10"/>
                <c:pt idx="0">
                  <c:v>-2.1054181389870439</c:v>
                </c:pt>
                <c:pt idx="1">
                  <c:v>-5.3799519579059742</c:v>
                </c:pt>
                <c:pt idx="2">
                  <c:v>0.22520284815366784</c:v>
                </c:pt>
                <c:pt idx="3">
                  <c:v>1.6402219410104155</c:v>
                </c:pt>
                <c:pt idx="4">
                  <c:v>7.0044361428904967E-2</c:v>
                </c:pt>
                <c:pt idx="5">
                  <c:v>3.1700482008743416</c:v>
                </c:pt>
                <c:pt idx="6">
                  <c:v>7.1220870704836798</c:v>
                </c:pt>
                <c:pt idx="7">
                  <c:v>6.6442811491232341</c:v>
                </c:pt>
                <c:pt idx="8">
                  <c:v>5.7584727528785837</c:v>
                </c:pt>
                <c:pt idx="9">
                  <c:v>6.1229081403072705</c:v>
                </c:pt>
              </c:numCache>
            </c:numRef>
          </c:val>
        </c:ser>
        <c:ser>
          <c:idx val="1"/>
          <c:order val="1"/>
          <c:tx>
            <c:v>PAT (Adj)</c:v>
          </c:tx>
          <c:spPr>
            <a:solidFill>
              <a:srgbClr val="EB641B">
                <a:lumMod val="40000"/>
                <a:lumOff val="60000"/>
              </a:srgbClr>
            </a:solidFill>
          </c:spPr>
          <c:invertIfNegative val="0"/>
          <c:dLbls>
            <c:numFmt formatCode="#,##0.0_);\(#,##0.0\)" sourceLinked="0"/>
            <c:txPr>
              <a:bodyPr rot="5400000" vert="horz"/>
              <a:lstStyle/>
              <a:p>
                <a:pPr>
                  <a:defRPr/>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Others!$B$46:$K$46</c:f>
              <c:numCache>
                <c:formatCode>0.0</c:formatCode>
                <c:ptCount val="10"/>
                <c:pt idx="0">
                  <c:v>-2.2630926251666903</c:v>
                </c:pt>
                <c:pt idx="1">
                  <c:v>-5.6085882509999836</c:v>
                </c:pt>
                <c:pt idx="2">
                  <c:v>9.9089253187613857E-2</c:v>
                </c:pt>
                <c:pt idx="3">
                  <c:v>1.5995132268591747</c:v>
                </c:pt>
                <c:pt idx="4">
                  <c:v>3.9691804809712808E-2</c:v>
                </c:pt>
                <c:pt idx="5">
                  <c:v>3.1247290835675865</c:v>
                </c:pt>
                <c:pt idx="6">
                  <c:v>7.0741038082186307</c:v>
                </c:pt>
                <c:pt idx="7">
                  <c:v>6.0101385947976125</c:v>
                </c:pt>
                <c:pt idx="8">
                  <c:v>5.6948869038120788</c:v>
                </c:pt>
                <c:pt idx="9">
                  <c:v>6.0538264860535893</c:v>
                </c:pt>
              </c:numCache>
            </c:numRef>
          </c:val>
        </c:ser>
        <c:dLbls>
          <c:showLegendKey val="0"/>
          <c:showVal val="1"/>
          <c:showCatName val="0"/>
          <c:showSerName val="0"/>
          <c:showPercent val="0"/>
          <c:showBubbleSize val="0"/>
        </c:dLbls>
        <c:gapWidth val="25"/>
        <c:overlap val="1"/>
        <c:axId val="228848768"/>
        <c:axId val="228850304"/>
      </c:barChart>
      <c:catAx>
        <c:axId val="228848768"/>
        <c:scaling>
          <c:orientation val="minMax"/>
        </c:scaling>
        <c:delete val="0"/>
        <c:axPos val="b"/>
        <c:numFmt formatCode="yy;@" sourceLinked="0"/>
        <c:majorTickMark val="out"/>
        <c:minorTickMark val="none"/>
        <c:tickLblPos val="low"/>
        <c:crossAx val="228850304"/>
        <c:crosses val="autoZero"/>
        <c:auto val="0"/>
        <c:lblAlgn val="ctr"/>
        <c:lblOffset val="100"/>
        <c:noMultiLvlLbl val="0"/>
      </c:catAx>
      <c:valAx>
        <c:axId val="228850304"/>
        <c:scaling>
          <c:orientation val="minMax"/>
        </c:scaling>
        <c:delete val="1"/>
        <c:axPos val="l"/>
        <c:majorGridlines>
          <c:spPr>
            <a:ln>
              <a:noFill/>
            </a:ln>
          </c:spPr>
        </c:majorGridlines>
        <c:numFmt formatCode="0.0" sourceLinked="1"/>
        <c:majorTickMark val="none"/>
        <c:minorTickMark val="none"/>
        <c:tickLblPos val="none"/>
        <c:crossAx val="228848768"/>
        <c:crosses val="autoZero"/>
        <c:crossBetween val="between"/>
      </c:valAx>
      <c:spPr>
        <a:noFill/>
        <a:ln w="25400">
          <a:noFill/>
        </a:ln>
      </c:spPr>
    </c:plotArea>
    <c:legend>
      <c:legendPos val="r"/>
      <c:layout>
        <c:manualLayout>
          <c:xMode val="edge"/>
          <c:yMode val="edge"/>
          <c:x val="0.23559770937723692"/>
          <c:y val="1.6485298888200698E-3"/>
          <c:w val="0.45736687565312173"/>
          <c:h val="0.14378864951794301"/>
        </c:manualLayout>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Q - Adj PAT</c:v>
          </c:tx>
          <c:spPr>
            <a:solidFill>
              <a:srgbClr val="DEF5FA">
                <a:lumMod val="90000"/>
              </a:srgbClr>
            </a:solidFill>
          </c:spPr>
          <c:invertIfNegative val="0"/>
          <c:dLbls>
            <c:numFmt formatCode="#,##0_);\(#,##0\)" sourceLinked="0"/>
            <c:txPr>
              <a:bodyPr/>
              <a:lstStyle/>
              <a:p>
                <a:pPr>
                  <a:defRPr sz="800"/>
                </a:pPr>
                <a:endParaRPr lang="en-US"/>
              </a:p>
            </c:txPr>
            <c:dLblPos val="inEnd"/>
            <c:showLegendKey val="0"/>
            <c:showVal val="1"/>
            <c:showCatName val="0"/>
            <c:showSerName val="0"/>
            <c:showPercent val="0"/>
            <c:showBubbleSize val="0"/>
            <c:showLeaderLines val="0"/>
          </c:dLbls>
          <c:cat>
            <c:numRef>
              <c:f>Others!$B$68:$K$68</c:f>
              <c:numCache>
                <c:formatCode>[$-409]mmm\-yy;@</c:formatCode>
                <c:ptCount val="10"/>
                <c:pt idx="0">
                  <c:v>42277</c:v>
                </c:pt>
                <c:pt idx="1">
                  <c:v>42369</c:v>
                </c:pt>
                <c:pt idx="2">
                  <c:v>42460</c:v>
                </c:pt>
                <c:pt idx="3">
                  <c:v>42551</c:v>
                </c:pt>
                <c:pt idx="4">
                  <c:v>42643</c:v>
                </c:pt>
                <c:pt idx="5">
                  <c:v>42735</c:v>
                </c:pt>
                <c:pt idx="6">
                  <c:v>42825</c:v>
                </c:pt>
                <c:pt idx="7">
                  <c:v>42916</c:v>
                </c:pt>
                <c:pt idx="8">
                  <c:v>43008</c:v>
                </c:pt>
                <c:pt idx="9">
                  <c:v>43100</c:v>
                </c:pt>
              </c:numCache>
            </c:numRef>
          </c:cat>
          <c:val>
            <c:numRef>
              <c:f>Others!$B$72:$K$72</c:f>
              <c:numCache>
                <c:formatCode>0</c:formatCode>
                <c:ptCount val="10"/>
                <c:pt idx="0">
                  <c:v>10.333539325842697</c:v>
                </c:pt>
                <c:pt idx="1">
                  <c:v>10.649092096668843</c:v>
                </c:pt>
                <c:pt idx="2">
                  <c:v>11.37</c:v>
                </c:pt>
                <c:pt idx="3">
                  <c:v>12.187908794788274</c:v>
                </c:pt>
                <c:pt idx="4">
                  <c:v>13.781845794392522</c:v>
                </c:pt>
                <c:pt idx="5">
                  <c:v>15.173080619327283</c:v>
                </c:pt>
                <c:pt idx="6">
                  <c:v>15.65875844155844</c:v>
                </c:pt>
                <c:pt idx="7">
                  <c:v>12.604712286158632</c:v>
                </c:pt>
                <c:pt idx="8">
                  <c:v>7.7906250000000004</c:v>
                </c:pt>
                <c:pt idx="9">
                  <c:v>15.971852691218132</c:v>
                </c:pt>
              </c:numCache>
            </c:numRef>
          </c:val>
        </c:ser>
        <c:dLbls>
          <c:showLegendKey val="0"/>
          <c:showVal val="1"/>
          <c:showCatName val="0"/>
          <c:showSerName val="0"/>
          <c:showPercent val="0"/>
          <c:showBubbleSize val="0"/>
        </c:dLbls>
        <c:gapWidth val="25"/>
        <c:overlap val="1"/>
        <c:axId val="228915072"/>
        <c:axId val="228918016"/>
      </c:barChart>
      <c:catAx>
        <c:axId val="228915072"/>
        <c:scaling>
          <c:orientation val="minMax"/>
        </c:scaling>
        <c:delete val="0"/>
        <c:axPos val="b"/>
        <c:numFmt formatCode="[$-409]mmmmm-yy;@" sourceLinked="0"/>
        <c:majorTickMark val="out"/>
        <c:minorTickMark val="none"/>
        <c:tickLblPos val="low"/>
        <c:crossAx val="228918016"/>
        <c:crosses val="autoZero"/>
        <c:auto val="0"/>
        <c:lblAlgn val="ctr"/>
        <c:lblOffset val="100"/>
        <c:noMultiLvlLbl val="0"/>
      </c:catAx>
      <c:valAx>
        <c:axId val="228918016"/>
        <c:scaling>
          <c:orientation val="minMax"/>
        </c:scaling>
        <c:delete val="1"/>
        <c:axPos val="l"/>
        <c:majorGridlines>
          <c:spPr>
            <a:ln>
              <a:noFill/>
            </a:ln>
          </c:spPr>
        </c:majorGridlines>
        <c:numFmt formatCode="0" sourceLinked="1"/>
        <c:majorTickMark val="none"/>
        <c:minorTickMark val="none"/>
        <c:tickLblPos val="none"/>
        <c:crossAx val="228915072"/>
        <c:crosses val="autoZero"/>
        <c:crossBetween val="between"/>
      </c:valAx>
      <c:spPr>
        <a:noFill/>
        <a:ln w="25400">
          <a:noFill/>
        </a:ln>
      </c:spPr>
    </c:plotArea>
    <c:legend>
      <c:legendPos val="r"/>
      <c:layout>
        <c:manualLayout>
          <c:xMode val="edge"/>
          <c:yMode val="edge"/>
          <c:x val="4.5088203798681181E-3"/>
          <c:y val="3.9102143482064741E-2"/>
          <c:w val="0.40941535757422032"/>
          <c:h val="0.13699176807444524"/>
        </c:manualLayout>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Q - EPS (manual - VERIFY)</c:v>
          </c:tx>
          <c:invertIfNegative val="0"/>
          <c:dLbls>
            <c:numFmt formatCode="#,##0_);[Red]\(#,##0\)" sourceLinked="0"/>
            <c:showLegendKey val="0"/>
            <c:showVal val="1"/>
            <c:showCatName val="0"/>
            <c:showSerName val="0"/>
            <c:showPercent val="0"/>
            <c:showBubbleSize val="0"/>
            <c:showLeaderLines val="0"/>
          </c:dLbls>
          <c:cat>
            <c:numRef>
              <c:f>Others!$B$68:$K$68</c:f>
              <c:numCache>
                <c:formatCode>[$-409]mmm\-yy;@</c:formatCode>
                <c:ptCount val="10"/>
                <c:pt idx="0">
                  <c:v>42277</c:v>
                </c:pt>
                <c:pt idx="1">
                  <c:v>42369</c:v>
                </c:pt>
                <c:pt idx="2">
                  <c:v>42460</c:v>
                </c:pt>
                <c:pt idx="3">
                  <c:v>42551</c:v>
                </c:pt>
                <c:pt idx="4">
                  <c:v>42643</c:v>
                </c:pt>
                <c:pt idx="5">
                  <c:v>42735</c:v>
                </c:pt>
                <c:pt idx="6">
                  <c:v>42825</c:v>
                </c:pt>
                <c:pt idx="7">
                  <c:v>42916</c:v>
                </c:pt>
                <c:pt idx="8">
                  <c:v>43008</c:v>
                </c:pt>
                <c:pt idx="9">
                  <c:v>43100</c:v>
                </c:pt>
              </c:numCache>
            </c:numRef>
          </c:cat>
          <c:val>
            <c:numRef>
              <c:f>Others!$B$73:$K$73</c:f>
              <c:numCache>
                <c:formatCode>General</c:formatCode>
                <c:ptCount val="10"/>
              </c:numCache>
            </c:numRef>
          </c:val>
        </c:ser>
        <c:dLbls>
          <c:showLegendKey val="0"/>
          <c:showVal val="1"/>
          <c:showCatName val="0"/>
          <c:showSerName val="0"/>
          <c:showPercent val="0"/>
          <c:showBubbleSize val="0"/>
        </c:dLbls>
        <c:gapWidth val="25"/>
        <c:overlap val="1"/>
        <c:axId val="228933632"/>
        <c:axId val="228936320"/>
      </c:barChart>
      <c:catAx>
        <c:axId val="228933632"/>
        <c:scaling>
          <c:orientation val="minMax"/>
        </c:scaling>
        <c:delete val="0"/>
        <c:axPos val="b"/>
        <c:numFmt formatCode="[$-409]mmmmm-yy;@" sourceLinked="0"/>
        <c:majorTickMark val="out"/>
        <c:minorTickMark val="none"/>
        <c:tickLblPos val="nextTo"/>
        <c:txPr>
          <a:bodyPr/>
          <a:lstStyle/>
          <a:p>
            <a:pPr>
              <a:defRPr sz="800"/>
            </a:pPr>
            <a:endParaRPr lang="en-US"/>
          </a:p>
        </c:txPr>
        <c:crossAx val="228936320"/>
        <c:crosses val="autoZero"/>
        <c:auto val="0"/>
        <c:lblAlgn val="ctr"/>
        <c:lblOffset val="100"/>
        <c:noMultiLvlLbl val="0"/>
      </c:catAx>
      <c:valAx>
        <c:axId val="228936320"/>
        <c:scaling>
          <c:orientation val="minMax"/>
        </c:scaling>
        <c:delete val="1"/>
        <c:axPos val="l"/>
        <c:majorGridlines>
          <c:spPr>
            <a:ln>
              <a:noFill/>
            </a:ln>
          </c:spPr>
        </c:majorGridlines>
        <c:numFmt formatCode="General" sourceLinked="1"/>
        <c:majorTickMark val="none"/>
        <c:minorTickMark val="none"/>
        <c:tickLblPos val="none"/>
        <c:crossAx val="228933632"/>
        <c:crosses val="autoZero"/>
        <c:crossBetween val="between"/>
      </c:valAx>
      <c:spPr>
        <a:noFill/>
        <a:ln w="25400">
          <a:noFill/>
        </a:ln>
      </c:spPr>
    </c:plotArea>
    <c:legend>
      <c:legendPos val="r"/>
      <c:layout>
        <c:manualLayout>
          <c:xMode val="edge"/>
          <c:yMode val="edge"/>
          <c:x val="0"/>
          <c:y val="6.6945538057742796E-3"/>
          <c:w val="0.5041770351225181"/>
          <c:h val="9.3088910761154858E-2"/>
        </c:manualLayout>
      </c:layout>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91137795275590561"/>
        </c:manualLayout>
      </c:layout>
      <c:barChart>
        <c:barDir val="col"/>
        <c:grouping val="clustered"/>
        <c:varyColors val="0"/>
        <c:ser>
          <c:idx val="0"/>
          <c:order val="0"/>
          <c:tx>
            <c:v>Q-GrossProfit</c:v>
          </c:tx>
          <c:spPr>
            <a:solidFill>
              <a:srgbClr val="C2E8C7"/>
            </a:solidFill>
          </c:spPr>
          <c:invertIfNegative val="1"/>
          <c:dLbls>
            <c:numFmt formatCode="#,##0_);\(#,##0\)" sourceLinked="0"/>
            <c:txPr>
              <a:bodyPr/>
              <a:lstStyle/>
              <a:p>
                <a:pPr>
                  <a:defRPr sz="800">
                    <a:solidFill>
                      <a:schemeClr val="tx1"/>
                    </a:solidFill>
                  </a:defRPr>
                </a:pPr>
                <a:endParaRPr lang="en-US"/>
              </a:p>
            </c:txPr>
            <c:dLblPos val="inEnd"/>
            <c:showLegendKey val="0"/>
            <c:showVal val="1"/>
            <c:showCatName val="0"/>
            <c:showSerName val="0"/>
            <c:showPercent val="0"/>
            <c:showBubbleSize val="0"/>
            <c:showLeaderLines val="0"/>
          </c:dLbls>
          <c:cat>
            <c:numRef>
              <c:f>Others!$B$68:$K$68</c:f>
              <c:numCache>
                <c:formatCode>[$-409]mmm\-yy;@</c:formatCode>
                <c:ptCount val="10"/>
                <c:pt idx="0">
                  <c:v>42277</c:v>
                </c:pt>
                <c:pt idx="1">
                  <c:v>42369</c:v>
                </c:pt>
                <c:pt idx="2">
                  <c:v>42460</c:v>
                </c:pt>
                <c:pt idx="3">
                  <c:v>42551</c:v>
                </c:pt>
                <c:pt idx="4">
                  <c:v>42643</c:v>
                </c:pt>
                <c:pt idx="5">
                  <c:v>42735</c:v>
                </c:pt>
                <c:pt idx="6">
                  <c:v>42825</c:v>
                </c:pt>
                <c:pt idx="7">
                  <c:v>42916</c:v>
                </c:pt>
                <c:pt idx="8">
                  <c:v>43008</c:v>
                </c:pt>
                <c:pt idx="9">
                  <c:v>43100</c:v>
                </c:pt>
              </c:numCache>
            </c:numRef>
          </c:cat>
          <c:val>
            <c:numRef>
              <c:f>Others!$B$75:$K$75</c:f>
              <c:numCache>
                <c:formatCode>0</c:formatCode>
                <c:ptCount val="10"/>
                <c:pt idx="0">
                  <c:v>34.85</c:v>
                </c:pt>
                <c:pt idx="1">
                  <c:v>33.95999999999998</c:v>
                </c:pt>
                <c:pt idx="2">
                  <c:v>31.099999999999994</c:v>
                </c:pt>
                <c:pt idx="3">
                  <c:v>31.019999999999996</c:v>
                </c:pt>
                <c:pt idx="4">
                  <c:v>32.109999999999985</c:v>
                </c:pt>
                <c:pt idx="5">
                  <c:v>33.76</c:v>
                </c:pt>
                <c:pt idx="6">
                  <c:v>37.47999999999999</c:v>
                </c:pt>
                <c:pt idx="7">
                  <c:v>41.52000000000001</c:v>
                </c:pt>
                <c:pt idx="8">
                  <c:v>34.27999999999998</c:v>
                </c:pt>
                <c:pt idx="9">
                  <c:v>38.970000000000013</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overlap val="1"/>
        <c:axId val="228951552"/>
        <c:axId val="228979072"/>
      </c:barChart>
      <c:catAx>
        <c:axId val="228951552"/>
        <c:scaling>
          <c:orientation val="minMax"/>
        </c:scaling>
        <c:delete val="0"/>
        <c:axPos val="b"/>
        <c:numFmt formatCode="[$-409]mmmmm-yy;@" sourceLinked="0"/>
        <c:majorTickMark val="out"/>
        <c:minorTickMark val="none"/>
        <c:tickLblPos val="low"/>
        <c:crossAx val="228979072"/>
        <c:crosses val="autoZero"/>
        <c:auto val="0"/>
        <c:lblAlgn val="ctr"/>
        <c:lblOffset val="100"/>
        <c:noMultiLvlLbl val="0"/>
      </c:catAx>
      <c:valAx>
        <c:axId val="228979072"/>
        <c:scaling>
          <c:orientation val="minMax"/>
        </c:scaling>
        <c:delete val="1"/>
        <c:axPos val="l"/>
        <c:majorGridlines>
          <c:spPr>
            <a:ln>
              <a:noFill/>
            </a:ln>
          </c:spPr>
        </c:majorGridlines>
        <c:numFmt formatCode="0" sourceLinked="1"/>
        <c:majorTickMark val="none"/>
        <c:minorTickMark val="none"/>
        <c:tickLblPos val="none"/>
        <c:crossAx val="228951552"/>
        <c:crosses val="autoZero"/>
        <c:crossBetween val="between"/>
      </c:valAx>
      <c:spPr>
        <a:noFill/>
        <a:ln w="25400">
          <a:noFill/>
        </a:ln>
      </c:spPr>
    </c:plotArea>
    <c:legend>
      <c:legendPos val="r"/>
      <c:layout>
        <c:manualLayout>
          <c:xMode val="edge"/>
          <c:yMode val="edge"/>
          <c:x val="0.20500881768709728"/>
          <c:y val="5.2991032370953629E-2"/>
          <c:w val="0.40096023672341208"/>
          <c:h val="0.13699176807444524"/>
        </c:manualLayout>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Leverage</c:v>
          </c:tx>
          <c:spPr>
            <a:solidFill>
              <a:srgbClr val="FFC000"/>
            </a:solidFill>
          </c:spPr>
          <c:invertIfNegative val="0"/>
          <c:dLbls>
            <c:numFmt formatCode="#,##0.0" sourceLinked="0"/>
            <c:txPr>
              <a:bodyPr rot="5400000" vert="horz"/>
              <a:lstStyle/>
              <a:p>
                <a:pPr>
                  <a:defRPr sz="800"/>
                </a:pPr>
                <a:endParaRPr lang="en-US"/>
              </a:p>
            </c:txPr>
            <c:dLblPos val="inBase"/>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Others!$B$53:$K$53</c:f>
              <c:numCache>
                <c:formatCode>0.0</c:formatCode>
                <c:ptCount val="10"/>
                <c:pt idx="0">
                  <c:v>3.2179196002725412</c:v>
                </c:pt>
                <c:pt idx="1">
                  <c:v>4.8002434406275363</c:v>
                </c:pt>
                <c:pt idx="2">
                  <c:v>4.4110036427584474</c:v>
                </c:pt>
                <c:pt idx="3">
                  <c:v>3.7339895773016787</c:v>
                </c:pt>
                <c:pt idx="4">
                  <c:v>3.0076159704592662</c:v>
                </c:pt>
                <c:pt idx="5">
                  <c:v>2.609584284155174</c:v>
                </c:pt>
                <c:pt idx="6">
                  <c:v>1.7011022424933484</c:v>
                </c:pt>
                <c:pt idx="7">
                  <c:v>2.6649499970058086</c:v>
                </c:pt>
                <c:pt idx="8">
                  <c:v>2.0981326590157559</c:v>
                </c:pt>
                <c:pt idx="9">
                  <c:v>2.6161142990982551</c:v>
                </c:pt>
              </c:numCache>
            </c:numRef>
          </c:val>
        </c:ser>
        <c:ser>
          <c:idx val="1"/>
          <c:order val="1"/>
          <c:tx>
            <c:v>Extreme.L</c:v>
          </c:tx>
          <c:spPr>
            <a:solidFill>
              <a:srgbClr val="DA1F28">
                <a:lumMod val="40000"/>
                <a:lumOff val="60000"/>
              </a:srgbClr>
            </a:solidFill>
          </c:spPr>
          <c:invertIfNegative val="0"/>
          <c:dLbls>
            <c:txPr>
              <a:bodyPr rot="5400000" vert="horz"/>
              <a:lstStyle/>
              <a:p>
                <a:pPr>
                  <a:defRPr sz="800"/>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Others!$B$54:$K$54</c:f>
              <c:numCache>
                <c:formatCode>0.0</c:formatCode>
                <c:ptCount val="10"/>
                <c:pt idx="0">
                  <c:v>3.351805587099705</c:v>
                </c:pt>
                <c:pt idx="1">
                  <c:v>5.0063565052745469</c:v>
                </c:pt>
                <c:pt idx="2">
                  <c:v>4.5290792613993212</c:v>
                </c:pt>
                <c:pt idx="3">
                  <c:v>4.1432541980312685</c:v>
                </c:pt>
                <c:pt idx="4">
                  <c:v>3.2210939303023309</c:v>
                </c:pt>
                <c:pt idx="5">
                  <c:v>2.8877864867546386</c:v>
                </c:pt>
                <c:pt idx="6">
                  <c:v>1.8903078677309006</c:v>
                </c:pt>
                <c:pt idx="7">
                  <c:v>2.9070004191867773</c:v>
                </c:pt>
                <c:pt idx="8">
                  <c:v>2.2890001945146858</c:v>
                </c:pt>
                <c:pt idx="9">
                  <c:v>2.8047780770582036</c:v>
                </c:pt>
              </c:numCache>
            </c:numRef>
          </c:val>
        </c:ser>
        <c:dLbls>
          <c:showLegendKey val="0"/>
          <c:showVal val="1"/>
          <c:showCatName val="0"/>
          <c:showSerName val="0"/>
          <c:showPercent val="0"/>
          <c:showBubbleSize val="0"/>
        </c:dLbls>
        <c:gapWidth val="25"/>
        <c:overlap val="1"/>
        <c:axId val="228992512"/>
        <c:axId val="228994048"/>
      </c:barChart>
      <c:catAx>
        <c:axId val="228992512"/>
        <c:scaling>
          <c:orientation val="minMax"/>
        </c:scaling>
        <c:delete val="0"/>
        <c:axPos val="b"/>
        <c:numFmt formatCode="yy;@" sourceLinked="0"/>
        <c:majorTickMark val="out"/>
        <c:minorTickMark val="none"/>
        <c:tickLblPos val="nextTo"/>
        <c:txPr>
          <a:bodyPr/>
          <a:lstStyle/>
          <a:p>
            <a:pPr>
              <a:defRPr sz="800"/>
            </a:pPr>
            <a:endParaRPr lang="en-US"/>
          </a:p>
        </c:txPr>
        <c:crossAx val="228994048"/>
        <c:crosses val="autoZero"/>
        <c:auto val="0"/>
        <c:lblAlgn val="ctr"/>
        <c:lblOffset val="100"/>
        <c:noMultiLvlLbl val="0"/>
      </c:catAx>
      <c:valAx>
        <c:axId val="228994048"/>
        <c:scaling>
          <c:orientation val="minMax"/>
        </c:scaling>
        <c:delete val="1"/>
        <c:axPos val="l"/>
        <c:majorGridlines>
          <c:spPr>
            <a:ln>
              <a:noFill/>
            </a:ln>
          </c:spPr>
        </c:majorGridlines>
        <c:numFmt formatCode="0.0" sourceLinked="1"/>
        <c:majorTickMark val="none"/>
        <c:minorTickMark val="none"/>
        <c:tickLblPos val="none"/>
        <c:crossAx val="228992512"/>
        <c:crosses val="autoZero"/>
        <c:crossBetween val="between"/>
      </c:valAx>
      <c:spPr>
        <a:noFill/>
        <a:ln w="25400">
          <a:noFill/>
        </a:ln>
      </c:spPr>
    </c:plotArea>
    <c:legend>
      <c:legendPos val="r"/>
      <c:layout>
        <c:manualLayout>
          <c:xMode val="edge"/>
          <c:yMode val="edge"/>
          <c:x val="7.3149606299212615E-3"/>
          <c:y val="1.5953995333916594E-2"/>
          <c:w val="0.94838905388370587"/>
          <c:h val="0.1294608441951208"/>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Shareholders Funds</a:t>
            </a:r>
          </a:p>
        </c:rich>
      </c:tx>
      <c:layout>
        <c:manualLayout>
          <c:xMode val="edge"/>
          <c:yMode val="edge"/>
          <c:x val="2.3613858649851084E-3"/>
          <c:y val="6.9444444444444441E-3"/>
        </c:manualLayout>
      </c:layout>
      <c:overlay val="1"/>
    </c:title>
    <c:autoTitleDeleted val="0"/>
    <c:plotArea>
      <c:layout>
        <c:manualLayout>
          <c:layoutTarget val="inner"/>
          <c:xMode val="edge"/>
          <c:yMode val="edge"/>
          <c:x val="9.111634982603093E-3"/>
          <c:y val="2.2422398927302207E-2"/>
          <c:w val="0.98177673003479382"/>
          <c:h val="0.85380796150481186"/>
        </c:manualLayout>
      </c:layout>
      <c:barChart>
        <c:barDir val="col"/>
        <c:grouping val="clustered"/>
        <c:varyColors val="0"/>
        <c:ser>
          <c:idx val="0"/>
          <c:order val="0"/>
          <c:tx>
            <c:v>Shareholders Funds</c:v>
          </c:tx>
          <c:spPr>
            <a:solidFill>
              <a:srgbClr val="00B0F0"/>
            </a:solidFill>
          </c:spPr>
          <c:invertIfNegative val="0"/>
          <c:dLbls>
            <c:numFmt formatCode="0" sourceLinked="0"/>
            <c:txPr>
              <a:bodyPr/>
              <a:lstStyle/>
              <a:p>
                <a:pPr>
                  <a:defRPr sz="800"/>
                </a:pPr>
                <a:endParaRPr lang="en-US"/>
              </a:p>
            </c:txPr>
            <c:dLblPos val="out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Others!$B$3:$K$3</c:f>
              <c:numCache>
                <c:formatCode>General</c:formatCode>
                <c:ptCount val="10"/>
                <c:pt idx="0">
                  <c:v>88.06</c:v>
                </c:pt>
                <c:pt idx="1">
                  <c:v>73.94</c:v>
                </c:pt>
                <c:pt idx="2">
                  <c:v>79.61</c:v>
                </c:pt>
                <c:pt idx="3">
                  <c:v>86.35</c:v>
                </c:pt>
                <c:pt idx="4">
                  <c:v>86.66</c:v>
                </c:pt>
                <c:pt idx="5">
                  <c:v>100.78999999999999</c:v>
                </c:pt>
                <c:pt idx="6">
                  <c:v>131.55000000000001</c:v>
                </c:pt>
                <c:pt idx="7">
                  <c:v>166.99</c:v>
                </c:pt>
                <c:pt idx="8">
                  <c:v>205.64</c:v>
                </c:pt>
                <c:pt idx="9">
                  <c:v>256.17</c:v>
                </c:pt>
              </c:numCache>
            </c:numRef>
          </c:val>
        </c:ser>
        <c:dLbls>
          <c:showLegendKey val="0"/>
          <c:showVal val="0"/>
          <c:showCatName val="0"/>
          <c:showSerName val="0"/>
          <c:showPercent val="0"/>
          <c:showBubbleSize val="0"/>
        </c:dLbls>
        <c:gapWidth val="25"/>
        <c:axId val="192350464"/>
        <c:axId val="192361600"/>
      </c:barChart>
      <c:catAx>
        <c:axId val="192350464"/>
        <c:scaling>
          <c:orientation val="minMax"/>
        </c:scaling>
        <c:delete val="0"/>
        <c:axPos val="b"/>
        <c:numFmt formatCode="yy;@" sourceLinked="0"/>
        <c:majorTickMark val="out"/>
        <c:minorTickMark val="none"/>
        <c:tickLblPos val="nextTo"/>
        <c:txPr>
          <a:bodyPr/>
          <a:lstStyle/>
          <a:p>
            <a:pPr>
              <a:defRPr sz="800"/>
            </a:pPr>
            <a:endParaRPr lang="en-US"/>
          </a:p>
        </c:txPr>
        <c:crossAx val="192361600"/>
        <c:crosses val="autoZero"/>
        <c:auto val="0"/>
        <c:lblAlgn val="ctr"/>
        <c:lblOffset val="100"/>
        <c:noMultiLvlLbl val="0"/>
      </c:catAx>
      <c:valAx>
        <c:axId val="192361600"/>
        <c:scaling>
          <c:orientation val="minMax"/>
        </c:scaling>
        <c:delete val="1"/>
        <c:axPos val="l"/>
        <c:majorGridlines>
          <c:spPr>
            <a:ln>
              <a:noFill/>
            </a:ln>
          </c:spPr>
        </c:majorGridlines>
        <c:numFmt formatCode="General" sourceLinked="1"/>
        <c:majorTickMark val="out"/>
        <c:minorTickMark val="none"/>
        <c:tickLblPos val="nextTo"/>
        <c:crossAx val="192350464"/>
        <c:crosses val="autoZero"/>
        <c:crossBetween val="between"/>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Manual: MCap</a:t>
            </a:r>
          </a:p>
        </c:rich>
      </c:tx>
      <c:layout>
        <c:manualLayout>
          <c:xMode val="edge"/>
          <c:yMode val="edge"/>
          <c:x val="7.8644623880806796E-3"/>
          <c:y val="2.7777777777777776E-2"/>
        </c:manualLayout>
      </c:layout>
      <c:overlay val="1"/>
    </c:title>
    <c:autoTitleDeleted val="0"/>
    <c:plotArea>
      <c:layout>
        <c:manualLayout>
          <c:layoutTarget val="inner"/>
          <c:xMode val="edge"/>
          <c:yMode val="edge"/>
          <c:x val="3.296434010563494E-2"/>
          <c:y val="7.5573053368328966E-2"/>
          <c:w val="0.85926378222783883"/>
          <c:h val="0.81094269466316715"/>
        </c:manualLayout>
      </c:layout>
      <c:lineChart>
        <c:grouping val="standard"/>
        <c:varyColors val="0"/>
        <c:ser>
          <c:idx val="0"/>
          <c:order val="0"/>
          <c:tx>
            <c:v>MCap</c:v>
          </c:tx>
          <c:spPr>
            <a:ln w="25400">
              <a:solidFill>
                <a:srgbClr val="FF0000"/>
              </a:solidFill>
              <a:prstDash val="sysDot"/>
            </a:ln>
          </c:spPr>
          <c:marker>
            <c:symbol val="none"/>
          </c:marker>
          <c:cat>
            <c:numRef>
              <c:f>Price!$A$4:$A$1977</c:f>
              <c:numCache>
                <c:formatCode>dd-mm-yy\ h:mm</c:formatCode>
                <c:ptCount val="1974"/>
                <c:pt idx="0">
                  <c:v>40273.645833333336</c:v>
                </c:pt>
                <c:pt idx="1">
                  <c:v>40274.645833333336</c:v>
                </c:pt>
                <c:pt idx="2">
                  <c:v>40275.645833333336</c:v>
                </c:pt>
                <c:pt idx="3">
                  <c:v>40276.645833333336</c:v>
                </c:pt>
                <c:pt idx="4">
                  <c:v>40277.645833333336</c:v>
                </c:pt>
                <c:pt idx="5">
                  <c:v>40280.645833333336</c:v>
                </c:pt>
                <c:pt idx="6">
                  <c:v>40281.645833333336</c:v>
                </c:pt>
                <c:pt idx="7">
                  <c:v>40283.645833333336</c:v>
                </c:pt>
                <c:pt idx="8">
                  <c:v>40284.645833333336</c:v>
                </c:pt>
                <c:pt idx="9">
                  <c:v>40287.645833333336</c:v>
                </c:pt>
                <c:pt idx="10">
                  <c:v>40288.645833333336</c:v>
                </c:pt>
                <c:pt idx="11">
                  <c:v>40289.645833333336</c:v>
                </c:pt>
                <c:pt idx="12">
                  <c:v>40290.645833333336</c:v>
                </c:pt>
                <c:pt idx="13">
                  <c:v>40291.645833333336</c:v>
                </c:pt>
                <c:pt idx="14">
                  <c:v>40294.645833333336</c:v>
                </c:pt>
                <c:pt idx="15">
                  <c:v>40295.645833333336</c:v>
                </c:pt>
                <c:pt idx="16">
                  <c:v>40296.645833333336</c:v>
                </c:pt>
                <c:pt idx="17">
                  <c:v>40297.645833333336</c:v>
                </c:pt>
                <c:pt idx="18">
                  <c:v>40298.645833333336</c:v>
                </c:pt>
                <c:pt idx="19">
                  <c:v>40301.645833333336</c:v>
                </c:pt>
                <c:pt idx="20">
                  <c:v>40302.645833333336</c:v>
                </c:pt>
                <c:pt idx="21">
                  <c:v>40303.645833333336</c:v>
                </c:pt>
                <c:pt idx="22">
                  <c:v>40304.645833333336</c:v>
                </c:pt>
                <c:pt idx="23">
                  <c:v>40305.645833333336</c:v>
                </c:pt>
                <c:pt idx="24">
                  <c:v>40308.645833333336</c:v>
                </c:pt>
                <c:pt idx="25">
                  <c:v>40309.645833333336</c:v>
                </c:pt>
                <c:pt idx="26">
                  <c:v>40311.645833333336</c:v>
                </c:pt>
                <c:pt idx="27">
                  <c:v>40312.645833333336</c:v>
                </c:pt>
                <c:pt idx="28">
                  <c:v>40315.645833333336</c:v>
                </c:pt>
                <c:pt idx="29">
                  <c:v>40316.645833333336</c:v>
                </c:pt>
                <c:pt idx="30">
                  <c:v>40317.645833333336</c:v>
                </c:pt>
                <c:pt idx="31">
                  <c:v>40318.645833333336</c:v>
                </c:pt>
                <c:pt idx="32">
                  <c:v>40319.645833333336</c:v>
                </c:pt>
                <c:pt idx="33">
                  <c:v>40322.645833333336</c:v>
                </c:pt>
                <c:pt idx="34">
                  <c:v>40323.645833333336</c:v>
                </c:pt>
                <c:pt idx="35">
                  <c:v>40324.645833333336</c:v>
                </c:pt>
                <c:pt idx="36">
                  <c:v>40325.645833333336</c:v>
                </c:pt>
                <c:pt idx="37">
                  <c:v>40326.645833333336</c:v>
                </c:pt>
                <c:pt idx="38">
                  <c:v>40329.645833333336</c:v>
                </c:pt>
                <c:pt idx="39">
                  <c:v>40330.645833333336</c:v>
                </c:pt>
                <c:pt idx="40">
                  <c:v>40331.645833333336</c:v>
                </c:pt>
                <c:pt idx="41">
                  <c:v>40332.645833333336</c:v>
                </c:pt>
                <c:pt idx="42">
                  <c:v>40333.645833333336</c:v>
                </c:pt>
                <c:pt idx="43">
                  <c:v>40336.645833333336</c:v>
                </c:pt>
                <c:pt idx="44">
                  <c:v>40337.645833333336</c:v>
                </c:pt>
                <c:pt idx="45">
                  <c:v>40338.645833333336</c:v>
                </c:pt>
                <c:pt idx="46">
                  <c:v>40339.645833333336</c:v>
                </c:pt>
                <c:pt idx="47">
                  <c:v>40340.645833333336</c:v>
                </c:pt>
                <c:pt idx="48">
                  <c:v>40343.645833333336</c:v>
                </c:pt>
                <c:pt idx="49">
                  <c:v>40344.645833333336</c:v>
                </c:pt>
                <c:pt idx="50">
                  <c:v>40345.645833333336</c:v>
                </c:pt>
                <c:pt idx="51">
                  <c:v>40346.645833333336</c:v>
                </c:pt>
                <c:pt idx="52">
                  <c:v>40347.645833333336</c:v>
                </c:pt>
                <c:pt idx="53">
                  <c:v>40350.645833333336</c:v>
                </c:pt>
                <c:pt idx="54">
                  <c:v>40351.645833333336</c:v>
                </c:pt>
                <c:pt idx="55">
                  <c:v>40352.645833333336</c:v>
                </c:pt>
                <c:pt idx="56">
                  <c:v>40353.645833333336</c:v>
                </c:pt>
                <c:pt idx="57">
                  <c:v>40354.645833333336</c:v>
                </c:pt>
                <c:pt idx="58">
                  <c:v>40357.645833333336</c:v>
                </c:pt>
                <c:pt idx="59">
                  <c:v>40358.645833333336</c:v>
                </c:pt>
                <c:pt idx="60">
                  <c:v>40359.645833333336</c:v>
                </c:pt>
                <c:pt idx="61">
                  <c:v>40360.645833333336</c:v>
                </c:pt>
                <c:pt idx="62">
                  <c:v>40361.645833333336</c:v>
                </c:pt>
                <c:pt idx="63">
                  <c:v>40364.645833333336</c:v>
                </c:pt>
                <c:pt idx="64">
                  <c:v>40365.645833333336</c:v>
                </c:pt>
                <c:pt idx="65">
                  <c:v>40366.645833333336</c:v>
                </c:pt>
                <c:pt idx="66">
                  <c:v>40367.645833333336</c:v>
                </c:pt>
                <c:pt idx="67">
                  <c:v>40368.645833333336</c:v>
                </c:pt>
                <c:pt idx="68">
                  <c:v>40371.645833333336</c:v>
                </c:pt>
                <c:pt idx="69">
                  <c:v>40372.645833333336</c:v>
                </c:pt>
                <c:pt idx="70">
                  <c:v>40373.645833333336</c:v>
                </c:pt>
                <c:pt idx="71">
                  <c:v>40374.645833333336</c:v>
                </c:pt>
                <c:pt idx="72">
                  <c:v>40375.645833333336</c:v>
                </c:pt>
                <c:pt idx="73">
                  <c:v>40378.645833333336</c:v>
                </c:pt>
                <c:pt idx="74">
                  <c:v>40379.645833333336</c:v>
                </c:pt>
                <c:pt idx="75">
                  <c:v>40380.645833333336</c:v>
                </c:pt>
                <c:pt idx="76">
                  <c:v>40381.645833333336</c:v>
                </c:pt>
                <c:pt idx="77">
                  <c:v>40382.645833333336</c:v>
                </c:pt>
                <c:pt idx="78">
                  <c:v>40385.645833333336</c:v>
                </c:pt>
                <c:pt idx="79">
                  <c:v>40386.645833333336</c:v>
                </c:pt>
                <c:pt idx="80">
                  <c:v>40387.645833333336</c:v>
                </c:pt>
                <c:pt idx="81">
                  <c:v>40388.645833333336</c:v>
                </c:pt>
                <c:pt idx="82">
                  <c:v>40389.645833333336</c:v>
                </c:pt>
                <c:pt idx="83">
                  <c:v>40392.645833333336</c:v>
                </c:pt>
                <c:pt idx="84">
                  <c:v>40393.645833333336</c:v>
                </c:pt>
                <c:pt idx="85">
                  <c:v>40394.645833333336</c:v>
                </c:pt>
                <c:pt idx="86">
                  <c:v>40395.645833333336</c:v>
                </c:pt>
                <c:pt idx="87">
                  <c:v>40396.645833333336</c:v>
                </c:pt>
                <c:pt idx="88">
                  <c:v>40399.645833333336</c:v>
                </c:pt>
                <c:pt idx="89">
                  <c:v>40400.645833333336</c:v>
                </c:pt>
                <c:pt idx="90">
                  <c:v>40401.645833333336</c:v>
                </c:pt>
                <c:pt idx="91">
                  <c:v>40402.645833333336</c:v>
                </c:pt>
                <c:pt idx="92">
                  <c:v>40403.645833333336</c:v>
                </c:pt>
                <c:pt idx="93">
                  <c:v>40406.645833333336</c:v>
                </c:pt>
                <c:pt idx="94">
                  <c:v>40407.645833333336</c:v>
                </c:pt>
                <c:pt idx="95">
                  <c:v>40408.645833333336</c:v>
                </c:pt>
                <c:pt idx="96">
                  <c:v>40409.645833333336</c:v>
                </c:pt>
                <c:pt idx="97">
                  <c:v>40410.645833333336</c:v>
                </c:pt>
                <c:pt idx="98">
                  <c:v>40413.645833333336</c:v>
                </c:pt>
                <c:pt idx="99">
                  <c:v>40414.645833333336</c:v>
                </c:pt>
                <c:pt idx="100">
                  <c:v>40415.645833333336</c:v>
                </c:pt>
                <c:pt idx="101">
                  <c:v>40417.645833333336</c:v>
                </c:pt>
                <c:pt idx="102">
                  <c:v>40420.645833333336</c:v>
                </c:pt>
                <c:pt idx="103">
                  <c:v>40421.645833333336</c:v>
                </c:pt>
                <c:pt idx="104">
                  <c:v>40422.645833333336</c:v>
                </c:pt>
                <c:pt idx="105">
                  <c:v>40423.645833333336</c:v>
                </c:pt>
                <c:pt idx="106">
                  <c:v>40424.645833333336</c:v>
                </c:pt>
                <c:pt idx="107">
                  <c:v>40427.645833333336</c:v>
                </c:pt>
                <c:pt idx="108">
                  <c:v>40428.645833333336</c:v>
                </c:pt>
                <c:pt idx="109">
                  <c:v>40429.645833333336</c:v>
                </c:pt>
                <c:pt idx="110">
                  <c:v>40430.645833333336</c:v>
                </c:pt>
                <c:pt idx="111">
                  <c:v>40434.645833333336</c:v>
                </c:pt>
                <c:pt idx="112">
                  <c:v>40435.645833333336</c:v>
                </c:pt>
                <c:pt idx="113">
                  <c:v>40436.645833333336</c:v>
                </c:pt>
                <c:pt idx="114">
                  <c:v>40437.645833333336</c:v>
                </c:pt>
                <c:pt idx="115">
                  <c:v>40438.645833333336</c:v>
                </c:pt>
                <c:pt idx="116">
                  <c:v>40441.645833333336</c:v>
                </c:pt>
                <c:pt idx="117">
                  <c:v>40442.645833333336</c:v>
                </c:pt>
                <c:pt idx="118">
                  <c:v>40443.645833333336</c:v>
                </c:pt>
                <c:pt idx="119">
                  <c:v>40444.645833333336</c:v>
                </c:pt>
                <c:pt idx="120">
                  <c:v>40445.645833333336</c:v>
                </c:pt>
                <c:pt idx="121">
                  <c:v>40448.645833333336</c:v>
                </c:pt>
                <c:pt idx="122">
                  <c:v>40449.645833333336</c:v>
                </c:pt>
                <c:pt idx="123">
                  <c:v>40450.645833333336</c:v>
                </c:pt>
                <c:pt idx="124">
                  <c:v>40451.645833333336</c:v>
                </c:pt>
                <c:pt idx="125">
                  <c:v>40452.645833333336</c:v>
                </c:pt>
                <c:pt idx="126">
                  <c:v>40455.645833333336</c:v>
                </c:pt>
                <c:pt idx="127">
                  <c:v>40456.645833333336</c:v>
                </c:pt>
                <c:pt idx="128">
                  <c:v>40457.645833333336</c:v>
                </c:pt>
                <c:pt idx="129">
                  <c:v>40458.645833333336</c:v>
                </c:pt>
                <c:pt idx="130">
                  <c:v>40459.645833333336</c:v>
                </c:pt>
                <c:pt idx="131">
                  <c:v>40462.645833333336</c:v>
                </c:pt>
                <c:pt idx="132">
                  <c:v>40463.645833333336</c:v>
                </c:pt>
                <c:pt idx="133">
                  <c:v>40464.645833333336</c:v>
                </c:pt>
                <c:pt idx="134">
                  <c:v>40465.645833333336</c:v>
                </c:pt>
                <c:pt idx="135">
                  <c:v>40466.645833333336</c:v>
                </c:pt>
                <c:pt idx="136">
                  <c:v>40469.645833333336</c:v>
                </c:pt>
                <c:pt idx="137">
                  <c:v>40470.645833333336</c:v>
                </c:pt>
                <c:pt idx="138">
                  <c:v>40471.645833333336</c:v>
                </c:pt>
                <c:pt idx="139">
                  <c:v>40472.645833333336</c:v>
                </c:pt>
                <c:pt idx="140">
                  <c:v>40473.645833333336</c:v>
                </c:pt>
                <c:pt idx="141">
                  <c:v>40476.645833333336</c:v>
                </c:pt>
                <c:pt idx="142">
                  <c:v>40477.645833333336</c:v>
                </c:pt>
                <c:pt idx="143">
                  <c:v>40478.645833333336</c:v>
                </c:pt>
                <c:pt idx="144">
                  <c:v>40479.645833333336</c:v>
                </c:pt>
                <c:pt idx="145">
                  <c:v>40480.645833333336</c:v>
                </c:pt>
                <c:pt idx="146">
                  <c:v>40483.645833333336</c:v>
                </c:pt>
                <c:pt idx="147">
                  <c:v>40484.645833333336</c:v>
                </c:pt>
                <c:pt idx="148">
                  <c:v>40485.645833333336</c:v>
                </c:pt>
                <c:pt idx="149">
                  <c:v>40486.645833333336</c:v>
                </c:pt>
                <c:pt idx="150">
                  <c:v>40487.8125</c:v>
                </c:pt>
                <c:pt idx="151">
                  <c:v>40490.645833333336</c:v>
                </c:pt>
                <c:pt idx="152">
                  <c:v>40491.645833333336</c:v>
                </c:pt>
                <c:pt idx="153">
                  <c:v>40492.645833333336</c:v>
                </c:pt>
                <c:pt idx="154">
                  <c:v>40493.645833333336</c:v>
                </c:pt>
                <c:pt idx="155">
                  <c:v>40494.645833333336</c:v>
                </c:pt>
                <c:pt idx="156">
                  <c:v>40497.645833333336</c:v>
                </c:pt>
                <c:pt idx="157">
                  <c:v>40498.645833333336</c:v>
                </c:pt>
                <c:pt idx="158">
                  <c:v>40500.645833333336</c:v>
                </c:pt>
                <c:pt idx="159">
                  <c:v>40501.645833333336</c:v>
                </c:pt>
                <c:pt idx="160">
                  <c:v>40504.645833333336</c:v>
                </c:pt>
                <c:pt idx="161">
                  <c:v>40505.645833333336</c:v>
                </c:pt>
                <c:pt idx="162">
                  <c:v>40506.645833333336</c:v>
                </c:pt>
                <c:pt idx="163">
                  <c:v>40507.645833333336</c:v>
                </c:pt>
                <c:pt idx="164">
                  <c:v>40508.645833333336</c:v>
                </c:pt>
                <c:pt idx="165">
                  <c:v>40511.645833333336</c:v>
                </c:pt>
                <c:pt idx="166">
                  <c:v>40512.645833333336</c:v>
                </c:pt>
                <c:pt idx="167">
                  <c:v>40513.645833333336</c:v>
                </c:pt>
                <c:pt idx="168">
                  <c:v>40514.645833333336</c:v>
                </c:pt>
                <c:pt idx="169">
                  <c:v>40515.645833333336</c:v>
                </c:pt>
                <c:pt idx="170">
                  <c:v>40518.645833333336</c:v>
                </c:pt>
                <c:pt idx="171">
                  <c:v>40519.645833333336</c:v>
                </c:pt>
                <c:pt idx="172">
                  <c:v>40520.645833333336</c:v>
                </c:pt>
                <c:pt idx="173">
                  <c:v>40521.645833333336</c:v>
                </c:pt>
                <c:pt idx="174">
                  <c:v>40522.645833333336</c:v>
                </c:pt>
                <c:pt idx="175">
                  <c:v>40525.645833333336</c:v>
                </c:pt>
                <c:pt idx="176">
                  <c:v>40526.645833333336</c:v>
                </c:pt>
                <c:pt idx="177">
                  <c:v>40527.645833333336</c:v>
                </c:pt>
                <c:pt idx="178">
                  <c:v>40528.645833333336</c:v>
                </c:pt>
                <c:pt idx="179">
                  <c:v>40532.645833333336</c:v>
                </c:pt>
                <c:pt idx="180">
                  <c:v>40533.645833333336</c:v>
                </c:pt>
                <c:pt idx="181">
                  <c:v>40534.645833333336</c:v>
                </c:pt>
                <c:pt idx="182">
                  <c:v>40535.645833333336</c:v>
                </c:pt>
                <c:pt idx="183">
                  <c:v>40536.645833333336</c:v>
                </c:pt>
                <c:pt idx="184">
                  <c:v>40539.645833333336</c:v>
                </c:pt>
                <c:pt idx="185">
                  <c:v>40540.645833333336</c:v>
                </c:pt>
                <c:pt idx="186">
                  <c:v>40541.645833333336</c:v>
                </c:pt>
                <c:pt idx="187">
                  <c:v>40542.645833333336</c:v>
                </c:pt>
                <c:pt idx="188">
                  <c:v>40543.645833333336</c:v>
                </c:pt>
                <c:pt idx="189">
                  <c:v>40546.645833333336</c:v>
                </c:pt>
                <c:pt idx="190">
                  <c:v>40547.645833333336</c:v>
                </c:pt>
                <c:pt idx="191">
                  <c:v>40548.645833333336</c:v>
                </c:pt>
                <c:pt idx="192">
                  <c:v>40549.645833333336</c:v>
                </c:pt>
                <c:pt idx="193">
                  <c:v>40550.645833333336</c:v>
                </c:pt>
                <c:pt idx="194">
                  <c:v>40553.645833333336</c:v>
                </c:pt>
                <c:pt idx="195">
                  <c:v>40554.645833333336</c:v>
                </c:pt>
                <c:pt idx="196">
                  <c:v>40555.645833333336</c:v>
                </c:pt>
                <c:pt idx="197">
                  <c:v>40556.645833333336</c:v>
                </c:pt>
                <c:pt idx="198">
                  <c:v>40557.645833333336</c:v>
                </c:pt>
                <c:pt idx="199">
                  <c:v>40560.645833333336</c:v>
                </c:pt>
                <c:pt idx="200">
                  <c:v>40561.645833333336</c:v>
                </c:pt>
                <c:pt idx="201">
                  <c:v>40562.645833333336</c:v>
                </c:pt>
                <c:pt idx="202">
                  <c:v>40563.645833333336</c:v>
                </c:pt>
                <c:pt idx="203">
                  <c:v>40564.645833333336</c:v>
                </c:pt>
                <c:pt idx="204">
                  <c:v>40567.645833333336</c:v>
                </c:pt>
                <c:pt idx="205">
                  <c:v>40568.645833333336</c:v>
                </c:pt>
                <c:pt idx="206">
                  <c:v>40570.645833333336</c:v>
                </c:pt>
                <c:pt idx="207">
                  <c:v>40571.645833333336</c:v>
                </c:pt>
                <c:pt idx="208">
                  <c:v>40574.645833333336</c:v>
                </c:pt>
                <c:pt idx="209">
                  <c:v>40575.645833333336</c:v>
                </c:pt>
                <c:pt idx="210">
                  <c:v>40576.645833333336</c:v>
                </c:pt>
                <c:pt idx="211">
                  <c:v>40577.645833333336</c:v>
                </c:pt>
                <c:pt idx="212">
                  <c:v>40578.645833333336</c:v>
                </c:pt>
                <c:pt idx="213">
                  <c:v>40581.645833333336</c:v>
                </c:pt>
                <c:pt idx="214">
                  <c:v>40582.645833333336</c:v>
                </c:pt>
                <c:pt idx="215">
                  <c:v>40583.645833333336</c:v>
                </c:pt>
                <c:pt idx="216">
                  <c:v>40584.645833333336</c:v>
                </c:pt>
                <c:pt idx="217">
                  <c:v>40585.645833333336</c:v>
                </c:pt>
                <c:pt idx="218">
                  <c:v>40588.645833333336</c:v>
                </c:pt>
                <c:pt idx="219">
                  <c:v>40589.645833333336</c:v>
                </c:pt>
                <c:pt idx="220">
                  <c:v>40590.645833333336</c:v>
                </c:pt>
                <c:pt idx="221">
                  <c:v>40591.645833333336</c:v>
                </c:pt>
                <c:pt idx="222">
                  <c:v>40592.645833333336</c:v>
                </c:pt>
                <c:pt idx="223">
                  <c:v>40595.645833333336</c:v>
                </c:pt>
                <c:pt idx="224">
                  <c:v>40596.645833333336</c:v>
                </c:pt>
                <c:pt idx="225">
                  <c:v>40597.645833333336</c:v>
                </c:pt>
                <c:pt idx="226">
                  <c:v>40598.645833333336</c:v>
                </c:pt>
                <c:pt idx="227">
                  <c:v>40599.645833333336</c:v>
                </c:pt>
                <c:pt idx="228">
                  <c:v>40602.645833333336</c:v>
                </c:pt>
                <c:pt idx="229">
                  <c:v>40603.645833333336</c:v>
                </c:pt>
                <c:pt idx="230">
                  <c:v>40605.645833333336</c:v>
                </c:pt>
                <c:pt idx="231">
                  <c:v>40606.645833333336</c:v>
                </c:pt>
                <c:pt idx="232">
                  <c:v>40609.645833333336</c:v>
                </c:pt>
                <c:pt idx="233">
                  <c:v>40610.645833333336</c:v>
                </c:pt>
                <c:pt idx="234">
                  <c:v>40611.645833333336</c:v>
                </c:pt>
                <c:pt idx="235">
                  <c:v>40612.645833333336</c:v>
                </c:pt>
                <c:pt idx="236">
                  <c:v>40613.645833333336</c:v>
                </c:pt>
                <c:pt idx="237">
                  <c:v>40616.645833333336</c:v>
                </c:pt>
                <c:pt idx="238">
                  <c:v>40617.645833333336</c:v>
                </c:pt>
                <c:pt idx="239">
                  <c:v>40618.645833333336</c:v>
                </c:pt>
                <c:pt idx="240">
                  <c:v>40619.645833333336</c:v>
                </c:pt>
                <c:pt idx="241">
                  <c:v>40620.645833333336</c:v>
                </c:pt>
                <c:pt idx="242">
                  <c:v>40623.645833333336</c:v>
                </c:pt>
                <c:pt idx="243">
                  <c:v>40624.645833333336</c:v>
                </c:pt>
                <c:pt idx="244">
                  <c:v>40625.645833333336</c:v>
                </c:pt>
                <c:pt idx="245">
                  <c:v>40626.645833333336</c:v>
                </c:pt>
                <c:pt idx="246">
                  <c:v>40627.645833333336</c:v>
                </c:pt>
                <c:pt idx="247">
                  <c:v>40630.645833333336</c:v>
                </c:pt>
                <c:pt idx="248">
                  <c:v>40631.645833333336</c:v>
                </c:pt>
                <c:pt idx="249">
                  <c:v>40632.645833333336</c:v>
                </c:pt>
                <c:pt idx="250">
                  <c:v>40633.645833333336</c:v>
                </c:pt>
                <c:pt idx="251">
                  <c:v>40634.645833333336</c:v>
                </c:pt>
                <c:pt idx="252">
                  <c:v>40637.645833333336</c:v>
                </c:pt>
                <c:pt idx="253">
                  <c:v>40638.645833333336</c:v>
                </c:pt>
                <c:pt idx="254">
                  <c:v>40639.645833333336</c:v>
                </c:pt>
                <c:pt idx="255">
                  <c:v>40640.645833333336</c:v>
                </c:pt>
                <c:pt idx="256">
                  <c:v>40641.645833333336</c:v>
                </c:pt>
                <c:pt idx="257">
                  <c:v>40644.645833333336</c:v>
                </c:pt>
                <c:pt idx="258">
                  <c:v>40646.645833333336</c:v>
                </c:pt>
                <c:pt idx="259">
                  <c:v>40648.645833333336</c:v>
                </c:pt>
                <c:pt idx="260">
                  <c:v>40651.645833333336</c:v>
                </c:pt>
                <c:pt idx="261">
                  <c:v>40652.645833333336</c:v>
                </c:pt>
                <c:pt idx="262">
                  <c:v>40653.645833333336</c:v>
                </c:pt>
                <c:pt idx="263">
                  <c:v>40654.645833333336</c:v>
                </c:pt>
                <c:pt idx="264">
                  <c:v>40658.645833333336</c:v>
                </c:pt>
                <c:pt idx="265">
                  <c:v>40659.645833333336</c:v>
                </c:pt>
                <c:pt idx="266">
                  <c:v>40660.645833333336</c:v>
                </c:pt>
                <c:pt idx="267">
                  <c:v>40661.645833333336</c:v>
                </c:pt>
                <c:pt idx="268">
                  <c:v>40662.645833333336</c:v>
                </c:pt>
                <c:pt idx="269">
                  <c:v>40665.645833333336</c:v>
                </c:pt>
                <c:pt idx="270">
                  <c:v>40666.645833333336</c:v>
                </c:pt>
                <c:pt idx="271">
                  <c:v>40667.645833333336</c:v>
                </c:pt>
                <c:pt idx="272">
                  <c:v>40668.645833333336</c:v>
                </c:pt>
                <c:pt idx="273">
                  <c:v>40669.645833333336</c:v>
                </c:pt>
                <c:pt idx="274">
                  <c:v>40672.645833333336</c:v>
                </c:pt>
                <c:pt idx="275">
                  <c:v>40673.645833333336</c:v>
                </c:pt>
                <c:pt idx="276">
                  <c:v>40674.645833333336</c:v>
                </c:pt>
                <c:pt idx="277">
                  <c:v>40675.645833333336</c:v>
                </c:pt>
                <c:pt idx="278">
                  <c:v>40676.645833333336</c:v>
                </c:pt>
                <c:pt idx="279">
                  <c:v>40679.645833333336</c:v>
                </c:pt>
                <c:pt idx="280">
                  <c:v>40680.645833333336</c:v>
                </c:pt>
                <c:pt idx="281">
                  <c:v>40681.645833333336</c:v>
                </c:pt>
                <c:pt idx="282">
                  <c:v>40682.645833333336</c:v>
                </c:pt>
                <c:pt idx="283">
                  <c:v>40683.645833333336</c:v>
                </c:pt>
                <c:pt idx="284">
                  <c:v>40686.645833333336</c:v>
                </c:pt>
                <c:pt idx="285">
                  <c:v>40687.645833333336</c:v>
                </c:pt>
                <c:pt idx="286">
                  <c:v>40688.645833333336</c:v>
                </c:pt>
                <c:pt idx="287">
                  <c:v>40689.645833333336</c:v>
                </c:pt>
                <c:pt idx="288">
                  <c:v>40690.645833333336</c:v>
                </c:pt>
                <c:pt idx="289">
                  <c:v>40693.645833333336</c:v>
                </c:pt>
                <c:pt idx="290">
                  <c:v>40694.645833333336</c:v>
                </c:pt>
                <c:pt idx="291">
                  <c:v>40695.645833333336</c:v>
                </c:pt>
                <c:pt idx="292">
                  <c:v>40696.645833333336</c:v>
                </c:pt>
                <c:pt idx="293">
                  <c:v>40697.645833333336</c:v>
                </c:pt>
                <c:pt idx="294">
                  <c:v>40700.645833333336</c:v>
                </c:pt>
                <c:pt idx="295">
                  <c:v>40701.645833333336</c:v>
                </c:pt>
                <c:pt idx="296">
                  <c:v>40702.645833333336</c:v>
                </c:pt>
                <c:pt idx="297">
                  <c:v>40703.645833333336</c:v>
                </c:pt>
                <c:pt idx="298">
                  <c:v>40704.645833333336</c:v>
                </c:pt>
                <c:pt idx="299">
                  <c:v>40707.645833333336</c:v>
                </c:pt>
                <c:pt idx="300">
                  <c:v>40708.645833333336</c:v>
                </c:pt>
                <c:pt idx="301">
                  <c:v>40709.645833333336</c:v>
                </c:pt>
                <c:pt idx="302">
                  <c:v>40710.645833333336</c:v>
                </c:pt>
                <c:pt idx="303">
                  <c:v>40711.645833333336</c:v>
                </c:pt>
                <c:pt idx="304">
                  <c:v>40714.645833333336</c:v>
                </c:pt>
                <c:pt idx="305">
                  <c:v>40715.645833333336</c:v>
                </c:pt>
                <c:pt idx="306">
                  <c:v>40716.645833333336</c:v>
                </c:pt>
                <c:pt idx="307">
                  <c:v>40717.645833333336</c:v>
                </c:pt>
                <c:pt idx="308">
                  <c:v>40718.645833333336</c:v>
                </c:pt>
                <c:pt idx="309">
                  <c:v>40721.645833333336</c:v>
                </c:pt>
                <c:pt idx="310">
                  <c:v>40722.645833333336</c:v>
                </c:pt>
                <c:pt idx="311">
                  <c:v>40723.645833333336</c:v>
                </c:pt>
                <c:pt idx="312">
                  <c:v>40724.645833333336</c:v>
                </c:pt>
                <c:pt idx="313">
                  <c:v>40725.645833333336</c:v>
                </c:pt>
                <c:pt idx="314">
                  <c:v>40728.645833333336</c:v>
                </c:pt>
                <c:pt idx="315">
                  <c:v>40729.645833333336</c:v>
                </c:pt>
                <c:pt idx="316">
                  <c:v>40730.645833333336</c:v>
                </c:pt>
                <c:pt idx="317">
                  <c:v>40731.645833333336</c:v>
                </c:pt>
                <c:pt idx="318">
                  <c:v>40732.645833333336</c:v>
                </c:pt>
                <c:pt idx="319">
                  <c:v>40735.645833333336</c:v>
                </c:pt>
                <c:pt idx="320">
                  <c:v>40736.645833333336</c:v>
                </c:pt>
                <c:pt idx="321">
                  <c:v>40737.645833333336</c:v>
                </c:pt>
                <c:pt idx="322">
                  <c:v>40738.645833333336</c:v>
                </c:pt>
                <c:pt idx="323">
                  <c:v>40739.645833333336</c:v>
                </c:pt>
                <c:pt idx="324">
                  <c:v>40742.645833333336</c:v>
                </c:pt>
                <c:pt idx="325">
                  <c:v>40743.645833333336</c:v>
                </c:pt>
                <c:pt idx="326">
                  <c:v>40744.645833333336</c:v>
                </c:pt>
                <c:pt idx="327">
                  <c:v>40745.645833333336</c:v>
                </c:pt>
                <c:pt idx="328">
                  <c:v>40746.645833333336</c:v>
                </c:pt>
                <c:pt idx="329">
                  <c:v>40749.645833333336</c:v>
                </c:pt>
                <c:pt idx="330">
                  <c:v>40750.645833333336</c:v>
                </c:pt>
                <c:pt idx="331">
                  <c:v>40751.645833333336</c:v>
                </c:pt>
                <c:pt idx="332">
                  <c:v>40752.645833333336</c:v>
                </c:pt>
                <c:pt idx="333">
                  <c:v>40753.645833333336</c:v>
                </c:pt>
                <c:pt idx="334">
                  <c:v>40756.645833333336</c:v>
                </c:pt>
                <c:pt idx="335">
                  <c:v>40757.645833333336</c:v>
                </c:pt>
                <c:pt idx="336">
                  <c:v>40758.645833333336</c:v>
                </c:pt>
                <c:pt idx="337">
                  <c:v>40759.645833333336</c:v>
                </c:pt>
                <c:pt idx="338">
                  <c:v>40760.645833333336</c:v>
                </c:pt>
                <c:pt idx="339">
                  <c:v>40763.645833333336</c:v>
                </c:pt>
                <c:pt idx="340">
                  <c:v>40764.645833333336</c:v>
                </c:pt>
                <c:pt idx="341">
                  <c:v>40765.645833333336</c:v>
                </c:pt>
                <c:pt idx="342">
                  <c:v>40766.645833333336</c:v>
                </c:pt>
                <c:pt idx="343">
                  <c:v>40767.645833333336</c:v>
                </c:pt>
                <c:pt idx="344">
                  <c:v>40771.645833333336</c:v>
                </c:pt>
                <c:pt idx="345">
                  <c:v>40772.645833333336</c:v>
                </c:pt>
                <c:pt idx="346">
                  <c:v>40773.645833333336</c:v>
                </c:pt>
                <c:pt idx="347">
                  <c:v>40774.645833333336</c:v>
                </c:pt>
                <c:pt idx="348">
                  <c:v>40777.645833333336</c:v>
                </c:pt>
                <c:pt idx="349">
                  <c:v>40778.645833333336</c:v>
                </c:pt>
                <c:pt idx="350">
                  <c:v>40779.645833333336</c:v>
                </c:pt>
                <c:pt idx="351">
                  <c:v>40780.645833333336</c:v>
                </c:pt>
                <c:pt idx="352">
                  <c:v>40781.645833333336</c:v>
                </c:pt>
                <c:pt idx="353">
                  <c:v>40784.645833333336</c:v>
                </c:pt>
                <c:pt idx="354">
                  <c:v>40785.645833333336</c:v>
                </c:pt>
                <c:pt idx="355">
                  <c:v>40788.645833333336</c:v>
                </c:pt>
                <c:pt idx="356">
                  <c:v>40791.645833333336</c:v>
                </c:pt>
                <c:pt idx="357">
                  <c:v>40792.645833333336</c:v>
                </c:pt>
                <c:pt idx="358">
                  <c:v>40793.645833333336</c:v>
                </c:pt>
                <c:pt idx="359">
                  <c:v>40794.645833333336</c:v>
                </c:pt>
                <c:pt idx="360">
                  <c:v>40795.645833333336</c:v>
                </c:pt>
                <c:pt idx="361">
                  <c:v>40798.645833333336</c:v>
                </c:pt>
                <c:pt idx="362">
                  <c:v>40799.645833333336</c:v>
                </c:pt>
                <c:pt idx="363">
                  <c:v>40800.645833333336</c:v>
                </c:pt>
                <c:pt idx="364">
                  <c:v>40801.645833333336</c:v>
                </c:pt>
                <c:pt idx="365">
                  <c:v>40802.645833333336</c:v>
                </c:pt>
                <c:pt idx="366">
                  <c:v>40805.645833333336</c:v>
                </c:pt>
                <c:pt idx="367">
                  <c:v>40806.645833333336</c:v>
                </c:pt>
                <c:pt idx="368">
                  <c:v>40807.645833333336</c:v>
                </c:pt>
                <c:pt idx="369">
                  <c:v>40808.645833333336</c:v>
                </c:pt>
                <c:pt idx="370">
                  <c:v>40809.645833333336</c:v>
                </c:pt>
                <c:pt idx="371">
                  <c:v>40812.645833333336</c:v>
                </c:pt>
                <c:pt idx="372">
                  <c:v>40813.645833333336</c:v>
                </c:pt>
                <c:pt idx="373">
                  <c:v>40814.645833333336</c:v>
                </c:pt>
                <c:pt idx="374">
                  <c:v>40815.645833333336</c:v>
                </c:pt>
                <c:pt idx="375">
                  <c:v>40816.645833333336</c:v>
                </c:pt>
                <c:pt idx="376">
                  <c:v>40819.645833333336</c:v>
                </c:pt>
                <c:pt idx="377">
                  <c:v>40820.645833333336</c:v>
                </c:pt>
                <c:pt idx="378">
                  <c:v>40821.645833333336</c:v>
                </c:pt>
                <c:pt idx="379">
                  <c:v>40823.645833333336</c:v>
                </c:pt>
                <c:pt idx="380">
                  <c:v>40826.645833333336</c:v>
                </c:pt>
                <c:pt idx="381">
                  <c:v>40827.645833333336</c:v>
                </c:pt>
                <c:pt idx="382">
                  <c:v>40828.645833333336</c:v>
                </c:pt>
                <c:pt idx="383">
                  <c:v>40829.645833333336</c:v>
                </c:pt>
                <c:pt idx="384">
                  <c:v>40830.645833333336</c:v>
                </c:pt>
                <c:pt idx="385">
                  <c:v>40833.645833333336</c:v>
                </c:pt>
                <c:pt idx="386">
                  <c:v>40834.645833333336</c:v>
                </c:pt>
                <c:pt idx="387">
                  <c:v>40835.645833333336</c:v>
                </c:pt>
                <c:pt idx="388">
                  <c:v>40836.645833333336</c:v>
                </c:pt>
                <c:pt idx="389">
                  <c:v>40837.645833333336</c:v>
                </c:pt>
                <c:pt idx="390">
                  <c:v>40840.645833333336</c:v>
                </c:pt>
                <c:pt idx="391">
                  <c:v>40841.645833333336</c:v>
                </c:pt>
                <c:pt idx="392">
                  <c:v>40842.763888888891</c:v>
                </c:pt>
                <c:pt idx="393">
                  <c:v>40844.645833333336</c:v>
                </c:pt>
                <c:pt idx="394">
                  <c:v>40847.645833333336</c:v>
                </c:pt>
                <c:pt idx="395">
                  <c:v>40848.645833333336</c:v>
                </c:pt>
                <c:pt idx="396">
                  <c:v>40849.645833333336</c:v>
                </c:pt>
                <c:pt idx="397">
                  <c:v>40850.645833333336</c:v>
                </c:pt>
                <c:pt idx="398">
                  <c:v>40851.645833333336</c:v>
                </c:pt>
                <c:pt idx="399">
                  <c:v>40855.645833333336</c:v>
                </c:pt>
                <c:pt idx="400">
                  <c:v>40856.645833333336</c:v>
                </c:pt>
                <c:pt idx="401">
                  <c:v>40858.645833333336</c:v>
                </c:pt>
                <c:pt idx="402">
                  <c:v>40861.645833333336</c:v>
                </c:pt>
                <c:pt idx="403">
                  <c:v>40862.645833333336</c:v>
                </c:pt>
                <c:pt idx="404">
                  <c:v>40863.645833333336</c:v>
                </c:pt>
                <c:pt idx="405">
                  <c:v>40864.645833333336</c:v>
                </c:pt>
                <c:pt idx="406">
                  <c:v>40865.645833333336</c:v>
                </c:pt>
                <c:pt idx="407">
                  <c:v>40868.645833333336</c:v>
                </c:pt>
                <c:pt idx="408">
                  <c:v>40869.645833333336</c:v>
                </c:pt>
                <c:pt idx="409">
                  <c:v>40870.645833333336</c:v>
                </c:pt>
                <c:pt idx="410">
                  <c:v>40871.645833333336</c:v>
                </c:pt>
                <c:pt idx="411">
                  <c:v>40872.645833333336</c:v>
                </c:pt>
                <c:pt idx="412">
                  <c:v>40875.645833333336</c:v>
                </c:pt>
                <c:pt idx="413">
                  <c:v>40876.645833333336</c:v>
                </c:pt>
                <c:pt idx="414">
                  <c:v>40877.645833333336</c:v>
                </c:pt>
                <c:pt idx="415">
                  <c:v>40878.645833333336</c:v>
                </c:pt>
                <c:pt idx="416">
                  <c:v>40879.645833333336</c:v>
                </c:pt>
                <c:pt idx="417">
                  <c:v>40882.645833333336</c:v>
                </c:pt>
                <c:pt idx="418">
                  <c:v>40884.645833333336</c:v>
                </c:pt>
                <c:pt idx="419">
                  <c:v>40885.645833333336</c:v>
                </c:pt>
                <c:pt idx="420">
                  <c:v>40886.645833333336</c:v>
                </c:pt>
                <c:pt idx="421">
                  <c:v>40889.645833333336</c:v>
                </c:pt>
                <c:pt idx="422">
                  <c:v>40890.645833333336</c:v>
                </c:pt>
                <c:pt idx="423">
                  <c:v>40891.645833333336</c:v>
                </c:pt>
                <c:pt idx="424">
                  <c:v>40892.645833333336</c:v>
                </c:pt>
                <c:pt idx="425">
                  <c:v>40893.645833333336</c:v>
                </c:pt>
                <c:pt idx="426">
                  <c:v>40896.645833333336</c:v>
                </c:pt>
                <c:pt idx="427">
                  <c:v>40897.645833333336</c:v>
                </c:pt>
                <c:pt idx="428">
                  <c:v>40898.645833333336</c:v>
                </c:pt>
                <c:pt idx="429">
                  <c:v>40899.645833333336</c:v>
                </c:pt>
                <c:pt idx="430">
                  <c:v>40900.645833333336</c:v>
                </c:pt>
                <c:pt idx="431">
                  <c:v>40903.645833333336</c:v>
                </c:pt>
                <c:pt idx="432">
                  <c:v>40904.645833333336</c:v>
                </c:pt>
                <c:pt idx="433">
                  <c:v>40905.645833333336</c:v>
                </c:pt>
                <c:pt idx="434">
                  <c:v>40906.645833333336</c:v>
                </c:pt>
                <c:pt idx="435">
                  <c:v>40907.645833333336</c:v>
                </c:pt>
                <c:pt idx="436">
                  <c:v>40910.645833333336</c:v>
                </c:pt>
                <c:pt idx="437">
                  <c:v>40911.645833333336</c:v>
                </c:pt>
                <c:pt idx="438">
                  <c:v>40912.645833333336</c:v>
                </c:pt>
                <c:pt idx="439">
                  <c:v>40913.645833333336</c:v>
                </c:pt>
                <c:pt idx="440">
                  <c:v>40914.645833333336</c:v>
                </c:pt>
                <c:pt idx="441">
                  <c:v>40917.645833333336</c:v>
                </c:pt>
                <c:pt idx="442">
                  <c:v>40918.645833333336</c:v>
                </c:pt>
                <c:pt idx="443">
                  <c:v>40919.645833333336</c:v>
                </c:pt>
                <c:pt idx="444">
                  <c:v>40920.645833333336</c:v>
                </c:pt>
                <c:pt idx="445">
                  <c:v>40921.645833333336</c:v>
                </c:pt>
                <c:pt idx="446">
                  <c:v>40924.645833333336</c:v>
                </c:pt>
                <c:pt idx="447">
                  <c:v>40925.645833333336</c:v>
                </c:pt>
                <c:pt idx="448">
                  <c:v>40926.645833333336</c:v>
                </c:pt>
                <c:pt idx="449">
                  <c:v>40927.645833333336</c:v>
                </c:pt>
                <c:pt idx="450">
                  <c:v>40928.645833333336</c:v>
                </c:pt>
                <c:pt idx="451">
                  <c:v>40931.645833333336</c:v>
                </c:pt>
                <c:pt idx="452">
                  <c:v>40932.645833333336</c:v>
                </c:pt>
                <c:pt idx="453">
                  <c:v>40933.645833333336</c:v>
                </c:pt>
                <c:pt idx="454">
                  <c:v>40935.645833333336</c:v>
                </c:pt>
                <c:pt idx="455">
                  <c:v>40938.645833333336</c:v>
                </c:pt>
                <c:pt idx="456">
                  <c:v>40939.645833333336</c:v>
                </c:pt>
                <c:pt idx="457">
                  <c:v>40940.645833333336</c:v>
                </c:pt>
                <c:pt idx="458">
                  <c:v>40941.645833333336</c:v>
                </c:pt>
                <c:pt idx="459">
                  <c:v>40942.645833333336</c:v>
                </c:pt>
                <c:pt idx="460">
                  <c:v>40945.645833333336</c:v>
                </c:pt>
                <c:pt idx="461">
                  <c:v>40946.645833333336</c:v>
                </c:pt>
                <c:pt idx="462">
                  <c:v>40947.645833333336</c:v>
                </c:pt>
                <c:pt idx="463">
                  <c:v>40948.645833333336</c:v>
                </c:pt>
                <c:pt idx="464">
                  <c:v>40949.645833333336</c:v>
                </c:pt>
                <c:pt idx="465">
                  <c:v>40952.645833333336</c:v>
                </c:pt>
                <c:pt idx="466">
                  <c:v>40953.645833333336</c:v>
                </c:pt>
                <c:pt idx="467">
                  <c:v>40954.645833333336</c:v>
                </c:pt>
                <c:pt idx="468">
                  <c:v>40955.645833333336</c:v>
                </c:pt>
                <c:pt idx="469">
                  <c:v>40956.645833333336</c:v>
                </c:pt>
                <c:pt idx="470">
                  <c:v>40960.645833333336</c:v>
                </c:pt>
                <c:pt idx="471">
                  <c:v>40961.645833333336</c:v>
                </c:pt>
                <c:pt idx="472">
                  <c:v>40962.645833333336</c:v>
                </c:pt>
                <c:pt idx="473">
                  <c:v>40963.645833333336</c:v>
                </c:pt>
                <c:pt idx="474">
                  <c:v>40966.645833333336</c:v>
                </c:pt>
                <c:pt idx="475">
                  <c:v>40967.645833333336</c:v>
                </c:pt>
                <c:pt idx="476">
                  <c:v>40968.645833333336</c:v>
                </c:pt>
                <c:pt idx="477">
                  <c:v>40969.645833333336</c:v>
                </c:pt>
                <c:pt idx="478">
                  <c:v>40970.645833333336</c:v>
                </c:pt>
                <c:pt idx="479">
                  <c:v>40971.552083333336</c:v>
                </c:pt>
                <c:pt idx="480">
                  <c:v>40973.645833333336</c:v>
                </c:pt>
                <c:pt idx="481">
                  <c:v>40974.645833333336</c:v>
                </c:pt>
                <c:pt idx="482">
                  <c:v>40975.645833333336</c:v>
                </c:pt>
                <c:pt idx="483">
                  <c:v>40977.645833333336</c:v>
                </c:pt>
                <c:pt idx="484">
                  <c:v>40980.645833333336</c:v>
                </c:pt>
                <c:pt idx="485">
                  <c:v>40981.645833333336</c:v>
                </c:pt>
                <c:pt idx="486">
                  <c:v>40982.645833333336</c:v>
                </c:pt>
                <c:pt idx="487">
                  <c:v>40983.645833333336</c:v>
                </c:pt>
                <c:pt idx="488">
                  <c:v>40984.645833333336</c:v>
                </c:pt>
                <c:pt idx="489">
                  <c:v>40987.645833333336</c:v>
                </c:pt>
                <c:pt idx="490">
                  <c:v>40988.645833333336</c:v>
                </c:pt>
                <c:pt idx="491">
                  <c:v>40989.645833333336</c:v>
                </c:pt>
                <c:pt idx="492">
                  <c:v>40990.645833333336</c:v>
                </c:pt>
                <c:pt idx="493">
                  <c:v>40991.645833333336</c:v>
                </c:pt>
                <c:pt idx="494">
                  <c:v>40994.645833333336</c:v>
                </c:pt>
                <c:pt idx="495">
                  <c:v>40995.645833333336</c:v>
                </c:pt>
                <c:pt idx="496">
                  <c:v>40996.645833333336</c:v>
                </c:pt>
                <c:pt idx="497">
                  <c:v>40997.645833333336</c:v>
                </c:pt>
                <c:pt idx="498">
                  <c:v>40998.645833333336</c:v>
                </c:pt>
                <c:pt idx="499">
                  <c:v>41001.645833333336</c:v>
                </c:pt>
                <c:pt idx="500">
                  <c:v>41002.645833333336</c:v>
                </c:pt>
                <c:pt idx="501">
                  <c:v>41003.645833333336</c:v>
                </c:pt>
                <c:pt idx="502">
                  <c:v>41008.645833333336</c:v>
                </c:pt>
                <c:pt idx="503">
                  <c:v>41009.645833333336</c:v>
                </c:pt>
                <c:pt idx="504">
                  <c:v>41010.645833333336</c:v>
                </c:pt>
                <c:pt idx="505">
                  <c:v>41011.645833333336</c:v>
                </c:pt>
                <c:pt idx="506">
                  <c:v>41012.645833333336</c:v>
                </c:pt>
                <c:pt idx="507">
                  <c:v>41015.645833333336</c:v>
                </c:pt>
                <c:pt idx="508">
                  <c:v>41016.645833333336</c:v>
                </c:pt>
                <c:pt idx="509">
                  <c:v>41017.645833333336</c:v>
                </c:pt>
                <c:pt idx="510">
                  <c:v>41018.645833333336</c:v>
                </c:pt>
                <c:pt idx="511">
                  <c:v>41019.645833333336</c:v>
                </c:pt>
                <c:pt idx="512">
                  <c:v>41022.645833333336</c:v>
                </c:pt>
                <c:pt idx="513">
                  <c:v>41023.833333333336</c:v>
                </c:pt>
                <c:pt idx="514">
                  <c:v>41024.645833333336</c:v>
                </c:pt>
                <c:pt idx="515">
                  <c:v>41025.645833333336</c:v>
                </c:pt>
                <c:pt idx="516">
                  <c:v>41026.645833333336</c:v>
                </c:pt>
                <c:pt idx="517">
                  <c:v>41029.645833333336</c:v>
                </c:pt>
                <c:pt idx="518">
                  <c:v>41031.645833333336</c:v>
                </c:pt>
                <c:pt idx="519">
                  <c:v>41032.645833333336</c:v>
                </c:pt>
                <c:pt idx="520">
                  <c:v>41033.645833333336</c:v>
                </c:pt>
                <c:pt idx="521">
                  <c:v>41036.645833333336</c:v>
                </c:pt>
                <c:pt idx="522">
                  <c:v>41037.645833333336</c:v>
                </c:pt>
                <c:pt idx="523">
                  <c:v>41038.645833333336</c:v>
                </c:pt>
                <c:pt idx="524">
                  <c:v>41039.645833333336</c:v>
                </c:pt>
                <c:pt idx="525">
                  <c:v>41040.645833333336</c:v>
                </c:pt>
                <c:pt idx="526">
                  <c:v>41043.645833333336</c:v>
                </c:pt>
                <c:pt idx="527">
                  <c:v>41044.645833333336</c:v>
                </c:pt>
                <c:pt idx="528">
                  <c:v>41045.645833333336</c:v>
                </c:pt>
                <c:pt idx="529">
                  <c:v>41046.645833333336</c:v>
                </c:pt>
                <c:pt idx="530">
                  <c:v>41047.645833333336</c:v>
                </c:pt>
                <c:pt idx="531">
                  <c:v>41050.645833333336</c:v>
                </c:pt>
                <c:pt idx="532">
                  <c:v>41051.645833333336</c:v>
                </c:pt>
                <c:pt idx="533">
                  <c:v>41052.645833333336</c:v>
                </c:pt>
                <c:pt idx="534">
                  <c:v>41053.645833333336</c:v>
                </c:pt>
                <c:pt idx="535">
                  <c:v>41054.645833333336</c:v>
                </c:pt>
                <c:pt idx="536">
                  <c:v>41057.645833333336</c:v>
                </c:pt>
                <c:pt idx="537">
                  <c:v>41058.645833333336</c:v>
                </c:pt>
                <c:pt idx="538">
                  <c:v>41059.645833333336</c:v>
                </c:pt>
                <c:pt idx="539">
                  <c:v>41060.645833333336</c:v>
                </c:pt>
                <c:pt idx="540">
                  <c:v>41061.645833333336</c:v>
                </c:pt>
                <c:pt idx="541">
                  <c:v>41064.645833333336</c:v>
                </c:pt>
                <c:pt idx="542">
                  <c:v>41065.645833333336</c:v>
                </c:pt>
                <c:pt idx="543">
                  <c:v>41066.645833333336</c:v>
                </c:pt>
                <c:pt idx="544">
                  <c:v>41067.645833333336</c:v>
                </c:pt>
                <c:pt idx="545">
                  <c:v>41068.645833333336</c:v>
                </c:pt>
                <c:pt idx="546">
                  <c:v>41071.645833333336</c:v>
                </c:pt>
                <c:pt idx="547">
                  <c:v>41072.645833333336</c:v>
                </c:pt>
                <c:pt idx="548">
                  <c:v>41073.645833333336</c:v>
                </c:pt>
                <c:pt idx="549">
                  <c:v>41074.645833333336</c:v>
                </c:pt>
                <c:pt idx="550">
                  <c:v>41075.645833333336</c:v>
                </c:pt>
                <c:pt idx="551">
                  <c:v>41078.645833333336</c:v>
                </c:pt>
                <c:pt idx="552">
                  <c:v>41079.645833333336</c:v>
                </c:pt>
                <c:pt idx="553">
                  <c:v>41080.645833333336</c:v>
                </c:pt>
                <c:pt idx="554">
                  <c:v>41081.645833333336</c:v>
                </c:pt>
                <c:pt idx="555">
                  <c:v>41082.645833333336</c:v>
                </c:pt>
                <c:pt idx="556">
                  <c:v>41085.645833333336</c:v>
                </c:pt>
                <c:pt idx="557">
                  <c:v>41086.645833333336</c:v>
                </c:pt>
                <c:pt idx="558">
                  <c:v>41087.645833333336</c:v>
                </c:pt>
                <c:pt idx="559">
                  <c:v>41088.645833333336</c:v>
                </c:pt>
                <c:pt idx="560">
                  <c:v>41089.645833333336</c:v>
                </c:pt>
                <c:pt idx="561">
                  <c:v>41092.645833333336</c:v>
                </c:pt>
                <c:pt idx="562">
                  <c:v>41093.645833333336</c:v>
                </c:pt>
                <c:pt idx="563">
                  <c:v>41094.645833333336</c:v>
                </c:pt>
                <c:pt idx="564">
                  <c:v>41095.645833333336</c:v>
                </c:pt>
                <c:pt idx="565">
                  <c:v>41096.645833333336</c:v>
                </c:pt>
                <c:pt idx="566">
                  <c:v>41099.645833333336</c:v>
                </c:pt>
                <c:pt idx="567">
                  <c:v>41100.645833333336</c:v>
                </c:pt>
                <c:pt idx="568">
                  <c:v>41101.645833333336</c:v>
                </c:pt>
                <c:pt idx="569">
                  <c:v>41102.645833333336</c:v>
                </c:pt>
                <c:pt idx="570">
                  <c:v>41103.645833333336</c:v>
                </c:pt>
                <c:pt idx="571">
                  <c:v>41106.645833333336</c:v>
                </c:pt>
                <c:pt idx="572">
                  <c:v>41107.645833333336</c:v>
                </c:pt>
                <c:pt idx="573">
                  <c:v>41108.645833333336</c:v>
                </c:pt>
                <c:pt idx="574">
                  <c:v>41109.645833333336</c:v>
                </c:pt>
                <c:pt idx="575">
                  <c:v>41110.645833333336</c:v>
                </c:pt>
                <c:pt idx="576">
                  <c:v>41113.645833333336</c:v>
                </c:pt>
                <c:pt idx="577">
                  <c:v>41114.645833333336</c:v>
                </c:pt>
                <c:pt idx="578">
                  <c:v>41115.645833333336</c:v>
                </c:pt>
                <c:pt idx="579">
                  <c:v>41116.645833333336</c:v>
                </c:pt>
                <c:pt idx="580">
                  <c:v>41117.645833333336</c:v>
                </c:pt>
                <c:pt idx="581">
                  <c:v>41120.645833333336</c:v>
                </c:pt>
                <c:pt idx="582">
                  <c:v>41121.645833333336</c:v>
                </c:pt>
                <c:pt idx="583">
                  <c:v>41122.645833333336</c:v>
                </c:pt>
                <c:pt idx="584">
                  <c:v>41123.645833333336</c:v>
                </c:pt>
                <c:pt idx="585">
                  <c:v>41124.645833333336</c:v>
                </c:pt>
                <c:pt idx="586">
                  <c:v>41127.645833333336</c:v>
                </c:pt>
                <c:pt idx="587">
                  <c:v>41128.645833333336</c:v>
                </c:pt>
                <c:pt idx="588">
                  <c:v>41129.645833333336</c:v>
                </c:pt>
                <c:pt idx="589">
                  <c:v>41130.645833333336</c:v>
                </c:pt>
                <c:pt idx="590">
                  <c:v>41131.645833333336</c:v>
                </c:pt>
                <c:pt idx="591">
                  <c:v>41134.645833333336</c:v>
                </c:pt>
                <c:pt idx="592">
                  <c:v>41135.645833333336</c:v>
                </c:pt>
                <c:pt idx="593">
                  <c:v>41137.645833333336</c:v>
                </c:pt>
                <c:pt idx="594">
                  <c:v>41138.645833333336</c:v>
                </c:pt>
                <c:pt idx="595">
                  <c:v>41142.645833333336</c:v>
                </c:pt>
                <c:pt idx="596">
                  <c:v>41143.645833333336</c:v>
                </c:pt>
                <c:pt idx="597">
                  <c:v>41144.645833333336</c:v>
                </c:pt>
                <c:pt idx="598">
                  <c:v>41145.645833333336</c:v>
                </c:pt>
                <c:pt idx="599">
                  <c:v>41148.645833333336</c:v>
                </c:pt>
                <c:pt idx="600">
                  <c:v>41149.645833333336</c:v>
                </c:pt>
                <c:pt idx="601">
                  <c:v>41150.645833333336</c:v>
                </c:pt>
                <c:pt idx="602">
                  <c:v>41151.645833333336</c:v>
                </c:pt>
                <c:pt idx="603">
                  <c:v>41152.645833333336</c:v>
                </c:pt>
                <c:pt idx="604">
                  <c:v>41155.645833333336</c:v>
                </c:pt>
                <c:pt idx="605">
                  <c:v>41156.645833333336</c:v>
                </c:pt>
                <c:pt idx="606">
                  <c:v>41157.645833333336</c:v>
                </c:pt>
                <c:pt idx="607">
                  <c:v>41158.645833333336</c:v>
                </c:pt>
                <c:pt idx="608">
                  <c:v>41159.645833333336</c:v>
                </c:pt>
                <c:pt idx="609">
                  <c:v>41160.552083333336</c:v>
                </c:pt>
                <c:pt idx="610">
                  <c:v>41162.645833333336</c:v>
                </c:pt>
                <c:pt idx="611">
                  <c:v>41163.645833333336</c:v>
                </c:pt>
                <c:pt idx="612">
                  <c:v>41164.645833333336</c:v>
                </c:pt>
                <c:pt idx="613">
                  <c:v>41165.645833333336</c:v>
                </c:pt>
                <c:pt idx="614">
                  <c:v>41166.645833333336</c:v>
                </c:pt>
                <c:pt idx="615">
                  <c:v>41169.645833333336</c:v>
                </c:pt>
                <c:pt idx="616">
                  <c:v>41170.645833333336</c:v>
                </c:pt>
                <c:pt idx="617">
                  <c:v>41172.645833333336</c:v>
                </c:pt>
                <c:pt idx="618">
                  <c:v>41173.645833333336</c:v>
                </c:pt>
                <c:pt idx="619">
                  <c:v>41176.645833333336</c:v>
                </c:pt>
                <c:pt idx="620">
                  <c:v>41177.645833333336</c:v>
                </c:pt>
                <c:pt idx="621">
                  <c:v>41178.645833333336</c:v>
                </c:pt>
                <c:pt idx="622">
                  <c:v>41179.645833333336</c:v>
                </c:pt>
                <c:pt idx="623">
                  <c:v>41180.645833333336</c:v>
                </c:pt>
                <c:pt idx="624">
                  <c:v>41183.645833333336</c:v>
                </c:pt>
                <c:pt idx="625">
                  <c:v>41185.645833333336</c:v>
                </c:pt>
                <c:pt idx="626">
                  <c:v>41186.645833333336</c:v>
                </c:pt>
                <c:pt idx="627">
                  <c:v>41187.645833333336</c:v>
                </c:pt>
                <c:pt idx="628">
                  <c:v>41190.645833333336</c:v>
                </c:pt>
                <c:pt idx="629">
                  <c:v>41191.645833333336</c:v>
                </c:pt>
                <c:pt idx="630">
                  <c:v>41192.645833333336</c:v>
                </c:pt>
                <c:pt idx="631">
                  <c:v>41193.645833333336</c:v>
                </c:pt>
                <c:pt idx="632">
                  <c:v>41194.645833333336</c:v>
                </c:pt>
                <c:pt idx="633">
                  <c:v>41197.645833333336</c:v>
                </c:pt>
                <c:pt idx="634">
                  <c:v>41198.645833333336</c:v>
                </c:pt>
                <c:pt idx="635">
                  <c:v>41199.645833333336</c:v>
                </c:pt>
                <c:pt idx="636">
                  <c:v>41200.645833333336</c:v>
                </c:pt>
                <c:pt idx="637">
                  <c:v>41201.645833333336</c:v>
                </c:pt>
                <c:pt idx="638">
                  <c:v>41204.645833333336</c:v>
                </c:pt>
                <c:pt idx="639">
                  <c:v>41205.645833333336</c:v>
                </c:pt>
                <c:pt idx="640">
                  <c:v>41207.645833333336</c:v>
                </c:pt>
                <c:pt idx="641">
                  <c:v>41208.645833333336</c:v>
                </c:pt>
                <c:pt idx="642">
                  <c:v>41211.645833333336</c:v>
                </c:pt>
                <c:pt idx="643">
                  <c:v>41212.645833333336</c:v>
                </c:pt>
                <c:pt idx="644">
                  <c:v>41213.645833333336</c:v>
                </c:pt>
                <c:pt idx="645">
                  <c:v>41214.645833333336</c:v>
                </c:pt>
                <c:pt idx="646">
                  <c:v>41215.645833333336</c:v>
                </c:pt>
                <c:pt idx="647">
                  <c:v>41218.645833333336</c:v>
                </c:pt>
                <c:pt idx="648">
                  <c:v>41219.645833333336</c:v>
                </c:pt>
                <c:pt idx="649">
                  <c:v>41220.645833333336</c:v>
                </c:pt>
                <c:pt idx="650">
                  <c:v>41221.645833333336</c:v>
                </c:pt>
                <c:pt idx="651">
                  <c:v>41222.645833333336</c:v>
                </c:pt>
                <c:pt idx="652">
                  <c:v>41225.645833333336</c:v>
                </c:pt>
                <c:pt idx="653">
                  <c:v>41226.722222222219</c:v>
                </c:pt>
                <c:pt idx="654">
                  <c:v>41228.645833333336</c:v>
                </c:pt>
                <c:pt idx="655">
                  <c:v>41229.645833333336</c:v>
                </c:pt>
                <c:pt idx="656">
                  <c:v>41232.645833333336</c:v>
                </c:pt>
                <c:pt idx="657">
                  <c:v>41233.645833333336</c:v>
                </c:pt>
                <c:pt idx="658">
                  <c:v>41234.645833333336</c:v>
                </c:pt>
                <c:pt idx="659">
                  <c:v>41235.645833333336</c:v>
                </c:pt>
                <c:pt idx="660">
                  <c:v>41236.645833333336</c:v>
                </c:pt>
                <c:pt idx="661">
                  <c:v>41239.645833333336</c:v>
                </c:pt>
                <c:pt idx="662">
                  <c:v>41240.645833333336</c:v>
                </c:pt>
                <c:pt idx="663">
                  <c:v>41242.645833333336</c:v>
                </c:pt>
                <c:pt idx="664">
                  <c:v>41243.645833333336</c:v>
                </c:pt>
                <c:pt idx="665">
                  <c:v>41246.645833333336</c:v>
                </c:pt>
                <c:pt idx="666">
                  <c:v>41247.645833333336</c:v>
                </c:pt>
                <c:pt idx="667">
                  <c:v>41248.645833333336</c:v>
                </c:pt>
                <c:pt idx="668">
                  <c:v>41249.645833333336</c:v>
                </c:pt>
                <c:pt idx="669">
                  <c:v>41250.645833333336</c:v>
                </c:pt>
                <c:pt idx="670">
                  <c:v>41253.645833333336</c:v>
                </c:pt>
                <c:pt idx="671">
                  <c:v>41254.645833333336</c:v>
                </c:pt>
                <c:pt idx="672">
                  <c:v>41255.645833333336</c:v>
                </c:pt>
                <c:pt idx="673">
                  <c:v>41256.645833333336</c:v>
                </c:pt>
                <c:pt idx="674">
                  <c:v>41257.645833333336</c:v>
                </c:pt>
                <c:pt idx="675">
                  <c:v>41260.645833333336</c:v>
                </c:pt>
                <c:pt idx="676">
                  <c:v>41261.645833333336</c:v>
                </c:pt>
                <c:pt idx="677">
                  <c:v>41262.645833333336</c:v>
                </c:pt>
                <c:pt idx="678">
                  <c:v>41263.645833333336</c:v>
                </c:pt>
                <c:pt idx="679">
                  <c:v>41264.645833333336</c:v>
                </c:pt>
                <c:pt idx="680">
                  <c:v>41267.645833333336</c:v>
                </c:pt>
                <c:pt idx="681">
                  <c:v>41269.645833333336</c:v>
                </c:pt>
                <c:pt idx="682">
                  <c:v>41270.645833333336</c:v>
                </c:pt>
                <c:pt idx="683">
                  <c:v>41271.645833333336</c:v>
                </c:pt>
                <c:pt idx="684">
                  <c:v>41274.645833333336</c:v>
                </c:pt>
                <c:pt idx="685">
                  <c:v>41276.645833333336</c:v>
                </c:pt>
                <c:pt idx="686">
                  <c:v>41277.645833333336</c:v>
                </c:pt>
                <c:pt idx="687">
                  <c:v>41278.645833333336</c:v>
                </c:pt>
                <c:pt idx="688">
                  <c:v>41281.645833333336</c:v>
                </c:pt>
                <c:pt idx="689">
                  <c:v>41282.645833333336</c:v>
                </c:pt>
                <c:pt idx="690">
                  <c:v>41283.645833333336</c:v>
                </c:pt>
                <c:pt idx="691">
                  <c:v>41284.645833333336</c:v>
                </c:pt>
                <c:pt idx="692">
                  <c:v>41285.645833333336</c:v>
                </c:pt>
                <c:pt idx="693">
                  <c:v>41288.645833333336</c:v>
                </c:pt>
                <c:pt idx="694">
                  <c:v>41289.645833333336</c:v>
                </c:pt>
                <c:pt idx="695">
                  <c:v>41290.645833333336</c:v>
                </c:pt>
                <c:pt idx="696">
                  <c:v>41291.645833333336</c:v>
                </c:pt>
                <c:pt idx="697">
                  <c:v>41292.645833333336</c:v>
                </c:pt>
                <c:pt idx="698">
                  <c:v>41295.645833333336</c:v>
                </c:pt>
                <c:pt idx="699">
                  <c:v>41296.645833333336</c:v>
                </c:pt>
                <c:pt idx="700">
                  <c:v>41297.645833333336</c:v>
                </c:pt>
                <c:pt idx="701">
                  <c:v>41298.645833333336</c:v>
                </c:pt>
                <c:pt idx="702">
                  <c:v>41299.645833333336</c:v>
                </c:pt>
                <c:pt idx="703">
                  <c:v>41302.645833333336</c:v>
                </c:pt>
                <c:pt idx="704">
                  <c:v>41303.645833333336</c:v>
                </c:pt>
                <c:pt idx="705">
                  <c:v>41304.645833333336</c:v>
                </c:pt>
                <c:pt idx="706">
                  <c:v>41305.645833333336</c:v>
                </c:pt>
                <c:pt idx="707">
                  <c:v>41306.645833333336</c:v>
                </c:pt>
                <c:pt idx="708">
                  <c:v>41309.645833333336</c:v>
                </c:pt>
                <c:pt idx="709">
                  <c:v>41310.645833333336</c:v>
                </c:pt>
                <c:pt idx="710">
                  <c:v>41311.645833333336</c:v>
                </c:pt>
                <c:pt idx="711">
                  <c:v>41312.645833333336</c:v>
                </c:pt>
                <c:pt idx="712">
                  <c:v>41313.645833333336</c:v>
                </c:pt>
                <c:pt idx="713">
                  <c:v>41316.645833333336</c:v>
                </c:pt>
                <c:pt idx="714">
                  <c:v>41317.645833333336</c:v>
                </c:pt>
                <c:pt idx="715">
                  <c:v>41318.645833333336</c:v>
                </c:pt>
                <c:pt idx="716">
                  <c:v>41319.645833333336</c:v>
                </c:pt>
                <c:pt idx="717">
                  <c:v>41320.645833333336</c:v>
                </c:pt>
                <c:pt idx="718">
                  <c:v>41323.645833333336</c:v>
                </c:pt>
                <c:pt idx="719">
                  <c:v>41324.645833333336</c:v>
                </c:pt>
                <c:pt idx="720">
                  <c:v>41325.645833333336</c:v>
                </c:pt>
                <c:pt idx="721">
                  <c:v>41326.645833333336</c:v>
                </c:pt>
                <c:pt idx="722">
                  <c:v>41327.645833333336</c:v>
                </c:pt>
                <c:pt idx="723">
                  <c:v>41330.645833333336</c:v>
                </c:pt>
                <c:pt idx="724">
                  <c:v>41331.645833333336</c:v>
                </c:pt>
                <c:pt idx="725">
                  <c:v>41332.645833333336</c:v>
                </c:pt>
                <c:pt idx="726">
                  <c:v>41333.645833333336</c:v>
                </c:pt>
                <c:pt idx="727">
                  <c:v>41334.645833333336</c:v>
                </c:pt>
                <c:pt idx="728">
                  <c:v>41337.645833333336</c:v>
                </c:pt>
                <c:pt idx="729">
                  <c:v>41338.645833333336</c:v>
                </c:pt>
                <c:pt idx="730">
                  <c:v>41339.645833333336</c:v>
                </c:pt>
                <c:pt idx="731">
                  <c:v>41340.645833333336</c:v>
                </c:pt>
                <c:pt idx="732">
                  <c:v>41341.645833333336</c:v>
                </c:pt>
                <c:pt idx="733">
                  <c:v>41344.645833333336</c:v>
                </c:pt>
                <c:pt idx="734">
                  <c:v>41345.645833333336</c:v>
                </c:pt>
                <c:pt idx="735">
                  <c:v>41346.645833333336</c:v>
                </c:pt>
                <c:pt idx="736">
                  <c:v>41347.645833333336</c:v>
                </c:pt>
                <c:pt idx="737">
                  <c:v>41348.645833333336</c:v>
                </c:pt>
                <c:pt idx="738">
                  <c:v>41351.645833333336</c:v>
                </c:pt>
                <c:pt idx="739">
                  <c:v>41352.645833333336</c:v>
                </c:pt>
                <c:pt idx="740">
                  <c:v>41353.645833333336</c:v>
                </c:pt>
                <c:pt idx="741">
                  <c:v>41354.645833333336</c:v>
                </c:pt>
                <c:pt idx="742">
                  <c:v>41355.645833333336</c:v>
                </c:pt>
                <c:pt idx="743">
                  <c:v>41358.645833333336</c:v>
                </c:pt>
                <c:pt idx="744">
                  <c:v>41359.645833333336</c:v>
                </c:pt>
                <c:pt idx="745">
                  <c:v>41361.645833333336</c:v>
                </c:pt>
                <c:pt idx="746">
                  <c:v>41365.645833333336</c:v>
                </c:pt>
                <c:pt idx="747">
                  <c:v>41366.645833333336</c:v>
                </c:pt>
                <c:pt idx="748">
                  <c:v>41367.645833333336</c:v>
                </c:pt>
                <c:pt idx="749">
                  <c:v>41368.645833333336</c:v>
                </c:pt>
                <c:pt idx="750">
                  <c:v>41369.645833333336</c:v>
                </c:pt>
                <c:pt idx="751">
                  <c:v>41372.645833333336</c:v>
                </c:pt>
                <c:pt idx="752">
                  <c:v>41373.645833333336</c:v>
                </c:pt>
                <c:pt idx="753">
                  <c:v>41374.645833333336</c:v>
                </c:pt>
                <c:pt idx="754">
                  <c:v>41375.645833333336</c:v>
                </c:pt>
                <c:pt idx="755">
                  <c:v>41376.645833333336</c:v>
                </c:pt>
                <c:pt idx="756">
                  <c:v>41379.645833333336</c:v>
                </c:pt>
                <c:pt idx="757">
                  <c:v>41380.645833333336</c:v>
                </c:pt>
                <c:pt idx="758">
                  <c:v>41381.645833333336</c:v>
                </c:pt>
                <c:pt idx="759">
                  <c:v>41382.645833333336</c:v>
                </c:pt>
                <c:pt idx="760">
                  <c:v>41386.645833333336</c:v>
                </c:pt>
                <c:pt idx="761">
                  <c:v>41387.645833333336</c:v>
                </c:pt>
                <c:pt idx="762">
                  <c:v>41389.645833333336</c:v>
                </c:pt>
                <c:pt idx="763">
                  <c:v>41390.645833333336</c:v>
                </c:pt>
                <c:pt idx="764">
                  <c:v>41393.645833333336</c:v>
                </c:pt>
                <c:pt idx="765">
                  <c:v>41394.645833333336</c:v>
                </c:pt>
                <c:pt idx="766">
                  <c:v>41396.645833333336</c:v>
                </c:pt>
                <c:pt idx="767">
                  <c:v>41397.645833333336</c:v>
                </c:pt>
                <c:pt idx="768">
                  <c:v>41400.645833333336</c:v>
                </c:pt>
                <c:pt idx="769">
                  <c:v>41401.645833333336</c:v>
                </c:pt>
                <c:pt idx="770">
                  <c:v>41402.645833333336</c:v>
                </c:pt>
                <c:pt idx="771">
                  <c:v>41403.645833333336</c:v>
                </c:pt>
                <c:pt idx="772">
                  <c:v>41404.645833333336</c:v>
                </c:pt>
                <c:pt idx="773">
                  <c:v>41407.645833333336</c:v>
                </c:pt>
                <c:pt idx="774">
                  <c:v>41408.645833333336</c:v>
                </c:pt>
                <c:pt idx="775">
                  <c:v>41409.645833333336</c:v>
                </c:pt>
                <c:pt idx="776">
                  <c:v>41410.645833333336</c:v>
                </c:pt>
                <c:pt idx="777">
                  <c:v>41411.645833333336</c:v>
                </c:pt>
                <c:pt idx="778">
                  <c:v>41414.645833333336</c:v>
                </c:pt>
                <c:pt idx="779">
                  <c:v>41415.645833333336</c:v>
                </c:pt>
                <c:pt idx="780">
                  <c:v>41416.645833333336</c:v>
                </c:pt>
                <c:pt idx="781">
                  <c:v>41417.645833333336</c:v>
                </c:pt>
                <c:pt idx="782">
                  <c:v>41418.645833333336</c:v>
                </c:pt>
                <c:pt idx="783">
                  <c:v>41421.645833333336</c:v>
                </c:pt>
                <c:pt idx="784">
                  <c:v>41422.645833333336</c:v>
                </c:pt>
                <c:pt idx="785">
                  <c:v>41423.645833333336</c:v>
                </c:pt>
                <c:pt idx="786">
                  <c:v>41424.645833333336</c:v>
                </c:pt>
                <c:pt idx="787">
                  <c:v>41425.645833333336</c:v>
                </c:pt>
                <c:pt idx="788">
                  <c:v>41428.645833333336</c:v>
                </c:pt>
                <c:pt idx="789">
                  <c:v>41429.645833333336</c:v>
                </c:pt>
                <c:pt idx="790">
                  <c:v>41430.645833333336</c:v>
                </c:pt>
                <c:pt idx="791">
                  <c:v>41431.645833333336</c:v>
                </c:pt>
                <c:pt idx="792">
                  <c:v>41432.645833333336</c:v>
                </c:pt>
                <c:pt idx="793">
                  <c:v>41435.645833333336</c:v>
                </c:pt>
                <c:pt idx="794">
                  <c:v>41436.645833333336</c:v>
                </c:pt>
                <c:pt idx="795">
                  <c:v>41437.645833333336</c:v>
                </c:pt>
                <c:pt idx="796">
                  <c:v>41438.645833333336</c:v>
                </c:pt>
                <c:pt idx="797">
                  <c:v>41439.645833333336</c:v>
                </c:pt>
                <c:pt idx="798">
                  <c:v>41442.645833333336</c:v>
                </c:pt>
                <c:pt idx="799">
                  <c:v>41443.645833333336</c:v>
                </c:pt>
                <c:pt idx="800">
                  <c:v>41444.645833333336</c:v>
                </c:pt>
                <c:pt idx="801">
                  <c:v>41445.645833333336</c:v>
                </c:pt>
                <c:pt idx="802">
                  <c:v>41446.645833333336</c:v>
                </c:pt>
                <c:pt idx="803">
                  <c:v>41449.645833333336</c:v>
                </c:pt>
                <c:pt idx="804">
                  <c:v>41450.645833333336</c:v>
                </c:pt>
                <c:pt idx="805">
                  <c:v>41451.645833333336</c:v>
                </c:pt>
                <c:pt idx="806">
                  <c:v>41452.645833333336</c:v>
                </c:pt>
                <c:pt idx="807">
                  <c:v>41453.645833333336</c:v>
                </c:pt>
                <c:pt idx="808">
                  <c:v>41456.645833333336</c:v>
                </c:pt>
                <c:pt idx="809">
                  <c:v>41457.645833333336</c:v>
                </c:pt>
                <c:pt idx="810">
                  <c:v>41458.645833333336</c:v>
                </c:pt>
                <c:pt idx="811">
                  <c:v>41459.645833333336</c:v>
                </c:pt>
                <c:pt idx="812">
                  <c:v>41460.645833333336</c:v>
                </c:pt>
                <c:pt idx="813">
                  <c:v>41463.645833333336</c:v>
                </c:pt>
                <c:pt idx="814">
                  <c:v>41464.645833333336</c:v>
                </c:pt>
                <c:pt idx="815">
                  <c:v>41465.645833333336</c:v>
                </c:pt>
                <c:pt idx="816">
                  <c:v>41466.645833333336</c:v>
                </c:pt>
                <c:pt idx="817">
                  <c:v>41467.645833333336</c:v>
                </c:pt>
                <c:pt idx="818">
                  <c:v>41470.645833333336</c:v>
                </c:pt>
                <c:pt idx="819">
                  <c:v>41471.645833333336</c:v>
                </c:pt>
                <c:pt idx="820">
                  <c:v>41472.645833333336</c:v>
                </c:pt>
                <c:pt idx="821">
                  <c:v>41473.645833333336</c:v>
                </c:pt>
                <c:pt idx="822">
                  <c:v>41474.645833333336</c:v>
                </c:pt>
                <c:pt idx="823">
                  <c:v>41477.645833333336</c:v>
                </c:pt>
                <c:pt idx="824">
                  <c:v>41478.645833333336</c:v>
                </c:pt>
                <c:pt idx="825">
                  <c:v>41479.645833333336</c:v>
                </c:pt>
                <c:pt idx="826">
                  <c:v>41480.645833333336</c:v>
                </c:pt>
                <c:pt idx="827">
                  <c:v>41481.645833333336</c:v>
                </c:pt>
                <c:pt idx="828">
                  <c:v>41484.645833333336</c:v>
                </c:pt>
                <c:pt idx="829">
                  <c:v>41485.645833333336</c:v>
                </c:pt>
                <c:pt idx="830">
                  <c:v>41486.645833333336</c:v>
                </c:pt>
                <c:pt idx="831">
                  <c:v>41487.645833333336</c:v>
                </c:pt>
                <c:pt idx="832">
                  <c:v>41488.645833333336</c:v>
                </c:pt>
                <c:pt idx="833">
                  <c:v>41491.645833333336</c:v>
                </c:pt>
                <c:pt idx="834">
                  <c:v>41492.645833333336</c:v>
                </c:pt>
                <c:pt idx="835">
                  <c:v>41493.645833333336</c:v>
                </c:pt>
                <c:pt idx="836">
                  <c:v>41494.645833333336</c:v>
                </c:pt>
                <c:pt idx="837">
                  <c:v>41498.645833333336</c:v>
                </c:pt>
                <c:pt idx="838">
                  <c:v>41499.645833333336</c:v>
                </c:pt>
                <c:pt idx="839">
                  <c:v>41500.645833333336</c:v>
                </c:pt>
                <c:pt idx="840">
                  <c:v>41502.645833333336</c:v>
                </c:pt>
                <c:pt idx="841">
                  <c:v>41505.645833333336</c:v>
                </c:pt>
                <c:pt idx="842">
                  <c:v>41506.645833333336</c:v>
                </c:pt>
                <c:pt idx="843">
                  <c:v>41507.645833333336</c:v>
                </c:pt>
                <c:pt idx="844">
                  <c:v>41508.645833333336</c:v>
                </c:pt>
                <c:pt idx="845">
                  <c:v>41509.645833333336</c:v>
                </c:pt>
                <c:pt idx="846">
                  <c:v>41512.645833333336</c:v>
                </c:pt>
                <c:pt idx="847">
                  <c:v>41513.645833333336</c:v>
                </c:pt>
                <c:pt idx="848">
                  <c:v>41514.645833333336</c:v>
                </c:pt>
                <c:pt idx="849">
                  <c:v>41515.645833333336</c:v>
                </c:pt>
                <c:pt idx="850">
                  <c:v>41516.645833333336</c:v>
                </c:pt>
                <c:pt idx="851">
                  <c:v>41519.645833333336</c:v>
                </c:pt>
                <c:pt idx="852">
                  <c:v>41520.645833333336</c:v>
                </c:pt>
                <c:pt idx="853">
                  <c:v>41521.645833333336</c:v>
                </c:pt>
                <c:pt idx="854">
                  <c:v>41522.645833333336</c:v>
                </c:pt>
                <c:pt idx="855">
                  <c:v>41523.645833333336</c:v>
                </c:pt>
                <c:pt idx="856">
                  <c:v>41527.645833333336</c:v>
                </c:pt>
                <c:pt idx="857">
                  <c:v>41528.645833333336</c:v>
                </c:pt>
                <c:pt idx="858">
                  <c:v>41529.645833333336</c:v>
                </c:pt>
                <c:pt idx="859">
                  <c:v>41530.645833333336</c:v>
                </c:pt>
                <c:pt idx="860">
                  <c:v>41533.645833333336</c:v>
                </c:pt>
                <c:pt idx="861">
                  <c:v>41534.645833333336</c:v>
                </c:pt>
                <c:pt idx="862">
                  <c:v>41535.645833333336</c:v>
                </c:pt>
                <c:pt idx="863">
                  <c:v>41536.645833333336</c:v>
                </c:pt>
                <c:pt idx="864">
                  <c:v>41537.645833333336</c:v>
                </c:pt>
                <c:pt idx="865">
                  <c:v>41540.645833333336</c:v>
                </c:pt>
                <c:pt idx="866">
                  <c:v>41541.645833333336</c:v>
                </c:pt>
                <c:pt idx="867">
                  <c:v>41542.645833333336</c:v>
                </c:pt>
                <c:pt idx="868">
                  <c:v>41543.645833333336</c:v>
                </c:pt>
                <c:pt idx="869">
                  <c:v>41544.645833333336</c:v>
                </c:pt>
                <c:pt idx="870">
                  <c:v>41548.645833333336</c:v>
                </c:pt>
                <c:pt idx="871">
                  <c:v>41550.645833333336</c:v>
                </c:pt>
                <c:pt idx="872">
                  <c:v>41551.645833333336</c:v>
                </c:pt>
                <c:pt idx="873">
                  <c:v>41554.645833333336</c:v>
                </c:pt>
                <c:pt idx="874">
                  <c:v>41555.645833333336</c:v>
                </c:pt>
                <c:pt idx="875">
                  <c:v>41556.645833333336</c:v>
                </c:pt>
                <c:pt idx="876">
                  <c:v>41557.645833333336</c:v>
                </c:pt>
                <c:pt idx="877">
                  <c:v>41558.645833333336</c:v>
                </c:pt>
                <c:pt idx="878">
                  <c:v>41561.645833333336</c:v>
                </c:pt>
                <c:pt idx="879">
                  <c:v>41562.645833333336</c:v>
                </c:pt>
                <c:pt idx="880">
                  <c:v>41564.645833333336</c:v>
                </c:pt>
                <c:pt idx="881">
                  <c:v>41565.645833333336</c:v>
                </c:pt>
                <c:pt idx="882">
                  <c:v>41568.645833333336</c:v>
                </c:pt>
                <c:pt idx="883">
                  <c:v>41569.645833333336</c:v>
                </c:pt>
                <c:pt idx="884">
                  <c:v>41570.645833333336</c:v>
                </c:pt>
                <c:pt idx="885">
                  <c:v>41571.645833333336</c:v>
                </c:pt>
                <c:pt idx="886">
                  <c:v>41572.645833333336</c:v>
                </c:pt>
                <c:pt idx="887">
                  <c:v>41575.645833333336</c:v>
                </c:pt>
                <c:pt idx="888">
                  <c:v>41576.645833333336</c:v>
                </c:pt>
                <c:pt idx="889">
                  <c:v>41577.645833333336</c:v>
                </c:pt>
                <c:pt idx="890">
                  <c:v>41578.645833333336</c:v>
                </c:pt>
                <c:pt idx="891">
                  <c:v>41579.645833333336</c:v>
                </c:pt>
                <c:pt idx="892">
                  <c:v>41583.645833333336</c:v>
                </c:pt>
                <c:pt idx="893">
                  <c:v>41584.645833333336</c:v>
                </c:pt>
                <c:pt idx="894">
                  <c:v>41585.645833333336</c:v>
                </c:pt>
                <c:pt idx="895">
                  <c:v>41586.645833333336</c:v>
                </c:pt>
                <c:pt idx="896">
                  <c:v>41589.645833333336</c:v>
                </c:pt>
                <c:pt idx="897">
                  <c:v>41590.645833333336</c:v>
                </c:pt>
                <c:pt idx="898">
                  <c:v>41591.645833333336</c:v>
                </c:pt>
                <c:pt idx="899">
                  <c:v>41596.645833333336</c:v>
                </c:pt>
                <c:pt idx="900">
                  <c:v>41597.645833333336</c:v>
                </c:pt>
                <c:pt idx="901">
                  <c:v>41598.645833333336</c:v>
                </c:pt>
                <c:pt idx="902">
                  <c:v>41599.645833333336</c:v>
                </c:pt>
                <c:pt idx="903">
                  <c:v>41600.645833333336</c:v>
                </c:pt>
                <c:pt idx="904">
                  <c:v>41603.645833333336</c:v>
                </c:pt>
                <c:pt idx="905">
                  <c:v>41604.645833333336</c:v>
                </c:pt>
                <c:pt idx="906">
                  <c:v>41605.645833333336</c:v>
                </c:pt>
                <c:pt idx="907">
                  <c:v>41606.645833333336</c:v>
                </c:pt>
                <c:pt idx="908">
                  <c:v>41607.645833333336</c:v>
                </c:pt>
                <c:pt idx="909">
                  <c:v>41610.645833333336</c:v>
                </c:pt>
                <c:pt idx="910">
                  <c:v>41611.645833333336</c:v>
                </c:pt>
                <c:pt idx="911">
                  <c:v>41612.645833333336</c:v>
                </c:pt>
                <c:pt idx="912">
                  <c:v>41613.645833333336</c:v>
                </c:pt>
                <c:pt idx="913">
                  <c:v>41614.645833333336</c:v>
                </c:pt>
                <c:pt idx="914">
                  <c:v>41617.645833333336</c:v>
                </c:pt>
                <c:pt idx="915">
                  <c:v>41618.645833333336</c:v>
                </c:pt>
                <c:pt idx="916">
                  <c:v>41619.645833333336</c:v>
                </c:pt>
                <c:pt idx="917">
                  <c:v>41620.645833333336</c:v>
                </c:pt>
                <c:pt idx="918">
                  <c:v>41621.645833333336</c:v>
                </c:pt>
                <c:pt idx="919">
                  <c:v>41624.645833333336</c:v>
                </c:pt>
                <c:pt idx="920">
                  <c:v>41625.645833333336</c:v>
                </c:pt>
                <c:pt idx="921">
                  <c:v>41626.645833333336</c:v>
                </c:pt>
                <c:pt idx="922">
                  <c:v>41627.645833333336</c:v>
                </c:pt>
                <c:pt idx="923">
                  <c:v>41628.645833333336</c:v>
                </c:pt>
                <c:pt idx="924">
                  <c:v>41631.645833333336</c:v>
                </c:pt>
                <c:pt idx="925">
                  <c:v>41632.645833333336</c:v>
                </c:pt>
                <c:pt idx="926">
                  <c:v>41634.645833333336</c:v>
                </c:pt>
                <c:pt idx="927">
                  <c:v>41635.645833333336</c:v>
                </c:pt>
                <c:pt idx="928">
                  <c:v>41638.645833333336</c:v>
                </c:pt>
                <c:pt idx="929">
                  <c:v>41639.645833333336</c:v>
                </c:pt>
                <c:pt idx="930">
                  <c:v>41640.645833333336</c:v>
                </c:pt>
                <c:pt idx="931">
                  <c:v>41641.645833333336</c:v>
                </c:pt>
                <c:pt idx="932">
                  <c:v>41642.645833333336</c:v>
                </c:pt>
                <c:pt idx="933">
                  <c:v>41645.645833333336</c:v>
                </c:pt>
                <c:pt idx="934">
                  <c:v>41646.645833333336</c:v>
                </c:pt>
                <c:pt idx="935">
                  <c:v>41647.645833333336</c:v>
                </c:pt>
                <c:pt idx="936">
                  <c:v>41648.645833333336</c:v>
                </c:pt>
                <c:pt idx="937">
                  <c:v>41649.645833333336</c:v>
                </c:pt>
                <c:pt idx="938">
                  <c:v>41652.645833333336</c:v>
                </c:pt>
                <c:pt idx="939">
                  <c:v>41653.645833333336</c:v>
                </c:pt>
                <c:pt idx="940">
                  <c:v>41654.645833333336</c:v>
                </c:pt>
                <c:pt idx="941">
                  <c:v>41655.645833333336</c:v>
                </c:pt>
                <c:pt idx="942">
                  <c:v>41656.645833333336</c:v>
                </c:pt>
                <c:pt idx="943">
                  <c:v>41659.645833333336</c:v>
                </c:pt>
                <c:pt idx="944">
                  <c:v>41660.645833333336</c:v>
                </c:pt>
                <c:pt idx="945">
                  <c:v>41661.645833333336</c:v>
                </c:pt>
                <c:pt idx="946">
                  <c:v>41662.645833333336</c:v>
                </c:pt>
                <c:pt idx="947">
                  <c:v>41663.645833333336</c:v>
                </c:pt>
                <c:pt idx="948">
                  <c:v>41666.645833333336</c:v>
                </c:pt>
                <c:pt idx="949">
                  <c:v>41667.645833333336</c:v>
                </c:pt>
                <c:pt idx="950">
                  <c:v>41668.645833333336</c:v>
                </c:pt>
                <c:pt idx="951">
                  <c:v>41669.645833333336</c:v>
                </c:pt>
                <c:pt idx="952">
                  <c:v>41670.645833333336</c:v>
                </c:pt>
                <c:pt idx="953">
                  <c:v>41673.645833333336</c:v>
                </c:pt>
                <c:pt idx="954">
                  <c:v>41674.645833333336</c:v>
                </c:pt>
                <c:pt idx="955">
                  <c:v>41675.645833333336</c:v>
                </c:pt>
                <c:pt idx="956">
                  <c:v>41676.645833333336</c:v>
                </c:pt>
                <c:pt idx="957">
                  <c:v>41677.645833333336</c:v>
                </c:pt>
                <c:pt idx="958">
                  <c:v>41680.645833333336</c:v>
                </c:pt>
                <c:pt idx="959">
                  <c:v>41681.645833333336</c:v>
                </c:pt>
                <c:pt idx="960">
                  <c:v>41682.645833333336</c:v>
                </c:pt>
                <c:pt idx="961">
                  <c:v>41683.645833333336</c:v>
                </c:pt>
                <c:pt idx="962">
                  <c:v>41684.645833333336</c:v>
                </c:pt>
                <c:pt idx="963">
                  <c:v>41687.645833333336</c:v>
                </c:pt>
                <c:pt idx="964">
                  <c:v>41688.645833333336</c:v>
                </c:pt>
                <c:pt idx="965">
                  <c:v>41689.645833333336</c:v>
                </c:pt>
                <c:pt idx="966">
                  <c:v>41690.645833333336</c:v>
                </c:pt>
                <c:pt idx="967">
                  <c:v>41691.645833333336</c:v>
                </c:pt>
                <c:pt idx="968">
                  <c:v>41694.645833333336</c:v>
                </c:pt>
                <c:pt idx="969">
                  <c:v>41695.645833333336</c:v>
                </c:pt>
                <c:pt idx="970">
                  <c:v>41696.645833333336</c:v>
                </c:pt>
                <c:pt idx="971">
                  <c:v>41698.645833333336</c:v>
                </c:pt>
                <c:pt idx="972">
                  <c:v>41701.645833333336</c:v>
                </c:pt>
                <c:pt idx="973">
                  <c:v>41702.645833333336</c:v>
                </c:pt>
                <c:pt idx="974">
                  <c:v>41703.645833333336</c:v>
                </c:pt>
                <c:pt idx="975">
                  <c:v>41704.645833333336</c:v>
                </c:pt>
                <c:pt idx="976">
                  <c:v>41705.645833333336</c:v>
                </c:pt>
                <c:pt idx="977">
                  <c:v>41708.645833333336</c:v>
                </c:pt>
                <c:pt idx="978">
                  <c:v>41709.645833333336</c:v>
                </c:pt>
                <c:pt idx="979">
                  <c:v>41710.645833333336</c:v>
                </c:pt>
                <c:pt idx="980">
                  <c:v>41711.645833333336</c:v>
                </c:pt>
                <c:pt idx="981">
                  <c:v>41712.645833333336</c:v>
                </c:pt>
                <c:pt idx="982">
                  <c:v>41716.645833333336</c:v>
                </c:pt>
                <c:pt idx="983">
                  <c:v>41717.645833333336</c:v>
                </c:pt>
                <c:pt idx="984">
                  <c:v>41718.645833333336</c:v>
                </c:pt>
                <c:pt idx="985">
                  <c:v>41719.645833333336</c:v>
                </c:pt>
                <c:pt idx="986">
                  <c:v>41722.645833333336</c:v>
                </c:pt>
                <c:pt idx="987">
                  <c:v>41723.645833333336</c:v>
                </c:pt>
                <c:pt idx="988">
                  <c:v>41724.645833333336</c:v>
                </c:pt>
                <c:pt idx="989">
                  <c:v>41725.645833333336</c:v>
                </c:pt>
                <c:pt idx="990">
                  <c:v>41726.645833333336</c:v>
                </c:pt>
                <c:pt idx="991">
                  <c:v>41729.645833333336</c:v>
                </c:pt>
                <c:pt idx="992">
                  <c:v>41730.645833333336</c:v>
                </c:pt>
                <c:pt idx="993">
                  <c:v>41731.645833333336</c:v>
                </c:pt>
                <c:pt idx="994">
                  <c:v>41732.645833333336</c:v>
                </c:pt>
                <c:pt idx="995">
                  <c:v>41733.645833333336</c:v>
                </c:pt>
                <c:pt idx="996">
                  <c:v>41736.645833333336</c:v>
                </c:pt>
                <c:pt idx="997">
                  <c:v>41738.645833333336</c:v>
                </c:pt>
                <c:pt idx="998">
                  <c:v>41739.645833333336</c:v>
                </c:pt>
                <c:pt idx="999">
                  <c:v>41740.645833333336</c:v>
                </c:pt>
                <c:pt idx="1000">
                  <c:v>41744.645833333336</c:v>
                </c:pt>
                <c:pt idx="1001">
                  <c:v>41745.645833333336</c:v>
                </c:pt>
                <c:pt idx="1002">
                  <c:v>41746.645833333336</c:v>
                </c:pt>
                <c:pt idx="1003">
                  <c:v>41750.645833333336</c:v>
                </c:pt>
                <c:pt idx="1004">
                  <c:v>41751.645833333336</c:v>
                </c:pt>
                <c:pt idx="1005">
                  <c:v>41752.645833333336</c:v>
                </c:pt>
                <c:pt idx="1006">
                  <c:v>41754.645833333336</c:v>
                </c:pt>
                <c:pt idx="1007">
                  <c:v>41757.645833333336</c:v>
                </c:pt>
                <c:pt idx="1008">
                  <c:v>41758.645833333336</c:v>
                </c:pt>
                <c:pt idx="1009">
                  <c:v>41759.645833333336</c:v>
                </c:pt>
                <c:pt idx="1010">
                  <c:v>41761.645833333336</c:v>
                </c:pt>
                <c:pt idx="1011">
                  <c:v>41764.645833333336</c:v>
                </c:pt>
                <c:pt idx="1012">
                  <c:v>41765.645833333336</c:v>
                </c:pt>
                <c:pt idx="1013">
                  <c:v>41766.645833333336</c:v>
                </c:pt>
                <c:pt idx="1014">
                  <c:v>41767.645833333336</c:v>
                </c:pt>
                <c:pt idx="1015">
                  <c:v>41768.645833333336</c:v>
                </c:pt>
                <c:pt idx="1016">
                  <c:v>41771.645833333336</c:v>
                </c:pt>
                <c:pt idx="1017">
                  <c:v>41772.645833333336</c:v>
                </c:pt>
                <c:pt idx="1018">
                  <c:v>41773.645833333336</c:v>
                </c:pt>
                <c:pt idx="1019">
                  <c:v>41774.645833333336</c:v>
                </c:pt>
                <c:pt idx="1020">
                  <c:v>41775.645833333336</c:v>
                </c:pt>
                <c:pt idx="1021">
                  <c:v>41778.645833333336</c:v>
                </c:pt>
                <c:pt idx="1022">
                  <c:v>41779.645833333336</c:v>
                </c:pt>
                <c:pt idx="1023">
                  <c:v>41780.645833333336</c:v>
                </c:pt>
                <c:pt idx="1024">
                  <c:v>41781.645833333336</c:v>
                </c:pt>
                <c:pt idx="1025">
                  <c:v>41782.645833333336</c:v>
                </c:pt>
                <c:pt idx="1026">
                  <c:v>41785.645833333336</c:v>
                </c:pt>
                <c:pt idx="1027">
                  <c:v>41786.645833333336</c:v>
                </c:pt>
                <c:pt idx="1028">
                  <c:v>41787.645833333336</c:v>
                </c:pt>
                <c:pt idx="1029">
                  <c:v>41788.645833333336</c:v>
                </c:pt>
                <c:pt idx="1030">
                  <c:v>41789.645833333336</c:v>
                </c:pt>
                <c:pt idx="1031">
                  <c:v>41792.645833333336</c:v>
                </c:pt>
                <c:pt idx="1032">
                  <c:v>41793.645833333336</c:v>
                </c:pt>
                <c:pt idx="1033">
                  <c:v>41794.645833333336</c:v>
                </c:pt>
                <c:pt idx="1034">
                  <c:v>41795.645833333336</c:v>
                </c:pt>
                <c:pt idx="1035">
                  <c:v>41796.645833333336</c:v>
                </c:pt>
                <c:pt idx="1036">
                  <c:v>41799.645833333336</c:v>
                </c:pt>
                <c:pt idx="1037">
                  <c:v>41800.645833333336</c:v>
                </c:pt>
                <c:pt idx="1038">
                  <c:v>41801.645833333336</c:v>
                </c:pt>
                <c:pt idx="1039">
                  <c:v>41802.645833333336</c:v>
                </c:pt>
                <c:pt idx="1040">
                  <c:v>41803.645833333336</c:v>
                </c:pt>
                <c:pt idx="1041">
                  <c:v>41806.645833333336</c:v>
                </c:pt>
                <c:pt idx="1042">
                  <c:v>41807.645833333336</c:v>
                </c:pt>
                <c:pt idx="1043">
                  <c:v>41808.645833333336</c:v>
                </c:pt>
                <c:pt idx="1044">
                  <c:v>41809.645833333336</c:v>
                </c:pt>
                <c:pt idx="1045">
                  <c:v>41810.645833333336</c:v>
                </c:pt>
                <c:pt idx="1046">
                  <c:v>41813.645833333336</c:v>
                </c:pt>
                <c:pt idx="1047">
                  <c:v>41814.645833333336</c:v>
                </c:pt>
                <c:pt idx="1048">
                  <c:v>41815.645833333336</c:v>
                </c:pt>
                <c:pt idx="1049">
                  <c:v>41816.645833333336</c:v>
                </c:pt>
                <c:pt idx="1050">
                  <c:v>41817.645833333336</c:v>
                </c:pt>
                <c:pt idx="1051">
                  <c:v>41820.645833333336</c:v>
                </c:pt>
                <c:pt idx="1052">
                  <c:v>41821.645833333336</c:v>
                </c:pt>
                <c:pt idx="1053">
                  <c:v>41822.645833333336</c:v>
                </c:pt>
                <c:pt idx="1054">
                  <c:v>41823.645833333336</c:v>
                </c:pt>
                <c:pt idx="1055">
                  <c:v>41824.645833333336</c:v>
                </c:pt>
                <c:pt idx="1056">
                  <c:v>41827.645833333336</c:v>
                </c:pt>
                <c:pt idx="1057">
                  <c:v>41828.645833333336</c:v>
                </c:pt>
                <c:pt idx="1058">
                  <c:v>41829.645833333336</c:v>
                </c:pt>
                <c:pt idx="1059">
                  <c:v>41830.645833333336</c:v>
                </c:pt>
                <c:pt idx="1060">
                  <c:v>41831.645833333336</c:v>
                </c:pt>
                <c:pt idx="1061">
                  <c:v>41834.645833333336</c:v>
                </c:pt>
                <c:pt idx="1062">
                  <c:v>41835.645833333336</c:v>
                </c:pt>
                <c:pt idx="1063">
                  <c:v>41836.645833333336</c:v>
                </c:pt>
                <c:pt idx="1064">
                  <c:v>41837.645833333336</c:v>
                </c:pt>
                <c:pt idx="1065">
                  <c:v>41838.645833333336</c:v>
                </c:pt>
                <c:pt idx="1066">
                  <c:v>41841.645833333336</c:v>
                </c:pt>
                <c:pt idx="1067">
                  <c:v>41842.645833333336</c:v>
                </c:pt>
                <c:pt idx="1068">
                  <c:v>41843.645833333336</c:v>
                </c:pt>
                <c:pt idx="1069">
                  <c:v>41844.645833333336</c:v>
                </c:pt>
                <c:pt idx="1070">
                  <c:v>41845.645833333336</c:v>
                </c:pt>
                <c:pt idx="1071">
                  <c:v>41848.645833333336</c:v>
                </c:pt>
                <c:pt idx="1072">
                  <c:v>41850.645833333336</c:v>
                </c:pt>
                <c:pt idx="1073">
                  <c:v>41851.645833333336</c:v>
                </c:pt>
                <c:pt idx="1074">
                  <c:v>41852.645833333336</c:v>
                </c:pt>
                <c:pt idx="1075">
                  <c:v>41855.645833333336</c:v>
                </c:pt>
                <c:pt idx="1076">
                  <c:v>41856.645833333336</c:v>
                </c:pt>
                <c:pt idx="1077">
                  <c:v>41857.645833333336</c:v>
                </c:pt>
                <c:pt idx="1078">
                  <c:v>41858.645833333336</c:v>
                </c:pt>
                <c:pt idx="1079">
                  <c:v>41859.645833333336</c:v>
                </c:pt>
                <c:pt idx="1080">
                  <c:v>41862.645833333336</c:v>
                </c:pt>
                <c:pt idx="1081">
                  <c:v>41863.645833333336</c:v>
                </c:pt>
                <c:pt idx="1082">
                  <c:v>41864.645833333336</c:v>
                </c:pt>
                <c:pt idx="1083">
                  <c:v>41865.645833333336</c:v>
                </c:pt>
                <c:pt idx="1084">
                  <c:v>41869.645833333336</c:v>
                </c:pt>
                <c:pt idx="1085">
                  <c:v>41870.645833333336</c:v>
                </c:pt>
                <c:pt idx="1086">
                  <c:v>41871.645833333336</c:v>
                </c:pt>
                <c:pt idx="1087">
                  <c:v>41872.645833333336</c:v>
                </c:pt>
                <c:pt idx="1088">
                  <c:v>41873.645833333336</c:v>
                </c:pt>
                <c:pt idx="1089">
                  <c:v>41876.645833333336</c:v>
                </c:pt>
                <c:pt idx="1090">
                  <c:v>41877.645833333336</c:v>
                </c:pt>
                <c:pt idx="1091">
                  <c:v>41878.645833333336</c:v>
                </c:pt>
                <c:pt idx="1092">
                  <c:v>41879.645833333336</c:v>
                </c:pt>
                <c:pt idx="1093">
                  <c:v>41883.645833333336</c:v>
                </c:pt>
                <c:pt idx="1094">
                  <c:v>41884.645833333336</c:v>
                </c:pt>
                <c:pt idx="1095">
                  <c:v>41885.645833333336</c:v>
                </c:pt>
                <c:pt idx="1096">
                  <c:v>41886.645833333336</c:v>
                </c:pt>
                <c:pt idx="1097">
                  <c:v>41887.645833333336</c:v>
                </c:pt>
                <c:pt idx="1098">
                  <c:v>41890.645833333336</c:v>
                </c:pt>
                <c:pt idx="1099">
                  <c:v>41891.645833333336</c:v>
                </c:pt>
                <c:pt idx="1100">
                  <c:v>41892.645833333336</c:v>
                </c:pt>
                <c:pt idx="1101">
                  <c:v>41893.645833333336</c:v>
                </c:pt>
                <c:pt idx="1102">
                  <c:v>41894.645833333336</c:v>
                </c:pt>
                <c:pt idx="1103">
                  <c:v>41897.645833333336</c:v>
                </c:pt>
                <c:pt idx="1104">
                  <c:v>41898.645833333336</c:v>
                </c:pt>
                <c:pt idx="1105">
                  <c:v>41899.645833333336</c:v>
                </c:pt>
                <c:pt idx="1106">
                  <c:v>41900.645833333336</c:v>
                </c:pt>
                <c:pt idx="1107">
                  <c:v>41901.645833333336</c:v>
                </c:pt>
                <c:pt idx="1108">
                  <c:v>41904.645833333336</c:v>
                </c:pt>
                <c:pt idx="1109">
                  <c:v>41905.645833333336</c:v>
                </c:pt>
                <c:pt idx="1110">
                  <c:v>41906.645833333336</c:v>
                </c:pt>
                <c:pt idx="1111">
                  <c:v>41907.645833333336</c:v>
                </c:pt>
                <c:pt idx="1112">
                  <c:v>41908.645833333336</c:v>
                </c:pt>
                <c:pt idx="1113">
                  <c:v>41911.645833333336</c:v>
                </c:pt>
                <c:pt idx="1114">
                  <c:v>41912.645833333336</c:v>
                </c:pt>
                <c:pt idx="1115">
                  <c:v>41913.645833333336</c:v>
                </c:pt>
                <c:pt idx="1116">
                  <c:v>41919.645833333336</c:v>
                </c:pt>
                <c:pt idx="1117">
                  <c:v>41920.645833333336</c:v>
                </c:pt>
                <c:pt idx="1118">
                  <c:v>41921.645833333336</c:v>
                </c:pt>
                <c:pt idx="1119">
                  <c:v>41922.645833333336</c:v>
                </c:pt>
                <c:pt idx="1120">
                  <c:v>41925.645833333336</c:v>
                </c:pt>
                <c:pt idx="1121">
                  <c:v>41926.645833333336</c:v>
                </c:pt>
                <c:pt idx="1122">
                  <c:v>41928.645833333336</c:v>
                </c:pt>
                <c:pt idx="1123">
                  <c:v>41929.645833333336</c:v>
                </c:pt>
                <c:pt idx="1124">
                  <c:v>41932.645833333336</c:v>
                </c:pt>
                <c:pt idx="1125">
                  <c:v>41933.645833333336</c:v>
                </c:pt>
                <c:pt idx="1126">
                  <c:v>41934.645833333336</c:v>
                </c:pt>
                <c:pt idx="1127">
                  <c:v>41935.645833333336</c:v>
                </c:pt>
                <c:pt idx="1128">
                  <c:v>41939.645833333336</c:v>
                </c:pt>
                <c:pt idx="1129">
                  <c:v>41940.645833333336</c:v>
                </c:pt>
                <c:pt idx="1130">
                  <c:v>41941.645833333336</c:v>
                </c:pt>
                <c:pt idx="1131">
                  <c:v>41942.645833333336</c:v>
                </c:pt>
                <c:pt idx="1132">
                  <c:v>41943.645833333336</c:v>
                </c:pt>
                <c:pt idx="1133">
                  <c:v>41946.645833333336</c:v>
                </c:pt>
                <c:pt idx="1134">
                  <c:v>41948.645833333336</c:v>
                </c:pt>
                <c:pt idx="1135">
                  <c:v>41950.645833333336</c:v>
                </c:pt>
                <c:pt idx="1136">
                  <c:v>41953.645833333336</c:v>
                </c:pt>
                <c:pt idx="1137">
                  <c:v>41954.645833333336</c:v>
                </c:pt>
                <c:pt idx="1138">
                  <c:v>41955.645833333336</c:v>
                </c:pt>
                <c:pt idx="1139">
                  <c:v>41956.645833333336</c:v>
                </c:pt>
                <c:pt idx="1140">
                  <c:v>41957.645833333336</c:v>
                </c:pt>
                <c:pt idx="1141">
                  <c:v>41960.645833333336</c:v>
                </c:pt>
                <c:pt idx="1142">
                  <c:v>41961.645833333336</c:v>
                </c:pt>
                <c:pt idx="1143">
                  <c:v>41962.645833333336</c:v>
                </c:pt>
                <c:pt idx="1144">
                  <c:v>41963.645833333336</c:v>
                </c:pt>
                <c:pt idx="1145">
                  <c:v>41964.645833333336</c:v>
                </c:pt>
                <c:pt idx="1146">
                  <c:v>41967.645833333336</c:v>
                </c:pt>
                <c:pt idx="1147">
                  <c:v>41968.645833333336</c:v>
                </c:pt>
                <c:pt idx="1148">
                  <c:v>41969.645833333336</c:v>
                </c:pt>
                <c:pt idx="1149">
                  <c:v>41970.645833333336</c:v>
                </c:pt>
                <c:pt idx="1150">
                  <c:v>41971.645833333336</c:v>
                </c:pt>
                <c:pt idx="1151">
                  <c:v>41974.645833333336</c:v>
                </c:pt>
                <c:pt idx="1152">
                  <c:v>41975.645833333336</c:v>
                </c:pt>
                <c:pt idx="1153">
                  <c:v>41976.645833333336</c:v>
                </c:pt>
                <c:pt idx="1154">
                  <c:v>41977.645833333336</c:v>
                </c:pt>
                <c:pt idx="1155">
                  <c:v>41978.645833333336</c:v>
                </c:pt>
                <c:pt idx="1156">
                  <c:v>41981.645833333336</c:v>
                </c:pt>
                <c:pt idx="1157">
                  <c:v>41982.645833333336</c:v>
                </c:pt>
                <c:pt idx="1158">
                  <c:v>41983.645833333336</c:v>
                </c:pt>
                <c:pt idx="1159">
                  <c:v>41984.645833333336</c:v>
                </c:pt>
                <c:pt idx="1160">
                  <c:v>41985.645833333336</c:v>
                </c:pt>
                <c:pt idx="1161">
                  <c:v>41988.645833333336</c:v>
                </c:pt>
                <c:pt idx="1162">
                  <c:v>41989.645833333336</c:v>
                </c:pt>
                <c:pt idx="1163">
                  <c:v>41990.645833333336</c:v>
                </c:pt>
                <c:pt idx="1164">
                  <c:v>41991.645833333336</c:v>
                </c:pt>
                <c:pt idx="1165">
                  <c:v>41992.645833333336</c:v>
                </c:pt>
                <c:pt idx="1166">
                  <c:v>41995.645833333336</c:v>
                </c:pt>
                <c:pt idx="1167">
                  <c:v>41996.645833333336</c:v>
                </c:pt>
                <c:pt idx="1168">
                  <c:v>41997.645833333336</c:v>
                </c:pt>
                <c:pt idx="1169">
                  <c:v>41999.645833333336</c:v>
                </c:pt>
                <c:pt idx="1170">
                  <c:v>42002.645833333336</c:v>
                </c:pt>
                <c:pt idx="1171">
                  <c:v>42003.645833333336</c:v>
                </c:pt>
                <c:pt idx="1172">
                  <c:v>42004.645833333336</c:v>
                </c:pt>
                <c:pt idx="1173">
                  <c:v>42005.645833333336</c:v>
                </c:pt>
                <c:pt idx="1174">
                  <c:v>42006.645833333336</c:v>
                </c:pt>
                <c:pt idx="1175">
                  <c:v>42009.645833333336</c:v>
                </c:pt>
                <c:pt idx="1176">
                  <c:v>42010.645833333336</c:v>
                </c:pt>
                <c:pt idx="1177">
                  <c:v>42011.645833333336</c:v>
                </c:pt>
                <c:pt idx="1178">
                  <c:v>42012.645833333336</c:v>
                </c:pt>
                <c:pt idx="1179">
                  <c:v>42013.645833333336</c:v>
                </c:pt>
                <c:pt idx="1180">
                  <c:v>42016.645833333336</c:v>
                </c:pt>
                <c:pt idx="1181">
                  <c:v>42017.645833333336</c:v>
                </c:pt>
                <c:pt idx="1182">
                  <c:v>42018.645833333336</c:v>
                </c:pt>
                <c:pt idx="1183">
                  <c:v>42019.645833333336</c:v>
                </c:pt>
                <c:pt idx="1184">
                  <c:v>42020.645833333336</c:v>
                </c:pt>
                <c:pt idx="1185">
                  <c:v>42023.645833333336</c:v>
                </c:pt>
                <c:pt idx="1186">
                  <c:v>42024.645833333336</c:v>
                </c:pt>
                <c:pt idx="1187">
                  <c:v>42025.645833333336</c:v>
                </c:pt>
                <c:pt idx="1188">
                  <c:v>42026.645833333336</c:v>
                </c:pt>
                <c:pt idx="1189">
                  <c:v>42027.645833333336</c:v>
                </c:pt>
                <c:pt idx="1190">
                  <c:v>42031.645833333336</c:v>
                </c:pt>
                <c:pt idx="1191">
                  <c:v>42032.645833333336</c:v>
                </c:pt>
                <c:pt idx="1192">
                  <c:v>42033.645833333336</c:v>
                </c:pt>
                <c:pt idx="1193">
                  <c:v>42034.645833333336</c:v>
                </c:pt>
                <c:pt idx="1194">
                  <c:v>42037.645833333336</c:v>
                </c:pt>
                <c:pt idx="1195">
                  <c:v>42038.645833333336</c:v>
                </c:pt>
                <c:pt idx="1196">
                  <c:v>42039.645833333336</c:v>
                </c:pt>
                <c:pt idx="1197">
                  <c:v>42040.645833333336</c:v>
                </c:pt>
                <c:pt idx="1198">
                  <c:v>42041.645833333336</c:v>
                </c:pt>
                <c:pt idx="1199">
                  <c:v>42044.645833333336</c:v>
                </c:pt>
                <c:pt idx="1200">
                  <c:v>42045.645833333336</c:v>
                </c:pt>
                <c:pt idx="1201">
                  <c:v>42046.645833333336</c:v>
                </c:pt>
                <c:pt idx="1202">
                  <c:v>42047.645833333336</c:v>
                </c:pt>
                <c:pt idx="1203">
                  <c:v>42048.645833333336</c:v>
                </c:pt>
                <c:pt idx="1204">
                  <c:v>42051.645833333336</c:v>
                </c:pt>
                <c:pt idx="1205">
                  <c:v>42053.645833333336</c:v>
                </c:pt>
                <c:pt idx="1206">
                  <c:v>42054.645833333336</c:v>
                </c:pt>
                <c:pt idx="1207">
                  <c:v>42055.645833333336</c:v>
                </c:pt>
                <c:pt idx="1208">
                  <c:v>42058.645833333336</c:v>
                </c:pt>
                <c:pt idx="1209">
                  <c:v>42059.645833333336</c:v>
                </c:pt>
                <c:pt idx="1210">
                  <c:v>42060.645833333336</c:v>
                </c:pt>
                <c:pt idx="1211">
                  <c:v>42061.645833333336</c:v>
                </c:pt>
                <c:pt idx="1212">
                  <c:v>42062.645833333336</c:v>
                </c:pt>
                <c:pt idx="1213">
                  <c:v>42065.645833333336</c:v>
                </c:pt>
                <c:pt idx="1214">
                  <c:v>42066.645833333336</c:v>
                </c:pt>
                <c:pt idx="1215">
                  <c:v>42067.645833333336</c:v>
                </c:pt>
                <c:pt idx="1216">
                  <c:v>42068.645833333336</c:v>
                </c:pt>
                <c:pt idx="1217">
                  <c:v>42072.645833333336</c:v>
                </c:pt>
                <c:pt idx="1218">
                  <c:v>42073.645833333336</c:v>
                </c:pt>
                <c:pt idx="1219">
                  <c:v>42074.645833333336</c:v>
                </c:pt>
                <c:pt idx="1220">
                  <c:v>42075.645833333336</c:v>
                </c:pt>
                <c:pt idx="1221">
                  <c:v>42076.645833333336</c:v>
                </c:pt>
                <c:pt idx="1222">
                  <c:v>42079.645833333336</c:v>
                </c:pt>
                <c:pt idx="1223">
                  <c:v>42080.645833333336</c:v>
                </c:pt>
                <c:pt idx="1224">
                  <c:v>42081.645833333336</c:v>
                </c:pt>
                <c:pt idx="1225">
                  <c:v>42082.645833333336</c:v>
                </c:pt>
                <c:pt idx="1226">
                  <c:v>42083.645833333336</c:v>
                </c:pt>
                <c:pt idx="1227">
                  <c:v>42086.645833333336</c:v>
                </c:pt>
                <c:pt idx="1228">
                  <c:v>42087.645833333336</c:v>
                </c:pt>
                <c:pt idx="1229">
                  <c:v>42088.645833333336</c:v>
                </c:pt>
                <c:pt idx="1230">
                  <c:v>42089.645833333336</c:v>
                </c:pt>
                <c:pt idx="1231">
                  <c:v>42090.645833333336</c:v>
                </c:pt>
                <c:pt idx="1232">
                  <c:v>42093.645833333336</c:v>
                </c:pt>
                <c:pt idx="1233">
                  <c:v>42094.645833333336</c:v>
                </c:pt>
                <c:pt idx="1234">
                  <c:v>42095.645833333336</c:v>
                </c:pt>
                <c:pt idx="1235">
                  <c:v>42100.645833333336</c:v>
                </c:pt>
                <c:pt idx="1236">
                  <c:v>42101.645833333336</c:v>
                </c:pt>
                <c:pt idx="1237">
                  <c:v>42102.645833333336</c:v>
                </c:pt>
                <c:pt idx="1238">
                  <c:v>42103.645833333336</c:v>
                </c:pt>
                <c:pt idx="1239">
                  <c:v>42104.645833333336</c:v>
                </c:pt>
                <c:pt idx="1240">
                  <c:v>42107.645833333336</c:v>
                </c:pt>
                <c:pt idx="1241">
                  <c:v>42109.645833333336</c:v>
                </c:pt>
                <c:pt idx="1242">
                  <c:v>42110.645833333336</c:v>
                </c:pt>
                <c:pt idx="1243">
                  <c:v>42111.645833333336</c:v>
                </c:pt>
                <c:pt idx="1244">
                  <c:v>42114.645833333336</c:v>
                </c:pt>
                <c:pt idx="1245">
                  <c:v>42115.645833333336</c:v>
                </c:pt>
                <c:pt idx="1246">
                  <c:v>42116.645833333336</c:v>
                </c:pt>
                <c:pt idx="1247">
                  <c:v>42117.645833333336</c:v>
                </c:pt>
                <c:pt idx="1248">
                  <c:v>42118.645833333336</c:v>
                </c:pt>
                <c:pt idx="1249">
                  <c:v>42121.645833333336</c:v>
                </c:pt>
                <c:pt idx="1250">
                  <c:v>42122.645833333336</c:v>
                </c:pt>
                <c:pt idx="1251">
                  <c:v>42123.645833333336</c:v>
                </c:pt>
                <c:pt idx="1252">
                  <c:v>42124.645833333336</c:v>
                </c:pt>
                <c:pt idx="1253">
                  <c:v>42128.645833333336</c:v>
                </c:pt>
                <c:pt idx="1254">
                  <c:v>42129.645833333336</c:v>
                </c:pt>
                <c:pt idx="1255">
                  <c:v>42130.645833333336</c:v>
                </c:pt>
                <c:pt idx="1256">
                  <c:v>42131.645833333336</c:v>
                </c:pt>
                <c:pt idx="1257">
                  <c:v>42132.645833333336</c:v>
                </c:pt>
                <c:pt idx="1258">
                  <c:v>42135.645833333336</c:v>
                </c:pt>
                <c:pt idx="1259">
                  <c:v>42136.645833333336</c:v>
                </c:pt>
                <c:pt idx="1260">
                  <c:v>42137.645833333336</c:v>
                </c:pt>
                <c:pt idx="1261">
                  <c:v>42138.645833333336</c:v>
                </c:pt>
                <c:pt idx="1262">
                  <c:v>42139.645833333336</c:v>
                </c:pt>
                <c:pt idx="1263">
                  <c:v>42142.645833333336</c:v>
                </c:pt>
                <c:pt idx="1264">
                  <c:v>42143.645833333336</c:v>
                </c:pt>
                <c:pt idx="1265">
                  <c:v>42144.645833333336</c:v>
                </c:pt>
                <c:pt idx="1266">
                  <c:v>42145.645833333336</c:v>
                </c:pt>
                <c:pt idx="1267">
                  <c:v>42146.645833333336</c:v>
                </c:pt>
                <c:pt idx="1268">
                  <c:v>42149.645833333336</c:v>
                </c:pt>
                <c:pt idx="1269">
                  <c:v>42150.645833333336</c:v>
                </c:pt>
                <c:pt idx="1270">
                  <c:v>42151.645833333336</c:v>
                </c:pt>
                <c:pt idx="1271">
                  <c:v>42152.645833333336</c:v>
                </c:pt>
                <c:pt idx="1272">
                  <c:v>42153.645833333336</c:v>
                </c:pt>
                <c:pt idx="1273">
                  <c:v>42156.645833333336</c:v>
                </c:pt>
                <c:pt idx="1274">
                  <c:v>42157.645833333336</c:v>
                </c:pt>
                <c:pt idx="1275">
                  <c:v>42158.645833333336</c:v>
                </c:pt>
                <c:pt idx="1276">
                  <c:v>42159.645833333336</c:v>
                </c:pt>
                <c:pt idx="1277">
                  <c:v>42160.645833333336</c:v>
                </c:pt>
                <c:pt idx="1278">
                  <c:v>42163.645833333336</c:v>
                </c:pt>
                <c:pt idx="1279">
                  <c:v>42164.645833333336</c:v>
                </c:pt>
                <c:pt idx="1280">
                  <c:v>42165.645833333336</c:v>
                </c:pt>
                <c:pt idx="1281">
                  <c:v>42166.645833333336</c:v>
                </c:pt>
                <c:pt idx="1282">
                  <c:v>42167.645833333336</c:v>
                </c:pt>
                <c:pt idx="1283">
                  <c:v>42170.645833333336</c:v>
                </c:pt>
                <c:pt idx="1284">
                  <c:v>42171.645833333336</c:v>
                </c:pt>
                <c:pt idx="1285">
                  <c:v>42172.645833333336</c:v>
                </c:pt>
                <c:pt idx="1286">
                  <c:v>42173.645833333336</c:v>
                </c:pt>
                <c:pt idx="1287">
                  <c:v>42174.645833333336</c:v>
                </c:pt>
                <c:pt idx="1288">
                  <c:v>42177.645833333336</c:v>
                </c:pt>
                <c:pt idx="1289">
                  <c:v>42178.645833333336</c:v>
                </c:pt>
                <c:pt idx="1290">
                  <c:v>42179.645833333336</c:v>
                </c:pt>
                <c:pt idx="1291">
                  <c:v>42180.645833333336</c:v>
                </c:pt>
                <c:pt idx="1292">
                  <c:v>42181.645833333336</c:v>
                </c:pt>
                <c:pt idx="1293">
                  <c:v>42184.645833333336</c:v>
                </c:pt>
                <c:pt idx="1294">
                  <c:v>42185.645833333336</c:v>
                </c:pt>
                <c:pt idx="1295">
                  <c:v>42186.645833333336</c:v>
                </c:pt>
                <c:pt idx="1296">
                  <c:v>42187.645833333336</c:v>
                </c:pt>
                <c:pt idx="1297">
                  <c:v>42188.645833333336</c:v>
                </c:pt>
                <c:pt idx="1298">
                  <c:v>42191.645833333336</c:v>
                </c:pt>
                <c:pt idx="1299">
                  <c:v>42192.645833333336</c:v>
                </c:pt>
                <c:pt idx="1300">
                  <c:v>42193.645833333336</c:v>
                </c:pt>
                <c:pt idx="1301">
                  <c:v>42194.645833333336</c:v>
                </c:pt>
                <c:pt idx="1302">
                  <c:v>42195.645833333336</c:v>
                </c:pt>
                <c:pt idx="1303">
                  <c:v>42198.645833333336</c:v>
                </c:pt>
                <c:pt idx="1304">
                  <c:v>42199.645833333336</c:v>
                </c:pt>
                <c:pt idx="1305">
                  <c:v>42200.645833333336</c:v>
                </c:pt>
                <c:pt idx="1306">
                  <c:v>42201.645833333336</c:v>
                </c:pt>
                <c:pt idx="1307">
                  <c:v>42202.645833333336</c:v>
                </c:pt>
                <c:pt idx="1308">
                  <c:v>42205.645833333336</c:v>
                </c:pt>
                <c:pt idx="1309">
                  <c:v>42206.645833333336</c:v>
                </c:pt>
                <c:pt idx="1310">
                  <c:v>42207.645833333336</c:v>
                </c:pt>
                <c:pt idx="1311">
                  <c:v>42208.645833333336</c:v>
                </c:pt>
                <c:pt idx="1312">
                  <c:v>42209.645833333336</c:v>
                </c:pt>
                <c:pt idx="1313">
                  <c:v>42212.645833333336</c:v>
                </c:pt>
                <c:pt idx="1314">
                  <c:v>42213.645833333336</c:v>
                </c:pt>
                <c:pt idx="1315">
                  <c:v>42214.645833333336</c:v>
                </c:pt>
                <c:pt idx="1316">
                  <c:v>42215.645833333336</c:v>
                </c:pt>
                <c:pt idx="1317">
                  <c:v>42216.645833333336</c:v>
                </c:pt>
                <c:pt idx="1318">
                  <c:v>42219.645833333336</c:v>
                </c:pt>
                <c:pt idx="1319">
                  <c:v>42220.645833333336</c:v>
                </c:pt>
                <c:pt idx="1320">
                  <c:v>42221.645833333336</c:v>
                </c:pt>
                <c:pt idx="1321">
                  <c:v>42222.645833333336</c:v>
                </c:pt>
                <c:pt idx="1322">
                  <c:v>42223.645833333336</c:v>
                </c:pt>
                <c:pt idx="1323">
                  <c:v>42226.645833333336</c:v>
                </c:pt>
                <c:pt idx="1324">
                  <c:v>42227.645833333336</c:v>
                </c:pt>
                <c:pt idx="1325">
                  <c:v>42228.645833333336</c:v>
                </c:pt>
                <c:pt idx="1326">
                  <c:v>42229.645833333336</c:v>
                </c:pt>
                <c:pt idx="1327">
                  <c:v>42230.645833333336</c:v>
                </c:pt>
                <c:pt idx="1328">
                  <c:v>42233.645833333336</c:v>
                </c:pt>
                <c:pt idx="1329">
                  <c:v>42234.645833333336</c:v>
                </c:pt>
                <c:pt idx="1330">
                  <c:v>42235.645833333336</c:v>
                </c:pt>
                <c:pt idx="1331">
                  <c:v>42236.645833333336</c:v>
                </c:pt>
                <c:pt idx="1332">
                  <c:v>42237.645833333336</c:v>
                </c:pt>
                <c:pt idx="1333">
                  <c:v>42240.645833333336</c:v>
                </c:pt>
                <c:pt idx="1334">
                  <c:v>42241.645833333336</c:v>
                </c:pt>
                <c:pt idx="1335">
                  <c:v>42242.645833333336</c:v>
                </c:pt>
                <c:pt idx="1336">
                  <c:v>42243.645833333336</c:v>
                </c:pt>
                <c:pt idx="1337">
                  <c:v>42244.645833333336</c:v>
                </c:pt>
                <c:pt idx="1338">
                  <c:v>42247.645833333336</c:v>
                </c:pt>
                <c:pt idx="1339">
                  <c:v>42248.645833333336</c:v>
                </c:pt>
                <c:pt idx="1340">
                  <c:v>42249.645833333336</c:v>
                </c:pt>
                <c:pt idx="1341">
                  <c:v>42250.645833333336</c:v>
                </c:pt>
                <c:pt idx="1342">
                  <c:v>42251.645833333336</c:v>
                </c:pt>
                <c:pt idx="1343">
                  <c:v>42254.645833333336</c:v>
                </c:pt>
                <c:pt idx="1344">
                  <c:v>42255.645833333336</c:v>
                </c:pt>
                <c:pt idx="1345">
                  <c:v>42256.645833333336</c:v>
                </c:pt>
                <c:pt idx="1346">
                  <c:v>42257.645833333336</c:v>
                </c:pt>
                <c:pt idx="1347">
                  <c:v>42258.645833333336</c:v>
                </c:pt>
                <c:pt idx="1348">
                  <c:v>42261.645833333336</c:v>
                </c:pt>
                <c:pt idx="1349">
                  <c:v>42262.645833333336</c:v>
                </c:pt>
                <c:pt idx="1350">
                  <c:v>42263.645833333336</c:v>
                </c:pt>
                <c:pt idx="1351">
                  <c:v>42265.645833333336</c:v>
                </c:pt>
                <c:pt idx="1352">
                  <c:v>42268.645833333336</c:v>
                </c:pt>
                <c:pt idx="1353">
                  <c:v>42269.645833333336</c:v>
                </c:pt>
                <c:pt idx="1354">
                  <c:v>42270.645833333336</c:v>
                </c:pt>
                <c:pt idx="1355">
                  <c:v>42271.645833333336</c:v>
                </c:pt>
                <c:pt idx="1356">
                  <c:v>42275.645833333336</c:v>
                </c:pt>
                <c:pt idx="1357">
                  <c:v>42276.645833333336</c:v>
                </c:pt>
                <c:pt idx="1358">
                  <c:v>42277.645833333336</c:v>
                </c:pt>
                <c:pt idx="1359">
                  <c:v>42278.645833333336</c:v>
                </c:pt>
                <c:pt idx="1360">
                  <c:v>42282.645833333336</c:v>
                </c:pt>
                <c:pt idx="1361">
                  <c:v>42283.645833333336</c:v>
                </c:pt>
                <c:pt idx="1362">
                  <c:v>42284.645833333336</c:v>
                </c:pt>
                <c:pt idx="1363">
                  <c:v>42285.645833333336</c:v>
                </c:pt>
                <c:pt idx="1364">
                  <c:v>42286.645833333336</c:v>
                </c:pt>
                <c:pt idx="1365">
                  <c:v>42289.645833333336</c:v>
                </c:pt>
                <c:pt idx="1366">
                  <c:v>42290.645833333336</c:v>
                </c:pt>
                <c:pt idx="1367">
                  <c:v>42291.645833333336</c:v>
                </c:pt>
                <c:pt idx="1368">
                  <c:v>42292.645833333336</c:v>
                </c:pt>
                <c:pt idx="1369">
                  <c:v>42293.645833333336</c:v>
                </c:pt>
                <c:pt idx="1370">
                  <c:v>42296.645833333336</c:v>
                </c:pt>
                <c:pt idx="1371">
                  <c:v>42297.645833333336</c:v>
                </c:pt>
                <c:pt idx="1372">
                  <c:v>42298.645833333336</c:v>
                </c:pt>
                <c:pt idx="1373">
                  <c:v>42300.645833333336</c:v>
                </c:pt>
                <c:pt idx="1374">
                  <c:v>42303.645833333336</c:v>
                </c:pt>
                <c:pt idx="1375">
                  <c:v>42304.645833333336</c:v>
                </c:pt>
                <c:pt idx="1376">
                  <c:v>42305.645833333336</c:v>
                </c:pt>
                <c:pt idx="1377">
                  <c:v>42306.645833333336</c:v>
                </c:pt>
                <c:pt idx="1378">
                  <c:v>42307.645833333336</c:v>
                </c:pt>
                <c:pt idx="1379">
                  <c:v>42310.645833333336</c:v>
                </c:pt>
                <c:pt idx="1380">
                  <c:v>42311.645833333336</c:v>
                </c:pt>
                <c:pt idx="1381">
                  <c:v>42312.645833333336</c:v>
                </c:pt>
                <c:pt idx="1382">
                  <c:v>42313.645833333336</c:v>
                </c:pt>
                <c:pt idx="1383">
                  <c:v>42314.645833333336</c:v>
                </c:pt>
                <c:pt idx="1384">
                  <c:v>42317.645833333336</c:v>
                </c:pt>
                <c:pt idx="1385">
                  <c:v>42318.645833333336</c:v>
                </c:pt>
                <c:pt idx="1386">
                  <c:v>42319.645833333336</c:v>
                </c:pt>
                <c:pt idx="1387">
                  <c:v>42321.645833333336</c:v>
                </c:pt>
                <c:pt idx="1388">
                  <c:v>42324.645833333336</c:v>
                </c:pt>
                <c:pt idx="1389">
                  <c:v>42325.645833333336</c:v>
                </c:pt>
                <c:pt idx="1390">
                  <c:v>42326.645833333336</c:v>
                </c:pt>
                <c:pt idx="1391">
                  <c:v>42327.645833333336</c:v>
                </c:pt>
                <c:pt idx="1392">
                  <c:v>42328.645833333336</c:v>
                </c:pt>
                <c:pt idx="1393">
                  <c:v>42331.645833333336</c:v>
                </c:pt>
                <c:pt idx="1394">
                  <c:v>42332.645833333336</c:v>
                </c:pt>
                <c:pt idx="1395">
                  <c:v>42334.645833333336</c:v>
                </c:pt>
                <c:pt idx="1396">
                  <c:v>42335.645833333336</c:v>
                </c:pt>
                <c:pt idx="1397">
                  <c:v>42338.645833333336</c:v>
                </c:pt>
                <c:pt idx="1398">
                  <c:v>42339.645833333336</c:v>
                </c:pt>
                <c:pt idx="1399">
                  <c:v>42340.645833333336</c:v>
                </c:pt>
                <c:pt idx="1400">
                  <c:v>42341.645833333336</c:v>
                </c:pt>
                <c:pt idx="1401">
                  <c:v>42342.645833333336</c:v>
                </c:pt>
                <c:pt idx="1402">
                  <c:v>42345.645833333336</c:v>
                </c:pt>
                <c:pt idx="1403">
                  <c:v>42346.645833333336</c:v>
                </c:pt>
                <c:pt idx="1404">
                  <c:v>42347.645833333336</c:v>
                </c:pt>
                <c:pt idx="1405">
                  <c:v>42348.645833333336</c:v>
                </c:pt>
                <c:pt idx="1406">
                  <c:v>42349.645833333336</c:v>
                </c:pt>
                <c:pt idx="1407">
                  <c:v>42352.645833333336</c:v>
                </c:pt>
                <c:pt idx="1408">
                  <c:v>42353.645833333336</c:v>
                </c:pt>
                <c:pt idx="1409">
                  <c:v>42354.645833333336</c:v>
                </c:pt>
                <c:pt idx="1410">
                  <c:v>42355.645833333336</c:v>
                </c:pt>
                <c:pt idx="1411">
                  <c:v>42356.645833333336</c:v>
                </c:pt>
                <c:pt idx="1412">
                  <c:v>42359.645833333336</c:v>
                </c:pt>
                <c:pt idx="1413">
                  <c:v>42360.645833333336</c:v>
                </c:pt>
                <c:pt idx="1414">
                  <c:v>42361.645833333336</c:v>
                </c:pt>
                <c:pt idx="1415">
                  <c:v>42362.645833333336</c:v>
                </c:pt>
                <c:pt idx="1416">
                  <c:v>42366.645833333336</c:v>
                </c:pt>
                <c:pt idx="1417">
                  <c:v>42367.645833333336</c:v>
                </c:pt>
                <c:pt idx="1418">
                  <c:v>42368.645833333336</c:v>
                </c:pt>
                <c:pt idx="1419">
                  <c:v>42369.645833333336</c:v>
                </c:pt>
                <c:pt idx="1420">
                  <c:v>42370.645833333336</c:v>
                </c:pt>
                <c:pt idx="1421">
                  <c:v>42373.645833333336</c:v>
                </c:pt>
                <c:pt idx="1422">
                  <c:v>42374.645833333336</c:v>
                </c:pt>
                <c:pt idx="1423">
                  <c:v>42375.645833333336</c:v>
                </c:pt>
                <c:pt idx="1424">
                  <c:v>42376.645833333336</c:v>
                </c:pt>
                <c:pt idx="1425">
                  <c:v>42377.645833333336</c:v>
                </c:pt>
                <c:pt idx="1426">
                  <c:v>42380.645833333336</c:v>
                </c:pt>
                <c:pt idx="1427">
                  <c:v>42381.645833333336</c:v>
                </c:pt>
                <c:pt idx="1428">
                  <c:v>42382.645833333336</c:v>
                </c:pt>
                <c:pt idx="1429">
                  <c:v>42383.645833333336</c:v>
                </c:pt>
                <c:pt idx="1430">
                  <c:v>42384.645833333336</c:v>
                </c:pt>
                <c:pt idx="1431">
                  <c:v>42387.645833333336</c:v>
                </c:pt>
                <c:pt idx="1432">
                  <c:v>42388.645833333336</c:v>
                </c:pt>
                <c:pt idx="1433">
                  <c:v>42389.645833333336</c:v>
                </c:pt>
                <c:pt idx="1434">
                  <c:v>42390.645833333336</c:v>
                </c:pt>
                <c:pt idx="1435">
                  <c:v>42391.645833333336</c:v>
                </c:pt>
                <c:pt idx="1436">
                  <c:v>42394.645833333336</c:v>
                </c:pt>
                <c:pt idx="1437">
                  <c:v>42396.645833333336</c:v>
                </c:pt>
                <c:pt idx="1438">
                  <c:v>42397.645833333336</c:v>
                </c:pt>
                <c:pt idx="1439">
                  <c:v>42398.645833333336</c:v>
                </c:pt>
                <c:pt idx="1440">
                  <c:v>42401.645833333336</c:v>
                </c:pt>
                <c:pt idx="1441">
                  <c:v>42402.645833333336</c:v>
                </c:pt>
                <c:pt idx="1442">
                  <c:v>42403.645833333336</c:v>
                </c:pt>
                <c:pt idx="1443">
                  <c:v>42404.645833333336</c:v>
                </c:pt>
                <c:pt idx="1444">
                  <c:v>42405.645833333336</c:v>
                </c:pt>
                <c:pt idx="1445">
                  <c:v>42408.645833333336</c:v>
                </c:pt>
                <c:pt idx="1446">
                  <c:v>42409.645833333336</c:v>
                </c:pt>
                <c:pt idx="1447">
                  <c:v>42410.645833333336</c:v>
                </c:pt>
                <c:pt idx="1448">
                  <c:v>42411.645833333336</c:v>
                </c:pt>
                <c:pt idx="1449">
                  <c:v>42412.645833333336</c:v>
                </c:pt>
                <c:pt idx="1450">
                  <c:v>42415.645833333336</c:v>
                </c:pt>
                <c:pt idx="1451">
                  <c:v>42416.645833333336</c:v>
                </c:pt>
                <c:pt idx="1452">
                  <c:v>42417.645833333336</c:v>
                </c:pt>
                <c:pt idx="1453">
                  <c:v>42418.645833333336</c:v>
                </c:pt>
                <c:pt idx="1454">
                  <c:v>42419.645833333336</c:v>
                </c:pt>
                <c:pt idx="1455">
                  <c:v>42422.645833333336</c:v>
                </c:pt>
                <c:pt idx="1456">
                  <c:v>42423.645833333336</c:v>
                </c:pt>
                <c:pt idx="1457">
                  <c:v>42424.645833333336</c:v>
                </c:pt>
                <c:pt idx="1458">
                  <c:v>42425.645833333336</c:v>
                </c:pt>
                <c:pt idx="1459">
                  <c:v>42426.645833333336</c:v>
                </c:pt>
                <c:pt idx="1460">
                  <c:v>42429.645833333336</c:v>
                </c:pt>
                <c:pt idx="1461">
                  <c:v>42430.645833333336</c:v>
                </c:pt>
                <c:pt idx="1462">
                  <c:v>42431.645833333336</c:v>
                </c:pt>
                <c:pt idx="1463">
                  <c:v>42432.645833333336</c:v>
                </c:pt>
                <c:pt idx="1464">
                  <c:v>42433.645833333336</c:v>
                </c:pt>
                <c:pt idx="1465">
                  <c:v>42437.645833333336</c:v>
                </c:pt>
                <c:pt idx="1466">
                  <c:v>42438.645833333336</c:v>
                </c:pt>
                <c:pt idx="1467">
                  <c:v>42439.645833333336</c:v>
                </c:pt>
                <c:pt idx="1468">
                  <c:v>42440.645833333336</c:v>
                </c:pt>
                <c:pt idx="1469">
                  <c:v>42443.645833333336</c:v>
                </c:pt>
                <c:pt idx="1470">
                  <c:v>42444.645833333336</c:v>
                </c:pt>
                <c:pt idx="1471">
                  <c:v>42445.645833333336</c:v>
                </c:pt>
                <c:pt idx="1472">
                  <c:v>42446.645833333336</c:v>
                </c:pt>
                <c:pt idx="1473">
                  <c:v>42447.645833333336</c:v>
                </c:pt>
                <c:pt idx="1474">
                  <c:v>42450.645833333336</c:v>
                </c:pt>
                <c:pt idx="1475">
                  <c:v>42451.645833333336</c:v>
                </c:pt>
                <c:pt idx="1476">
                  <c:v>42452.645833333336</c:v>
                </c:pt>
                <c:pt idx="1477">
                  <c:v>42457.645833333336</c:v>
                </c:pt>
                <c:pt idx="1478">
                  <c:v>42458.645833333336</c:v>
                </c:pt>
                <c:pt idx="1479">
                  <c:v>42459.645833333336</c:v>
                </c:pt>
                <c:pt idx="1480">
                  <c:v>42460.645833333336</c:v>
                </c:pt>
                <c:pt idx="1481">
                  <c:v>42461.645833333336</c:v>
                </c:pt>
                <c:pt idx="1482">
                  <c:v>42464.645833333336</c:v>
                </c:pt>
                <c:pt idx="1483">
                  <c:v>42465.645833333336</c:v>
                </c:pt>
                <c:pt idx="1484">
                  <c:v>42466.645833333336</c:v>
                </c:pt>
                <c:pt idx="1485">
                  <c:v>42467.645833333336</c:v>
                </c:pt>
                <c:pt idx="1486">
                  <c:v>42468.645833333336</c:v>
                </c:pt>
                <c:pt idx="1487">
                  <c:v>42471.645833333336</c:v>
                </c:pt>
                <c:pt idx="1488">
                  <c:v>42472.645833333336</c:v>
                </c:pt>
                <c:pt idx="1489">
                  <c:v>42473.645833333336</c:v>
                </c:pt>
                <c:pt idx="1490">
                  <c:v>42478.645833333336</c:v>
                </c:pt>
                <c:pt idx="1491">
                  <c:v>42480.645833333336</c:v>
                </c:pt>
                <c:pt idx="1492">
                  <c:v>42481.645833333336</c:v>
                </c:pt>
                <c:pt idx="1493">
                  <c:v>42482.645833333336</c:v>
                </c:pt>
                <c:pt idx="1494">
                  <c:v>42485.645833333336</c:v>
                </c:pt>
                <c:pt idx="1495">
                  <c:v>42486.645833333336</c:v>
                </c:pt>
                <c:pt idx="1496">
                  <c:v>42487.645833333336</c:v>
                </c:pt>
                <c:pt idx="1497">
                  <c:v>42488.645833333336</c:v>
                </c:pt>
                <c:pt idx="1498">
                  <c:v>42489.645833333336</c:v>
                </c:pt>
                <c:pt idx="1499">
                  <c:v>42492.645833333336</c:v>
                </c:pt>
                <c:pt idx="1500">
                  <c:v>42493.645833333336</c:v>
                </c:pt>
                <c:pt idx="1501">
                  <c:v>42494.645833333336</c:v>
                </c:pt>
                <c:pt idx="1502">
                  <c:v>42495.645833333336</c:v>
                </c:pt>
                <c:pt idx="1503">
                  <c:v>42496.645833333336</c:v>
                </c:pt>
                <c:pt idx="1504">
                  <c:v>42499.645833333336</c:v>
                </c:pt>
                <c:pt idx="1505">
                  <c:v>42500.645833333336</c:v>
                </c:pt>
                <c:pt idx="1506">
                  <c:v>42501.645833333336</c:v>
                </c:pt>
                <c:pt idx="1507">
                  <c:v>42502.645833333336</c:v>
                </c:pt>
                <c:pt idx="1508">
                  <c:v>42503.645833333336</c:v>
                </c:pt>
                <c:pt idx="1509">
                  <c:v>42506.645833333336</c:v>
                </c:pt>
                <c:pt idx="1510">
                  <c:v>42507.645833333336</c:v>
                </c:pt>
                <c:pt idx="1511">
                  <c:v>42508.645833333336</c:v>
                </c:pt>
                <c:pt idx="1512">
                  <c:v>42509.645833333336</c:v>
                </c:pt>
                <c:pt idx="1513">
                  <c:v>42510.645833333336</c:v>
                </c:pt>
                <c:pt idx="1514">
                  <c:v>42513.645833333336</c:v>
                </c:pt>
                <c:pt idx="1515">
                  <c:v>42514.645833333336</c:v>
                </c:pt>
                <c:pt idx="1516">
                  <c:v>42515.645833333336</c:v>
                </c:pt>
                <c:pt idx="1517">
                  <c:v>42516.645833333336</c:v>
                </c:pt>
                <c:pt idx="1518">
                  <c:v>42517.645833333336</c:v>
                </c:pt>
                <c:pt idx="1519">
                  <c:v>42520.645833333336</c:v>
                </c:pt>
                <c:pt idx="1520">
                  <c:v>42521.645833333336</c:v>
                </c:pt>
                <c:pt idx="1521">
                  <c:v>42522.645833333336</c:v>
                </c:pt>
                <c:pt idx="1522">
                  <c:v>42523.645833333336</c:v>
                </c:pt>
                <c:pt idx="1523">
                  <c:v>42524.645833333336</c:v>
                </c:pt>
                <c:pt idx="1524">
                  <c:v>42527.645833333336</c:v>
                </c:pt>
                <c:pt idx="1525">
                  <c:v>42528.645833333336</c:v>
                </c:pt>
                <c:pt idx="1526">
                  <c:v>42529.645833333336</c:v>
                </c:pt>
                <c:pt idx="1527">
                  <c:v>42530.645833333336</c:v>
                </c:pt>
                <c:pt idx="1528">
                  <c:v>42531.645833333336</c:v>
                </c:pt>
                <c:pt idx="1529">
                  <c:v>42534.645833333336</c:v>
                </c:pt>
                <c:pt idx="1530">
                  <c:v>42535.645833333336</c:v>
                </c:pt>
                <c:pt idx="1531">
                  <c:v>42536.645833333336</c:v>
                </c:pt>
                <c:pt idx="1532">
                  <c:v>42537.645833333336</c:v>
                </c:pt>
                <c:pt idx="1533">
                  <c:v>42538.645833333336</c:v>
                </c:pt>
                <c:pt idx="1534">
                  <c:v>42541.645833333336</c:v>
                </c:pt>
                <c:pt idx="1535">
                  <c:v>42542.645833333336</c:v>
                </c:pt>
                <c:pt idx="1536">
                  <c:v>42543.645833333336</c:v>
                </c:pt>
                <c:pt idx="1537">
                  <c:v>42544.645833333336</c:v>
                </c:pt>
                <c:pt idx="1538">
                  <c:v>42545.645833333336</c:v>
                </c:pt>
                <c:pt idx="1539">
                  <c:v>42548.645833333336</c:v>
                </c:pt>
                <c:pt idx="1540">
                  <c:v>42549.645833333336</c:v>
                </c:pt>
                <c:pt idx="1541">
                  <c:v>42550.645833333336</c:v>
                </c:pt>
                <c:pt idx="1542">
                  <c:v>42551.645833333336</c:v>
                </c:pt>
                <c:pt idx="1543">
                  <c:v>42552.645833333336</c:v>
                </c:pt>
                <c:pt idx="1544">
                  <c:v>42555.645833333336</c:v>
                </c:pt>
                <c:pt idx="1545">
                  <c:v>42556.645833333336</c:v>
                </c:pt>
                <c:pt idx="1546">
                  <c:v>42558.645833333336</c:v>
                </c:pt>
                <c:pt idx="1547">
                  <c:v>42559.645833333336</c:v>
                </c:pt>
                <c:pt idx="1548">
                  <c:v>42562.645833333336</c:v>
                </c:pt>
                <c:pt idx="1549">
                  <c:v>42563.645833333336</c:v>
                </c:pt>
                <c:pt idx="1550">
                  <c:v>42564.645833333336</c:v>
                </c:pt>
                <c:pt idx="1551">
                  <c:v>42565.645833333336</c:v>
                </c:pt>
                <c:pt idx="1552">
                  <c:v>42566.645833333336</c:v>
                </c:pt>
                <c:pt idx="1553">
                  <c:v>42569.645833333336</c:v>
                </c:pt>
                <c:pt idx="1554">
                  <c:v>42570.645833333336</c:v>
                </c:pt>
                <c:pt idx="1555">
                  <c:v>42571.645833333336</c:v>
                </c:pt>
                <c:pt idx="1556">
                  <c:v>42572.645833333336</c:v>
                </c:pt>
                <c:pt idx="1557">
                  <c:v>42573.645833333336</c:v>
                </c:pt>
                <c:pt idx="1558">
                  <c:v>42576.645833333336</c:v>
                </c:pt>
                <c:pt idx="1559">
                  <c:v>42577.645833333336</c:v>
                </c:pt>
                <c:pt idx="1560">
                  <c:v>42578.645833333336</c:v>
                </c:pt>
                <c:pt idx="1561">
                  <c:v>42579.645833333336</c:v>
                </c:pt>
                <c:pt idx="1562">
                  <c:v>42580.645833333336</c:v>
                </c:pt>
                <c:pt idx="1563">
                  <c:v>42583.645833333336</c:v>
                </c:pt>
                <c:pt idx="1564">
                  <c:v>42584.645833333336</c:v>
                </c:pt>
                <c:pt idx="1565">
                  <c:v>42585.645833333336</c:v>
                </c:pt>
                <c:pt idx="1566">
                  <c:v>42586.645833333336</c:v>
                </c:pt>
                <c:pt idx="1567">
                  <c:v>42587.645833333336</c:v>
                </c:pt>
                <c:pt idx="1568">
                  <c:v>42590.645833333336</c:v>
                </c:pt>
                <c:pt idx="1569">
                  <c:v>42591.645833333336</c:v>
                </c:pt>
                <c:pt idx="1570">
                  <c:v>42592.645833333336</c:v>
                </c:pt>
                <c:pt idx="1571">
                  <c:v>42593.645833333336</c:v>
                </c:pt>
                <c:pt idx="1572">
                  <c:v>42594.645833333336</c:v>
                </c:pt>
                <c:pt idx="1573">
                  <c:v>42598.645833333336</c:v>
                </c:pt>
                <c:pt idx="1574">
                  <c:v>42599.645833333336</c:v>
                </c:pt>
                <c:pt idx="1575">
                  <c:v>42600.645833333336</c:v>
                </c:pt>
                <c:pt idx="1576">
                  <c:v>42601.645833333336</c:v>
                </c:pt>
                <c:pt idx="1577">
                  <c:v>42604.645833333336</c:v>
                </c:pt>
                <c:pt idx="1578">
                  <c:v>42605.645833333336</c:v>
                </c:pt>
                <c:pt idx="1579">
                  <c:v>42606.645833333336</c:v>
                </c:pt>
                <c:pt idx="1580">
                  <c:v>42607.645833333336</c:v>
                </c:pt>
                <c:pt idx="1581">
                  <c:v>42608.645833333336</c:v>
                </c:pt>
                <c:pt idx="1582">
                  <c:v>42611.645833333336</c:v>
                </c:pt>
                <c:pt idx="1583">
                  <c:v>42612.645833333336</c:v>
                </c:pt>
                <c:pt idx="1584">
                  <c:v>42613.645833333336</c:v>
                </c:pt>
                <c:pt idx="1585">
                  <c:v>42614.645833333336</c:v>
                </c:pt>
                <c:pt idx="1586">
                  <c:v>42615.645833333336</c:v>
                </c:pt>
                <c:pt idx="1587">
                  <c:v>42619.645833333336</c:v>
                </c:pt>
                <c:pt idx="1588">
                  <c:v>42620.645833333336</c:v>
                </c:pt>
                <c:pt idx="1589">
                  <c:v>42621.645833333336</c:v>
                </c:pt>
                <c:pt idx="1590">
                  <c:v>42622.645833333336</c:v>
                </c:pt>
                <c:pt idx="1591">
                  <c:v>42625.645833333336</c:v>
                </c:pt>
                <c:pt idx="1592">
                  <c:v>42627.645833333336</c:v>
                </c:pt>
                <c:pt idx="1593">
                  <c:v>42628.645833333336</c:v>
                </c:pt>
                <c:pt idx="1594">
                  <c:v>42629.645833333336</c:v>
                </c:pt>
                <c:pt idx="1595">
                  <c:v>42632.645833333336</c:v>
                </c:pt>
                <c:pt idx="1596">
                  <c:v>42633.645833333336</c:v>
                </c:pt>
                <c:pt idx="1597">
                  <c:v>42634.645833333336</c:v>
                </c:pt>
                <c:pt idx="1598">
                  <c:v>42635.645833333336</c:v>
                </c:pt>
                <c:pt idx="1599">
                  <c:v>42636.645833333336</c:v>
                </c:pt>
                <c:pt idx="1600">
                  <c:v>42639.645833333336</c:v>
                </c:pt>
                <c:pt idx="1601">
                  <c:v>42640.645833333336</c:v>
                </c:pt>
                <c:pt idx="1602">
                  <c:v>42641.645833333336</c:v>
                </c:pt>
                <c:pt idx="1603">
                  <c:v>42642.645833333336</c:v>
                </c:pt>
                <c:pt idx="1604">
                  <c:v>42643.645833333336</c:v>
                </c:pt>
                <c:pt idx="1605">
                  <c:v>42646.645833333336</c:v>
                </c:pt>
                <c:pt idx="1606">
                  <c:v>42647.645833333336</c:v>
                </c:pt>
                <c:pt idx="1607">
                  <c:v>42648.645833333336</c:v>
                </c:pt>
                <c:pt idx="1608">
                  <c:v>42649.645833333336</c:v>
                </c:pt>
                <c:pt idx="1609">
                  <c:v>42650.645833333336</c:v>
                </c:pt>
                <c:pt idx="1610">
                  <c:v>42653.645833333336</c:v>
                </c:pt>
                <c:pt idx="1611">
                  <c:v>42656.645833333336</c:v>
                </c:pt>
                <c:pt idx="1612">
                  <c:v>42657.645833333336</c:v>
                </c:pt>
                <c:pt idx="1613">
                  <c:v>42660.645833333336</c:v>
                </c:pt>
                <c:pt idx="1614">
                  <c:v>42661.645833333336</c:v>
                </c:pt>
                <c:pt idx="1615">
                  <c:v>42662.645833333336</c:v>
                </c:pt>
                <c:pt idx="1616">
                  <c:v>42663.645833333336</c:v>
                </c:pt>
                <c:pt idx="1617">
                  <c:v>42664.645833333336</c:v>
                </c:pt>
                <c:pt idx="1618">
                  <c:v>42667.645833333336</c:v>
                </c:pt>
                <c:pt idx="1619">
                  <c:v>42668.645833333336</c:v>
                </c:pt>
                <c:pt idx="1620">
                  <c:v>42669.645833333336</c:v>
                </c:pt>
                <c:pt idx="1621">
                  <c:v>42670.645833333336</c:v>
                </c:pt>
                <c:pt idx="1622">
                  <c:v>42671.645833333336</c:v>
                </c:pt>
                <c:pt idx="1623">
                  <c:v>42675.645833333336</c:v>
                </c:pt>
                <c:pt idx="1624">
                  <c:v>42676.645833333336</c:v>
                </c:pt>
                <c:pt idx="1625">
                  <c:v>42677.645833333336</c:v>
                </c:pt>
                <c:pt idx="1626">
                  <c:v>42678.645833333336</c:v>
                </c:pt>
                <c:pt idx="1627">
                  <c:v>42681.645833333336</c:v>
                </c:pt>
                <c:pt idx="1628">
                  <c:v>42682.645833333336</c:v>
                </c:pt>
                <c:pt idx="1629">
                  <c:v>42683.645833333336</c:v>
                </c:pt>
                <c:pt idx="1630">
                  <c:v>42684.645833333336</c:v>
                </c:pt>
                <c:pt idx="1631">
                  <c:v>42685.645833333336</c:v>
                </c:pt>
                <c:pt idx="1632">
                  <c:v>42689.645833333336</c:v>
                </c:pt>
                <c:pt idx="1633">
                  <c:v>42690.645833333336</c:v>
                </c:pt>
                <c:pt idx="1634">
                  <c:v>42691.645833333336</c:v>
                </c:pt>
                <c:pt idx="1635">
                  <c:v>42692.645833333336</c:v>
                </c:pt>
                <c:pt idx="1636">
                  <c:v>42695.645833333336</c:v>
                </c:pt>
                <c:pt idx="1637">
                  <c:v>42696.645833333336</c:v>
                </c:pt>
                <c:pt idx="1638">
                  <c:v>42697.645833333336</c:v>
                </c:pt>
                <c:pt idx="1639">
                  <c:v>42698.645833333336</c:v>
                </c:pt>
                <c:pt idx="1640">
                  <c:v>42699.645833333336</c:v>
                </c:pt>
                <c:pt idx="1641">
                  <c:v>42702.645833333336</c:v>
                </c:pt>
                <c:pt idx="1642">
                  <c:v>42703.645833333336</c:v>
                </c:pt>
                <c:pt idx="1643">
                  <c:v>42704.645833333336</c:v>
                </c:pt>
                <c:pt idx="1644">
                  <c:v>42705.645833333336</c:v>
                </c:pt>
                <c:pt idx="1645">
                  <c:v>42706.645833333336</c:v>
                </c:pt>
                <c:pt idx="1646">
                  <c:v>42709.645833333336</c:v>
                </c:pt>
                <c:pt idx="1647">
                  <c:v>42710.645833333336</c:v>
                </c:pt>
                <c:pt idx="1648">
                  <c:v>42711.645833333336</c:v>
                </c:pt>
                <c:pt idx="1649">
                  <c:v>42712.645833333336</c:v>
                </c:pt>
                <c:pt idx="1650">
                  <c:v>42713.645833333336</c:v>
                </c:pt>
                <c:pt idx="1651">
                  <c:v>42716.645833333336</c:v>
                </c:pt>
                <c:pt idx="1652">
                  <c:v>42717.645833333336</c:v>
                </c:pt>
                <c:pt idx="1653">
                  <c:v>42718.645833333336</c:v>
                </c:pt>
                <c:pt idx="1654">
                  <c:v>42719.645833333336</c:v>
                </c:pt>
                <c:pt idx="1655">
                  <c:v>42720.645833333336</c:v>
                </c:pt>
                <c:pt idx="1656">
                  <c:v>42723.645833333336</c:v>
                </c:pt>
                <c:pt idx="1657">
                  <c:v>42724.645833333336</c:v>
                </c:pt>
                <c:pt idx="1658">
                  <c:v>42725.645833333336</c:v>
                </c:pt>
                <c:pt idx="1659">
                  <c:v>42726.645833333336</c:v>
                </c:pt>
                <c:pt idx="1660">
                  <c:v>42727.645833333336</c:v>
                </c:pt>
                <c:pt idx="1661">
                  <c:v>42730.645833333336</c:v>
                </c:pt>
                <c:pt idx="1662">
                  <c:v>42731.645833333336</c:v>
                </c:pt>
                <c:pt idx="1663">
                  <c:v>42732.645833333336</c:v>
                </c:pt>
                <c:pt idx="1664">
                  <c:v>42733.645833333336</c:v>
                </c:pt>
                <c:pt idx="1665">
                  <c:v>42734.645833333336</c:v>
                </c:pt>
                <c:pt idx="1666">
                  <c:v>42737.645833333336</c:v>
                </c:pt>
                <c:pt idx="1667">
                  <c:v>42738.645833333336</c:v>
                </c:pt>
                <c:pt idx="1668">
                  <c:v>42739.645833333336</c:v>
                </c:pt>
                <c:pt idx="1669">
                  <c:v>42740.645833333336</c:v>
                </c:pt>
                <c:pt idx="1670">
                  <c:v>42741.645833333336</c:v>
                </c:pt>
                <c:pt idx="1671">
                  <c:v>42744.645833333336</c:v>
                </c:pt>
                <c:pt idx="1672">
                  <c:v>42745.645833333336</c:v>
                </c:pt>
                <c:pt idx="1673">
                  <c:v>42746.645833333336</c:v>
                </c:pt>
                <c:pt idx="1674">
                  <c:v>42747.645833333336</c:v>
                </c:pt>
                <c:pt idx="1675">
                  <c:v>42748.645833333336</c:v>
                </c:pt>
                <c:pt idx="1676">
                  <c:v>42751.645833333336</c:v>
                </c:pt>
                <c:pt idx="1677">
                  <c:v>42752.645833333336</c:v>
                </c:pt>
                <c:pt idx="1678">
                  <c:v>42753.645833333336</c:v>
                </c:pt>
                <c:pt idx="1679">
                  <c:v>42754.645833333336</c:v>
                </c:pt>
                <c:pt idx="1680">
                  <c:v>42755.645833333336</c:v>
                </c:pt>
                <c:pt idx="1681">
                  <c:v>42758.645833333336</c:v>
                </c:pt>
                <c:pt idx="1682">
                  <c:v>42759.645833333336</c:v>
                </c:pt>
                <c:pt idx="1683">
                  <c:v>42760.645833333336</c:v>
                </c:pt>
                <c:pt idx="1684">
                  <c:v>42762.645833333336</c:v>
                </c:pt>
                <c:pt idx="1685">
                  <c:v>42765.645833333336</c:v>
                </c:pt>
                <c:pt idx="1686">
                  <c:v>42766.645833333336</c:v>
                </c:pt>
                <c:pt idx="1687">
                  <c:v>42767.645833333336</c:v>
                </c:pt>
                <c:pt idx="1688">
                  <c:v>42768.645833333336</c:v>
                </c:pt>
                <c:pt idx="1689">
                  <c:v>42769.645833333336</c:v>
                </c:pt>
                <c:pt idx="1690">
                  <c:v>42772.645833333336</c:v>
                </c:pt>
                <c:pt idx="1691">
                  <c:v>42773.645833333336</c:v>
                </c:pt>
                <c:pt idx="1692">
                  <c:v>42774.645833333336</c:v>
                </c:pt>
                <c:pt idx="1693">
                  <c:v>42775.645833333336</c:v>
                </c:pt>
                <c:pt idx="1694">
                  <c:v>42776.645833333336</c:v>
                </c:pt>
                <c:pt idx="1695">
                  <c:v>42779.645833333336</c:v>
                </c:pt>
                <c:pt idx="1696">
                  <c:v>42780.645833333336</c:v>
                </c:pt>
                <c:pt idx="1697">
                  <c:v>42781.645833333336</c:v>
                </c:pt>
                <c:pt idx="1698">
                  <c:v>42782.645833333336</c:v>
                </c:pt>
                <c:pt idx="1699">
                  <c:v>42783.645833333336</c:v>
                </c:pt>
                <c:pt idx="1700">
                  <c:v>42786.645833333336</c:v>
                </c:pt>
                <c:pt idx="1701">
                  <c:v>42787.645833333336</c:v>
                </c:pt>
                <c:pt idx="1702">
                  <c:v>42788.645833333336</c:v>
                </c:pt>
                <c:pt idx="1703">
                  <c:v>42789.645833333336</c:v>
                </c:pt>
                <c:pt idx="1704">
                  <c:v>42793.645833333336</c:v>
                </c:pt>
                <c:pt idx="1705">
                  <c:v>42794.645833333336</c:v>
                </c:pt>
                <c:pt idx="1706">
                  <c:v>42795.645833333336</c:v>
                </c:pt>
                <c:pt idx="1707">
                  <c:v>42796.645833333336</c:v>
                </c:pt>
                <c:pt idx="1708">
                  <c:v>42797.645833333336</c:v>
                </c:pt>
                <c:pt idx="1709">
                  <c:v>42800.645833333336</c:v>
                </c:pt>
                <c:pt idx="1710">
                  <c:v>42801.645833333336</c:v>
                </c:pt>
                <c:pt idx="1711">
                  <c:v>42802.645833333336</c:v>
                </c:pt>
                <c:pt idx="1712">
                  <c:v>42803.645833333336</c:v>
                </c:pt>
                <c:pt idx="1713">
                  <c:v>42804.645833333336</c:v>
                </c:pt>
                <c:pt idx="1714">
                  <c:v>42808.645833333336</c:v>
                </c:pt>
                <c:pt idx="1715">
                  <c:v>42809.645833333336</c:v>
                </c:pt>
                <c:pt idx="1716">
                  <c:v>42810.645833333336</c:v>
                </c:pt>
                <c:pt idx="1717">
                  <c:v>42811.645833333336</c:v>
                </c:pt>
                <c:pt idx="1718">
                  <c:v>42814.645833333336</c:v>
                </c:pt>
                <c:pt idx="1719">
                  <c:v>42815.645833333336</c:v>
                </c:pt>
                <c:pt idx="1720">
                  <c:v>42816.645833333336</c:v>
                </c:pt>
                <c:pt idx="1721">
                  <c:v>42817.645833333336</c:v>
                </c:pt>
                <c:pt idx="1722">
                  <c:v>42818.645833333336</c:v>
                </c:pt>
                <c:pt idx="1723">
                  <c:v>42821.645833333336</c:v>
                </c:pt>
                <c:pt idx="1724">
                  <c:v>42822.645833333336</c:v>
                </c:pt>
                <c:pt idx="1725">
                  <c:v>42823.645833333336</c:v>
                </c:pt>
                <c:pt idx="1726">
                  <c:v>42824.645833333336</c:v>
                </c:pt>
                <c:pt idx="1727">
                  <c:v>42825.645833333336</c:v>
                </c:pt>
                <c:pt idx="1728">
                  <c:v>42828.645833333336</c:v>
                </c:pt>
                <c:pt idx="1729">
                  <c:v>42830.645833333336</c:v>
                </c:pt>
                <c:pt idx="1730">
                  <c:v>42831.645833333336</c:v>
                </c:pt>
                <c:pt idx="1731">
                  <c:v>42832.645833333336</c:v>
                </c:pt>
                <c:pt idx="1732">
                  <c:v>42835.645833333336</c:v>
                </c:pt>
                <c:pt idx="1733">
                  <c:v>42836.645833333336</c:v>
                </c:pt>
                <c:pt idx="1734">
                  <c:v>42837.645833333336</c:v>
                </c:pt>
                <c:pt idx="1735">
                  <c:v>42838.645833333336</c:v>
                </c:pt>
                <c:pt idx="1736">
                  <c:v>42842.645833333336</c:v>
                </c:pt>
                <c:pt idx="1737">
                  <c:v>42843.645833333336</c:v>
                </c:pt>
                <c:pt idx="1738">
                  <c:v>42844.645833333336</c:v>
                </c:pt>
                <c:pt idx="1739">
                  <c:v>42845.645833333336</c:v>
                </c:pt>
                <c:pt idx="1740">
                  <c:v>42846.645833333336</c:v>
                </c:pt>
                <c:pt idx="1741">
                  <c:v>42849.645833333336</c:v>
                </c:pt>
                <c:pt idx="1742">
                  <c:v>42850.645833333336</c:v>
                </c:pt>
                <c:pt idx="1743">
                  <c:v>42851.645833333336</c:v>
                </c:pt>
                <c:pt idx="1744">
                  <c:v>42852.645833333336</c:v>
                </c:pt>
                <c:pt idx="1745">
                  <c:v>42853.645833333336</c:v>
                </c:pt>
                <c:pt idx="1746">
                  <c:v>42857.645833333336</c:v>
                </c:pt>
                <c:pt idx="1747">
                  <c:v>42858.645833333336</c:v>
                </c:pt>
                <c:pt idx="1748">
                  <c:v>42859.645833333336</c:v>
                </c:pt>
                <c:pt idx="1749">
                  <c:v>42860.645833333336</c:v>
                </c:pt>
                <c:pt idx="1750">
                  <c:v>42863.645833333336</c:v>
                </c:pt>
                <c:pt idx="1751">
                  <c:v>42864.645833333336</c:v>
                </c:pt>
                <c:pt idx="1752">
                  <c:v>42865.645833333336</c:v>
                </c:pt>
                <c:pt idx="1753">
                  <c:v>42866.645833333336</c:v>
                </c:pt>
                <c:pt idx="1754">
                  <c:v>42867.645833333336</c:v>
                </c:pt>
                <c:pt idx="1755">
                  <c:v>42870.645833333336</c:v>
                </c:pt>
                <c:pt idx="1756">
                  <c:v>42871.645833333336</c:v>
                </c:pt>
                <c:pt idx="1757">
                  <c:v>42872.645833333336</c:v>
                </c:pt>
                <c:pt idx="1758">
                  <c:v>42873.645833333336</c:v>
                </c:pt>
                <c:pt idx="1759">
                  <c:v>42874.645833333336</c:v>
                </c:pt>
                <c:pt idx="1760">
                  <c:v>42877.645833333336</c:v>
                </c:pt>
                <c:pt idx="1761">
                  <c:v>42878.645833333336</c:v>
                </c:pt>
                <c:pt idx="1762">
                  <c:v>42879.645833333336</c:v>
                </c:pt>
                <c:pt idx="1763">
                  <c:v>42880.645833333336</c:v>
                </c:pt>
                <c:pt idx="1764">
                  <c:v>42881.645833333336</c:v>
                </c:pt>
                <c:pt idx="1765">
                  <c:v>42884.645833333336</c:v>
                </c:pt>
                <c:pt idx="1766">
                  <c:v>42885.645833333336</c:v>
                </c:pt>
                <c:pt idx="1767">
                  <c:v>42886.645833333336</c:v>
                </c:pt>
                <c:pt idx="1768">
                  <c:v>42887.645833333336</c:v>
                </c:pt>
                <c:pt idx="1769">
                  <c:v>42888.645833333336</c:v>
                </c:pt>
                <c:pt idx="1770">
                  <c:v>42891.645833333336</c:v>
                </c:pt>
                <c:pt idx="1771">
                  <c:v>42892.645833333336</c:v>
                </c:pt>
                <c:pt idx="1772">
                  <c:v>42893.645833333336</c:v>
                </c:pt>
                <c:pt idx="1773">
                  <c:v>42894.645833333336</c:v>
                </c:pt>
                <c:pt idx="1774">
                  <c:v>42895.645833333336</c:v>
                </c:pt>
                <c:pt idx="1775">
                  <c:v>42898.645833333336</c:v>
                </c:pt>
                <c:pt idx="1776">
                  <c:v>42899.645833333336</c:v>
                </c:pt>
                <c:pt idx="1777">
                  <c:v>42900.645833333336</c:v>
                </c:pt>
                <c:pt idx="1778">
                  <c:v>42901.645833333336</c:v>
                </c:pt>
                <c:pt idx="1779">
                  <c:v>42902.645833333336</c:v>
                </c:pt>
                <c:pt idx="1780">
                  <c:v>42905.645833333336</c:v>
                </c:pt>
                <c:pt idx="1781">
                  <c:v>42906.645833333336</c:v>
                </c:pt>
                <c:pt idx="1782">
                  <c:v>42907.645833333336</c:v>
                </c:pt>
                <c:pt idx="1783">
                  <c:v>42908.645833333336</c:v>
                </c:pt>
                <c:pt idx="1784">
                  <c:v>42909.645833333336</c:v>
                </c:pt>
                <c:pt idx="1785">
                  <c:v>42913.645833333336</c:v>
                </c:pt>
                <c:pt idx="1786">
                  <c:v>42914.645833333336</c:v>
                </c:pt>
                <c:pt idx="1787">
                  <c:v>42915.645833333336</c:v>
                </c:pt>
                <c:pt idx="1788">
                  <c:v>42916.645833333336</c:v>
                </c:pt>
                <c:pt idx="1789">
                  <c:v>42919.645833333336</c:v>
                </c:pt>
                <c:pt idx="1790">
                  <c:v>42920.645833333336</c:v>
                </c:pt>
                <c:pt idx="1791">
                  <c:v>42921.645833333336</c:v>
                </c:pt>
                <c:pt idx="1792">
                  <c:v>42922.645833333336</c:v>
                </c:pt>
                <c:pt idx="1793">
                  <c:v>42923.645833333336</c:v>
                </c:pt>
                <c:pt idx="1794">
                  <c:v>42926.645833333336</c:v>
                </c:pt>
                <c:pt idx="1795">
                  <c:v>42927.645833333336</c:v>
                </c:pt>
                <c:pt idx="1796">
                  <c:v>42928.645833333336</c:v>
                </c:pt>
                <c:pt idx="1797">
                  <c:v>42929.645833333336</c:v>
                </c:pt>
                <c:pt idx="1798">
                  <c:v>42930.645833333336</c:v>
                </c:pt>
                <c:pt idx="1799">
                  <c:v>42933.645833333336</c:v>
                </c:pt>
                <c:pt idx="1800">
                  <c:v>42934.645833333336</c:v>
                </c:pt>
                <c:pt idx="1801">
                  <c:v>42935.645833333336</c:v>
                </c:pt>
                <c:pt idx="1802">
                  <c:v>42936.645833333336</c:v>
                </c:pt>
                <c:pt idx="1803">
                  <c:v>42937.645833333336</c:v>
                </c:pt>
                <c:pt idx="1804">
                  <c:v>42940.645833333336</c:v>
                </c:pt>
                <c:pt idx="1805">
                  <c:v>42941.645833333336</c:v>
                </c:pt>
                <c:pt idx="1806">
                  <c:v>42942.645833333336</c:v>
                </c:pt>
                <c:pt idx="1807">
                  <c:v>42943.645833333336</c:v>
                </c:pt>
                <c:pt idx="1808">
                  <c:v>42944.645833333336</c:v>
                </c:pt>
                <c:pt idx="1809">
                  <c:v>42947.645833333336</c:v>
                </c:pt>
                <c:pt idx="1810">
                  <c:v>42948.645833333336</c:v>
                </c:pt>
                <c:pt idx="1811">
                  <c:v>42949.645833333336</c:v>
                </c:pt>
                <c:pt idx="1812">
                  <c:v>42950.645833333336</c:v>
                </c:pt>
                <c:pt idx="1813">
                  <c:v>42951.645833333336</c:v>
                </c:pt>
                <c:pt idx="1814">
                  <c:v>42954.645833333336</c:v>
                </c:pt>
                <c:pt idx="1815">
                  <c:v>42955.645833333336</c:v>
                </c:pt>
                <c:pt idx="1816">
                  <c:v>42956.645833333336</c:v>
                </c:pt>
                <c:pt idx="1817">
                  <c:v>42957.645833333336</c:v>
                </c:pt>
                <c:pt idx="1818">
                  <c:v>42958.645833333336</c:v>
                </c:pt>
                <c:pt idx="1819">
                  <c:v>42961.645833333336</c:v>
                </c:pt>
                <c:pt idx="1820">
                  <c:v>42963.645833333336</c:v>
                </c:pt>
                <c:pt idx="1821">
                  <c:v>42964.645833333336</c:v>
                </c:pt>
                <c:pt idx="1822">
                  <c:v>42965.645833333336</c:v>
                </c:pt>
                <c:pt idx="1823">
                  <c:v>42968.645833333336</c:v>
                </c:pt>
                <c:pt idx="1824">
                  <c:v>42969.645833333336</c:v>
                </c:pt>
                <c:pt idx="1825">
                  <c:v>42970.645833333336</c:v>
                </c:pt>
                <c:pt idx="1826">
                  <c:v>42971.645833333336</c:v>
                </c:pt>
                <c:pt idx="1827">
                  <c:v>42975.645833333336</c:v>
                </c:pt>
                <c:pt idx="1828">
                  <c:v>42976.645833333336</c:v>
                </c:pt>
                <c:pt idx="1829">
                  <c:v>42977.645833333336</c:v>
                </c:pt>
                <c:pt idx="1830">
                  <c:v>42978.645833333336</c:v>
                </c:pt>
                <c:pt idx="1831">
                  <c:v>42979.645833333336</c:v>
                </c:pt>
                <c:pt idx="1832">
                  <c:v>42982.645833333336</c:v>
                </c:pt>
                <c:pt idx="1833">
                  <c:v>42983.645833333336</c:v>
                </c:pt>
                <c:pt idx="1834">
                  <c:v>42984.645833333336</c:v>
                </c:pt>
                <c:pt idx="1835">
                  <c:v>42985.645833333336</c:v>
                </c:pt>
                <c:pt idx="1836">
                  <c:v>42986.645833333336</c:v>
                </c:pt>
                <c:pt idx="1837">
                  <c:v>42989.645833333336</c:v>
                </c:pt>
                <c:pt idx="1838">
                  <c:v>42990.645833333336</c:v>
                </c:pt>
                <c:pt idx="1839">
                  <c:v>42991.645833333336</c:v>
                </c:pt>
                <c:pt idx="1840">
                  <c:v>42992.645833333336</c:v>
                </c:pt>
                <c:pt idx="1841">
                  <c:v>42993.645833333336</c:v>
                </c:pt>
                <c:pt idx="1842">
                  <c:v>42996.645833333336</c:v>
                </c:pt>
                <c:pt idx="1843">
                  <c:v>42997.645833333336</c:v>
                </c:pt>
                <c:pt idx="1844">
                  <c:v>42998.645833333336</c:v>
                </c:pt>
                <c:pt idx="1845">
                  <c:v>42999.645833333336</c:v>
                </c:pt>
                <c:pt idx="1846">
                  <c:v>43000.645833333336</c:v>
                </c:pt>
                <c:pt idx="1847">
                  <c:v>43003.645833333336</c:v>
                </c:pt>
                <c:pt idx="1848">
                  <c:v>43004.645833333336</c:v>
                </c:pt>
                <c:pt idx="1849">
                  <c:v>43005.645833333336</c:v>
                </c:pt>
                <c:pt idx="1850">
                  <c:v>43006.645833333336</c:v>
                </c:pt>
                <c:pt idx="1851">
                  <c:v>43007.645833333336</c:v>
                </c:pt>
                <c:pt idx="1852">
                  <c:v>43011.645833333336</c:v>
                </c:pt>
                <c:pt idx="1853">
                  <c:v>43012.645833333336</c:v>
                </c:pt>
                <c:pt idx="1854">
                  <c:v>43013.645833333336</c:v>
                </c:pt>
                <c:pt idx="1855">
                  <c:v>43014.645833333336</c:v>
                </c:pt>
                <c:pt idx="1856">
                  <c:v>43017.645833333336</c:v>
                </c:pt>
                <c:pt idx="1857">
                  <c:v>43018.645833333336</c:v>
                </c:pt>
                <c:pt idx="1858">
                  <c:v>43019.645833333336</c:v>
                </c:pt>
                <c:pt idx="1859">
                  <c:v>43020.645833333336</c:v>
                </c:pt>
                <c:pt idx="1860">
                  <c:v>43021.645833333336</c:v>
                </c:pt>
                <c:pt idx="1861">
                  <c:v>43024.645833333336</c:v>
                </c:pt>
                <c:pt idx="1862">
                  <c:v>43025.791666666664</c:v>
                </c:pt>
                <c:pt idx="1863">
                  <c:v>43026.645833333336</c:v>
                </c:pt>
                <c:pt idx="1864">
                  <c:v>43027.826388888891</c:v>
                </c:pt>
                <c:pt idx="1865">
                  <c:v>43031.645833333336</c:v>
                </c:pt>
                <c:pt idx="1866">
                  <c:v>43032.645833333336</c:v>
                </c:pt>
                <c:pt idx="1867">
                  <c:v>43033.645833333336</c:v>
                </c:pt>
                <c:pt idx="1868">
                  <c:v>43034.645833333336</c:v>
                </c:pt>
                <c:pt idx="1869">
                  <c:v>43035.645833333336</c:v>
                </c:pt>
                <c:pt idx="1870">
                  <c:v>43038.645833333336</c:v>
                </c:pt>
                <c:pt idx="1871">
                  <c:v>43039.645833333336</c:v>
                </c:pt>
                <c:pt idx="1872">
                  <c:v>43040.645833333336</c:v>
                </c:pt>
                <c:pt idx="1873">
                  <c:v>43041.645833333336</c:v>
                </c:pt>
                <c:pt idx="1874">
                  <c:v>43042.645833333336</c:v>
                </c:pt>
                <c:pt idx="1875">
                  <c:v>43045.645833333336</c:v>
                </c:pt>
                <c:pt idx="1876">
                  <c:v>43046.645833333336</c:v>
                </c:pt>
                <c:pt idx="1877">
                  <c:v>43047.645833333336</c:v>
                </c:pt>
                <c:pt idx="1878">
                  <c:v>43048.645833333336</c:v>
                </c:pt>
                <c:pt idx="1879">
                  <c:v>43049.645833333336</c:v>
                </c:pt>
                <c:pt idx="1880">
                  <c:v>43052.645833333336</c:v>
                </c:pt>
                <c:pt idx="1881">
                  <c:v>43053.645833333336</c:v>
                </c:pt>
                <c:pt idx="1882">
                  <c:v>43054.645833333336</c:v>
                </c:pt>
                <c:pt idx="1883">
                  <c:v>43055.645833333336</c:v>
                </c:pt>
                <c:pt idx="1884">
                  <c:v>43056.645833333336</c:v>
                </c:pt>
                <c:pt idx="1885">
                  <c:v>43059.645833333336</c:v>
                </c:pt>
                <c:pt idx="1886">
                  <c:v>43060.645833333336</c:v>
                </c:pt>
                <c:pt idx="1887">
                  <c:v>43061.645833333336</c:v>
                </c:pt>
                <c:pt idx="1888">
                  <c:v>43062.645833333336</c:v>
                </c:pt>
                <c:pt idx="1889">
                  <c:v>43063.645833333336</c:v>
                </c:pt>
                <c:pt idx="1890">
                  <c:v>43066.645833333336</c:v>
                </c:pt>
                <c:pt idx="1891">
                  <c:v>43067.645833333336</c:v>
                </c:pt>
                <c:pt idx="1892">
                  <c:v>43068.645833333336</c:v>
                </c:pt>
                <c:pt idx="1893">
                  <c:v>43069.645833333336</c:v>
                </c:pt>
                <c:pt idx="1894">
                  <c:v>43070.645833333336</c:v>
                </c:pt>
                <c:pt idx="1895">
                  <c:v>43073.645833333336</c:v>
                </c:pt>
                <c:pt idx="1896">
                  <c:v>43074.645833333336</c:v>
                </c:pt>
                <c:pt idx="1897">
                  <c:v>43075.645833333336</c:v>
                </c:pt>
                <c:pt idx="1898">
                  <c:v>43076.645833333336</c:v>
                </c:pt>
                <c:pt idx="1899">
                  <c:v>43077.645833333336</c:v>
                </c:pt>
                <c:pt idx="1900">
                  <c:v>43080.645833333336</c:v>
                </c:pt>
                <c:pt idx="1901">
                  <c:v>43081.645833333336</c:v>
                </c:pt>
                <c:pt idx="1902">
                  <c:v>43082.645833333336</c:v>
                </c:pt>
                <c:pt idx="1903">
                  <c:v>43083.645833333336</c:v>
                </c:pt>
                <c:pt idx="1904">
                  <c:v>43084.645833333336</c:v>
                </c:pt>
                <c:pt idx="1905">
                  <c:v>43087.645833333336</c:v>
                </c:pt>
                <c:pt idx="1906">
                  <c:v>43088.645833333336</c:v>
                </c:pt>
                <c:pt idx="1907">
                  <c:v>43089.645833333336</c:v>
                </c:pt>
                <c:pt idx="1908">
                  <c:v>43090.645833333336</c:v>
                </c:pt>
                <c:pt idx="1909">
                  <c:v>43091.645833333336</c:v>
                </c:pt>
                <c:pt idx="1910">
                  <c:v>43095.645833333336</c:v>
                </c:pt>
                <c:pt idx="1911">
                  <c:v>43096.645833333336</c:v>
                </c:pt>
                <c:pt idx="1912">
                  <c:v>43097.645833333336</c:v>
                </c:pt>
                <c:pt idx="1913">
                  <c:v>43098.645833333336</c:v>
                </c:pt>
                <c:pt idx="1914">
                  <c:v>43101.645833333336</c:v>
                </c:pt>
                <c:pt idx="1915">
                  <c:v>43102.645833333336</c:v>
                </c:pt>
                <c:pt idx="1916">
                  <c:v>43103.645833333336</c:v>
                </c:pt>
                <c:pt idx="1917">
                  <c:v>43104.645833333336</c:v>
                </c:pt>
                <c:pt idx="1918">
                  <c:v>43105.645833333336</c:v>
                </c:pt>
                <c:pt idx="1919">
                  <c:v>43108.645833333336</c:v>
                </c:pt>
                <c:pt idx="1920">
                  <c:v>43109.645833333336</c:v>
                </c:pt>
                <c:pt idx="1921">
                  <c:v>43110.645833333336</c:v>
                </c:pt>
                <c:pt idx="1922">
                  <c:v>43111.645833333336</c:v>
                </c:pt>
                <c:pt idx="1923">
                  <c:v>43112.645833333336</c:v>
                </c:pt>
                <c:pt idx="1924">
                  <c:v>43115.645833333336</c:v>
                </c:pt>
                <c:pt idx="1925">
                  <c:v>43116.645833333336</c:v>
                </c:pt>
                <c:pt idx="1926">
                  <c:v>43117.645833333336</c:v>
                </c:pt>
                <c:pt idx="1927">
                  <c:v>43118.645833333336</c:v>
                </c:pt>
                <c:pt idx="1928">
                  <c:v>43119.645833333336</c:v>
                </c:pt>
                <c:pt idx="1929">
                  <c:v>43122.645833333336</c:v>
                </c:pt>
                <c:pt idx="1930">
                  <c:v>43123.645833333336</c:v>
                </c:pt>
                <c:pt idx="1931">
                  <c:v>43124.645833333336</c:v>
                </c:pt>
                <c:pt idx="1932">
                  <c:v>43125.645833333336</c:v>
                </c:pt>
                <c:pt idx="1933">
                  <c:v>43129.645833333336</c:v>
                </c:pt>
                <c:pt idx="1934">
                  <c:v>43130.645833333336</c:v>
                </c:pt>
                <c:pt idx="1935">
                  <c:v>43131.645833333336</c:v>
                </c:pt>
                <c:pt idx="1936">
                  <c:v>43132.645833333336</c:v>
                </c:pt>
                <c:pt idx="1937">
                  <c:v>43133.645833333336</c:v>
                </c:pt>
                <c:pt idx="1938">
                  <c:v>43136.645833333336</c:v>
                </c:pt>
                <c:pt idx="1939">
                  <c:v>43137.645833333336</c:v>
                </c:pt>
                <c:pt idx="1940">
                  <c:v>43138.645833333336</c:v>
                </c:pt>
                <c:pt idx="1941">
                  <c:v>43139.645833333336</c:v>
                </c:pt>
                <c:pt idx="1942">
                  <c:v>43140.645833333336</c:v>
                </c:pt>
                <c:pt idx="1943">
                  <c:v>43143.645833333336</c:v>
                </c:pt>
                <c:pt idx="1944">
                  <c:v>43145.645833333336</c:v>
                </c:pt>
                <c:pt idx="1945">
                  <c:v>43146.645833333336</c:v>
                </c:pt>
                <c:pt idx="1946">
                  <c:v>43147.645833333336</c:v>
                </c:pt>
                <c:pt idx="1947">
                  <c:v>43150.645833333336</c:v>
                </c:pt>
                <c:pt idx="1948">
                  <c:v>43151.645833333336</c:v>
                </c:pt>
                <c:pt idx="1949">
                  <c:v>43152.645833333336</c:v>
                </c:pt>
                <c:pt idx="1950">
                  <c:v>43153.645833333336</c:v>
                </c:pt>
                <c:pt idx="1951">
                  <c:v>43154.645833333336</c:v>
                </c:pt>
                <c:pt idx="1952">
                  <c:v>43157.645833333336</c:v>
                </c:pt>
                <c:pt idx="1953">
                  <c:v>43158.645833333336</c:v>
                </c:pt>
                <c:pt idx="1954">
                  <c:v>43159.645833333336</c:v>
                </c:pt>
                <c:pt idx="1955">
                  <c:v>43160.645833333336</c:v>
                </c:pt>
                <c:pt idx="1956">
                  <c:v>43164.645833333336</c:v>
                </c:pt>
                <c:pt idx="1957">
                  <c:v>43165.645833333336</c:v>
                </c:pt>
                <c:pt idx="1958">
                  <c:v>43166.645833333336</c:v>
                </c:pt>
                <c:pt idx="1959">
                  <c:v>43167.645833333336</c:v>
                </c:pt>
                <c:pt idx="1960">
                  <c:v>43168.645833333336</c:v>
                </c:pt>
                <c:pt idx="1961">
                  <c:v>43171.645833333336</c:v>
                </c:pt>
                <c:pt idx="1962">
                  <c:v>43172.645833333336</c:v>
                </c:pt>
                <c:pt idx="1963">
                  <c:v>43173.645833333336</c:v>
                </c:pt>
                <c:pt idx="1964">
                  <c:v>43174.645833333336</c:v>
                </c:pt>
                <c:pt idx="1965">
                  <c:v>43175.645833333336</c:v>
                </c:pt>
                <c:pt idx="1966">
                  <c:v>43178.645833333336</c:v>
                </c:pt>
                <c:pt idx="1967">
                  <c:v>43179.645833333336</c:v>
                </c:pt>
                <c:pt idx="1968">
                  <c:v>43180.645833333336</c:v>
                </c:pt>
                <c:pt idx="1969">
                  <c:v>43181.645833333336</c:v>
                </c:pt>
                <c:pt idx="1970">
                  <c:v>43182.645833333336</c:v>
                </c:pt>
                <c:pt idx="1971">
                  <c:v>43185.645833333336</c:v>
                </c:pt>
                <c:pt idx="1972">
                  <c:v>43186.645833333336</c:v>
                </c:pt>
                <c:pt idx="1973">
                  <c:v>43187.645833333336</c:v>
                </c:pt>
              </c:numCache>
            </c:numRef>
          </c:cat>
          <c:val>
            <c:numRef>
              <c:f>Price!$C$4:$C$1977</c:f>
              <c:numCache>
                <c:formatCode>General</c:formatCode>
                <c:ptCount val="1974"/>
                <c:pt idx="0">
                  <c:v>48.88581532416503</c:v>
                </c:pt>
                <c:pt idx="1">
                  <c:v>47.497013752455793</c:v>
                </c:pt>
                <c:pt idx="2">
                  <c:v>46.385972495088403</c:v>
                </c:pt>
                <c:pt idx="3">
                  <c:v>45.27493123772102</c:v>
                </c:pt>
                <c:pt idx="4">
                  <c:v>44.997170923379173</c:v>
                </c:pt>
                <c:pt idx="5">
                  <c:v>46.941493123772098</c:v>
                </c:pt>
                <c:pt idx="6">
                  <c:v>45.552691552062861</c:v>
                </c:pt>
                <c:pt idx="7">
                  <c:v>45.27493123772102</c:v>
                </c:pt>
                <c:pt idx="8">
                  <c:v>48.88581532416503</c:v>
                </c:pt>
                <c:pt idx="9">
                  <c:v>47.77477406679764</c:v>
                </c:pt>
                <c:pt idx="10">
                  <c:v>52.496699410609033</c:v>
                </c:pt>
                <c:pt idx="11">
                  <c:v>54.718781925343805</c:v>
                </c:pt>
                <c:pt idx="12">
                  <c:v>55.2743025540275</c:v>
                </c:pt>
                <c:pt idx="13">
                  <c:v>53.885500982318263</c:v>
                </c:pt>
                <c:pt idx="14">
                  <c:v>50.27461689587426</c:v>
                </c:pt>
                <c:pt idx="15">
                  <c:v>49.441335952848718</c:v>
                </c:pt>
                <c:pt idx="16">
                  <c:v>49.16357563850687</c:v>
                </c:pt>
                <c:pt idx="17">
                  <c:v>49.996856581532413</c:v>
                </c:pt>
                <c:pt idx="18">
                  <c:v>49.719096267190565</c:v>
                </c:pt>
                <c:pt idx="19">
                  <c:v>47.219253438113945</c:v>
                </c:pt>
                <c:pt idx="20">
                  <c:v>44.997170923379173</c:v>
                </c:pt>
                <c:pt idx="21">
                  <c:v>45.27493123772102</c:v>
                </c:pt>
                <c:pt idx="22">
                  <c:v>43.886129666011783</c:v>
                </c:pt>
                <c:pt idx="23">
                  <c:v>42.7750884086444</c:v>
                </c:pt>
                <c:pt idx="24">
                  <c:v>44.441650294695478</c:v>
                </c:pt>
                <c:pt idx="25">
                  <c:v>43.886129666011783</c:v>
                </c:pt>
                <c:pt idx="26">
                  <c:v>44.441650294695478</c:v>
                </c:pt>
                <c:pt idx="27">
                  <c:v>43.052848722986241</c:v>
                </c:pt>
                <c:pt idx="28">
                  <c:v>43.330609037328088</c:v>
                </c:pt>
                <c:pt idx="29">
                  <c:v>42.7750884086444</c:v>
                </c:pt>
                <c:pt idx="30">
                  <c:v>42.219567779960705</c:v>
                </c:pt>
                <c:pt idx="31">
                  <c:v>39.997485265225933</c:v>
                </c:pt>
                <c:pt idx="32">
                  <c:v>43.052848722986241</c:v>
                </c:pt>
                <c:pt idx="33">
                  <c:v>41.386286836935163</c:v>
                </c:pt>
                <c:pt idx="34">
                  <c:v>40.27524557956778</c:v>
                </c:pt>
                <c:pt idx="35">
                  <c:v>41.386286836935163</c:v>
                </c:pt>
                <c:pt idx="36">
                  <c:v>44.16388998035363</c:v>
                </c:pt>
                <c:pt idx="37">
                  <c:v>43.052848722986241</c:v>
                </c:pt>
                <c:pt idx="38">
                  <c:v>43.052848722986241</c:v>
                </c:pt>
                <c:pt idx="39">
                  <c:v>42.7750884086444</c:v>
                </c:pt>
                <c:pt idx="40">
                  <c:v>42.7750884086444</c:v>
                </c:pt>
                <c:pt idx="41">
                  <c:v>45.830451866404715</c:v>
                </c:pt>
                <c:pt idx="42">
                  <c:v>46.108212180746563</c:v>
                </c:pt>
                <c:pt idx="43">
                  <c:v>45.830451866404715</c:v>
                </c:pt>
                <c:pt idx="44">
                  <c:v>43.886129666011783</c:v>
                </c:pt>
                <c:pt idx="45">
                  <c:v>42.7750884086444</c:v>
                </c:pt>
                <c:pt idx="46">
                  <c:v>42.219567779960705</c:v>
                </c:pt>
                <c:pt idx="47">
                  <c:v>42.219567779960705</c:v>
                </c:pt>
                <c:pt idx="48">
                  <c:v>42.7750884086444</c:v>
                </c:pt>
                <c:pt idx="49">
                  <c:v>43.886129666011783</c:v>
                </c:pt>
                <c:pt idx="50">
                  <c:v>43.330609037328088</c:v>
                </c:pt>
                <c:pt idx="51">
                  <c:v>45.830451866404715</c:v>
                </c:pt>
                <c:pt idx="52">
                  <c:v>44.997170923379173</c:v>
                </c:pt>
                <c:pt idx="53">
                  <c:v>45.552691552062861</c:v>
                </c:pt>
                <c:pt idx="54">
                  <c:v>46.108212180746563</c:v>
                </c:pt>
                <c:pt idx="55">
                  <c:v>47.219253438113945</c:v>
                </c:pt>
                <c:pt idx="56">
                  <c:v>51.38565815324165</c:v>
                </c:pt>
                <c:pt idx="57">
                  <c:v>49.441335952848718</c:v>
                </c:pt>
                <c:pt idx="58">
                  <c:v>49.719096267190565</c:v>
                </c:pt>
                <c:pt idx="59">
                  <c:v>48.330294695481328</c:v>
                </c:pt>
                <c:pt idx="60">
                  <c:v>49.719096267190565</c:v>
                </c:pt>
                <c:pt idx="61">
                  <c:v>48.88581532416503</c:v>
                </c:pt>
                <c:pt idx="62">
                  <c:v>49.16357563850687</c:v>
                </c:pt>
                <c:pt idx="63">
                  <c:v>49.16357563850687</c:v>
                </c:pt>
                <c:pt idx="64">
                  <c:v>47.219253438113945</c:v>
                </c:pt>
                <c:pt idx="65">
                  <c:v>48.608055009823175</c:v>
                </c:pt>
                <c:pt idx="66">
                  <c:v>47.497013752455793</c:v>
                </c:pt>
                <c:pt idx="67">
                  <c:v>46.108212180746563</c:v>
                </c:pt>
                <c:pt idx="68">
                  <c:v>45.552691552062861</c:v>
                </c:pt>
                <c:pt idx="69">
                  <c:v>46.941493123772098</c:v>
                </c:pt>
                <c:pt idx="70">
                  <c:v>47.219253438113945</c:v>
                </c:pt>
                <c:pt idx="71">
                  <c:v>45.830451866404715</c:v>
                </c:pt>
                <c:pt idx="72">
                  <c:v>46.941493123772098</c:v>
                </c:pt>
                <c:pt idx="73">
                  <c:v>47.77477406679764</c:v>
                </c:pt>
                <c:pt idx="74">
                  <c:v>49.719096267190565</c:v>
                </c:pt>
                <c:pt idx="75">
                  <c:v>49.719096267190565</c:v>
                </c:pt>
                <c:pt idx="76">
                  <c:v>49.441335952848718</c:v>
                </c:pt>
                <c:pt idx="77">
                  <c:v>50.830137524557955</c:v>
                </c:pt>
                <c:pt idx="78">
                  <c:v>49.719096267190565</c:v>
                </c:pt>
                <c:pt idx="79">
                  <c:v>50.552377210216108</c:v>
                </c:pt>
                <c:pt idx="80">
                  <c:v>50.552377210216108</c:v>
                </c:pt>
                <c:pt idx="81">
                  <c:v>51.38565815324165</c:v>
                </c:pt>
                <c:pt idx="82">
                  <c:v>51.38565815324165</c:v>
                </c:pt>
                <c:pt idx="83">
                  <c:v>61.38502946954813</c:v>
                </c:pt>
                <c:pt idx="84">
                  <c:v>65.829194499017675</c:v>
                </c:pt>
                <c:pt idx="85">
                  <c:v>66.384715127701369</c:v>
                </c:pt>
                <c:pt idx="86">
                  <c:v>65.27367387033398</c:v>
                </c:pt>
                <c:pt idx="87">
                  <c:v>61.940550098231824</c:v>
                </c:pt>
                <c:pt idx="88">
                  <c:v>58.329666011787815</c:v>
                </c:pt>
                <c:pt idx="89">
                  <c:v>56.940864440078585</c:v>
                </c:pt>
                <c:pt idx="90">
                  <c:v>55.552062868369347</c:v>
                </c:pt>
                <c:pt idx="91">
                  <c:v>58.607426326129662</c:v>
                </c:pt>
                <c:pt idx="92">
                  <c:v>57.218624754420432</c:v>
                </c:pt>
                <c:pt idx="93">
                  <c:v>56.66310412573673</c:v>
                </c:pt>
                <c:pt idx="94">
                  <c:v>56.38534381139489</c:v>
                </c:pt>
                <c:pt idx="95">
                  <c:v>57.496385068762272</c:v>
                </c:pt>
                <c:pt idx="96">
                  <c:v>58.607426326129662</c:v>
                </c:pt>
                <c:pt idx="97">
                  <c:v>58.051905697445967</c:v>
                </c:pt>
                <c:pt idx="98">
                  <c:v>62.773831041257367</c:v>
                </c:pt>
                <c:pt idx="99">
                  <c:v>60.551748526522587</c:v>
                </c:pt>
                <c:pt idx="100">
                  <c:v>60.551748526522587</c:v>
                </c:pt>
                <c:pt idx="101">
                  <c:v>59.996227897838899</c:v>
                </c:pt>
                <c:pt idx="102">
                  <c:v>61.107269155206282</c:v>
                </c:pt>
                <c:pt idx="103">
                  <c:v>58.88518664047151</c:v>
                </c:pt>
                <c:pt idx="104">
                  <c:v>59.996227897838899</c:v>
                </c:pt>
                <c:pt idx="105">
                  <c:v>61.940550098231824</c:v>
                </c:pt>
                <c:pt idx="106">
                  <c:v>63.051591355599207</c:v>
                </c:pt>
                <c:pt idx="107">
                  <c:v>64.440392927308437</c:v>
                </c:pt>
                <c:pt idx="108">
                  <c:v>62.773831041257367</c:v>
                </c:pt>
                <c:pt idx="109">
                  <c:v>62.773831041257367</c:v>
                </c:pt>
                <c:pt idx="110">
                  <c:v>69.440078585461691</c:v>
                </c:pt>
                <c:pt idx="111">
                  <c:v>74.439764243614931</c:v>
                </c:pt>
                <c:pt idx="112">
                  <c:v>74.439764243614931</c:v>
                </c:pt>
                <c:pt idx="113">
                  <c:v>69.717838899803539</c:v>
                </c:pt>
                <c:pt idx="114">
                  <c:v>69.440078585461691</c:v>
                </c:pt>
                <c:pt idx="115">
                  <c:v>70.273359528487219</c:v>
                </c:pt>
                <c:pt idx="116">
                  <c:v>72.217681728880152</c:v>
                </c:pt>
                <c:pt idx="117">
                  <c:v>68.329037328094302</c:v>
                </c:pt>
                <c:pt idx="118">
                  <c:v>68.329037328094302</c:v>
                </c:pt>
                <c:pt idx="119">
                  <c:v>66.662475442043217</c:v>
                </c:pt>
                <c:pt idx="120">
                  <c:v>68.051277013752454</c:v>
                </c:pt>
                <c:pt idx="121">
                  <c:v>66.106954813359522</c:v>
                </c:pt>
                <c:pt idx="122">
                  <c:v>66.662475442043217</c:v>
                </c:pt>
                <c:pt idx="123">
                  <c:v>66.106954813359522</c:v>
                </c:pt>
                <c:pt idx="124">
                  <c:v>64.995913555992132</c:v>
                </c:pt>
                <c:pt idx="125">
                  <c:v>66.662475442043217</c:v>
                </c:pt>
                <c:pt idx="126">
                  <c:v>67.495756385068759</c:v>
                </c:pt>
                <c:pt idx="127">
                  <c:v>66.940235756385064</c:v>
                </c:pt>
                <c:pt idx="128">
                  <c:v>66.384715127701369</c:v>
                </c:pt>
                <c:pt idx="129">
                  <c:v>65.551434184675827</c:v>
                </c:pt>
                <c:pt idx="130">
                  <c:v>64.995913555992132</c:v>
                </c:pt>
                <c:pt idx="131">
                  <c:v>66.940235756385064</c:v>
                </c:pt>
                <c:pt idx="132">
                  <c:v>66.384715127701369</c:v>
                </c:pt>
                <c:pt idx="133">
                  <c:v>67.773516699410607</c:v>
                </c:pt>
                <c:pt idx="134">
                  <c:v>66.940235756385064</c:v>
                </c:pt>
                <c:pt idx="135">
                  <c:v>66.662475442043217</c:v>
                </c:pt>
                <c:pt idx="136">
                  <c:v>72.773202357563846</c:v>
                </c:pt>
                <c:pt idx="137">
                  <c:v>71.384400785854609</c:v>
                </c:pt>
                <c:pt idx="138">
                  <c:v>74.995284872298612</c:v>
                </c:pt>
                <c:pt idx="139">
                  <c:v>72.773202357563846</c:v>
                </c:pt>
                <c:pt idx="140">
                  <c:v>74.439764243614931</c:v>
                </c:pt>
                <c:pt idx="141">
                  <c:v>78.883929273084476</c:v>
                </c:pt>
                <c:pt idx="142">
                  <c:v>80.550491159135561</c:v>
                </c:pt>
                <c:pt idx="143">
                  <c:v>79.439449901768171</c:v>
                </c:pt>
                <c:pt idx="144">
                  <c:v>79.439449901768171</c:v>
                </c:pt>
                <c:pt idx="145">
                  <c:v>72.217681728880152</c:v>
                </c:pt>
                <c:pt idx="146">
                  <c:v>75.550805500982307</c:v>
                </c:pt>
                <c:pt idx="147">
                  <c:v>73.050962671905694</c:v>
                </c:pt>
                <c:pt idx="148">
                  <c:v>74.717524557956764</c:v>
                </c:pt>
                <c:pt idx="149">
                  <c:v>73.606483300589389</c:v>
                </c:pt>
                <c:pt idx="150">
                  <c:v>76.106326129666002</c:v>
                </c:pt>
                <c:pt idx="151">
                  <c:v>83.605854616895869</c:v>
                </c:pt>
                <c:pt idx="152">
                  <c:v>86.105697445972481</c:v>
                </c:pt>
                <c:pt idx="153">
                  <c:v>92.771944990176806</c:v>
                </c:pt>
                <c:pt idx="154">
                  <c:v>93.327465618860501</c:v>
                </c:pt>
                <c:pt idx="155">
                  <c:v>88.050019646365413</c:v>
                </c:pt>
                <c:pt idx="156">
                  <c:v>87.772259332023566</c:v>
                </c:pt>
                <c:pt idx="157">
                  <c:v>80.828251473477408</c:v>
                </c:pt>
                <c:pt idx="158">
                  <c:v>80.550491159135561</c:v>
                </c:pt>
                <c:pt idx="159">
                  <c:v>76.384086444007849</c:v>
                </c:pt>
                <c:pt idx="160">
                  <c:v>79.994970530451866</c:v>
                </c:pt>
                <c:pt idx="161">
                  <c:v>77.217367387033391</c:v>
                </c:pt>
                <c:pt idx="162">
                  <c:v>81.106011787819241</c:v>
                </c:pt>
                <c:pt idx="163">
                  <c:v>80.550491159135561</c:v>
                </c:pt>
                <c:pt idx="164">
                  <c:v>74.995284872298612</c:v>
                </c:pt>
                <c:pt idx="165">
                  <c:v>75.828565815324154</c:v>
                </c:pt>
                <c:pt idx="166">
                  <c:v>75.550805500982307</c:v>
                </c:pt>
                <c:pt idx="167">
                  <c:v>79.439449901768171</c:v>
                </c:pt>
                <c:pt idx="168">
                  <c:v>78.328408644400781</c:v>
                </c:pt>
                <c:pt idx="169">
                  <c:v>72.773202357563846</c:v>
                </c:pt>
                <c:pt idx="170">
                  <c:v>72.217681728880152</c:v>
                </c:pt>
                <c:pt idx="171">
                  <c:v>71.939921414538304</c:v>
                </c:pt>
                <c:pt idx="172">
                  <c:v>71.384400785854609</c:v>
                </c:pt>
                <c:pt idx="173">
                  <c:v>61.38502946954813</c:v>
                </c:pt>
                <c:pt idx="174">
                  <c:v>64.162632612966604</c:v>
                </c:pt>
                <c:pt idx="175">
                  <c:v>66.384715127701369</c:v>
                </c:pt>
                <c:pt idx="176">
                  <c:v>68.606797642436149</c:v>
                </c:pt>
                <c:pt idx="177">
                  <c:v>66.106954813359522</c:v>
                </c:pt>
                <c:pt idx="178">
                  <c:v>66.384715127701369</c:v>
                </c:pt>
                <c:pt idx="179">
                  <c:v>72.773202357563846</c:v>
                </c:pt>
                <c:pt idx="180">
                  <c:v>72.495442043221999</c:v>
                </c:pt>
                <c:pt idx="181">
                  <c:v>72.495442043221999</c:v>
                </c:pt>
                <c:pt idx="182">
                  <c:v>73.884243614931236</c:v>
                </c:pt>
                <c:pt idx="183">
                  <c:v>72.217681728880152</c:v>
                </c:pt>
                <c:pt idx="184">
                  <c:v>69.995599214145372</c:v>
                </c:pt>
                <c:pt idx="185">
                  <c:v>71.106640471512762</c:v>
                </c:pt>
                <c:pt idx="186">
                  <c:v>72.495442043221999</c:v>
                </c:pt>
                <c:pt idx="187">
                  <c:v>73.328722986247541</c:v>
                </c:pt>
                <c:pt idx="188">
                  <c:v>75.273045186640474</c:v>
                </c:pt>
                <c:pt idx="189">
                  <c:v>73.606483300589389</c:v>
                </c:pt>
                <c:pt idx="190">
                  <c:v>71.939921414538304</c:v>
                </c:pt>
                <c:pt idx="191">
                  <c:v>71.662161100196457</c:v>
                </c:pt>
                <c:pt idx="192">
                  <c:v>71.662161100196457</c:v>
                </c:pt>
                <c:pt idx="193">
                  <c:v>68.051277013752454</c:v>
                </c:pt>
                <c:pt idx="194">
                  <c:v>66.384715127701369</c:v>
                </c:pt>
                <c:pt idx="195">
                  <c:v>63.884872298624749</c:v>
                </c:pt>
                <c:pt idx="196">
                  <c:v>66.384715127701369</c:v>
                </c:pt>
                <c:pt idx="197">
                  <c:v>64.718153241650285</c:v>
                </c:pt>
                <c:pt idx="198">
                  <c:v>62.773831041257367</c:v>
                </c:pt>
                <c:pt idx="199">
                  <c:v>61.940550098231824</c:v>
                </c:pt>
                <c:pt idx="200">
                  <c:v>63.607111984282902</c:v>
                </c:pt>
                <c:pt idx="201">
                  <c:v>63.884872298624749</c:v>
                </c:pt>
                <c:pt idx="202">
                  <c:v>62.773831041257367</c:v>
                </c:pt>
                <c:pt idx="203">
                  <c:v>65.27367387033398</c:v>
                </c:pt>
                <c:pt idx="204">
                  <c:v>68.051277013752454</c:v>
                </c:pt>
                <c:pt idx="205">
                  <c:v>67.495756385068759</c:v>
                </c:pt>
                <c:pt idx="206">
                  <c:v>68.051277013752454</c:v>
                </c:pt>
                <c:pt idx="207">
                  <c:v>66.662475442043217</c:v>
                </c:pt>
                <c:pt idx="208">
                  <c:v>71.939921414538304</c:v>
                </c:pt>
                <c:pt idx="209">
                  <c:v>68.884557956777996</c:v>
                </c:pt>
                <c:pt idx="210">
                  <c:v>69.995599214145372</c:v>
                </c:pt>
                <c:pt idx="211">
                  <c:v>69.995599214145372</c:v>
                </c:pt>
                <c:pt idx="212">
                  <c:v>68.884557956777996</c:v>
                </c:pt>
                <c:pt idx="213">
                  <c:v>67.495756385068759</c:v>
                </c:pt>
                <c:pt idx="214">
                  <c:v>65.551434184675827</c:v>
                </c:pt>
                <c:pt idx="215">
                  <c:v>64.718153241650285</c:v>
                </c:pt>
                <c:pt idx="216">
                  <c:v>63.329351669941055</c:v>
                </c:pt>
                <c:pt idx="217">
                  <c:v>64.440392927308437</c:v>
                </c:pt>
                <c:pt idx="218">
                  <c:v>67.495756385068759</c:v>
                </c:pt>
                <c:pt idx="219">
                  <c:v>67.495756385068759</c:v>
                </c:pt>
                <c:pt idx="220">
                  <c:v>67.773516699410607</c:v>
                </c:pt>
                <c:pt idx="221">
                  <c:v>69.16231827111983</c:v>
                </c:pt>
                <c:pt idx="222">
                  <c:v>63.329351669941055</c:v>
                </c:pt>
                <c:pt idx="223">
                  <c:v>63.329351669941055</c:v>
                </c:pt>
                <c:pt idx="224">
                  <c:v>64.440392927308437</c:v>
                </c:pt>
                <c:pt idx="225">
                  <c:v>64.995913555992132</c:v>
                </c:pt>
                <c:pt idx="226">
                  <c:v>63.607111984282902</c:v>
                </c:pt>
                <c:pt idx="227">
                  <c:v>63.884872298624749</c:v>
                </c:pt>
                <c:pt idx="228">
                  <c:v>62.773831041257367</c:v>
                </c:pt>
                <c:pt idx="229">
                  <c:v>64.440392927308437</c:v>
                </c:pt>
                <c:pt idx="230">
                  <c:v>65.27367387033398</c:v>
                </c:pt>
                <c:pt idx="231">
                  <c:v>64.162632612966604</c:v>
                </c:pt>
                <c:pt idx="232">
                  <c:v>65.829194499017675</c:v>
                </c:pt>
                <c:pt idx="233">
                  <c:v>64.440392927308437</c:v>
                </c:pt>
                <c:pt idx="234">
                  <c:v>63.884872298624749</c:v>
                </c:pt>
                <c:pt idx="235">
                  <c:v>63.884872298624749</c:v>
                </c:pt>
                <c:pt idx="236">
                  <c:v>62.773831041257367</c:v>
                </c:pt>
                <c:pt idx="237">
                  <c:v>62.496070726915519</c:v>
                </c:pt>
                <c:pt idx="238">
                  <c:v>62.496070726915519</c:v>
                </c:pt>
                <c:pt idx="239">
                  <c:v>63.329351669941055</c:v>
                </c:pt>
                <c:pt idx="240">
                  <c:v>62.218310412573665</c:v>
                </c:pt>
                <c:pt idx="241">
                  <c:v>61.38502946954813</c:v>
                </c:pt>
                <c:pt idx="242">
                  <c:v>59.996227897838899</c:v>
                </c:pt>
                <c:pt idx="243">
                  <c:v>61.662789783889977</c:v>
                </c:pt>
                <c:pt idx="244">
                  <c:v>60.829508840864435</c:v>
                </c:pt>
                <c:pt idx="245">
                  <c:v>61.940550098231824</c:v>
                </c:pt>
                <c:pt idx="246">
                  <c:v>62.773831041257367</c:v>
                </c:pt>
                <c:pt idx="247">
                  <c:v>61.940550098231824</c:v>
                </c:pt>
                <c:pt idx="248">
                  <c:v>61.107269155206282</c:v>
                </c:pt>
                <c:pt idx="249">
                  <c:v>62.773831041257367</c:v>
                </c:pt>
                <c:pt idx="250">
                  <c:v>62.496070726915519</c:v>
                </c:pt>
                <c:pt idx="251">
                  <c:v>63.884872298624749</c:v>
                </c:pt>
                <c:pt idx="252">
                  <c:v>68.051277013752454</c:v>
                </c:pt>
                <c:pt idx="253">
                  <c:v>71.662161100196457</c:v>
                </c:pt>
                <c:pt idx="254">
                  <c:v>69.995599214145372</c:v>
                </c:pt>
                <c:pt idx="255">
                  <c:v>71.384400785854609</c:v>
                </c:pt>
                <c:pt idx="256">
                  <c:v>71.384400785854609</c:v>
                </c:pt>
                <c:pt idx="257">
                  <c:v>69.440078585461691</c:v>
                </c:pt>
                <c:pt idx="258">
                  <c:v>71.106640471512762</c:v>
                </c:pt>
                <c:pt idx="259">
                  <c:v>69.440078585461691</c:v>
                </c:pt>
                <c:pt idx="260">
                  <c:v>67.495756385068759</c:v>
                </c:pt>
                <c:pt idx="261">
                  <c:v>68.329037328094302</c:v>
                </c:pt>
                <c:pt idx="262">
                  <c:v>67.495756385068759</c:v>
                </c:pt>
                <c:pt idx="263">
                  <c:v>68.051277013752454</c:v>
                </c:pt>
                <c:pt idx="264">
                  <c:v>68.606797642436149</c:v>
                </c:pt>
                <c:pt idx="265">
                  <c:v>68.606797642436149</c:v>
                </c:pt>
                <c:pt idx="266">
                  <c:v>69.440078585461691</c:v>
                </c:pt>
                <c:pt idx="267">
                  <c:v>68.884557956777996</c:v>
                </c:pt>
                <c:pt idx="268">
                  <c:v>68.051277013752454</c:v>
                </c:pt>
                <c:pt idx="269">
                  <c:v>69.16231827111983</c:v>
                </c:pt>
                <c:pt idx="270">
                  <c:v>65.27367387033398</c:v>
                </c:pt>
                <c:pt idx="271">
                  <c:v>67.773516699410607</c:v>
                </c:pt>
                <c:pt idx="272">
                  <c:v>68.329037328094302</c:v>
                </c:pt>
                <c:pt idx="273">
                  <c:v>66.662475442043217</c:v>
                </c:pt>
                <c:pt idx="274">
                  <c:v>66.106954813359522</c:v>
                </c:pt>
                <c:pt idx="275">
                  <c:v>63.051591355599207</c:v>
                </c:pt>
                <c:pt idx="276">
                  <c:v>62.773831041257367</c:v>
                </c:pt>
                <c:pt idx="277">
                  <c:v>60.829508840864435</c:v>
                </c:pt>
                <c:pt idx="278">
                  <c:v>61.38502946954813</c:v>
                </c:pt>
                <c:pt idx="279">
                  <c:v>59.996227897838899</c:v>
                </c:pt>
                <c:pt idx="280">
                  <c:v>59.440707269155197</c:v>
                </c:pt>
                <c:pt idx="281">
                  <c:v>58.88518664047151</c:v>
                </c:pt>
                <c:pt idx="282">
                  <c:v>57.218624754420432</c:v>
                </c:pt>
                <c:pt idx="283">
                  <c:v>61.107269155206282</c:v>
                </c:pt>
                <c:pt idx="284">
                  <c:v>57.218624754420432</c:v>
                </c:pt>
                <c:pt idx="285">
                  <c:v>58.607426326129662</c:v>
                </c:pt>
                <c:pt idx="286">
                  <c:v>56.940864440078585</c:v>
                </c:pt>
                <c:pt idx="287">
                  <c:v>55.552062868369347</c:v>
                </c:pt>
                <c:pt idx="288">
                  <c:v>54.996542239685652</c:v>
                </c:pt>
                <c:pt idx="289">
                  <c:v>56.107583497053042</c:v>
                </c:pt>
                <c:pt idx="290">
                  <c:v>55.829823182711195</c:v>
                </c:pt>
                <c:pt idx="291">
                  <c:v>56.940864440078585</c:v>
                </c:pt>
                <c:pt idx="292">
                  <c:v>56.107583497053042</c:v>
                </c:pt>
                <c:pt idx="293">
                  <c:v>55.552062868369347</c:v>
                </c:pt>
                <c:pt idx="294">
                  <c:v>56.38534381139489</c:v>
                </c:pt>
                <c:pt idx="295">
                  <c:v>55.552062868369347</c:v>
                </c:pt>
                <c:pt idx="296">
                  <c:v>56.66310412573673</c:v>
                </c:pt>
                <c:pt idx="297">
                  <c:v>55.829823182711195</c:v>
                </c:pt>
                <c:pt idx="298">
                  <c:v>54.996542239685652</c:v>
                </c:pt>
                <c:pt idx="299">
                  <c:v>54.441021611001965</c:v>
                </c:pt>
                <c:pt idx="300">
                  <c:v>53.885500982318263</c:v>
                </c:pt>
                <c:pt idx="301">
                  <c:v>53.052220039292727</c:v>
                </c:pt>
                <c:pt idx="302">
                  <c:v>53.329980353634575</c:v>
                </c:pt>
                <c:pt idx="303">
                  <c:v>51.38565815324165</c:v>
                </c:pt>
                <c:pt idx="304">
                  <c:v>49.16357563850687</c:v>
                </c:pt>
                <c:pt idx="305">
                  <c:v>48.330294695481328</c:v>
                </c:pt>
                <c:pt idx="306">
                  <c:v>46.108212180746563</c:v>
                </c:pt>
                <c:pt idx="307">
                  <c:v>46.66373280943025</c:v>
                </c:pt>
                <c:pt idx="308">
                  <c:v>47.497013752455793</c:v>
                </c:pt>
                <c:pt idx="309">
                  <c:v>47.219253438113945</c:v>
                </c:pt>
                <c:pt idx="310">
                  <c:v>47.219253438113945</c:v>
                </c:pt>
                <c:pt idx="311">
                  <c:v>49.16357563850687</c:v>
                </c:pt>
                <c:pt idx="312">
                  <c:v>47.219253438113945</c:v>
                </c:pt>
                <c:pt idx="313">
                  <c:v>48.608055009823175</c:v>
                </c:pt>
                <c:pt idx="314">
                  <c:v>48.330294695481328</c:v>
                </c:pt>
                <c:pt idx="315">
                  <c:v>50.552377210216108</c:v>
                </c:pt>
                <c:pt idx="316">
                  <c:v>53.052220039292727</c:v>
                </c:pt>
                <c:pt idx="317">
                  <c:v>54.16326129666011</c:v>
                </c:pt>
                <c:pt idx="318">
                  <c:v>52.218939096267185</c:v>
                </c:pt>
                <c:pt idx="319">
                  <c:v>50.27461689587426</c:v>
                </c:pt>
                <c:pt idx="320">
                  <c:v>49.996856581532413</c:v>
                </c:pt>
                <c:pt idx="321">
                  <c:v>49.996856581532413</c:v>
                </c:pt>
                <c:pt idx="322">
                  <c:v>49.719096267190565</c:v>
                </c:pt>
                <c:pt idx="323">
                  <c:v>51.38565815324165</c:v>
                </c:pt>
                <c:pt idx="324">
                  <c:v>48.88581532416503</c:v>
                </c:pt>
                <c:pt idx="325">
                  <c:v>50.830137524557955</c:v>
                </c:pt>
                <c:pt idx="326">
                  <c:v>49.996856581532413</c:v>
                </c:pt>
                <c:pt idx="327">
                  <c:v>50.552377210216108</c:v>
                </c:pt>
                <c:pt idx="328">
                  <c:v>49.996856581532413</c:v>
                </c:pt>
                <c:pt idx="329">
                  <c:v>49.996856581532413</c:v>
                </c:pt>
                <c:pt idx="330">
                  <c:v>48.330294695481328</c:v>
                </c:pt>
                <c:pt idx="331">
                  <c:v>49.719096267190565</c:v>
                </c:pt>
                <c:pt idx="332">
                  <c:v>47.497013752455793</c:v>
                </c:pt>
                <c:pt idx="333">
                  <c:v>46.66373280943025</c:v>
                </c:pt>
                <c:pt idx="334">
                  <c:v>46.66373280943025</c:v>
                </c:pt>
                <c:pt idx="335">
                  <c:v>44.441650294695478</c:v>
                </c:pt>
                <c:pt idx="336">
                  <c:v>43.330609037328088</c:v>
                </c:pt>
                <c:pt idx="337">
                  <c:v>43.608369351669936</c:v>
                </c:pt>
                <c:pt idx="338">
                  <c:v>42.497328094302553</c:v>
                </c:pt>
                <c:pt idx="339">
                  <c:v>39.719724950884086</c:v>
                </c:pt>
                <c:pt idx="340">
                  <c:v>38.608683693516696</c:v>
                </c:pt>
                <c:pt idx="341">
                  <c:v>39.441964636542238</c:v>
                </c:pt>
                <c:pt idx="342">
                  <c:v>38.886444007858543</c:v>
                </c:pt>
                <c:pt idx="343">
                  <c:v>36.942121807465618</c:v>
                </c:pt>
                <c:pt idx="344">
                  <c:v>37.219882121807466</c:v>
                </c:pt>
                <c:pt idx="345">
                  <c:v>36.386601178781923</c:v>
                </c:pt>
                <c:pt idx="346">
                  <c:v>36.942121807465618</c:v>
                </c:pt>
                <c:pt idx="347">
                  <c:v>38.053163064833001</c:v>
                </c:pt>
                <c:pt idx="348">
                  <c:v>40.830766208251468</c:v>
                </c:pt>
                <c:pt idx="349">
                  <c:v>39.164204322200391</c:v>
                </c:pt>
                <c:pt idx="350">
                  <c:v>38.053163064833001</c:v>
                </c:pt>
                <c:pt idx="351">
                  <c:v>38.330923379174848</c:v>
                </c:pt>
                <c:pt idx="352">
                  <c:v>34.442278978388998</c:v>
                </c:pt>
                <c:pt idx="353">
                  <c:v>36.108840864440076</c:v>
                </c:pt>
                <c:pt idx="354">
                  <c:v>36.942121807465618</c:v>
                </c:pt>
                <c:pt idx="355">
                  <c:v>38.053163064833001</c:v>
                </c:pt>
                <c:pt idx="356">
                  <c:v>37.219882121807466</c:v>
                </c:pt>
                <c:pt idx="357">
                  <c:v>39.164204322200391</c:v>
                </c:pt>
                <c:pt idx="358">
                  <c:v>40.830766208251468</c:v>
                </c:pt>
                <c:pt idx="359">
                  <c:v>41.108526522593316</c:v>
                </c:pt>
                <c:pt idx="360">
                  <c:v>38.886444007858543</c:v>
                </c:pt>
                <c:pt idx="361">
                  <c:v>40.27524557956778</c:v>
                </c:pt>
                <c:pt idx="362">
                  <c:v>39.164204322200391</c:v>
                </c:pt>
                <c:pt idx="363">
                  <c:v>39.441964636542238</c:v>
                </c:pt>
                <c:pt idx="364">
                  <c:v>39.719724950884086</c:v>
                </c:pt>
                <c:pt idx="365">
                  <c:v>39.164204322200391</c:v>
                </c:pt>
                <c:pt idx="366">
                  <c:v>39.441964636542238</c:v>
                </c:pt>
                <c:pt idx="367">
                  <c:v>38.886444007858543</c:v>
                </c:pt>
                <c:pt idx="368">
                  <c:v>38.608683693516696</c:v>
                </c:pt>
                <c:pt idx="369">
                  <c:v>37.497642436149306</c:v>
                </c:pt>
                <c:pt idx="370">
                  <c:v>37.497642436149306</c:v>
                </c:pt>
                <c:pt idx="371">
                  <c:v>36.664361493123771</c:v>
                </c:pt>
                <c:pt idx="372">
                  <c:v>38.053163064833001</c:v>
                </c:pt>
                <c:pt idx="373">
                  <c:v>38.330923379174848</c:v>
                </c:pt>
                <c:pt idx="374">
                  <c:v>36.108840864440076</c:v>
                </c:pt>
                <c:pt idx="375">
                  <c:v>36.664361493123771</c:v>
                </c:pt>
                <c:pt idx="376">
                  <c:v>37.775402750491153</c:v>
                </c:pt>
                <c:pt idx="377">
                  <c:v>34.997799607072686</c:v>
                </c:pt>
                <c:pt idx="378">
                  <c:v>32.220196463654219</c:v>
                </c:pt>
                <c:pt idx="379">
                  <c:v>34.442278978388998</c:v>
                </c:pt>
                <c:pt idx="380">
                  <c:v>33.886758349705303</c:v>
                </c:pt>
                <c:pt idx="381">
                  <c:v>34.442278978388998</c:v>
                </c:pt>
                <c:pt idx="382">
                  <c:v>34.164518664047151</c:v>
                </c:pt>
                <c:pt idx="383">
                  <c:v>35.553320235756381</c:v>
                </c:pt>
                <c:pt idx="384">
                  <c:v>35.553320235756381</c:v>
                </c:pt>
                <c:pt idx="385">
                  <c:v>36.108840864440076</c:v>
                </c:pt>
                <c:pt idx="386">
                  <c:v>34.720039292730846</c:v>
                </c:pt>
                <c:pt idx="387">
                  <c:v>36.108840864440076</c:v>
                </c:pt>
                <c:pt idx="388">
                  <c:v>34.997799607072686</c:v>
                </c:pt>
                <c:pt idx="389">
                  <c:v>34.164518664047151</c:v>
                </c:pt>
                <c:pt idx="390">
                  <c:v>34.720039292730846</c:v>
                </c:pt>
                <c:pt idx="391">
                  <c:v>34.164518664047151</c:v>
                </c:pt>
                <c:pt idx="392">
                  <c:v>35.275559921414533</c:v>
                </c:pt>
                <c:pt idx="393">
                  <c:v>35.275559921414533</c:v>
                </c:pt>
                <c:pt idx="394">
                  <c:v>36.108840864440076</c:v>
                </c:pt>
                <c:pt idx="395">
                  <c:v>36.108840864440076</c:v>
                </c:pt>
                <c:pt idx="396">
                  <c:v>36.108840864440076</c:v>
                </c:pt>
                <c:pt idx="397">
                  <c:v>36.386601178781923</c:v>
                </c:pt>
                <c:pt idx="398">
                  <c:v>36.664361493123771</c:v>
                </c:pt>
                <c:pt idx="399">
                  <c:v>35.553320235756381</c:v>
                </c:pt>
                <c:pt idx="400">
                  <c:v>35.831080550098228</c:v>
                </c:pt>
                <c:pt idx="401">
                  <c:v>34.442278978388998</c:v>
                </c:pt>
                <c:pt idx="402">
                  <c:v>34.442278978388998</c:v>
                </c:pt>
                <c:pt idx="403">
                  <c:v>33.886758349705303</c:v>
                </c:pt>
                <c:pt idx="404">
                  <c:v>33.608998035363456</c:v>
                </c:pt>
                <c:pt idx="405">
                  <c:v>33.331237721021608</c:v>
                </c:pt>
                <c:pt idx="406">
                  <c:v>32.775717092337914</c:v>
                </c:pt>
                <c:pt idx="407">
                  <c:v>31.664675834970527</c:v>
                </c:pt>
                <c:pt idx="408">
                  <c:v>31.664675834970527</c:v>
                </c:pt>
                <c:pt idx="409">
                  <c:v>31.386915520628683</c:v>
                </c:pt>
                <c:pt idx="410">
                  <c:v>33.053477406679761</c:v>
                </c:pt>
                <c:pt idx="411">
                  <c:v>31.942436149312375</c:v>
                </c:pt>
                <c:pt idx="412">
                  <c:v>31.109155206286832</c:v>
                </c:pt>
                <c:pt idx="413">
                  <c:v>32.497956777996066</c:v>
                </c:pt>
                <c:pt idx="414">
                  <c:v>33.331237721021608</c:v>
                </c:pt>
                <c:pt idx="415">
                  <c:v>34.164518664047151</c:v>
                </c:pt>
                <c:pt idx="416">
                  <c:v>34.442278978388998</c:v>
                </c:pt>
                <c:pt idx="417">
                  <c:v>33.608998035363456</c:v>
                </c:pt>
                <c:pt idx="418">
                  <c:v>33.886758349705303</c:v>
                </c:pt>
                <c:pt idx="419">
                  <c:v>33.886758349705303</c:v>
                </c:pt>
                <c:pt idx="420">
                  <c:v>33.331237721021608</c:v>
                </c:pt>
                <c:pt idx="421">
                  <c:v>33.331237721021608</c:v>
                </c:pt>
                <c:pt idx="422">
                  <c:v>33.331237721021608</c:v>
                </c:pt>
                <c:pt idx="423">
                  <c:v>33.886758349705303</c:v>
                </c:pt>
                <c:pt idx="424">
                  <c:v>33.886758349705303</c:v>
                </c:pt>
                <c:pt idx="425">
                  <c:v>32.775717092337914</c:v>
                </c:pt>
                <c:pt idx="426">
                  <c:v>31.942436149312375</c:v>
                </c:pt>
                <c:pt idx="427">
                  <c:v>31.942436149312375</c:v>
                </c:pt>
                <c:pt idx="428">
                  <c:v>32.497956777996066</c:v>
                </c:pt>
                <c:pt idx="429">
                  <c:v>32.220196463654219</c:v>
                </c:pt>
                <c:pt idx="430">
                  <c:v>32.497956777996066</c:v>
                </c:pt>
                <c:pt idx="431">
                  <c:v>33.331237721021608</c:v>
                </c:pt>
                <c:pt idx="432">
                  <c:v>33.331237721021608</c:v>
                </c:pt>
                <c:pt idx="433">
                  <c:v>33.053477406679761</c:v>
                </c:pt>
                <c:pt idx="434">
                  <c:v>33.331237721021608</c:v>
                </c:pt>
                <c:pt idx="435">
                  <c:v>33.331237721021608</c:v>
                </c:pt>
                <c:pt idx="436">
                  <c:v>34.164518664047151</c:v>
                </c:pt>
                <c:pt idx="437">
                  <c:v>33.886758349705303</c:v>
                </c:pt>
                <c:pt idx="438">
                  <c:v>33.886758349705303</c:v>
                </c:pt>
                <c:pt idx="439">
                  <c:v>34.720039292730846</c:v>
                </c:pt>
                <c:pt idx="440">
                  <c:v>34.164518664047151</c:v>
                </c:pt>
                <c:pt idx="441">
                  <c:v>34.720039292730846</c:v>
                </c:pt>
                <c:pt idx="442">
                  <c:v>36.386601178781923</c:v>
                </c:pt>
                <c:pt idx="443">
                  <c:v>38.608683693516696</c:v>
                </c:pt>
                <c:pt idx="444">
                  <c:v>37.497642436149306</c:v>
                </c:pt>
                <c:pt idx="445">
                  <c:v>38.053163064833001</c:v>
                </c:pt>
                <c:pt idx="446">
                  <c:v>38.886444007858543</c:v>
                </c:pt>
                <c:pt idx="447">
                  <c:v>38.330923379174848</c:v>
                </c:pt>
                <c:pt idx="448">
                  <c:v>38.886444007858543</c:v>
                </c:pt>
                <c:pt idx="449">
                  <c:v>38.886444007858543</c:v>
                </c:pt>
                <c:pt idx="450">
                  <c:v>37.497642436149306</c:v>
                </c:pt>
                <c:pt idx="451">
                  <c:v>39.164204322200391</c:v>
                </c:pt>
                <c:pt idx="452">
                  <c:v>38.053163064833001</c:v>
                </c:pt>
                <c:pt idx="453">
                  <c:v>37.775402750491153</c:v>
                </c:pt>
                <c:pt idx="454">
                  <c:v>37.775402750491153</c:v>
                </c:pt>
                <c:pt idx="455">
                  <c:v>37.775402750491153</c:v>
                </c:pt>
                <c:pt idx="456">
                  <c:v>38.608683693516696</c:v>
                </c:pt>
                <c:pt idx="457">
                  <c:v>38.886444007858543</c:v>
                </c:pt>
                <c:pt idx="458">
                  <c:v>37.497642436149306</c:v>
                </c:pt>
                <c:pt idx="459">
                  <c:v>38.608683693516696</c:v>
                </c:pt>
                <c:pt idx="460">
                  <c:v>38.053163064833001</c:v>
                </c:pt>
                <c:pt idx="461">
                  <c:v>37.219882121807466</c:v>
                </c:pt>
                <c:pt idx="462">
                  <c:v>37.219882121807466</c:v>
                </c:pt>
                <c:pt idx="463">
                  <c:v>38.608683693516696</c:v>
                </c:pt>
                <c:pt idx="464">
                  <c:v>38.330923379174848</c:v>
                </c:pt>
                <c:pt idx="465">
                  <c:v>38.053163064833001</c:v>
                </c:pt>
                <c:pt idx="466">
                  <c:v>38.608683693516696</c:v>
                </c:pt>
                <c:pt idx="467">
                  <c:v>38.608683693516696</c:v>
                </c:pt>
                <c:pt idx="468">
                  <c:v>38.886444007858543</c:v>
                </c:pt>
                <c:pt idx="469">
                  <c:v>39.719724950884086</c:v>
                </c:pt>
                <c:pt idx="470">
                  <c:v>41.664047151277011</c:v>
                </c:pt>
                <c:pt idx="471">
                  <c:v>41.386286836935163</c:v>
                </c:pt>
                <c:pt idx="472">
                  <c:v>40.830766208251468</c:v>
                </c:pt>
                <c:pt idx="473">
                  <c:v>41.108526522593316</c:v>
                </c:pt>
                <c:pt idx="474">
                  <c:v>38.886444007858543</c:v>
                </c:pt>
                <c:pt idx="475">
                  <c:v>41.386286836935163</c:v>
                </c:pt>
                <c:pt idx="476">
                  <c:v>39.441964636542238</c:v>
                </c:pt>
                <c:pt idx="477">
                  <c:v>39.441964636542238</c:v>
                </c:pt>
                <c:pt idx="478">
                  <c:v>39.164204322200391</c:v>
                </c:pt>
                <c:pt idx="479">
                  <c:v>39.164204322200391</c:v>
                </c:pt>
                <c:pt idx="480">
                  <c:v>38.330923379174848</c:v>
                </c:pt>
                <c:pt idx="481">
                  <c:v>38.608683693516696</c:v>
                </c:pt>
                <c:pt idx="482">
                  <c:v>38.330923379174848</c:v>
                </c:pt>
                <c:pt idx="483">
                  <c:v>38.886444007858543</c:v>
                </c:pt>
                <c:pt idx="484">
                  <c:v>38.053163064833001</c:v>
                </c:pt>
                <c:pt idx="485">
                  <c:v>38.330923379174848</c:v>
                </c:pt>
                <c:pt idx="486">
                  <c:v>38.886444007858543</c:v>
                </c:pt>
                <c:pt idx="487">
                  <c:v>38.053163064833001</c:v>
                </c:pt>
                <c:pt idx="488">
                  <c:v>38.053163064833001</c:v>
                </c:pt>
                <c:pt idx="489">
                  <c:v>37.219882121807466</c:v>
                </c:pt>
                <c:pt idx="490">
                  <c:v>36.664361493123771</c:v>
                </c:pt>
                <c:pt idx="491">
                  <c:v>37.497642436149306</c:v>
                </c:pt>
                <c:pt idx="492">
                  <c:v>36.942121807465618</c:v>
                </c:pt>
                <c:pt idx="493">
                  <c:v>36.386601178781923</c:v>
                </c:pt>
                <c:pt idx="494">
                  <c:v>36.108840864440076</c:v>
                </c:pt>
                <c:pt idx="495">
                  <c:v>35.275559921414533</c:v>
                </c:pt>
                <c:pt idx="496">
                  <c:v>35.831080550098228</c:v>
                </c:pt>
                <c:pt idx="497">
                  <c:v>36.386601178781923</c:v>
                </c:pt>
                <c:pt idx="498">
                  <c:v>36.108840864440076</c:v>
                </c:pt>
                <c:pt idx="499">
                  <c:v>36.108840864440076</c:v>
                </c:pt>
                <c:pt idx="500">
                  <c:v>35.553320235756381</c:v>
                </c:pt>
                <c:pt idx="501">
                  <c:v>35.831080550098228</c:v>
                </c:pt>
                <c:pt idx="502">
                  <c:v>33.886758349705303</c:v>
                </c:pt>
                <c:pt idx="503">
                  <c:v>34.720039292730846</c:v>
                </c:pt>
                <c:pt idx="504">
                  <c:v>33.886758349705303</c:v>
                </c:pt>
                <c:pt idx="505">
                  <c:v>34.164518664047151</c:v>
                </c:pt>
                <c:pt idx="506">
                  <c:v>33.886758349705303</c:v>
                </c:pt>
                <c:pt idx="507">
                  <c:v>34.997799607072686</c:v>
                </c:pt>
                <c:pt idx="508">
                  <c:v>34.720039292730846</c:v>
                </c:pt>
                <c:pt idx="509">
                  <c:v>34.164518664047151</c:v>
                </c:pt>
                <c:pt idx="510">
                  <c:v>33.886758349705303</c:v>
                </c:pt>
                <c:pt idx="511">
                  <c:v>34.164518664047151</c:v>
                </c:pt>
                <c:pt idx="512">
                  <c:v>34.442278978388998</c:v>
                </c:pt>
                <c:pt idx="513">
                  <c:v>33.886758349705303</c:v>
                </c:pt>
                <c:pt idx="514">
                  <c:v>34.164518664047151</c:v>
                </c:pt>
                <c:pt idx="515">
                  <c:v>33.608998035363456</c:v>
                </c:pt>
                <c:pt idx="516">
                  <c:v>33.331237721021608</c:v>
                </c:pt>
                <c:pt idx="517">
                  <c:v>34.164518664047151</c:v>
                </c:pt>
                <c:pt idx="518">
                  <c:v>33.053477406679761</c:v>
                </c:pt>
                <c:pt idx="519">
                  <c:v>33.331237721021608</c:v>
                </c:pt>
                <c:pt idx="520">
                  <c:v>33.608998035363456</c:v>
                </c:pt>
                <c:pt idx="521">
                  <c:v>32.775717092337914</c:v>
                </c:pt>
                <c:pt idx="522">
                  <c:v>34.997799607072686</c:v>
                </c:pt>
                <c:pt idx="523">
                  <c:v>33.886758349705303</c:v>
                </c:pt>
                <c:pt idx="524">
                  <c:v>34.164518664047151</c:v>
                </c:pt>
                <c:pt idx="525">
                  <c:v>34.164518664047151</c:v>
                </c:pt>
                <c:pt idx="526">
                  <c:v>33.608998035363456</c:v>
                </c:pt>
                <c:pt idx="527">
                  <c:v>33.608998035363456</c:v>
                </c:pt>
                <c:pt idx="528">
                  <c:v>33.886758349705303</c:v>
                </c:pt>
                <c:pt idx="529">
                  <c:v>34.720039292730846</c:v>
                </c:pt>
                <c:pt idx="530">
                  <c:v>33.053477406679761</c:v>
                </c:pt>
                <c:pt idx="531">
                  <c:v>32.775717092337914</c:v>
                </c:pt>
                <c:pt idx="532">
                  <c:v>33.331237721021608</c:v>
                </c:pt>
                <c:pt idx="533">
                  <c:v>33.053477406679761</c:v>
                </c:pt>
                <c:pt idx="534">
                  <c:v>34.164518664047151</c:v>
                </c:pt>
                <c:pt idx="535">
                  <c:v>35.553320235756381</c:v>
                </c:pt>
                <c:pt idx="536">
                  <c:v>36.386601178781923</c:v>
                </c:pt>
                <c:pt idx="537">
                  <c:v>36.108840864440076</c:v>
                </c:pt>
                <c:pt idx="538">
                  <c:v>35.831080550098228</c:v>
                </c:pt>
                <c:pt idx="539">
                  <c:v>34.164518664047151</c:v>
                </c:pt>
                <c:pt idx="540">
                  <c:v>36.108840864440076</c:v>
                </c:pt>
                <c:pt idx="541">
                  <c:v>35.275559921414533</c:v>
                </c:pt>
                <c:pt idx="542">
                  <c:v>36.108840864440076</c:v>
                </c:pt>
                <c:pt idx="543">
                  <c:v>36.108840864440076</c:v>
                </c:pt>
                <c:pt idx="544">
                  <c:v>34.997799607072686</c:v>
                </c:pt>
                <c:pt idx="545">
                  <c:v>35.553320235756381</c:v>
                </c:pt>
                <c:pt idx="546">
                  <c:v>36.664361493123771</c:v>
                </c:pt>
                <c:pt idx="547">
                  <c:v>35.553320235756381</c:v>
                </c:pt>
                <c:pt idx="548">
                  <c:v>35.553320235756381</c:v>
                </c:pt>
                <c:pt idx="549">
                  <c:v>35.275559921414533</c:v>
                </c:pt>
                <c:pt idx="550">
                  <c:v>35.831080550098228</c:v>
                </c:pt>
                <c:pt idx="551">
                  <c:v>35.275559921414533</c:v>
                </c:pt>
                <c:pt idx="552">
                  <c:v>34.442278978388998</c:v>
                </c:pt>
                <c:pt idx="553">
                  <c:v>35.275559921414533</c:v>
                </c:pt>
                <c:pt idx="554">
                  <c:v>34.720039292730846</c:v>
                </c:pt>
                <c:pt idx="555">
                  <c:v>36.108840864440076</c:v>
                </c:pt>
                <c:pt idx="556">
                  <c:v>36.108840864440076</c:v>
                </c:pt>
                <c:pt idx="557">
                  <c:v>36.386601178781923</c:v>
                </c:pt>
                <c:pt idx="558">
                  <c:v>36.942121807465618</c:v>
                </c:pt>
                <c:pt idx="559">
                  <c:v>35.275559921414533</c:v>
                </c:pt>
                <c:pt idx="560">
                  <c:v>35.831080550098228</c:v>
                </c:pt>
                <c:pt idx="561">
                  <c:v>36.386601178781923</c:v>
                </c:pt>
                <c:pt idx="562">
                  <c:v>36.108840864440076</c:v>
                </c:pt>
                <c:pt idx="563">
                  <c:v>37.775402750491153</c:v>
                </c:pt>
                <c:pt idx="564">
                  <c:v>39.164204322200391</c:v>
                </c:pt>
                <c:pt idx="565">
                  <c:v>39.997485265225933</c:v>
                </c:pt>
                <c:pt idx="566">
                  <c:v>40.830766208251468</c:v>
                </c:pt>
                <c:pt idx="567">
                  <c:v>40.553005893909621</c:v>
                </c:pt>
                <c:pt idx="568">
                  <c:v>39.441964636542238</c:v>
                </c:pt>
                <c:pt idx="569">
                  <c:v>40.830766208251468</c:v>
                </c:pt>
                <c:pt idx="570">
                  <c:v>40.553005893909621</c:v>
                </c:pt>
                <c:pt idx="571">
                  <c:v>39.164204322200391</c:v>
                </c:pt>
                <c:pt idx="572">
                  <c:v>39.164204322200391</c:v>
                </c:pt>
                <c:pt idx="573">
                  <c:v>40.553005893909621</c:v>
                </c:pt>
                <c:pt idx="574">
                  <c:v>39.441964636542238</c:v>
                </c:pt>
                <c:pt idx="575">
                  <c:v>39.719724950884086</c:v>
                </c:pt>
                <c:pt idx="576">
                  <c:v>39.164204322200391</c:v>
                </c:pt>
                <c:pt idx="577">
                  <c:v>39.164204322200391</c:v>
                </c:pt>
                <c:pt idx="578">
                  <c:v>39.164204322200391</c:v>
                </c:pt>
                <c:pt idx="579">
                  <c:v>38.608683693516696</c:v>
                </c:pt>
                <c:pt idx="580">
                  <c:v>37.775402750491153</c:v>
                </c:pt>
                <c:pt idx="581">
                  <c:v>38.330923379174848</c:v>
                </c:pt>
                <c:pt idx="582">
                  <c:v>39.164204322200391</c:v>
                </c:pt>
                <c:pt idx="583">
                  <c:v>38.886444007858543</c:v>
                </c:pt>
                <c:pt idx="584">
                  <c:v>38.608683693516696</c:v>
                </c:pt>
                <c:pt idx="585">
                  <c:v>39.164204322200391</c:v>
                </c:pt>
                <c:pt idx="586">
                  <c:v>39.441964636542238</c:v>
                </c:pt>
                <c:pt idx="587">
                  <c:v>38.608683693516696</c:v>
                </c:pt>
                <c:pt idx="588">
                  <c:v>38.053163064833001</c:v>
                </c:pt>
                <c:pt idx="589">
                  <c:v>38.608683693516696</c:v>
                </c:pt>
                <c:pt idx="590">
                  <c:v>39.441964636542238</c:v>
                </c:pt>
                <c:pt idx="591">
                  <c:v>38.886444007858543</c:v>
                </c:pt>
                <c:pt idx="592">
                  <c:v>38.886444007858543</c:v>
                </c:pt>
                <c:pt idx="593">
                  <c:v>39.997485265225933</c:v>
                </c:pt>
                <c:pt idx="594">
                  <c:v>38.053163064833001</c:v>
                </c:pt>
                <c:pt idx="595">
                  <c:v>37.775402750491153</c:v>
                </c:pt>
                <c:pt idx="596">
                  <c:v>38.608683693516696</c:v>
                </c:pt>
                <c:pt idx="597">
                  <c:v>37.775402750491153</c:v>
                </c:pt>
                <c:pt idx="598">
                  <c:v>38.608683693516696</c:v>
                </c:pt>
                <c:pt idx="599">
                  <c:v>39.719724950884086</c:v>
                </c:pt>
                <c:pt idx="600">
                  <c:v>39.719724950884086</c:v>
                </c:pt>
                <c:pt idx="601">
                  <c:v>38.608683693516696</c:v>
                </c:pt>
                <c:pt idx="602">
                  <c:v>38.608683693516696</c:v>
                </c:pt>
                <c:pt idx="603">
                  <c:v>38.886444007858543</c:v>
                </c:pt>
                <c:pt idx="604">
                  <c:v>39.997485265225933</c:v>
                </c:pt>
                <c:pt idx="605">
                  <c:v>40.553005893909621</c:v>
                </c:pt>
                <c:pt idx="606">
                  <c:v>39.997485265225933</c:v>
                </c:pt>
                <c:pt idx="607">
                  <c:v>40.27524557956778</c:v>
                </c:pt>
                <c:pt idx="608">
                  <c:v>40.830766208251468</c:v>
                </c:pt>
                <c:pt idx="609">
                  <c:v>40.27524557956778</c:v>
                </c:pt>
                <c:pt idx="610">
                  <c:v>41.108526522593316</c:v>
                </c:pt>
                <c:pt idx="611">
                  <c:v>40.27524557956778</c:v>
                </c:pt>
                <c:pt idx="612">
                  <c:v>40.27524557956778</c:v>
                </c:pt>
                <c:pt idx="613">
                  <c:v>40.553005893909621</c:v>
                </c:pt>
                <c:pt idx="614">
                  <c:v>40.553005893909621</c:v>
                </c:pt>
                <c:pt idx="615">
                  <c:v>41.386286836935163</c:v>
                </c:pt>
                <c:pt idx="616">
                  <c:v>40.27524557956778</c:v>
                </c:pt>
                <c:pt idx="617">
                  <c:v>39.997485265225933</c:v>
                </c:pt>
                <c:pt idx="618">
                  <c:v>41.108526522593316</c:v>
                </c:pt>
                <c:pt idx="619">
                  <c:v>40.27524557956778</c:v>
                </c:pt>
                <c:pt idx="620">
                  <c:v>39.997485265225933</c:v>
                </c:pt>
                <c:pt idx="621">
                  <c:v>39.997485265225933</c:v>
                </c:pt>
                <c:pt idx="622">
                  <c:v>41.108526522593316</c:v>
                </c:pt>
                <c:pt idx="623">
                  <c:v>40.553005893909621</c:v>
                </c:pt>
                <c:pt idx="624">
                  <c:v>41.108526522593316</c:v>
                </c:pt>
                <c:pt idx="625">
                  <c:v>43.886129666011783</c:v>
                </c:pt>
                <c:pt idx="626">
                  <c:v>45.552691552062861</c:v>
                </c:pt>
                <c:pt idx="627">
                  <c:v>46.66373280943025</c:v>
                </c:pt>
                <c:pt idx="628">
                  <c:v>49.719096267190565</c:v>
                </c:pt>
                <c:pt idx="629">
                  <c:v>48.052534381139488</c:v>
                </c:pt>
                <c:pt idx="630">
                  <c:v>48.330294695481328</c:v>
                </c:pt>
                <c:pt idx="631">
                  <c:v>49.719096267190565</c:v>
                </c:pt>
                <c:pt idx="632">
                  <c:v>45.830451866404715</c:v>
                </c:pt>
                <c:pt idx="633">
                  <c:v>46.385972495088403</c:v>
                </c:pt>
                <c:pt idx="634">
                  <c:v>46.385972495088403</c:v>
                </c:pt>
                <c:pt idx="635">
                  <c:v>45.830451866404715</c:v>
                </c:pt>
                <c:pt idx="636">
                  <c:v>46.385972495088403</c:v>
                </c:pt>
                <c:pt idx="637">
                  <c:v>45.27493123772102</c:v>
                </c:pt>
                <c:pt idx="638">
                  <c:v>44.441650294695478</c:v>
                </c:pt>
                <c:pt idx="639">
                  <c:v>48.608055009823175</c:v>
                </c:pt>
                <c:pt idx="640">
                  <c:v>44.719410609037325</c:v>
                </c:pt>
                <c:pt idx="641">
                  <c:v>44.997170923379173</c:v>
                </c:pt>
                <c:pt idx="642">
                  <c:v>46.66373280943025</c:v>
                </c:pt>
                <c:pt idx="643">
                  <c:v>46.108212180746563</c:v>
                </c:pt>
                <c:pt idx="644">
                  <c:v>45.27493123772102</c:v>
                </c:pt>
                <c:pt idx="645">
                  <c:v>51.38565815324165</c:v>
                </c:pt>
                <c:pt idx="646">
                  <c:v>51.107897838899795</c:v>
                </c:pt>
                <c:pt idx="647">
                  <c:v>51.38565815324165</c:v>
                </c:pt>
                <c:pt idx="648">
                  <c:v>50.830137524557955</c:v>
                </c:pt>
                <c:pt idx="649">
                  <c:v>51.663418467583497</c:v>
                </c:pt>
                <c:pt idx="650">
                  <c:v>51.663418467583497</c:v>
                </c:pt>
                <c:pt idx="651">
                  <c:v>50.830137524557955</c:v>
                </c:pt>
                <c:pt idx="652">
                  <c:v>50.830137524557955</c:v>
                </c:pt>
                <c:pt idx="653">
                  <c:v>52.77445972495088</c:v>
                </c:pt>
                <c:pt idx="654">
                  <c:v>51.107897838899795</c:v>
                </c:pt>
                <c:pt idx="655">
                  <c:v>50.830137524557955</c:v>
                </c:pt>
                <c:pt idx="656">
                  <c:v>50.552377210216108</c:v>
                </c:pt>
                <c:pt idx="657">
                  <c:v>50.830137524557955</c:v>
                </c:pt>
                <c:pt idx="658">
                  <c:v>50.552377210216108</c:v>
                </c:pt>
                <c:pt idx="659">
                  <c:v>49.996856581532413</c:v>
                </c:pt>
                <c:pt idx="660">
                  <c:v>50.27461689587426</c:v>
                </c:pt>
                <c:pt idx="661">
                  <c:v>50.830137524557955</c:v>
                </c:pt>
                <c:pt idx="662">
                  <c:v>51.107897838899795</c:v>
                </c:pt>
                <c:pt idx="663">
                  <c:v>50.27461689587426</c:v>
                </c:pt>
                <c:pt idx="664">
                  <c:v>49.996856581532413</c:v>
                </c:pt>
                <c:pt idx="665">
                  <c:v>49.719096267190565</c:v>
                </c:pt>
                <c:pt idx="666">
                  <c:v>49.996856581532413</c:v>
                </c:pt>
                <c:pt idx="667">
                  <c:v>49.441335952848718</c:v>
                </c:pt>
                <c:pt idx="668">
                  <c:v>50.552377210216108</c:v>
                </c:pt>
                <c:pt idx="669">
                  <c:v>53.885500982318263</c:v>
                </c:pt>
                <c:pt idx="670">
                  <c:v>53.052220039292727</c:v>
                </c:pt>
                <c:pt idx="671">
                  <c:v>54.16326129666011</c:v>
                </c:pt>
                <c:pt idx="672">
                  <c:v>53.329980353634575</c:v>
                </c:pt>
                <c:pt idx="673">
                  <c:v>52.218939096267185</c:v>
                </c:pt>
                <c:pt idx="674">
                  <c:v>53.329980353634575</c:v>
                </c:pt>
                <c:pt idx="675">
                  <c:v>51.38565815324165</c:v>
                </c:pt>
                <c:pt idx="676">
                  <c:v>51.663418467583497</c:v>
                </c:pt>
                <c:pt idx="677">
                  <c:v>50.552377210216108</c:v>
                </c:pt>
                <c:pt idx="678">
                  <c:v>53.052220039292727</c:v>
                </c:pt>
                <c:pt idx="679">
                  <c:v>53.052220039292727</c:v>
                </c:pt>
                <c:pt idx="680">
                  <c:v>53.329980353634575</c:v>
                </c:pt>
                <c:pt idx="681">
                  <c:v>53.607740667976422</c:v>
                </c:pt>
                <c:pt idx="682">
                  <c:v>56.940864440078585</c:v>
                </c:pt>
                <c:pt idx="683">
                  <c:v>58.329666011787815</c:v>
                </c:pt>
                <c:pt idx="684">
                  <c:v>58.88518664047151</c:v>
                </c:pt>
                <c:pt idx="685">
                  <c:v>58.329666011787815</c:v>
                </c:pt>
                <c:pt idx="686">
                  <c:v>56.66310412573673</c:v>
                </c:pt>
                <c:pt idx="687">
                  <c:v>55.2743025540275</c:v>
                </c:pt>
                <c:pt idx="688">
                  <c:v>55.829823182711195</c:v>
                </c:pt>
                <c:pt idx="689">
                  <c:v>54.996542239685652</c:v>
                </c:pt>
                <c:pt idx="690">
                  <c:v>58.88518664047151</c:v>
                </c:pt>
                <c:pt idx="691">
                  <c:v>55.829823182711195</c:v>
                </c:pt>
                <c:pt idx="692">
                  <c:v>55.552062868369347</c:v>
                </c:pt>
                <c:pt idx="693">
                  <c:v>56.66310412573673</c:v>
                </c:pt>
                <c:pt idx="694">
                  <c:v>55.552062868369347</c:v>
                </c:pt>
                <c:pt idx="695">
                  <c:v>55.552062868369347</c:v>
                </c:pt>
                <c:pt idx="696">
                  <c:v>56.38534381139489</c:v>
                </c:pt>
                <c:pt idx="697">
                  <c:v>56.66310412573673</c:v>
                </c:pt>
                <c:pt idx="698">
                  <c:v>60.829508840864435</c:v>
                </c:pt>
                <c:pt idx="699">
                  <c:v>59.996227897838899</c:v>
                </c:pt>
                <c:pt idx="700">
                  <c:v>60.27398821218074</c:v>
                </c:pt>
                <c:pt idx="701">
                  <c:v>59.996227897838899</c:v>
                </c:pt>
                <c:pt idx="702">
                  <c:v>60.27398821218074</c:v>
                </c:pt>
                <c:pt idx="703">
                  <c:v>60.27398821218074</c:v>
                </c:pt>
                <c:pt idx="704">
                  <c:v>60.27398821218074</c:v>
                </c:pt>
                <c:pt idx="705">
                  <c:v>61.662789783889977</c:v>
                </c:pt>
                <c:pt idx="706">
                  <c:v>63.051591355599207</c:v>
                </c:pt>
                <c:pt idx="707">
                  <c:v>66.106954813359522</c:v>
                </c:pt>
                <c:pt idx="708">
                  <c:v>65.551434184675827</c:v>
                </c:pt>
                <c:pt idx="709">
                  <c:v>62.773831041257367</c:v>
                </c:pt>
                <c:pt idx="710">
                  <c:v>61.38502946954813</c:v>
                </c:pt>
                <c:pt idx="711">
                  <c:v>61.107269155206282</c:v>
                </c:pt>
                <c:pt idx="712">
                  <c:v>60.829508840864435</c:v>
                </c:pt>
                <c:pt idx="713">
                  <c:v>62.496070726915519</c:v>
                </c:pt>
                <c:pt idx="714">
                  <c:v>61.107269155206282</c:v>
                </c:pt>
                <c:pt idx="715">
                  <c:v>60.27398821218074</c:v>
                </c:pt>
                <c:pt idx="716">
                  <c:v>59.440707269155197</c:v>
                </c:pt>
                <c:pt idx="717">
                  <c:v>56.66310412573673</c:v>
                </c:pt>
                <c:pt idx="718">
                  <c:v>56.38534381139489</c:v>
                </c:pt>
                <c:pt idx="719">
                  <c:v>58.329666011787815</c:v>
                </c:pt>
                <c:pt idx="720">
                  <c:v>57.77414538310412</c:v>
                </c:pt>
                <c:pt idx="721">
                  <c:v>56.66310412573673</c:v>
                </c:pt>
                <c:pt idx="722">
                  <c:v>57.77414538310412</c:v>
                </c:pt>
                <c:pt idx="723">
                  <c:v>57.496385068762272</c:v>
                </c:pt>
                <c:pt idx="724">
                  <c:v>56.66310412573673</c:v>
                </c:pt>
                <c:pt idx="725">
                  <c:v>56.940864440078585</c:v>
                </c:pt>
                <c:pt idx="726">
                  <c:v>54.718781925343805</c:v>
                </c:pt>
                <c:pt idx="727">
                  <c:v>54.996542239685652</c:v>
                </c:pt>
                <c:pt idx="728">
                  <c:v>49.996856581532413</c:v>
                </c:pt>
                <c:pt idx="729">
                  <c:v>54.441021611001965</c:v>
                </c:pt>
                <c:pt idx="730">
                  <c:v>55.829823182711195</c:v>
                </c:pt>
                <c:pt idx="731">
                  <c:v>56.107583497053042</c:v>
                </c:pt>
                <c:pt idx="732">
                  <c:v>55.829823182711195</c:v>
                </c:pt>
                <c:pt idx="733">
                  <c:v>56.66310412573673</c:v>
                </c:pt>
                <c:pt idx="734">
                  <c:v>55.552062868369347</c:v>
                </c:pt>
                <c:pt idx="735">
                  <c:v>53.885500982318263</c:v>
                </c:pt>
                <c:pt idx="736">
                  <c:v>54.718781925343805</c:v>
                </c:pt>
                <c:pt idx="737">
                  <c:v>53.607740667976422</c:v>
                </c:pt>
                <c:pt idx="738">
                  <c:v>54.16326129666011</c:v>
                </c:pt>
                <c:pt idx="739">
                  <c:v>53.607740667976422</c:v>
                </c:pt>
                <c:pt idx="740">
                  <c:v>51.107897838899795</c:v>
                </c:pt>
                <c:pt idx="741">
                  <c:v>51.941178781925338</c:v>
                </c:pt>
                <c:pt idx="742">
                  <c:v>49.996856581532413</c:v>
                </c:pt>
                <c:pt idx="743">
                  <c:v>50.552377210216108</c:v>
                </c:pt>
                <c:pt idx="744">
                  <c:v>50.552377210216108</c:v>
                </c:pt>
                <c:pt idx="745">
                  <c:v>50.830137524557955</c:v>
                </c:pt>
                <c:pt idx="746">
                  <c:v>51.107897838899795</c:v>
                </c:pt>
                <c:pt idx="747">
                  <c:v>55.2743025540275</c:v>
                </c:pt>
                <c:pt idx="748">
                  <c:v>58.329666011787815</c:v>
                </c:pt>
                <c:pt idx="749">
                  <c:v>56.66310412573673</c:v>
                </c:pt>
                <c:pt idx="750">
                  <c:v>56.66310412573673</c:v>
                </c:pt>
                <c:pt idx="751">
                  <c:v>55.552062868369347</c:v>
                </c:pt>
                <c:pt idx="752">
                  <c:v>56.940864440078585</c:v>
                </c:pt>
                <c:pt idx="753">
                  <c:v>55.829823182711195</c:v>
                </c:pt>
                <c:pt idx="754">
                  <c:v>54.718781925343805</c:v>
                </c:pt>
                <c:pt idx="755">
                  <c:v>53.885500982318263</c:v>
                </c:pt>
                <c:pt idx="756">
                  <c:v>56.38534381139489</c:v>
                </c:pt>
                <c:pt idx="757">
                  <c:v>55.552062868369347</c:v>
                </c:pt>
                <c:pt idx="758">
                  <c:v>55.829823182711195</c:v>
                </c:pt>
                <c:pt idx="759">
                  <c:v>55.552062868369347</c:v>
                </c:pt>
                <c:pt idx="760">
                  <c:v>55.552062868369347</c:v>
                </c:pt>
                <c:pt idx="761">
                  <c:v>54.718781925343805</c:v>
                </c:pt>
                <c:pt idx="762">
                  <c:v>55.2743025540275</c:v>
                </c:pt>
                <c:pt idx="763">
                  <c:v>55.552062868369347</c:v>
                </c:pt>
                <c:pt idx="764">
                  <c:v>55.2743025540275</c:v>
                </c:pt>
                <c:pt idx="765">
                  <c:v>55.552062868369347</c:v>
                </c:pt>
                <c:pt idx="766">
                  <c:v>56.107583497053042</c:v>
                </c:pt>
                <c:pt idx="767">
                  <c:v>55.2743025540275</c:v>
                </c:pt>
                <c:pt idx="768">
                  <c:v>56.940864440078585</c:v>
                </c:pt>
                <c:pt idx="769">
                  <c:v>54.718781925343805</c:v>
                </c:pt>
                <c:pt idx="770">
                  <c:v>56.107583497053042</c:v>
                </c:pt>
                <c:pt idx="771">
                  <c:v>55.552062868369347</c:v>
                </c:pt>
                <c:pt idx="772">
                  <c:v>54.718781925343805</c:v>
                </c:pt>
                <c:pt idx="773">
                  <c:v>54.996542239685652</c:v>
                </c:pt>
                <c:pt idx="774">
                  <c:v>53.052220039292727</c:v>
                </c:pt>
                <c:pt idx="775">
                  <c:v>52.77445972495088</c:v>
                </c:pt>
                <c:pt idx="776">
                  <c:v>53.329980353634575</c:v>
                </c:pt>
                <c:pt idx="777">
                  <c:v>53.329980353634575</c:v>
                </c:pt>
                <c:pt idx="778">
                  <c:v>54.16326129666011</c:v>
                </c:pt>
                <c:pt idx="779">
                  <c:v>52.77445972495088</c:v>
                </c:pt>
                <c:pt idx="780">
                  <c:v>52.77445972495088</c:v>
                </c:pt>
                <c:pt idx="781">
                  <c:v>52.77445972495088</c:v>
                </c:pt>
                <c:pt idx="782">
                  <c:v>52.77445972495088</c:v>
                </c:pt>
                <c:pt idx="783">
                  <c:v>51.941178781925338</c:v>
                </c:pt>
                <c:pt idx="784">
                  <c:v>52.77445972495088</c:v>
                </c:pt>
                <c:pt idx="785">
                  <c:v>51.663418467583497</c:v>
                </c:pt>
                <c:pt idx="786">
                  <c:v>52.77445972495088</c:v>
                </c:pt>
                <c:pt idx="787">
                  <c:v>51.941178781925338</c:v>
                </c:pt>
                <c:pt idx="788">
                  <c:v>53.607740667976422</c:v>
                </c:pt>
                <c:pt idx="789">
                  <c:v>53.052220039292727</c:v>
                </c:pt>
                <c:pt idx="790">
                  <c:v>52.218939096267185</c:v>
                </c:pt>
                <c:pt idx="791">
                  <c:v>51.941178781925338</c:v>
                </c:pt>
                <c:pt idx="792">
                  <c:v>51.941178781925338</c:v>
                </c:pt>
                <c:pt idx="793">
                  <c:v>52.77445972495088</c:v>
                </c:pt>
                <c:pt idx="794">
                  <c:v>51.663418467583497</c:v>
                </c:pt>
                <c:pt idx="795">
                  <c:v>51.941178781925338</c:v>
                </c:pt>
                <c:pt idx="796">
                  <c:v>52.218939096267185</c:v>
                </c:pt>
                <c:pt idx="797">
                  <c:v>51.663418467583497</c:v>
                </c:pt>
                <c:pt idx="798">
                  <c:v>52.77445972495088</c:v>
                </c:pt>
                <c:pt idx="799">
                  <c:v>53.885500982318263</c:v>
                </c:pt>
                <c:pt idx="800">
                  <c:v>54.441021611001965</c:v>
                </c:pt>
                <c:pt idx="801">
                  <c:v>53.607740667976422</c:v>
                </c:pt>
                <c:pt idx="802">
                  <c:v>54.718781925343805</c:v>
                </c:pt>
                <c:pt idx="803">
                  <c:v>52.77445972495088</c:v>
                </c:pt>
                <c:pt idx="804">
                  <c:v>53.885500982318263</c:v>
                </c:pt>
                <c:pt idx="805">
                  <c:v>53.052220039292727</c:v>
                </c:pt>
                <c:pt idx="806">
                  <c:v>53.329980353634575</c:v>
                </c:pt>
                <c:pt idx="807">
                  <c:v>55.829823182711195</c:v>
                </c:pt>
                <c:pt idx="808">
                  <c:v>55.552062868369347</c:v>
                </c:pt>
                <c:pt idx="809">
                  <c:v>55.829823182711195</c:v>
                </c:pt>
                <c:pt idx="810">
                  <c:v>54.718781925343805</c:v>
                </c:pt>
                <c:pt idx="811">
                  <c:v>54.718781925343805</c:v>
                </c:pt>
                <c:pt idx="812">
                  <c:v>55.552062868369347</c:v>
                </c:pt>
                <c:pt idx="813">
                  <c:v>56.107583497053042</c:v>
                </c:pt>
                <c:pt idx="814">
                  <c:v>57.77414538310412</c:v>
                </c:pt>
                <c:pt idx="815">
                  <c:v>56.940864440078585</c:v>
                </c:pt>
                <c:pt idx="816">
                  <c:v>58.329666011787815</c:v>
                </c:pt>
                <c:pt idx="817">
                  <c:v>59.440707269155197</c:v>
                </c:pt>
                <c:pt idx="818">
                  <c:v>58.88518664047151</c:v>
                </c:pt>
                <c:pt idx="819">
                  <c:v>57.77414538310412</c:v>
                </c:pt>
                <c:pt idx="820">
                  <c:v>57.77414538310412</c:v>
                </c:pt>
                <c:pt idx="821">
                  <c:v>57.77414538310412</c:v>
                </c:pt>
                <c:pt idx="822">
                  <c:v>57.218624754420432</c:v>
                </c:pt>
                <c:pt idx="823">
                  <c:v>58.88518664047151</c:v>
                </c:pt>
                <c:pt idx="824">
                  <c:v>59.162946954813357</c:v>
                </c:pt>
                <c:pt idx="825">
                  <c:v>58.329666011787815</c:v>
                </c:pt>
                <c:pt idx="826">
                  <c:v>58.88518664047151</c:v>
                </c:pt>
                <c:pt idx="827">
                  <c:v>58.329666011787815</c:v>
                </c:pt>
                <c:pt idx="828">
                  <c:v>59.162946954813357</c:v>
                </c:pt>
                <c:pt idx="829">
                  <c:v>57.218624754420432</c:v>
                </c:pt>
                <c:pt idx="830">
                  <c:v>56.940864440078585</c:v>
                </c:pt>
                <c:pt idx="831">
                  <c:v>55.829823182711195</c:v>
                </c:pt>
                <c:pt idx="832">
                  <c:v>56.66310412573673</c:v>
                </c:pt>
                <c:pt idx="833">
                  <c:v>54.441021611001965</c:v>
                </c:pt>
                <c:pt idx="834">
                  <c:v>53.885500982318263</c:v>
                </c:pt>
                <c:pt idx="835">
                  <c:v>54.996542239685652</c:v>
                </c:pt>
                <c:pt idx="836">
                  <c:v>55.552062868369347</c:v>
                </c:pt>
                <c:pt idx="837">
                  <c:v>56.107583497053042</c:v>
                </c:pt>
                <c:pt idx="838">
                  <c:v>55.552062868369347</c:v>
                </c:pt>
                <c:pt idx="839">
                  <c:v>55.829823182711195</c:v>
                </c:pt>
                <c:pt idx="840">
                  <c:v>55.829823182711195</c:v>
                </c:pt>
                <c:pt idx="841">
                  <c:v>54.718781925343805</c:v>
                </c:pt>
                <c:pt idx="842">
                  <c:v>54.718781925343805</c:v>
                </c:pt>
                <c:pt idx="843">
                  <c:v>54.441021611001965</c:v>
                </c:pt>
                <c:pt idx="844">
                  <c:v>55.2743025540275</c:v>
                </c:pt>
                <c:pt idx="845">
                  <c:v>54.16326129666011</c:v>
                </c:pt>
                <c:pt idx="846">
                  <c:v>55.2743025540275</c:v>
                </c:pt>
                <c:pt idx="847">
                  <c:v>54.16326129666011</c:v>
                </c:pt>
                <c:pt idx="848">
                  <c:v>53.329980353634575</c:v>
                </c:pt>
                <c:pt idx="849">
                  <c:v>53.607740667976422</c:v>
                </c:pt>
                <c:pt idx="850">
                  <c:v>53.885500982318263</c:v>
                </c:pt>
                <c:pt idx="851">
                  <c:v>53.885500982318263</c:v>
                </c:pt>
                <c:pt idx="852">
                  <c:v>53.329980353634575</c:v>
                </c:pt>
                <c:pt idx="853">
                  <c:v>53.052220039292727</c:v>
                </c:pt>
                <c:pt idx="854">
                  <c:v>54.441021611001965</c:v>
                </c:pt>
                <c:pt idx="855">
                  <c:v>53.885500982318263</c:v>
                </c:pt>
                <c:pt idx="856">
                  <c:v>53.607740667976422</c:v>
                </c:pt>
                <c:pt idx="857">
                  <c:v>54.718781925343805</c:v>
                </c:pt>
                <c:pt idx="858">
                  <c:v>53.885500982318263</c:v>
                </c:pt>
                <c:pt idx="859">
                  <c:v>53.607740667976422</c:v>
                </c:pt>
                <c:pt idx="860">
                  <c:v>53.607740667976422</c:v>
                </c:pt>
                <c:pt idx="861">
                  <c:v>53.607740667976422</c:v>
                </c:pt>
                <c:pt idx="862">
                  <c:v>54.16326129666011</c:v>
                </c:pt>
                <c:pt idx="863">
                  <c:v>53.885500982318263</c:v>
                </c:pt>
                <c:pt idx="864">
                  <c:v>53.885500982318263</c:v>
                </c:pt>
                <c:pt idx="865">
                  <c:v>53.607740667976422</c:v>
                </c:pt>
                <c:pt idx="866">
                  <c:v>53.329980353634575</c:v>
                </c:pt>
                <c:pt idx="867">
                  <c:v>54.441021611001965</c:v>
                </c:pt>
                <c:pt idx="868">
                  <c:v>54.16326129666011</c:v>
                </c:pt>
                <c:pt idx="869">
                  <c:v>54.996542239685652</c:v>
                </c:pt>
                <c:pt idx="870">
                  <c:v>55.2743025540275</c:v>
                </c:pt>
                <c:pt idx="871">
                  <c:v>55.552062868369347</c:v>
                </c:pt>
                <c:pt idx="872">
                  <c:v>55.829823182711195</c:v>
                </c:pt>
                <c:pt idx="873">
                  <c:v>56.66310412573673</c:v>
                </c:pt>
                <c:pt idx="874">
                  <c:v>55.552062868369347</c:v>
                </c:pt>
                <c:pt idx="875">
                  <c:v>56.940864440078585</c:v>
                </c:pt>
                <c:pt idx="876">
                  <c:v>57.496385068762272</c:v>
                </c:pt>
                <c:pt idx="877">
                  <c:v>57.496385068762272</c:v>
                </c:pt>
                <c:pt idx="878">
                  <c:v>60.829508840864435</c:v>
                </c:pt>
                <c:pt idx="879">
                  <c:v>59.162946954813357</c:v>
                </c:pt>
                <c:pt idx="880">
                  <c:v>58.607426326129662</c:v>
                </c:pt>
                <c:pt idx="881">
                  <c:v>59.718467583497045</c:v>
                </c:pt>
                <c:pt idx="882">
                  <c:v>60.27398821218074</c:v>
                </c:pt>
                <c:pt idx="883">
                  <c:v>60.551748526522587</c:v>
                </c:pt>
                <c:pt idx="884">
                  <c:v>59.718467583497045</c:v>
                </c:pt>
                <c:pt idx="885">
                  <c:v>59.162946954813357</c:v>
                </c:pt>
                <c:pt idx="886">
                  <c:v>57.77414538310412</c:v>
                </c:pt>
                <c:pt idx="887">
                  <c:v>57.218624754420432</c:v>
                </c:pt>
                <c:pt idx="888">
                  <c:v>58.329666011787815</c:v>
                </c:pt>
                <c:pt idx="889">
                  <c:v>59.996227897838899</c:v>
                </c:pt>
                <c:pt idx="890">
                  <c:v>60.27398821218074</c:v>
                </c:pt>
                <c:pt idx="891">
                  <c:v>63.607111984282902</c:v>
                </c:pt>
                <c:pt idx="892">
                  <c:v>65.551434184675827</c:v>
                </c:pt>
                <c:pt idx="893">
                  <c:v>64.718153241650285</c:v>
                </c:pt>
                <c:pt idx="894">
                  <c:v>63.051591355599207</c:v>
                </c:pt>
                <c:pt idx="895">
                  <c:v>63.329351669941055</c:v>
                </c:pt>
                <c:pt idx="896">
                  <c:v>63.884872298624749</c:v>
                </c:pt>
                <c:pt idx="897">
                  <c:v>64.162632612966604</c:v>
                </c:pt>
                <c:pt idx="898">
                  <c:v>62.218310412573665</c:v>
                </c:pt>
                <c:pt idx="899">
                  <c:v>69.717838899803539</c:v>
                </c:pt>
                <c:pt idx="900">
                  <c:v>72.217681728880152</c:v>
                </c:pt>
                <c:pt idx="901">
                  <c:v>69.440078585461691</c:v>
                </c:pt>
                <c:pt idx="902">
                  <c:v>68.329037328094302</c:v>
                </c:pt>
                <c:pt idx="903">
                  <c:v>69.995599214145372</c:v>
                </c:pt>
                <c:pt idx="904">
                  <c:v>70.551119842829067</c:v>
                </c:pt>
                <c:pt idx="905">
                  <c:v>67.773516699410607</c:v>
                </c:pt>
                <c:pt idx="906">
                  <c:v>67.773516699410607</c:v>
                </c:pt>
                <c:pt idx="907">
                  <c:v>74.162003929273084</c:v>
                </c:pt>
                <c:pt idx="908">
                  <c:v>78.050648330058934</c:v>
                </c:pt>
                <c:pt idx="909">
                  <c:v>82.217053045186631</c:v>
                </c:pt>
                <c:pt idx="910">
                  <c:v>80.272730844793699</c:v>
                </c:pt>
                <c:pt idx="911">
                  <c:v>77.772888015717086</c:v>
                </c:pt>
                <c:pt idx="912">
                  <c:v>76.939607072691544</c:v>
                </c:pt>
                <c:pt idx="913">
                  <c:v>77.772888015717086</c:v>
                </c:pt>
                <c:pt idx="914">
                  <c:v>74.162003929273084</c:v>
                </c:pt>
                <c:pt idx="915">
                  <c:v>73.606483300589389</c:v>
                </c:pt>
                <c:pt idx="916">
                  <c:v>73.606483300589389</c:v>
                </c:pt>
                <c:pt idx="917">
                  <c:v>69.440078585461691</c:v>
                </c:pt>
                <c:pt idx="918">
                  <c:v>73.884243614931236</c:v>
                </c:pt>
                <c:pt idx="919">
                  <c:v>85.827937131630634</c:v>
                </c:pt>
                <c:pt idx="920">
                  <c:v>97.493870333988212</c:v>
                </c:pt>
                <c:pt idx="921">
                  <c:v>100.82699410609035</c:v>
                </c:pt>
                <c:pt idx="922">
                  <c:v>94.160746561886043</c:v>
                </c:pt>
                <c:pt idx="923">
                  <c:v>91.105383104125721</c:v>
                </c:pt>
                <c:pt idx="924">
                  <c:v>92.494184675834958</c:v>
                </c:pt>
                <c:pt idx="925">
                  <c:v>91.66090373280943</c:v>
                </c:pt>
                <c:pt idx="926">
                  <c:v>90.272102161100193</c:v>
                </c:pt>
                <c:pt idx="927">
                  <c:v>86.938978388998024</c:v>
                </c:pt>
                <c:pt idx="928">
                  <c:v>84.994656188605106</c:v>
                </c:pt>
                <c:pt idx="929">
                  <c:v>94.438506876227891</c:v>
                </c:pt>
                <c:pt idx="930">
                  <c:v>96.105068762278975</c:v>
                </c:pt>
                <c:pt idx="931">
                  <c:v>88.883300589390956</c:v>
                </c:pt>
                <c:pt idx="932">
                  <c:v>89.716581532416484</c:v>
                </c:pt>
                <c:pt idx="933">
                  <c:v>91.938664047151278</c:v>
                </c:pt>
                <c:pt idx="934">
                  <c:v>91.938664047151278</c:v>
                </c:pt>
                <c:pt idx="935">
                  <c:v>90.827622789783888</c:v>
                </c:pt>
                <c:pt idx="936">
                  <c:v>88.327779960707261</c:v>
                </c:pt>
                <c:pt idx="937">
                  <c:v>87.216738703339871</c:v>
                </c:pt>
                <c:pt idx="938">
                  <c:v>87.494499017681719</c:v>
                </c:pt>
                <c:pt idx="939">
                  <c:v>86.938978388998024</c:v>
                </c:pt>
                <c:pt idx="940">
                  <c:v>87.216738703339871</c:v>
                </c:pt>
                <c:pt idx="941">
                  <c:v>86.661218074656176</c:v>
                </c:pt>
                <c:pt idx="942">
                  <c:v>83.883614931237716</c:v>
                </c:pt>
                <c:pt idx="943">
                  <c:v>89.161060903732803</c:v>
                </c:pt>
                <c:pt idx="944">
                  <c:v>94.994027504911585</c:v>
                </c:pt>
                <c:pt idx="945">
                  <c:v>102.21579567779959</c:v>
                </c:pt>
                <c:pt idx="946">
                  <c:v>96.938349705304503</c:v>
                </c:pt>
                <c:pt idx="947">
                  <c:v>93.605225933202362</c:v>
                </c:pt>
                <c:pt idx="948">
                  <c:v>89.716581532416484</c:v>
                </c:pt>
                <c:pt idx="949">
                  <c:v>91.105383104125721</c:v>
                </c:pt>
                <c:pt idx="950">
                  <c:v>92.216424361493125</c:v>
                </c:pt>
                <c:pt idx="951">
                  <c:v>88.050019646365413</c:v>
                </c:pt>
                <c:pt idx="952">
                  <c:v>89.438821218074651</c:v>
                </c:pt>
                <c:pt idx="953">
                  <c:v>89.161060903732803</c:v>
                </c:pt>
                <c:pt idx="954">
                  <c:v>89.716581532416484</c:v>
                </c:pt>
                <c:pt idx="955">
                  <c:v>88.883300589390956</c:v>
                </c:pt>
                <c:pt idx="956">
                  <c:v>89.716581532416484</c:v>
                </c:pt>
                <c:pt idx="957">
                  <c:v>87.772259332023566</c:v>
                </c:pt>
                <c:pt idx="958">
                  <c:v>86.938978388998024</c:v>
                </c:pt>
                <c:pt idx="959">
                  <c:v>88.327779960707261</c:v>
                </c:pt>
                <c:pt idx="960">
                  <c:v>85.550176817288801</c:v>
                </c:pt>
                <c:pt idx="961">
                  <c:v>85.272416502946953</c:v>
                </c:pt>
                <c:pt idx="962">
                  <c:v>84.161375245579563</c:v>
                </c:pt>
                <c:pt idx="963">
                  <c:v>82.217053045186631</c:v>
                </c:pt>
                <c:pt idx="964">
                  <c:v>83.050333988212174</c:v>
                </c:pt>
                <c:pt idx="965">
                  <c:v>82.494813359528479</c:v>
                </c:pt>
                <c:pt idx="966">
                  <c:v>82.772573673870326</c:v>
                </c:pt>
                <c:pt idx="967">
                  <c:v>82.772573673870326</c:v>
                </c:pt>
                <c:pt idx="968">
                  <c:v>88.327779960707261</c:v>
                </c:pt>
                <c:pt idx="969">
                  <c:v>84.716895874263258</c:v>
                </c:pt>
                <c:pt idx="970">
                  <c:v>86.105697445972481</c:v>
                </c:pt>
                <c:pt idx="971">
                  <c:v>84.716895874263258</c:v>
                </c:pt>
                <c:pt idx="972">
                  <c:v>83.328094302554021</c:v>
                </c:pt>
                <c:pt idx="973">
                  <c:v>83.328094302554021</c:v>
                </c:pt>
                <c:pt idx="974">
                  <c:v>84.716895874263258</c:v>
                </c:pt>
                <c:pt idx="975">
                  <c:v>84.439135559921411</c:v>
                </c:pt>
                <c:pt idx="976">
                  <c:v>83.328094302554021</c:v>
                </c:pt>
                <c:pt idx="977">
                  <c:v>84.439135559921411</c:v>
                </c:pt>
                <c:pt idx="978">
                  <c:v>83.605854616895869</c:v>
                </c:pt>
                <c:pt idx="979">
                  <c:v>83.883614931237716</c:v>
                </c:pt>
                <c:pt idx="980">
                  <c:v>82.494813359528479</c:v>
                </c:pt>
                <c:pt idx="981">
                  <c:v>82.772573673870326</c:v>
                </c:pt>
                <c:pt idx="982">
                  <c:v>82.217053045186631</c:v>
                </c:pt>
                <c:pt idx="983">
                  <c:v>83.050333988212174</c:v>
                </c:pt>
                <c:pt idx="984">
                  <c:v>83.050333988212174</c:v>
                </c:pt>
                <c:pt idx="985">
                  <c:v>82.494813359528479</c:v>
                </c:pt>
                <c:pt idx="986">
                  <c:v>80.828251473477408</c:v>
                </c:pt>
                <c:pt idx="987">
                  <c:v>79.994970530451866</c:v>
                </c:pt>
                <c:pt idx="988">
                  <c:v>80.550491159135561</c:v>
                </c:pt>
                <c:pt idx="989">
                  <c:v>79.717210216110018</c:v>
                </c:pt>
                <c:pt idx="990">
                  <c:v>79.994970530451866</c:v>
                </c:pt>
                <c:pt idx="991">
                  <c:v>78.328408644400781</c:v>
                </c:pt>
                <c:pt idx="992">
                  <c:v>80.550491159135561</c:v>
                </c:pt>
                <c:pt idx="993">
                  <c:v>83.883614931237716</c:v>
                </c:pt>
                <c:pt idx="994">
                  <c:v>82.494813359528479</c:v>
                </c:pt>
                <c:pt idx="995">
                  <c:v>83.883614931237716</c:v>
                </c:pt>
                <c:pt idx="996">
                  <c:v>84.439135559921411</c:v>
                </c:pt>
                <c:pt idx="997">
                  <c:v>88.327779960707261</c:v>
                </c:pt>
                <c:pt idx="998">
                  <c:v>88.605540275049108</c:v>
                </c:pt>
                <c:pt idx="999">
                  <c:v>89.438821218074651</c:v>
                </c:pt>
                <c:pt idx="1000">
                  <c:v>89.994341846758346</c:v>
                </c:pt>
                <c:pt idx="1001">
                  <c:v>88.050019646365413</c:v>
                </c:pt>
                <c:pt idx="1002">
                  <c:v>90.54986247544204</c:v>
                </c:pt>
                <c:pt idx="1003">
                  <c:v>90.827622789783888</c:v>
                </c:pt>
                <c:pt idx="1004">
                  <c:v>89.438821218074651</c:v>
                </c:pt>
                <c:pt idx="1005">
                  <c:v>90.272102161100193</c:v>
                </c:pt>
                <c:pt idx="1006">
                  <c:v>93.327465618860501</c:v>
                </c:pt>
                <c:pt idx="1007">
                  <c:v>98.049390962671893</c:v>
                </c:pt>
                <c:pt idx="1008">
                  <c:v>96.938349705304503</c:v>
                </c:pt>
                <c:pt idx="1009">
                  <c:v>99.43819253438113</c:v>
                </c:pt>
                <c:pt idx="1010">
                  <c:v>103.88235756385068</c:v>
                </c:pt>
                <c:pt idx="1011">
                  <c:v>104.16011787819252</c:v>
                </c:pt>
                <c:pt idx="1012">
                  <c:v>96.660589390962656</c:v>
                </c:pt>
                <c:pt idx="1013">
                  <c:v>93.882986247544196</c:v>
                </c:pt>
                <c:pt idx="1014">
                  <c:v>94.160746561886043</c:v>
                </c:pt>
                <c:pt idx="1015">
                  <c:v>94.160746561886043</c:v>
                </c:pt>
                <c:pt idx="1016">
                  <c:v>90.54986247544204</c:v>
                </c:pt>
                <c:pt idx="1017">
                  <c:v>88.050019646365413</c:v>
                </c:pt>
                <c:pt idx="1018">
                  <c:v>88.050019646365413</c:v>
                </c:pt>
                <c:pt idx="1019">
                  <c:v>88.327779960707261</c:v>
                </c:pt>
                <c:pt idx="1020">
                  <c:v>88.883300589390956</c:v>
                </c:pt>
                <c:pt idx="1021">
                  <c:v>99.160432220039297</c:v>
                </c:pt>
                <c:pt idx="1022">
                  <c:v>97.216110019646351</c:v>
                </c:pt>
                <c:pt idx="1023">
                  <c:v>108.32652259332022</c:v>
                </c:pt>
                <c:pt idx="1024">
                  <c:v>104.16011787819252</c:v>
                </c:pt>
                <c:pt idx="1025">
                  <c:v>105.54891944990176</c:v>
                </c:pt>
                <c:pt idx="1026">
                  <c:v>99.160432220039297</c:v>
                </c:pt>
                <c:pt idx="1027">
                  <c:v>100.54923379174852</c:v>
                </c:pt>
                <c:pt idx="1028">
                  <c:v>105.27115913555991</c:v>
                </c:pt>
                <c:pt idx="1029">
                  <c:v>105.54891944990176</c:v>
                </c:pt>
                <c:pt idx="1030">
                  <c:v>104.16011787819252</c:v>
                </c:pt>
                <c:pt idx="1031">
                  <c:v>103.88235756385068</c:v>
                </c:pt>
                <c:pt idx="1032">
                  <c:v>106.38220039292729</c:v>
                </c:pt>
                <c:pt idx="1033">
                  <c:v>128.60302554027504</c:v>
                </c:pt>
                <c:pt idx="1034">
                  <c:v>131.93614931237721</c:v>
                </c:pt>
                <c:pt idx="1035">
                  <c:v>133.88047151277013</c:v>
                </c:pt>
                <c:pt idx="1036">
                  <c:v>131.65838899803535</c:v>
                </c:pt>
                <c:pt idx="1037">
                  <c:v>127.2142239685658</c:v>
                </c:pt>
                <c:pt idx="1038">
                  <c:v>122.49229862475441</c:v>
                </c:pt>
                <c:pt idx="1039">
                  <c:v>122.21453831041256</c:v>
                </c:pt>
                <c:pt idx="1040">
                  <c:v>128.32526522593321</c:v>
                </c:pt>
                <c:pt idx="1041">
                  <c:v>133.32495088408643</c:v>
                </c:pt>
                <c:pt idx="1042">
                  <c:v>134.71375245579566</c:v>
                </c:pt>
                <c:pt idx="1043">
                  <c:v>125.26990176817289</c:v>
                </c:pt>
                <c:pt idx="1044">
                  <c:v>129.43630648330057</c:v>
                </c:pt>
                <c:pt idx="1045">
                  <c:v>127.49198428290765</c:v>
                </c:pt>
                <c:pt idx="1046">
                  <c:v>127.2142239685658</c:v>
                </c:pt>
                <c:pt idx="1047">
                  <c:v>131.10286836935165</c:v>
                </c:pt>
                <c:pt idx="1048">
                  <c:v>129.71406679764243</c:v>
                </c:pt>
                <c:pt idx="1049">
                  <c:v>129.15854616895874</c:v>
                </c:pt>
                <c:pt idx="1050">
                  <c:v>129.43630648330057</c:v>
                </c:pt>
                <c:pt idx="1051">
                  <c:v>129.71406679764243</c:v>
                </c:pt>
                <c:pt idx="1052">
                  <c:v>131.38062868369349</c:v>
                </c:pt>
                <c:pt idx="1053">
                  <c:v>136.6580746561886</c:v>
                </c:pt>
                <c:pt idx="1054">
                  <c:v>132.49166994106091</c:v>
                </c:pt>
                <c:pt idx="1055">
                  <c:v>138.32463654223966</c:v>
                </c:pt>
                <c:pt idx="1056">
                  <c:v>133.88047151277013</c:v>
                </c:pt>
                <c:pt idx="1057">
                  <c:v>124.43662082514733</c:v>
                </c:pt>
                <c:pt idx="1058">
                  <c:v>122.21453831041256</c:v>
                </c:pt>
                <c:pt idx="1059">
                  <c:v>126.38094302554026</c:v>
                </c:pt>
                <c:pt idx="1060">
                  <c:v>116.65933202357563</c:v>
                </c:pt>
                <c:pt idx="1061">
                  <c:v>113.32620825147346</c:v>
                </c:pt>
                <c:pt idx="1062">
                  <c:v>116.38157170923378</c:v>
                </c:pt>
                <c:pt idx="1063">
                  <c:v>122.49229862475441</c:v>
                </c:pt>
                <c:pt idx="1064">
                  <c:v>124.43662082514733</c:v>
                </c:pt>
                <c:pt idx="1065">
                  <c:v>122.21453831041256</c:v>
                </c:pt>
                <c:pt idx="1066">
                  <c:v>123.6033398821218</c:v>
                </c:pt>
                <c:pt idx="1067">
                  <c:v>121.38125736738704</c:v>
                </c:pt>
                <c:pt idx="1068">
                  <c:v>119.9924557956778</c:v>
                </c:pt>
                <c:pt idx="1069">
                  <c:v>125.54766208251473</c:v>
                </c:pt>
                <c:pt idx="1070">
                  <c:v>122.49229862475441</c:v>
                </c:pt>
                <c:pt idx="1071">
                  <c:v>122.21453831041256</c:v>
                </c:pt>
                <c:pt idx="1072">
                  <c:v>127.7697445972495</c:v>
                </c:pt>
                <c:pt idx="1073">
                  <c:v>128.88078585461687</c:v>
                </c:pt>
                <c:pt idx="1074">
                  <c:v>124.1588605108055</c:v>
                </c:pt>
                <c:pt idx="1075">
                  <c:v>124.99214145383104</c:v>
                </c:pt>
                <c:pt idx="1076">
                  <c:v>125.82542239685657</c:v>
                </c:pt>
                <c:pt idx="1077">
                  <c:v>126.38094302554026</c:v>
                </c:pt>
                <c:pt idx="1078">
                  <c:v>124.99214145383104</c:v>
                </c:pt>
                <c:pt idx="1079">
                  <c:v>120.54797642436148</c:v>
                </c:pt>
                <c:pt idx="1080">
                  <c:v>120.82573673870333</c:v>
                </c:pt>
                <c:pt idx="1081">
                  <c:v>121.10349705304517</c:v>
                </c:pt>
                <c:pt idx="1082">
                  <c:v>118.04813359528487</c:v>
                </c:pt>
                <c:pt idx="1083">
                  <c:v>119.9924557956778</c:v>
                </c:pt>
                <c:pt idx="1084">
                  <c:v>134.15823182711196</c:v>
                </c:pt>
                <c:pt idx="1085">
                  <c:v>133.88047151277013</c:v>
                </c:pt>
                <c:pt idx="1086">
                  <c:v>148.32400785854617</c:v>
                </c:pt>
                <c:pt idx="1087">
                  <c:v>142.21328094302552</c:v>
                </c:pt>
                <c:pt idx="1088">
                  <c:v>139.99119842829074</c:v>
                </c:pt>
                <c:pt idx="1089">
                  <c:v>143.04656188605108</c:v>
                </c:pt>
                <c:pt idx="1090">
                  <c:v>139.99119842829074</c:v>
                </c:pt>
                <c:pt idx="1091">
                  <c:v>145.82416502946953</c:v>
                </c:pt>
                <c:pt idx="1092">
                  <c:v>143.04656188605108</c:v>
                </c:pt>
                <c:pt idx="1093">
                  <c:v>145.82416502946953</c:v>
                </c:pt>
                <c:pt idx="1094">
                  <c:v>141.38</c:v>
                </c:pt>
                <c:pt idx="1095">
                  <c:v>141.93552062868369</c:v>
                </c:pt>
                <c:pt idx="1096">
                  <c:v>138.60239685658152</c:v>
                </c:pt>
                <c:pt idx="1097">
                  <c:v>152.212652259332</c:v>
                </c:pt>
                <c:pt idx="1098">
                  <c:v>148.32400785854617</c:v>
                </c:pt>
                <c:pt idx="1099">
                  <c:v>145.82416502946953</c:v>
                </c:pt>
                <c:pt idx="1100">
                  <c:v>146.37968565815325</c:v>
                </c:pt>
                <c:pt idx="1101">
                  <c:v>148.04624754420431</c:v>
                </c:pt>
                <c:pt idx="1102">
                  <c:v>144.71312377210216</c:v>
                </c:pt>
                <c:pt idx="1103">
                  <c:v>161.10098231827112</c:v>
                </c:pt>
                <c:pt idx="1104">
                  <c:v>150.26833005893909</c:v>
                </c:pt>
                <c:pt idx="1105">
                  <c:v>146.10192534381139</c:v>
                </c:pt>
                <c:pt idx="1106">
                  <c:v>150.54609037328095</c:v>
                </c:pt>
                <c:pt idx="1107">
                  <c:v>145.82416502946953</c:v>
                </c:pt>
                <c:pt idx="1108">
                  <c:v>154.43473477406678</c:v>
                </c:pt>
                <c:pt idx="1109">
                  <c:v>148.32400785854617</c:v>
                </c:pt>
                <c:pt idx="1110">
                  <c:v>149.99056974459722</c:v>
                </c:pt>
                <c:pt idx="1111">
                  <c:v>147.21296660117878</c:v>
                </c:pt>
                <c:pt idx="1112">
                  <c:v>148.601768172888</c:v>
                </c:pt>
                <c:pt idx="1113">
                  <c:v>151.37937131630648</c:v>
                </c:pt>
                <c:pt idx="1114">
                  <c:v>149.99056974459722</c:v>
                </c:pt>
                <c:pt idx="1115">
                  <c:v>148.04624754420431</c:v>
                </c:pt>
                <c:pt idx="1116">
                  <c:v>147.21296660117878</c:v>
                </c:pt>
                <c:pt idx="1117">
                  <c:v>147.49072691552061</c:v>
                </c:pt>
                <c:pt idx="1118">
                  <c:v>153.60145383104123</c:v>
                </c:pt>
                <c:pt idx="1119">
                  <c:v>149.99056974459722</c:v>
                </c:pt>
                <c:pt idx="1120">
                  <c:v>149.71280943025539</c:v>
                </c:pt>
                <c:pt idx="1121">
                  <c:v>144.990884086444</c:v>
                </c:pt>
                <c:pt idx="1122">
                  <c:v>136.93583497053044</c:v>
                </c:pt>
                <c:pt idx="1123">
                  <c:v>135.82479371316305</c:v>
                </c:pt>
                <c:pt idx="1124">
                  <c:v>136.10255402750491</c:v>
                </c:pt>
                <c:pt idx="1125">
                  <c:v>136.10255402750491</c:v>
                </c:pt>
                <c:pt idx="1126">
                  <c:v>136.93583497053044</c:v>
                </c:pt>
                <c:pt idx="1127">
                  <c:v>139.99119842829074</c:v>
                </c:pt>
                <c:pt idx="1128">
                  <c:v>140.54671905697444</c:v>
                </c:pt>
                <c:pt idx="1129">
                  <c:v>141.10223968565813</c:v>
                </c:pt>
                <c:pt idx="1130">
                  <c:v>146.37968565815325</c:v>
                </c:pt>
                <c:pt idx="1131">
                  <c:v>143.32432220039291</c:v>
                </c:pt>
                <c:pt idx="1132">
                  <c:v>145.82416502946953</c:v>
                </c:pt>
                <c:pt idx="1133">
                  <c:v>154.71249508840864</c:v>
                </c:pt>
                <c:pt idx="1134">
                  <c:v>155.54577603143417</c:v>
                </c:pt>
                <c:pt idx="1135">
                  <c:v>151.10161100196461</c:v>
                </c:pt>
                <c:pt idx="1136">
                  <c:v>146.37968565815325</c:v>
                </c:pt>
                <c:pt idx="1137">
                  <c:v>148.04624754420431</c:v>
                </c:pt>
                <c:pt idx="1138">
                  <c:v>160.26770137524557</c:v>
                </c:pt>
                <c:pt idx="1139">
                  <c:v>159.43442043222004</c:v>
                </c:pt>
                <c:pt idx="1140">
                  <c:v>158.87889980353634</c:v>
                </c:pt>
                <c:pt idx="1141">
                  <c:v>166.65618860510804</c:v>
                </c:pt>
                <c:pt idx="1142">
                  <c:v>166.65618860510804</c:v>
                </c:pt>
                <c:pt idx="1143">
                  <c:v>164.43410609037326</c:v>
                </c:pt>
                <c:pt idx="1144">
                  <c:v>161.65650294695482</c:v>
                </c:pt>
                <c:pt idx="1145">
                  <c:v>162.21202357563848</c:v>
                </c:pt>
                <c:pt idx="1146">
                  <c:v>161.10098231827112</c:v>
                </c:pt>
                <c:pt idx="1147">
                  <c:v>152.7681728880157</c:v>
                </c:pt>
                <c:pt idx="1148">
                  <c:v>155.54577603143417</c:v>
                </c:pt>
                <c:pt idx="1149">
                  <c:v>155.54577603143417</c:v>
                </c:pt>
                <c:pt idx="1150">
                  <c:v>163.32306483300587</c:v>
                </c:pt>
                <c:pt idx="1151">
                  <c:v>172.21139489194496</c:v>
                </c:pt>
                <c:pt idx="1152">
                  <c:v>172.21139489194496</c:v>
                </c:pt>
                <c:pt idx="1153">
                  <c:v>176.10003929273083</c:v>
                </c:pt>
                <c:pt idx="1154">
                  <c:v>173.87795677799605</c:v>
                </c:pt>
                <c:pt idx="1155">
                  <c:v>168.04499017681727</c:v>
                </c:pt>
                <c:pt idx="1156">
                  <c:v>164.7118664047151</c:v>
                </c:pt>
                <c:pt idx="1157">
                  <c:v>160.82322200392926</c:v>
                </c:pt>
                <c:pt idx="1158">
                  <c:v>160.5454616895874</c:v>
                </c:pt>
                <c:pt idx="1159">
                  <c:v>162.48978388998034</c:v>
                </c:pt>
                <c:pt idx="1160">
                  <c:v>159.15666011787818</c:v>
                </c:pt>
                <c:pt idx="1161">
                  <c:v>155.54577603143417</c:v>
                </c:pt>
                <c:pt idx="1162">
                  <c:v>149.43504911591353</c:v>
                </c:pt>
                <c:pt idx="1163">
                  <c:v>149.1572888015717</c:v>
                </c:pt>
                <c:pt idx="1164">
                  <c:v>150.54609037328095</c:v>
                </c:pt>
                <c:pt idx="1165">
                  <c:v>151.10161100196461</c:v>
                </c:pt>
                <c:pt idx="1166">
                  <c:v>156.9345776031434</c:v>
                </c:pt>
                <c:pt idx="1167">
                  <c:v>155.54577603143417</c:v>
                </c:pt>
                <c:pt idx="1168">
                  <c:v>152.7681728880157</c:v>
                </c:pt>
                <c:pt idx="1169">
                  <c:v>153.60145383104123</c:v>
                </c:pt>
                <c:pt idx="1170">
                  <c:v>155.54577603143417</c:v>
                </c:pt>
                <c:pt idx="1171">
                  <c:v>153.60145383104123</c:v>
                </c:pt>
                <c:pt idx="1172">
                  <c:v>154.99025540275048</c:v>
                </c:pt>
                <c:pt idx="1173">
                  <c:v>154.71249508840864</c:v>
                </c:pt>
                <c:pt idx="1174">
                  <c:v>159.71218074656187</c:v>
                </c:pt>
                <c:pt idx="1175">
                  <c:v>157.21233791748526</c:v>
                </c:pt>
                <c:pt idx="1176">
                  <c:v>154.99025540275048</c:v>
                </c:pt>
                <c:pt idx="1177">
                  <c:v>159.15666011787818</c:v>
                </c:pt>
                <c:pt idx="1178">
                  <c:v>162.76754420432218</c:v>
                </c:pt>
                <c:pt idx="1179">
                  <c:v>165.26738703339882</c:v>
                </c:pt>
                <c:pt idx="1180">
                  <c:v>169.98931237721021</c:v>
                </c:pt>
                <c:pt idx="1181">
                  <c:v>166.9339489194499</c:v>
                </c:pt>
                <c:pt idx="1182">
                  <c:v>164.43410609037326</c:v>
                </c:pt>
                <c:pt idx="1183">
                  <c:v>164.15634577603143</c:v>
                </c:pt>
                <c:pt idx="1184">
                  <c:v>161.10098231827112</c:v>
                </c:pt>
                <c:pt idx="1185">
                  <c:v>159.71218074656187</c:v>
                </c:pt>
                <c:pt idx="1186">
                  <c:v>159.98994106090373</c:v>
                </c:pt>
                <c:pt idx="1187">
                  <c:v>160.82322200392926</c:v>
                </c:pt>
                <c:pt idx="1188">
                  <c:v>159.98994106090373</c:v>
                </c:pt>
                <c:pt idx="1189">
                  <c:v>161.65650294695482</c:v>
                </c:pt>
                <c:pt idx="1190">
                  <c:v>163.04530451866404</c:v>
                </c:pt>
                <c:pt idx="1191">
                  <c:v>158.60113948919448</c:v>
                </c:pt>
                <c:pt idx="1192">
                  <c:v>161.10098231827112</c:v>
                </c:pt>
                <c:pt idx="1193">
                  <c:v>160.82322200392926</c:v>
                </c:pt>
                <c:pt idx="1194">
                  <c:v>159.71218074656187</c:v>
                </c:pt>
                <c:pt idx="1195">
                  <c:v>158.60113948919448</c:v>
                </c:pt>
                <c:pt idx="1196">
                  <c:v>165.26738703339882</c:v>
                </c:pt>
                <c:pt idx="1197">
                  <c:v>166.65618860510804</c:v>
                </c:pt>
                <c:pt idx="1198">
                  <c:v>163.87858546168957</c:v>
                </c:pt>
                <c:pt idx="1199">
                  <c:v>170.54483300589391</c:v>
                </c:pt>
                <c:pt idx="1200">
                  <c:v>166.9339489194499</c:v>
                </c:pt>
                <c:pt idx="1201">
                  <c:v>165.26738703339882</c:v>
                </c:pt>
                <c:pt idx="1202">
                  <c:v>166.9339489194499</c:v>
                </c:pt>
                <c:pt idx="1203">
                  <c:v>169.43379174852652</c:v>
                </c:pt>
                <c:pt idx="1204">
                  <c:v>173.04467583497052</c:v>
                </c:pt>
                <c:pt idx="1205">
                  <c:v>171.65587426326127</c:v>
                </c:pt>
                <c:pt idx="1206">
                  <c:v>170.54483300589391</c:v>
                </c:pt>
                <c:pt idx="1207">
                  <c:v>168.04499017681727</c:v>
                </c:pt>
                <c:pt idx="1208">
                  <c:v>167.76722986247543</c:v>
                </c:pt>
                <c:pt idx="1209">
                  <c:v>163.32306483300587</c:v>
                </c:pt>
                <c:pt idx="1210">
                  <c:v>163.60082514734773</c:v>
                </c:pt>
                <c:pt idx="1211">
                  <c:v>163.32306483300587</c:v>
                </c:pt>
                <c:pt idx="1212">
                  <c:v>171.1003536345776</c:v>
                </c:pt>
                <c:pt idx="1213">
                  <c:v>168.60051080550099</c:v>
                </c:pt>
                <c:pt idx="1214">
                  <c:v>166.10066797642435</c:v>
                </c:pt>
                <c:pt idx="1215">
                  <c:v>161.65650294695482</c:v>
                </c:pt>
                <c:pt idx="1216">
                  <c:v>164.43410609037326</c:v>
                </c:pt>
                <c:pt idx="1217">
                  <c:v>161.93426326129665</c:v>
                </c:pt>
                <c:pt idx="1218">
                  <c:v>163.04530451866404</c:v>
                </c:pt>
                <c:pt idx="1219">
                  <c:v>162.21202357563848</c:v>
                </c:pt>
                <c:pt idx="1220">
                  <c:v>167.76722986247543</c:v>
                </c:pt>
                <c:pt idx="1221">
                  <c:v>165.26738703339882</c:v>
                </c:pt>
                <c:pt idx="1222">
                  <c:v>162.76754420432218</c:v>
                </c:pt>
                <c:pt idx="1223">
                  <c:v>163.87858546168957</c:v>
                </c:pt>
                <c:pt idx="1224">
                  <c:v>164.15634577603143</c:v>
                </c:pt>
                <c:pt idx="1225">
                  <c:v>161.65650294695482</c:v>
                </c:pt>
                <c:pt idx="1226">
                  <c:v>160.5454616895874</c:v>
                </c:pt>
                <c:pt idx="1227">
                  <c:v>160.82322200392926</c:v>
                </c:pt>
                <c:pt idx="1228">
                  <c:v>161.10098231827112</c:v>
                </c:pt>
                <c:pt idx="1229">
                  <c:v>159.98994106090373</c:v>
                </c:pt>
                <c:pt idx="1230">
                  <c:v>158.60113948919448</c:v>
                </c:pt>
                <c:pt idx="1231">
                  <c:v>154.43473477406678</c:v>
                </c:pt>
                <c:pt idx="1232">
                  <c:v>165.54514734774065</c:v>
                </c:pt>
                <c:pt idx="1233">
                  <c:v>167.21170923379174</c:v>
                </c:pt>
                <c:pt idx="1234">
                  <c:v>167.21170923379174</c:v>
                </c:pt>
                <c:pt idx="1235">
                  <c:v>172.21139489194496</c:v>
                </c:pt>
                <c:pt idx="1236">
                  <c:v>177.76660117878191</c:v>
                </c:pt>
                <c:pt idx="1237">
                  <c:v>192.21013752455795</c:v>
                </c:pt>
                <c:pt idx="1238">
                  <c:v>195.54326129666012</c:v>
                </c:pt>
                <c:pt idx="1239">
                  <c:v>213.04216110019647</c:v>
                </c:pt>
                <c:pt idx="1240">
                  <c:v>216.09752455795675</c:v>
                </c:pt>
                <c:pt idx="1241">
                  <c:v>214.98648330058938</c:v>
                </c:pt>
                <c:pt idx="1242">
                  <c:v>212.76440078585458</c:v>
                </c:pt>
                <c:pt idx="1243">
                  <c:v>216.65304518664044</c:v>
                </c:pt>
                <c:pt idx="1244">
                  <c:v>222.20825147347739</c:v>
                </c:pt>
                <c:pt idx="1245">
                  <c:v>220.54168958742633</c:v>
                </c:pt>
                <c:pt idx="1246">
                  <c:v>218.87512770137522</c:v>
                </c:pt>
                <c:pt idx="1247">
                  <c:v>227.76345776031434</c:v>
                </c:pt>
                <c:pt idx="1248">
                  <c:v>224.43033398821217</c:v>
                </c:pt>
                <c:pt idx="1249">
                  <c:v>220.54168958742633</c:v>
                </c:pt>
                <c:pt idx="1250">
                  <c:v>258.03933202357564</c:v>
                </c:pt>
                <c:pt idx="1251">
                  <c:v>272.20510805500982</c:v>
                </c:pt>
                <c:pt idx="1252">
                  <c:v>258.87261296660114</c:v>
                </c:pt>
                <c:pt idx="1253">
                  <c:v>260.53917485265225</c:v>
                </c:pt>
                <c:pt idx="1254">
                  <c:v>243.04027504911591</c:v>
                </c:pt>
                <c:pt idx="1255">
                  <c:v>246.09563850687618</c:v>
                </c:pt>
                <c:pt idx="1256">
                  <c:v>241.37371316306482</c:v>
                </c:pt>
                <c:pt idx="1257">
                  <c:v>239.9849115913556</c:v>
                </c:pt>
                <c:pt idx="1258">
                  <c:v>250.26204322200388</c:v>
                </c:pt>
                <c:pt idx="1259">
                  <c:v>242.48475442043218</c:v>
                </c:pt>
                <c:pt idx="1260">
                  <c:v>243.87355599214143</c:v>
                </c:pt>
                <c:pt idx="1261">
                  <c:v>244.70683693516696</c:v>
                </c:pt>
                <c:pt idx="1262">
                  <c:v>247.7622003929273</c:v>
                </c:pt>
                <c:pt idx="1263">
                  <c:v>257.48381139489192</c:v>
                </c:pt>
                <c:pt idx="1264">
                  <c:v>258.03933202357564</c:v>
                </c:pt>
                <c:pt idx="1265">
                  <c:v>254.42844793713161</c:v>
                </c:pt>
                <c:pt idx="1266">
                  <c:v>252.76188605108052</c:v>
                </c:pt>
                <c:pt idx="1267">
                  <c:v>253.03964636542236</c:v>
                </c:pt>
                <c:pt idx="1268">
                  <c:v>254.42844793713161</c:v>
                </c:pt>
                <c:pt idx="1269">
                  <c:v>254.70620825147347</c:v>
                </c:pt>
                <c:pt idx="1270">
                  <c:v>248.87324165029466</c:v>
                </c:pt>
                <c:pt idx="1271">
                  <c:v>244.98459724950882</c:v>
                </c:pt>
                <c:pt idx="1272">
                  <c:v>258.31709233791747</c:v>
                </c:pt>
                <c:pt idx="1273">
                  <c:v>270.26078585461687</c:v>
                </c:pt>
                <c:pt idx="1274">
                  <c:v>283.31552062868366</c:v>
                </c:pt>
                <c:pt idx="1275">
                  <c:v>273.87166994106087</c:v>
                </c:pt>
                <c:pt idx="1276">
                  <c:v>278.87135559921416</c:v>
                </c:pt>
                <c:pt idx="1277">
                  <c:v>311.09155206286835</c:v>
                </c:pt>
                <c:pt idx="1278">
                  <c:v>323.31300589390963</c:v>
                </c:pt>
                <c:pt idx="1279">
                  <c:v>331.64581532416503</c:v>
                </c:pt>
                <c:pt idx="1280">
                  <c:v>312.48035363457757</c:v>
                </c:pt>
                <c:pt idx="1281">
                  <c:v>298.87009823182706</c:v>
                </c:pt>
                <c:pt idx="1282">
                  <c:v>307.48066797642434</c:v>
                </c:pt>
                <c:pt idx="1283">
                  <c:v>303.31426326129662</c:v>
                </c:pt>
                <c:pt idx="1284">
                  <c:v>294.98145383104122</c:v>
                </c:pt>
                <c:pt idx="1285">
                  <c:v>301.64770137524556</c:v>
                </c:pt>
                <c:pt idx="1286">
                  <c:v>305.5363457760314</c:v>
                </c:pt>
                <c:pt idx="1287">
                  <c:v>305.25858546168956</c:v>
                </c:pt>
                <c:pt idx="1288">
                  <c:v>351.08903732809426</c:v>
                </c:pt>
                <c:pt idx="1289">
                  <c:v>419.41807465618859</c:v>
                </c:pt>
                <c:pt idx="1290">
                  <c:v>380.53163064833001</c:v>
                </c:pt>
                <c:pt idx="1291">
                  <c:v>399.69709233791747</c:v>
                </c:pt>
                <c:pt idx="1292">
                  <c:v>406.91886051080547</c:v>
                </c:pt>
                <c:pt idx="1293">
                  <c:v>401.36365422396852</c:v>
                </c:pt>
                <c:pt idx="1294">
                  <c:v>437.75025540275044</c:v>
                </c:pt>
                <c:pt idx="1295">
                  <c:v>448.5829076620825</c:v>
                </c:pt>
                <c:pt idx="1296">
                  <c:v>447.74962671905689</c:v>
                </c:pt>
                <c:pt idx="1297">
                  <c:v>435.25041257367383</c:v>
                </c:pt>
                <c:pt idx="1298">
                  <c:v>448.30514734774067</c:v>
                </c:pt>
                <c:pt idx="1299">
                  <c:v>449.97170923379173</c:v>
                </c:pt>
                <c:pt idx="1300">
                  <c:v>467.47060903732807</c:v>
                </c:pt>
                <c:pt idx="1301">
                  <c:v>455.52691552062868</c:v>
                </c:pt>
                <c:pt idx="1302">
                  <c:v>455.52691552062868</c:v>
                </c:pt>
                <c:pt idx="1303">
                  <c:v>459.97108055009818</c:v>
                </c:pt>
                <c:pt idx="1304">
                  <c:v>461.3598821218074</c:v>
                </c:pt>
                <c:pt idx="1305">
                  <c:v>449.97170923379173</c:v>
                </c:pt>
                <c:pt idx="1306">
                  <c:v>445.805304518664</c:v>
                </c:pt>
                <c:pt idx="1307">
                  <c:v>429.41744597249505</c:v>
                </c:pt>
                <c:pt idx="1308">
                  <c:v>448.30514734774067</c:v>
                </c:pt>
                <c:pt idx="1309">
                  <c:v>429.13968565815321</c:v>
                </c:pt>
                <c:pt idx="1310">
                  <c:v>437.75025540275044</c:v>
                </c:pt>
                <c:pt idx="1311">
                  <c:v>444.41650294695478</c:v>
                </c:pt>
                <c:pt idx="1312">
                  <c:v>449.41618860510806</c:v>
                </c:pt>
                <c:pt idx="1313">
                  <c:v>458.86003929273079</c:v>
                </c:pt>
                <c:pt idx="1314">
                  <c:v>444.41650294695478</c:v>
                </c:pt>
                <c:pt idx="1315">
                  <c:v>444.41650294695478</c:v>
                </c:pt>
                <c:pt idx="1316">
                  <c:v>440.80561886051072</c:v>
                </c:pt>
                <c:pt idx="1317">
                  <c:v>483.58070726915514</c:v>
                </c:pt>
                <c:pt idx="1318">
                  <c:v>533.02204322200396</c:v>
                </c:pt>
                <c:pt idx="1319">
                  <c:v>531.63324165029462</c:v>
                </c:pt>
                <c:pt idx="1320">
                  <c:v>555.52062868369353</c:v>
                </c:pt>
                <c:pt idx="1321">
                  <c:v>583.57442043221999</c:v>
                </c:pt>
                <c:pt idx="1322">
                  <c:v>559.13151277013753</c:v>
                </c:pt>
                <c:pt idx="1323">
                  <c:v>531.35548133595285</c:v>
                </c:pt>
                <c:pt idx="1324">
                  <c:v>504.96825147347738</c:v>
                </c:pt>
                <c:pt idx="1325">
                  <c:v>479.9698231827112</c:v>
                </c:pt>
                <c:pt idx="1326">
                  <c:v>456.08243614931229</c:v>
                </c:pt>
                <c:pt idx="1327">
                  <c:v>433.30609037328088</c:v>
                </c:pt>
                <c:pt idx="1328">
                  <c:v>411.64078585461681</c:v>
                </c:pt>
                <c:pt idx="1329">
                  <c:v>432.19504911591349</c:v>
                </c:pt>
                <c:pt idx="1330">
                  <c:v>453.58259332023573</c:v>
                </c:pt>
                <c:pt idx="1331">
                  <c:v>431.0840078585461</c:v>
                </c:pt>
                <c:pt idx="1332">
                  <c:v>418.58479371316298</c:v>
                </c:pt>
                <c:pt idx="1333">
                  <c:v>399.69709233791747</c:v>
                </c:pt>
                <c:pt idx="1334">
                  <c:v>379.97611001964634</c:v>
                </c:pt>
                <c:pt idx="1335">
                  <c:v>361.08840864440077</c:v>
                </c:pt>
                <c:pt idx="1336">
                  <c:v>379.14282907662079</c:v>
                </c:pt>
                <c:pt idx="1337">
                  <c:v>383.30923379174851</c:v>
                </c:pt>
                <c:pt idx="1338">
                  <c:v>373.03210216110023</c:v>
                </c:pt>
                <c:pt idx="1339">
                  <c:v>357.7552848722986</c:v>
                </c:pt>
                <c:pt idx="1340">
                  <c:v>340.53414538310409</c:v>
                </c:pt>
                <c:pt idx="1341">
                  <c:v>358.03304518664044</c:v>
                </c:pt>
                <c:pt idx="1342">
                  <c:v>340.25638506876226</c:v>
                </c:pt>
                <c:pt idx="1343">
                  <c:v>323.31300589390963</c:v>
                </c:pt>
                <c:pt idx="1344">
                  <c:v>307.20290766208245</c:v>
                </c:pt>
                <c:pt idx="1345">
                  <c:v>312.7581139489194</c:v>
                </c:pt>
                <c:pt idx="1346">
                  <c:v>301.64770137524556</c:v>
                </c:pt>
                <c:pt idx="1347">
                  <c:v>300.53666011787817</c:v>
                </c:pt>
                <c:pt idx="1348">
                  <c:v>315.5357170923379</c:v>
                </c:pt>
                <c:pt idx="1349">
                  <c:v>325.25732809430252</c:v>
                </c:pt>
                <c:pt idx="1350">
                  <c:v>320.2576424361493</c:v>
                </c:pt>
                <c:pt idx="1351">
                  <c:v>315.81347740667974</c:v>
                </c:pt>
                <c:pt idx="1352">
                  <c:v>317.75779960707268</c:v>
                </c:pt>
                <c:pt idx="1353">
                  <c:v>324.97956777996069</c:v>
                </c:pt>
                <c:pt idx="1354">
                  <c:v>340.81190569744598</c:v>
                </c:pt>
                <c:pt idx="1355">
                  <c:v>344.42278978388993</c:v>
                </c:pt>
                <c:pt idx="1356">
                  <c:v>321.0909233791748</c:v>
                </c:pt>
                <c:pt idx="1357">
                  <c:v>311.36931237721018</c:v>
                </c:pt>
                <c:pt idx="1358">
                  <c:v>314.98019646365424</c:v>
                </c:pt>
                <c:pt idx="1359">
                  <c:v>309.42499017681729</c:v>
                </c:pt>
                <c:pt idx="1360">
                  <c:v>341.36742632612965</c:v>
                </c:pt>
                <c:pt idx="1361">
                  <c:v>333.86789783889981</c:v>
                </c:pt>
                <c:pt idx="1362">
                  <c:v>358.31080550098227</c:v>
                </c:pt>
                <c:pt idx="1363">
                  <c:v>346.36711198428287</c:v>
                </c:pt>
                <c:pt idx="1364">
                  <c:v>343.31174852652254</c:v>
                </c:pt>
                <c:pt idx="1365">
                  <c:v>331.36805500982314</c:v>
                </c:pt>
                <c:pt idx="1366">
                  <c:v>346.6448722986247</c:v>
                </c:pt>
                <c:pt idx="1367">
                  <c:v>342.47846758349704</c:v>
                </c:pt>
                <c:pt idx="1368">
                  <c:v>345.25607072691548</c:v>
                </c:pt>
                <c:pt idx="1369">
                  <c:v>333.59013752455792</c:v>
                </c:pt>
                <c:pt idx="1370">
                  <c:v>356.36648330058938</c:v>
                </c:pt>
                <c:pt idx="1371">
                  <c:v>372.19882121807461</c:v>
                </c:pt>
                <c:pt idx="1372">
                  <c:v>380.25387033398817</c:v>
                </c:pt>
                <c:pt idx="1373">
                  <c:v>371.08777996070722</c:v>
                </c:pt>
                <c:pt idx="1374">
                  <c:v>361.36616895874261</c:v>
                </c:pt>
                <c:pt idx="1375">
                  <c:v>351.3667976424361</c:v>
                </c:pt>
                <c:pt idx="1376">
                  <c:v>364.69929273084477</c:v>
                </c:pt>
                <c:pt idx="1377">
                  <c:v>358.86632612966594</c:v>
                </c:pt>
                <c:pt idx="1378">
                  <c:v>345.81159135559921</c:v>
                </c:pt>
                <c:pt idx="1379">
                  <c:v>340.53414538310409</c:v>
                </c:pt>
                <c:pt idx="1380">
                  <c:v>337.75654223968564</c:v>
                </c:pt>
                <c:pt idx="1381">
                  <c:v>338.86758349705303</c:v>
                </c:pt>
                <c:pt idx="1382">
                  <c:v>321.36868369351669</c:v>
                </c:pt>
                <c:pt idx="1383">
                  <c:v>308.3139489194499</c:v>
                </c:pt>
                <c:pt idx="1384">
                  <c:v>312.20259332023574</c:v>
                </c:pt>
                <c:pt idx="1385">
                  <c:v>327.4794106090373</c:v>
                </c:pt>
                <c:pt idx="1386">
                  <c:v>344.42278978388993</c:v>
                </c:pt>
                <c:pt idx="1387">
                  <c:v>330.53477406679764</c:v>
                </c:pt>
                <c:pt idx="1388">
                  <c:v>328.59045186640469</c:v>
                </c:pt>
                <c:pt idx="1389">
                  <c:v>329.42373280943019</c:v>
                </c:pt>
                <c:pt idx="1390">
                  <c:v>321.0909233791748</c:v>
                </c:pt>
                <c:pt idx="1391">
                  <c:v>331.0902946954813</c:v>
                </c:pt>
                <c:pt idx="1392">
                  <c:v>341.64518664047148</c:v>
                </c:pt>
                <c:pt idx="1393">
                  <c:v>334.42341846758347</c:v>
                </c:pt>
                <c:pt idx="1394">
                  <c:v>336.92326129666009</c:v>
                </c:pt>
                <c:pt idx="1395">
                  <c:v>345.81159135559921</c:v>
                </c:pt>
                <c:pt idx="1396">
                  <c:v>380.25387033398817</c:v>
                </c:pt>
                <c:pt idx="1397">
                  <c:v>379.97611001964634</c:v>
                </c:pt>
                <c:pt idx="1398">
                  <c:v>375.53194499017678</c:v>
                </c:pt>
                <c:pt idx="1399">
                  <c:v>380.53163064833001</c:v>
                </c:pt>
                <c:pt idx="1400">
                  <c:v>389.97548133595285</c:v>
                </c:pt>
                <c:pt idx="1401">
                  <c:v>378.0317878192534</c:v>
                </c:pt>
                <c:pt idx="1402">
                  <c:v>363.31049115913555</c:v>
                </c:pt>
                <c:pt idx="1403">
                  <c:v>357.19976424361488</c:v>
                </c:pt>
                <c:pt idx="1404">
                  <c:v>343.86726915520626</c:v>
                </c:pt>
                <c:pt idx="1405">
                  <c:v>345.81159135559921</c:v>
                </c:pt>
                <c:pt idx="1406">
                  <c:v>355.25544204322199</c:v>
                </c:pt>
                <c:pt idx="1407">
                  <c:v>355.53320235756382</c:v>
                </c:pt>
                <c:pt idx="1408">
                  <c:v>379.97611001964634</c:v>
                </c:pt>
                <c:pt idx="1409">
                  <c:v>373.03210216110023</c:v>
                </c:pt>
                <c:pt idx="1410">
                  <c:v>384.69803536345773</c:v>
                </c:pt>
                <c:pt idx="1411">
                  <c:v>387.47563850687618</c:v>
                </c:pt>
                <c:pt idx="1412">
                  <c:v>387.75339882121801</c:v>
                </c:pt>
                <c:pt idx="1413">
                  <c:v>397.19724950884086</c:v>
                </c:pt>
                <c:pt idx="1414">
                  <c:v>443.30546168958739</c:v>
                </c:pt>
                <c:pt idx="1415">
                  <c:v>441.63889980353633</c:v>
                </c:pt>
                <c:pt idx="1416">
                  <c:v>433.58385068762271</c:v>
                </c:pt>
                <c:pt idx="1417">
                  <c:v>424.13999999999993</c:v>
                </c:pt>
                <c:pt idx="1418">
                  <c:v>419.69583497053043</c:v>
                </c:pt>
                <c:pt idx="1419">
                  <c:v>438.583536345776</c:v>
                </c:pt>
                <c:pt idx="1420">
                  <c:v>428.30640471512766</c:v>
                </c:pt>
                <c:pt idx="1421">
                  <c:v>418.30703339882115</c:v>
                </c:pt>
                <c:pt idx="1422">
                  <c:v>425.52880157170915</c:v>
                </c:pt>
                <c:pt idx="1423">
                  <c:v>418.58479371316298</c:v>
                </c:pt>
                <c:pt idx="1424">
                  <c:v>394.69740667976419</c:v>
                </c:pt>
                <c:pt idx="1425">
                  <c:v>413.58510805500981</c:v>
                </c:pt>
                <c:pt idx="1426">
                  <c:v>461.08212180746557</c:v>
                </c:pt>
                <c:pt idx="1427">
                  <c:v>454.1381139489194</c:v>
                </c:pt>
                <c:pt idx="1428">
                  <c:v>422.19567779960704</c:v>
                </c:pt>
                <c:pt idx="1429">
                  <c:v>400.53037328094297</c:v>
                </c:pt>
                <c:pt idx="1430">
                  <c:v>386.64235756385062</c:v>
                </c:pt>
                <c:pt idx="1431">
                  <c:v>357.19976424361488</c:v>
                </c:pt>
                <c:pt idx="1432">
                  <c:v>361.64392927308444</c:v>
                </c:pt>
                <c:pt idx="1433">
                  <c:v>346.36711198428287</c:v>
                </c:pt>
                <c:pt idx="1434">
                  <c:v>350.25575638506871</c:v>
                </c:pt>
                <c:pt idx="1435">
                  <c:v>372.19882121807461</c:v>
                </c:pt>
                <c:pt idx="1436">
                  <c:v>384.97579567779957</c:v>
                </c:pt>
                <c:pt idx="1437">
                  <c:v>394.14188605108052</c:v>
                </c:pt>
                <c:pt idx="1438">
                  <c:v>399.41933202357563</c:v>
                </c:pt>
                <c:pt idx="1439">
                  <c:v>396.64172888015719</c:v>
                </c:pt>
                <c:pt idx="1440">
                  <c:v>393.03084479371313</c:v>
                </c:pt>
                <c:pt idx="1441">
                  <c:v>387.75339882121801</c:v>
                </c:pt>
                <c:pt idx="1442">
                  <c:v>373.86538310412567</c:v>
                </c:pt>
                <c:pt idx="1443">
                  <c:v>372.19882121807461</c:v>
                </c:pt>
                <c:pt idx="1444">
                  <c:v>375.25418467583495</c:v>
                </c:pt>
                <c:pt idx="1445">
                  <c:v>375.53194499017678</c:v>
                </c:pt>
                <c:pt idx="1446">
                  <c:v>362.19944990176816</c:v>
                </c:pt>
                <c:pt idx="1447">
                  <c:v>334.14565815324164</c:v>
                </c:pt>
                <c:pt idx="1448">
                  <c:v>304.7030648330059</c:v>
                </c:pt>
                <c:pt idx="1449">
                  <c:v>297.75905697445972</c:v>
                </c:pt>
                <c:pt idx="1450">
                  <c:v>323.31300589390963</c:v>
                </c:pt>
                <c:pt idx="1451">
                  <c:v>319.14660117878191</c:v>
                </c:pt>
                <c:pt idx="1452">
                  <c:v>308.86946954813357</c:v>
                </c:pt>
                <c:pt idx="1453">
                  <c:v>316.36899803536346</c:v>
                </c:pt>
                <c:pt idx="1454">
                  <c:v>316.64675834970529</c:v>
                </c:pt>
                <c:pt idx="1455">
                  <c:v>314.70243614931235</c:v>
                </c:pt>
                <c:pt idx="1456">
                  <c:v>301.64770137524556</c:v>
                </c:pt>
                <c:pt idx="1457">
                  <c:v>298.03681728880156</c:v>
                </c:pt>
                <c:pt idx="1458">
                  <c:v>289.981768172888</c:v>
                </c:pt>
                <c:pt idx="1459">
                  <c:v>284.42656188605105</c:v>
                </c:pt>
                <c:pt idx="1460">
                  <c:v>276.37151277013749</c:v>
                </c:pt>
                <c:pt idx="1461">
                  <c:v>286.09312377210216</c:v>
                </c:pt>
                <c:pt idx="1462">
                  <c:v>313.86915520628679</c:v>
                </c:pt>
                <c:pt idx="1463">
                  <c:v>314.14691552062862</c:v>
                </c:pt>
                <c:pt idx="1464">
                  <c:v>318.59108055009824</c:v>
                </c:pt>
                <c:pt idx="1465">
                  <c:v>313.86915520628679</c:v>
                </c:pt>
                <c:pt idx="1466">
                  <c:v>321.36868369351669</c:v>
                </c:pt>
                <c:pt idx="1467">
                  <c:v>324.42404715127697</c:v>
                </c:pt>
                <c:pt idx="1468">
                  <c:v>318.86884086444007</c:v>
                </c:pt>
                <c:pt idx="1469">
                  <c:v>316.36899803536346</c:v>
                </c:pt>
                <c:pt idx="1470">
                  <c:v>307.20290766208245</c:v>
                </c:pt>
                <c:pt idx="1471">
                  <c:v>308.03618860510807</c:v>
                </c:pt>
                <c:pt idx="1472">
                  <c:v>312.20259332023574</c:v>
                </c:pt>
                <c:pt idx="1473">
                  <c:v>308.3139489194499</c:v>
                </c:pt>
                <c:pt idx="1474">
                  <c:v>322.20196463654224</c:v>
                </c:pt>
                <c:pt idx="1475">
                  <c:v>318.31332023575635</c:v>
                </c:pt>
                <c:pt idx="1476">
                  <c:v>320.2576424361493</c:v>
                </c:pt>
                <c:pt idx="1477">
                  <c:v>314.70243614931235</c:v>
                </c:pt>
                <c:pt idx="1478">
                  <c:v>318.86884086444007</c:v>
                </c:pt>
                <c:pt idx="1479">
                  <c:v>332.20133595284869</c:v>
                </c:pt>
                <c:pt idx="1480">
                  <c:v>327.75717092337914</c:v>
                </c:pt>
                <c:pt idx="1481">
                  <c:v>336.08998035363453</c:v>
                </c:pt>
                <c:pt idx="1482">
                  <c:v>330.81253438113947</c:v>
                </c:pt>
                <c:pt idx="1483">
                  <c:v>322.20196463654224</c:v>
                </c:pt>
                <c:pt idx="1484">
                  <c:v>336.08998035363453</c:v>
                </c:pt>
                <c:pt idx="1485">
                  <c:v>352.75559921414538</c:v>
                </c:pt>
                <c:pt idx="1486">
                  <c:v>351.3667976424361</c:v>
                </c:pt>
                <c:pt idx="1487">
                  <c:v>349.97799607072687</c:v>
                </c:pt>
                <c:pt idx="1488">
                  <c:v>348.31143418467582</c:v>
                </c:pt>
                <c:pt idx="1489">
                  <c:v>351.08903732809426</c:v>
                </c:pt>
                <c:pt idx="1490">
                  <c:v>351.3667976424361</c:v>
                </c:pt>
                <c:pt idx="1491">
                  <c:v>364.42153241650288</c:v>
                </c:pt>
                <c:pt idx="1492">
                  <c:v>386.08683693516696</c:v>
                </c:pt>
                <c:pt idx="1493">
                  <c:v>398.03053045186641</c:v>
                </c:pt>
                <c:pt idx="1494">
                  <c:v>405.53005893909625</c:v>
                </c:pt>
                <c:pt idx="1495">
                  <c:v>400.80813359528486</c:v>
                </c:pt>
                <c:pt idx="1496">
                  <c:v>398.30829076620824</c:v>
                </c:pt>
                <c:pt idx="1497">
                  <c:v>383.30923379174851</c:v>
                </c:pt>
                <c:pt idx="1498">
                  <c:v>396.08620825147341</c:v>
                </c:pt>
                <c:pt idx="1499">
                  <c:v>387.47563850687618</c:v>
                </c:pt>
                <c:pt idx="1500">
                  <c:v>372.47658153241645</c:v>
                </c:pt>
                <c:pt idx="1501">
                  <c:v>370.25449901768172</c:v>
                </c:pt>
                <c:pt idx="1502">
                  <c:v>370.53225933202356</c:v>
                </c:pt>
                <c:pt idx="1503">
                  <c:v>359.42184675834972</c:v>
                </c:pt>
                <c:pt idx="1504">
                  <c:v>359.14408644400788</c:v>
                </c:pt>
                <c:pt idx="1505">
                  <c:v>349.97799607072687</c:v>
                </c:pt>
                <c:pt idx="1506">
                  <c:v>341.64518664047148</c:v>
                </c:pt>
                <c:pt idx="1507">
                  <c:v>356.64424361493121</c:v>
                </c:pt>
                <c:pt idx="1508">
                  <c:v>347.75591355599209</c:v>
                </c:pt>
                <c:pt idx="1509">
                  <c:v>355.25544204322199</c:v>
                </c:pt>
                <c:pt idx="1510">
                  <c:v>354.42216110019643</c:v>
                </c:pt>
                <c:pt idx="1511">
                  <c:v>354.69992141453827</c:v>
                </c:pt>
                <c:pt idx="1512">
                  <c:v>343.58950884086443</c:v>
                </c:pt>
                <c:pt idx="1513">
                  <c:v>340.53414538310409</c:v>
                </c:pt>
                <c:pt idx="1514">
                  <c:v>340.53414538310409</c:v>
                </c:pt>
                <c:pt idx="1515">
                  <c:v>341.08966601178781</c:v>
                </c:pt>
                <c:pt idx="1516">
                  <c:v>338.86758349705303</c:v>
                </c:pt>
                <c:pt idx="1517">
                  <c:v>341.36742632612965</c:v>
                </c:pt>
                <c:pt idx="1518">
                  <c:v>345.25607072691548</c:v>
                </c:pt>
                <c:pt idx="1519">
                  <c:v>346.92263261296659</c:v>
                </c:pt>
                <c:pt idx="1520">
                  <c:v>346.92263261296659</c:v>
                </c:pt>
                <c:pt idx="1521">
                  <c:v>351.92231827111982</c:v>
                </c:pt>
                <c:pt idx="1522">
                  <c:v>349.97799607072687</c:v>
                </c:pt>
                <c:pt idx="1523">
                  <c:v>347.20039292730843</c:v>
                </c:pt>
                <c:pt idx="1524">
                  <c:v>354.42216110019643</c:v>
                </c:pt>
                <c:pt idx="1525">
                  <c:v>366.08809430255405</c:v>
                </c:pt>
                <c:pt idx="1526">
                  <c:v>359.97736738703338</c:v>
                </c:pt>
                <c:pt idx="1527">
                  <c:v>366.08809430255405</c:v>
                </c:pt>
                <c:pt idx="1528">
                  <c:v>360.25512770137516</c:v>
                </c:pt>
                <c:pt idx="1529">
                  <c:v>354.42216110019643</c:v>
                </c:pt>
                <c:pt idx="1530">
                  <c:v>355.53320235756382</c:v>
                </c:pt>
                <c:pt idx="1531">
                  <c:v>400.80813359528486</c:v>
                </c:pt>
                <c:pt idx="1532">
                  <c:v>424.41776031434182</c:v>
                </c:pt>
                <c:pt idx="1533">
                  <c:v>453.30483300589384</c:v>
                </c:pt>
                <c:pt idx="1534">
                  <c:v>440.25009823182705</c:v>
                </c:pt>
                <c:pt idx="1535">
                  <c:v>458.30451866404712</c:v>
                </c:pt>
                <c:pt idx="1536">
                  <c:v>452.74931237721017</c:v>
                </c:pt>
                <c:pt idx="1537">
                  <c:v>434.69489194499016</c:v>
                </c:pt>
                <c:pt idx="1538">
                  <c:v>431.63952848722982</c:v>
                </c:pt>
                <c:pt idx="1539">
                  <c:v>435.25041257367383</c:v>
                </c:pt>
                <c:pt idx="1540">
                  <c:v>429.97296660117877</c:v>
                </c:pt>
                <c:pt idx="1541">
                  <c:v>433.86161100196455</c:v>
                </c:pt>
                <c:pt idx="1542">
                  <c:v>448.86066797642434</c:v>
                </c:pt>
                <c:pt idx="1543">
                  <c:v>438.86129666011783</c:v>
                </c:pt>
                <c:pt idx="1544">
                  <c:v>445.52754420432217</c:v>
                </c:pt>
                <c:pt idx="1545">
                  <c:v>433.30609037328088</c:v>
                </c:pt>
                <c:pt idx="1546">
                  <c:v>434.41713163064833</c:v>
                </c:pt>
                <c:pt idx="1547">
                  <c:v>429.97296660117877</c:v>
                </c:pt>
                <c:pt idx="1548">
                  <c:v>431.63952848722982</c:v>
                </c:pt>
                <c:pt idx="1549">
                  <c:v>429.69520628683688</c:v>
                </c:pt>
                <c:pt idx="1550">
                  <c:v>425.25104125736732</c:v>
                </c:pt>
                <c:pt idx="1551">
                  <c:v>424.41776031434182</c:v>
                </c:pt>
                <c:pt idx="1552">
                  <c:v>414.97390962671903</c:v>
                </c:pt>
                <c:pt idx="1553">
                  <c:v>404.41901768172886</c:v>
                </c:pt>
                <c:pt idx="1554">
                  <c:v>402.75245579567775</c:v>
                </c:pt>
                <c:pt idx="1555">
                  <c:v>413.86286836935165</c:v>
                </c:pt>
                <c:pt idx="1556">
                  <c:v>411.0852652259332</c:v>
                </c:pt>
                <c:pt idx="1557">
                  <c:v>409.14094302554025</c:v>
                </c:pt>
                <c:pt idx="1558">
                  <c:v>416.36271119842826</c:v>
                </c:pt>
                <c:pt idx="1559">
                  <c:v>409.69646365422392</c:v>
                </c:pt>
                <c:pt idx="1560">
                  <c:v>406.36333988212181</c:v>
                </c:pt>
                <c:pt idx="1561">
                  <c:v>404.69677799607064</c:v>
                </c:pt>
                <c:pt idx="1562">
                  <c:v>404.14125736738703</c:v>
                </c:pt>
                <c:pt idx="1563">
                  <c:v>411.0852652259332</c:v>
                </c:pt>
                <c:pt idx="1564">
                  <c:v>431.36176817288799</c:v>
                </c:pt>
                <c:pt idx="1565">
                  <c:v>414.41838899803531</c:v>
                </c:pt>
                <c:pt idx="1566">
                  <c:v>430.52848722986244</c:v>
                </c:pt>
                <c:pt idx="1567">
                  <c:v>420.52911591355598</c:v>
                </c:pt>
                <c:pt idx="1568">
                  <c:v>405.53005893909625</c:v>
                </c:pt>
                <c:pt idx="1569">
                  <c:v>405.53005893909625</c:v>
                </c:pt>
                <c:pt idx="1570">
                  <c:v>396.91948919449902</c:v>
                </c:pt>
                <c:pt idx="1571">
                  <c:v>393.03084479371313</c:v>
                </c:pt>
                <c:pt idx="1572">
                  <c:v>397.47500982318269</c:v>
                </c:pt>
                <c:pt idx="1573">
                  <c:v>390.53100196463652</c:v>
                </c:pt>
                <c:pt idx="1574">
                  <c:v>392.7530844793713</c:v>
                </c:pt>
                <c:pt idx="1575">
                  <c:v>385.53131630648329</c:v>
                </c:pt>
                <c:pt idx="1576">
                  <c:v>396.08620825147341</c:v>
                </c:pt>
                <c:pt idx="1577">
                  <c:v>382.19819253438112</c:v>
                </c:pt>
                <c:pt idx="1578">
                  <c:v>374.97642436149312</c:v>
                </c:pt>
                <c:pt idx="1579">
                  <c:v>391.08652259332024</c:v>
                </c:pt>
                <c:pt idx="1580">
                  <c:v>391.08652259332024</c:v>
                </c:pt>
                <c:pt idx="1581">
                  <c:v>386.36459724950879</c:v>
                </c:pt>
                <c:pt idx="1582">
                  <c:v>372.47658153241645</c:v>
                </c:pt>
                <c:pt idx="1583">
                  <c:v>377.1985068762279</c:v>
                </c:pt>
                <c:pt idx="1584">
                  <c:v>376.64298624754417</c:v>
                </c:pt>
                <c:pt idx="1585">
                  <c:v>375.25418467583495</c:v>
                </c:pt>
                <c:pt idx="1586">
                  <c:v>407.47438113948914</c:v>
                </c:pt>
                <c:pt idx="1587">
                  <c:v>400.53037328094297</c:v>
                </c:pt>
                <c:pt idx="1588">
                  <c:v>393.86412573673869</c:v>
                </c:pt>
                <c:pt idx="1589">
                  <c:v>404.14125736738703</c:v>
                </c:pt>
                <c:pt idx="1590">
                  <c:v>395.53068762278974</c:v>
                </c:pt>
                <c:pt idx="1591">
                  <c:v>375.80970530451867</c:v>
                </c:pt>
                <c:pt idx="1592">
                  <c:v>382.75371316306484</c:v>
                </c:pt>
                <c:pt idx="1593">
                  <c:v>392.47532416502946</c:v>
                </c:pt>
                <c:pt idx="1594">
                  <c:v>384.4202750491159</c:v>
                </c:pt>
                <c:pt idx="1595">
                  <c:v>383.30923379174851</c:v>
                </c:pt>
                <c:pt idx="1596">
                  <c:v>385.53131630648329</c:v>
                </c:pt>
                <c:pt idx="1597">
                  <c:v>406.08557956777992</c:v>
                </c:pt>
                <c:pt idx="1598">
                  <c:v>426.36208251473477</c:v>
                </c:pt>
                <c:pt idx="1599">
                  <c:v>413.30734774066798</c:v>
                </c:pt>
                <c:pt idx="1600">
                  <c:v>399.69709233791747</c:v>
                </c:pt>
                <c:pt idx="1601">
                  <c:v>399.14157170923374</c:v>
                </c:pt>
                <c:pt idx="1602">
                  <c:v>411.0852652259332</c:v>
                </c:pt>
                <c:pt idx="1603">
                  <c:v>379.97611001964634</c:v>
                </c:pt>
                <c:pt idx="1604">
                  <c:v>386.08683693516696</c:v>
                </c:pt>
                <c:pt idx="1605">
                  <c:v>394.97516699410602</c:v>
                </c:pt>
                <c:pt idx="1606">
                  <c:v>394.97516699410602</c:v>
                </c:pt>
                <c:pt idx="1607">
                  <c:v>397.47500982318269</c:v>
                </c:pt>
                <c:pt idx="1608">
                  <c:v>391.64204322200391</c:v>
                </c:pt>
                <c:pt idx="1609">
                  <c:v>388.03115913555985</c:v>
                </c:pt>
                <c:pt idx="1610">
                  <c:v>389.69772102161102</c:v>
                </c:pt>
                <c:pt idx="1611">
                  <c:v>384.97579567779957</c:v>
                </c:pt>
                <c:pt idx="1612">
                  <c:v>385.53131630648329</c:v>
                </c:pt>
                <c:pt idx="1613">
                  <c:v>385.53131630648329</c:v>
                </c:pt>
                <c:pt idx="1614">
                  <c:v>387.75339882121801</c:v>
                </c:pt>
                <c:pt idx="1615">
                  <c:v>393.86412573673869</c:v>
                </c:pt>
                <c:pt idx="1616">
                  <c:v>399.9748526522593</c:v>
                </c:pt>
                <c:pt idx="1617">
                  <c:v>399.9748526522593</c:v>
                </c:pt>
                <c:pt idx="1618">
                  <c:v>394.97516699410602</c:v>
                </c:pt>
                <c:pt idx="1619">
                  <c:v>394.41964636542235</c:v>
                </c:pt>
                <c:pt idx="1620">
                  <c:v>395.25292730844797</c:v>
                </c:pt>
                <c:pt idx="1621">
                  <c:v>391.08652259332024</c:v>
                </c:pt>
                <c:pt idx="1622">
                  <c:v>411.0852652259332</c:v>
                </c:pt>
                <c:pt idx="1623">
                  <c:v>424.13999999999993</c:v>
                </c:pt>
                <c:pt idx="1624">
                  <c:v>407.75214145383103</c:v>
                </c:pt>
                <c:pt idx="1625">
                  <c:v>406.08557956777992</c:v>
                </c:pt>
                <c:pt idx="1626">
                  <c:v>398.03053045186641</c:v>
                </c:pt>
                <c:pt idx="1627">
                  <c:v>408.3076620825147</c:v>
                </c:pt>
                <c:pt idx="1628">
                  <c:v>411.0852652259332</c:v>
                </c:pt>
                <c:pt idx="1629">
                  <c:v>401.08589390962669</c:v>
                </c:pt>
                <c:pt idx="1630">
                  <c:v>411.0852652259332</c:v>
                </c:pt>
                <c:pt idx="1631">
                  <c:v>388.8644400785854</c:v>
                </c:pt>
                <c:pt idx="1632">
                  <c:v>374.97642436149312</c:v>
                </c:pt>
                <c:pt idx="1633">
                  <c:v>381.92043222003929</c:v>
                </c:pt>
                <c:pt idx="1634">
                  <c:v>377.75402750491156</c:v>
                </c:pt>
                <c:pt idx="1635">
                  <c:v>374.97642436149312</c:v>
                </c:pt>
                <c:pt idx="1636">
                  <c:v>346.92263261296659</c:v>
                </c:pt>
                <c:pt idx="1637">
                  <c:v>355.53320235756382</c:v>
                </c:pt>
                <c:pt idx="1638">
                  <c:v>369.97673870333983</c:v>
                </c:pt>
                <c:pt idx="1639">
                  <c:v>372.47658153241645</c:v>
                </c:pt>
                <c:pt idx="1640">
                  <c:v>376.08746561886051</c:v>
                </c:pt>
                <c:pt idx="1641">
                  <c:v>380.53163064833001</c:v>
                </c:pt>
                <c:pt idx="1642">
                  <c:v>383.30923379174851</c:v>
                </c:pt>
                <c:pt idx="1643">
                  <c:v>400.80813359528486</c:v>
                </c:pt>
                <c:pt idx="1644">
                  <c:v>399.41933202357563</c:v>
                </c:pt>
                <c:pt idx="1645">
                  <c:v>391.36428290766207</c:v>
                </c:pt>
                <c:pt idx="1646">
                  <c:v>388.8644400785854</c:v>
                </c:pt>
                <c:pt idx="1647">
                  <c:v>387.47563850687618</c:v>
                </c:pt>
                <c:pt idx="1648">
                  <c:v>390.53100196463652</c:v>
                </c:pt>
                <c:pt idx="1649">
                  <c:v>395.80844793713158</c:v>
                </c:pt>
                <c:pt idx="1650">
                  <c:v>389.69772102161102</c:v>
                </c:pt>
                <c:pt idx="1651">
                  <c:v>384.14251473477407</c:v>
                </c:pt>
                <c:pt idx="1652">
                  <c:v>383.86475442043218</c:v>
                </c:pt>
                <c:pt idx="1653">
                  <c:v>378.30954813359523</c:v>
                </c:pt>
                <c:pt idx="1654">
                  <c:v>371.64330058939095</c:v>
                </c:pt>
                <c:pt idx="1655">
                  <c:v>381.36491159135562</c:v>
                </c:pt>
                <c:pt idx="1656">
                  <c:v>401.36365422396852</c:v>
                </c:pt>
                <c:pt idx="1657">
                  <c:v>388.8644400785854</c:v>
                </c:pt>
                <c:pt idx="1658">
                  <c:v>385.53131630648329</c:v>
                </c:pt>
                <c:pt idx="1659">
                  <c:v>378.58730844793712</c:v>
                </c:pt>
                <c:pt idx="1660">
                  <c:v>374.97642436149312</c:v>
                </c:pt>
                <c:pt idx="1661">
                  <c:v>371.64330058939095</c:v>
                </c:pt>
                <c:pt idx="1662">
                  <c:v>373.86538310412567</c:v>
                </c:pt>
                <c:pt idx="1663">
                  <c:v>375.80970530451867</c:v>
                </c:pt>
                <c:pt idx="1664">
                  <c:v>383.30923379174851</c:v>
                </c:pt>
                <c:pt idx="1665">
                  <c:v>383.86475442043218</c:v>
                </c:pt>
                <c:pt idx="1666">
                  <c:v>397.19724950884086</c:v>
                </c:pt>
                <c:pt idx="1667">
                  <c:v>400.80813359528486</c:v>
                </c:pt>
                <c:pt idx="1668">
                  <c:v>401.91917485265219</c:v>
                </c:pt>
                <c:pt idx="1669">
                  <c:v>400.25261296660113</c:v>
                </c:pt>
                <c:pt idx="1670">
                  <c:v>404.41901768172886</c:v>
                </c:pt>
                <c:pt idx="1671">
                  <c:v>407.19662082514731</c:v>
                </c:pt>
                <c:pt idx="1672">
                  <c:v>423.58447937131626</c:v>
                </c:pt>
                <c:pt idx="1673">
                  <c:v>436.36145383104122</c:v>
                </c:pt>
                <c:pt idx="1674">
                  <c:v>444.41650294695478</c:v>
                </c:pt>
                <c:pt idx="1675">
                  <c:v>438.583536345776</c:v>
                </c:pt>
                <c:pt idx="1676">
                  <c:v>438.86129666011783</c:v>
                </c:pt>
                <c:pt idx="1677">
                  <c:v>433.30609037328088</c:v>
                </c:pt>
                <c:pt idx="1678">
                  <c:v>434.41713163064833</c:v>
                </c:pt>
                <c:pt idx="1679">
                  <c:v>434.69489194499016</c:v>
                </c:pt>
                <c:pt idx="1680">
                  <c:v>441.63889980353633</c:v>
                </c:pt>
                <c:pt idx="1681">
                  <c:v>440.52785854616889</c:v>
                </c:pt>
                <c:pt idx="1682">
                  <c:v>439.13905697445966</c:v>
                </c:pt>
                <c:pt idx="1683">
                  <c:v>443.02770137524556</c:v>
                </c:pt>
                <c:pt idx="1684">
                  <c:v>443.02770137524556</c:v>
                </c:pt>
                <c:pt idx="1685">
                  <c:v>443.86098231827111</c:v>
                </c:pt>
                <c:pt idx="1686">
                  <c:v>429.13968565815321</c:v>
                </c:pt>
                <c:pt idx="1687">
                  <c:v>440.52785854616889</c:v>
                </c:pt>
                <c:pt idx="1688">
                  <c:v>448.86066797642434</c:v>
                </c:pt>
                <c:pt idx="1689">
                  <c:v>477.74774066797636</c:v>
                </c:pt>
                <c:pt idx="1690">
                  <c:v>481.63638506876225</c:v>
                </c:pt>
                <c:pt idx="1691">
                  <c:v>483.58070726915514</c:v>
                </c:pt>
                <c:pt idx="1692">
                  <c:v>491.08023575638504</c:v>
                </c:pt>
                <c:pt idx="1693">
                  <c:v>482.19190569744592</c:v>
                </c:pt>
                <c:pt idx="1694">
                  <c:v>472.4702946954813</c:v>
                </c:pt>
                <c:pt idx="1695">
                  <c:v>463.30420432220041</c:v>
                </c:pt>
                <c:pt idx="1696">
                  <c:v>521.0783497053045</c:v>
                </c:pt>
                <c:pt idx="1697">
                  <c:v>518.30074656188594</c:v>
                </c:pt>
                <c:pt idx="1698">
                  <c:v>539.6882907662083</c:v>
                </c:pt>
                <c:pt idx="1699">
                  <c:v>533.29980353634573</c:v>
                </c:pt>
                <c:pt idx="1700">
                  <c:v>545.24349705304519</c:v>
                </c:pt>
                <c:pt idx="1701">
                  <c:v>546.63229862475441</c:v>
                </c:pt>
                <c:pt idx="1702">
                  <c:v>544.41021611001963</c:v>
                </c:pt>
                <c:pt idx="1703">
                  <c:v>555.52062868369353</c:v>
                </c:pt>
                <c:pt idx="1704">
                  <c:v>545.79901768172886</c:v>
                </c:pt>
                <c:pt idx="1705">
                  <c:v>537.74396856581529</c:v>
                </c:pt>
                <c:pt idx="1706">
                  <c:v>544.41021611001963</c:v>
                </c:pt>
                <c:pt idx="1707">
                  <c:v>525.80027504911595</c:v>
                </c:pt>
                <c:pt idx="1708">
                  <c:v>521.63387033398817</c:v>
                </c:pt>
                <c:pt idx="1709">
                  <c:v>524.96699410609028</c:v>
                </c:pt>
                <c:pt idx="1710">
                  <c:v>519.41178781925339</c:v>
                </c:pt>
                <c:pt idx="1711">
                  <c:v>511.078978388998</c:v>
                </c:pt>
                <c:pt idx="1712">
                  <c:v>527.74459724950884</c:v>
                </c:pt>
                <c:pt idx="1713">
                  <c:v>550.52094302554019</c:v>
                </c:pt>
                <c:pt idx="1714">
                  <c:v>569.68640471512765</c:v>
                </c:pt>
                <c:pt idx="1715">
                  <c:v>558.85375245579564</c:v>
                </c:pt>
                <c:pt idx="1716">
                  <c:v>551.63198428290764</c:v>
                </c:pt>
                <c:pt idx="1717">
                  <c:v>550.24318271119841</c:v>
                </c:pt>
                <c:pt idx="1718">
                  <c:v>544.41021611001963</c:v>
                </c:pt>
                <c:pt idx="1719">
                  <c:v>553.85406679764242</c:v>
                </c:pt>
                <c:pt idx="1720">
                  <c:v>538.85500982318263</c:v>
                </c:pt>
                <c:pt idx="1721">
                  <c:v>563.85343811394887</c:v>
                </c:pt>
                <c:pt idx="1722">
                  <c:v>604.68420432220034</c:v>
                </c:pt>
                <c:pt idx="1723">
                  <c:v>661.06954813359528</c:v>
                </c:pt>
                <c:pt idx="1724">
                  <c:v>676.06860510805495</c:v>
                </c:pt>
                <c:pt idx="1725">
                  <c:v>645.51497053045182</c:v>
                </c:pt>
                <c:pt idx="1726">
                  <c:v>643.57064833005882</c:v>
                </c:pt>
                <c:pt idx="1727">
                  <c:v>672.17996070726906</c:v>
                </c:pt>
                <c:pt idx="1728">
                  <c:v>720.51025540275032</c:v>
                </c:pt>
                <c:pt idx="1729">
                  <c:v>711.34416502946954</c:v>
                </c:pt>
                <c:pt idx="1730">
                  <c:v>707.17776031434175</c:v>
                </c:pt>
                <c:pt idx="1731">
                  <c:v>705.23343811394886</c:v>
                </c:pt>
                <c:pt idx="1732">
                  <c:v>713.84400785854609</c:v>
                </c:pt>
                <c:pt idx="1733">
                  <c:v>716.62161100196454</c:v>
                </c:pt>
                <c:pt idx="1734">
                  <c:v>709.12208251473476</c:v>
                </c:pt>
                <c:pt idx="1735">
                  <c:v>719.67697445972499</c:v>
                </c:pt>
                <c:pt idx="1736">
                  <c:v>723.0100982318271</c:v>
                </c:pt>
                <c:pt idx="1737">
                  <c:v>722.17681728880154</c:v>
                </c:pt>
                <c:pt idx="1738">
                  <c:v>716.62161100196454</c:v>
                </c:pt>
                <c:pt idx="1739">
                  <c:v>701.90031434184664</c:v>
                </c:pt>
                <c:pt idx="1740">
                  <c:v>746.61972495088401</c:v>
                </c:pt>
                <c:pt idx="1741">
                  <c:v>743.00884086444</c:v>
                </c:pt>
                <c:pt idx="1742">
                  <c:v>749.95284872298623</c:v>
                </c:pt>
                <c:pt idx="1743">
                  <c:v>738.28691552062867</c:v>
                </c:pt>
                <c:pt idx="1744">
                  <c:v>743.56436149312367</c:v>
                </c:pt>
                <c:pt idx="1745">
                  <c:v>735.787072691552</c:v>
                </c:pt>
                <c:pt idx="1746">
                  <c:v>729.39858546168955</c:v>
                </c:pt>
                <c:pt idx="1747">
                  <c:v>738.28691552062867</c:v>
                </c:pt>
                <c:pt idx="1748">
                  <c:v>734.95379174852656</c:v>
                </c:pt>
                <c:pt idx="1749">
                  <c:v>746.89748526522578</c:v>
                </c:pt>
                <c:pt idx="1750">
                  <c:v>770.5071119842828</c:v>
                </c:pt>
                <c:pt idx="1751">
                  <c:v>766.61846758349702</c:v>
                </c:pt>
                <c:pt idx="1752">
                  <c:v>747.45300589390968</c:v>
                </c:pt>
                <c:pt idx="1753">
                  <c:v>725.23218074656188</c:v>
                </c:pt>
                <c:pt idx="1754">
                  <c:v>759.95222003929268</c:v>
                </c:pt>
                <c:pt idx="1755">
                  <c:v>752.73045186640468</c:v>
                </c:pt>
                <c:pt idx="1756">
                  <c:v>741.62003929273078</c:v>
                </c:pt>
                <c:pt idx="1757">
                  <c:v>721.62129666011788</c:v>
                </c:pt>
                <c:pt idx="1758">
                  <c:v>697.1783889980353</c:v>
                </c:pt>
                <c:pt idx="1759">
                  <c:v>698.56719056974453</c:v>
                </c:pt>
                <c:pt idx="1760">
                  <c:v>681.06829076620818</c:v>
                </c:pt>
                <c:pt idx="1761">
                  <c:v>655.51434184675827</c:v>
                </c:pt>
                <c:pt idx="1762">
                  <c:v>649.95913555992138</c:v>
                </c:pt>
                <c:pt idx="1763">
                  <c:v>668.84683693516695</c:v>
                </c:pt>
                <c:pt idx="1764">
                  <c:v>685.23469548133585</c:v>
                </c:pt>
                <c:pt idx="1765">
                  <c:v>671.62444007858539</c:v>
                </c:pt>
                <c:pt idx="1766">
                  <c:v>678.29068762278973</c:v>
                </c:pt>
                <c:pt idx="1767">
                  <c:v>701.62255402750486</c:v>
                </c:pt>
                <c:pt idx="1768">
                  <c:v>697.1783889980353</c:v>
                </c:pt>
                <c:pt idx="1769">
                  <c:v>680.51277013752451</c:v>
                </c:pt>
                <c:pt idx="1770">
                  <c:v>708.84432220039287</c:v>
                </c:pt>
                <c:pt idx="1771">
                  <c:v>742.45332023575634</c:v>
                </c:pt>
                <c:pt idx="1772">
                  <c:v>733.28722986247544</c:v>
                </c:pt>
                <c:pt idx="1773">
                  <c:v>722.45457760314343</c:v>
                </c:pt>
                <c:pt idx="1774">
                  <c:v>714.95504911591343</c:v>
                </c:pt>
                <c:pt idx="1775">
                  <c:v>705.51119842829075</c:v>
                </c:pt>
                <c:pt idx="1776">
                  <c:v>694.67854616895863</c:v>
                </c:pt>
                <c:pt idx="1777">
                  <c:v>682.73485265225929</c:v>
                </c:pt>
                <c:pt idx="1778">
                  <c:v>694.40078585461686</c:v>
                </c:pt>
                <c:pt idx="1779">
                  <c:v>694.40078585461686</c:v>
                </c:pt>
                <c:pt idx="1780">
                  <c:v>705.51119842829075</c:v>
                </c:pt>
                <c:pt idx="1781">
                  <c:v>682.17933202357563</c:v>
                </c:pt>
                <c:pt idx="1782">
                  <c:v>688.84557956777985</c:v>
                </c:pt>
                <c:pt idx="1783">
                  <c:v>674.40204322200395</c:v>
                </c:pt>
                <c:pt idx="1784">
                  <c:v>655.51434184675827</c:v>
                </c:pt>
                <c:pt idx="1785">
                  <c:v>669.95787819253428</c:v>
                </c:pt>
                <c:pt idx="1786">
                  <c:v>683.84589390962662</c:v>
                </c:pt>
                <c:pt idx="1787">
                  <c:v>700.51151277013741</c:v>
                </c:pt>
                <c:pt idx="1788">
                  <c:v>683.56813359528485</c:v>
                </c:pt>
                <c:pt idx="1789">
                  <c:v>688.84557956777985</c:v>
                </c:pt>
                <c:pt idx="1790">
                  <c:v>712.45520628683687</c:v>
                </c:pt>
                <c:pt idx="1791">
                  <c:v>735.50931237721022</c:v>
                </c:pt>
                <c:pt idx="1792">
                  <c:v>747.45300589390968</c:v>
                </c:pt>
                <c:pt idx="1793">
                  <c:v>755.50805500982312</c:v>
                </c:pt>
                <c:pt idx="1794">
                  <c:v>774.1179960707268</c:v>
                </c:pt>
                <c:pt idx="1795">
                  <c:v>760.50774066797635</c:v>
                </c:pt>
                <c:pt idx="1796">
                  <c:v>759.3966994106089</c:v>
                </c:pt>
                <c:pt idx="1797">
                  <c:v>743.00884086444</c:v>
                </c:pt>
                <c:pt idx="1798">
                  <c:v>722.45457760314343</c:v>
                </c:pt>
                <c:pt idx="1799">
                  <c:v>766.34070726915513</c:v>
                </c:pt>
                <c:pt idx="1800">
                  <c:v>732.45394891944977</c:v>
                </c:pt>
                <c:pt idx="1801">
                  <c:v>754.1192534381139</c:v>
                </c:pt>
                <c:pt idx="1802">
                  <c:v>733.84275049115899</c:v>
                </c:pt>
                <c:pt idx="1803">
                  <c:v>733.84275049115899</c:v>
                </c:pt>
                <c:pt idx="1804">
                  <c:v>727.45426326129655</c:v>
                </c:pt>
                <c:pt idx="1805">
                  <c:v>724.95442043221999</c:v>
                </c:pt>
                <c:pt idx="1806">
                  <c:v>714.39952848722976</c:v>
                </c:pt>
                <c:pt idx="1807">
                  <c:v>698.56719056974453</c:v>
                </c:pt>
                <c:pt idx="1808">
                  <c:v>695.78958742632608</c:v>
                </c:pt>
                <c:pt idx="1809">
                  <c:v>701.0670333988212</c:v>
                </c:pt>
                <c:pt idx="1810">
                  <c:v>698.84495088408642</c:v>
                </c:pt>
                <c:pt idx="1811">
                  <c:v>738.84243614931233</c:v>
                </c:pt>
                <c:pt idx="1812">
                  <c:v>714.67728880157165</c:v>
                </c:pt>
                <c:pt idx="1813">
                  <c:v>735.50931237721022</c:v>
                </c:pt>
                <c:pt idx="1814">
                  <c:v>678.01292730844784</c:v>
                </c:pt>
                <c:pt idx="1815">
                  <c:v>658.84746561886038</c:v>
                </c:pt>
                <c:pt idx="1816">
                  <c:v>641.62632612966593</c:v>
                </c:pt>
                <c:pt idx="1817">
                  <c:v>603.29540275049112</c:v>
                </c:pt>
                <c:pt idx="1818">
                  <c:v>617.46117878192535</c:v>
                </c:pt>
                <c:pt idx="1819">
                  <c:v>624.68294695481336</c:v>
                </c:pt>
                <c:pt idx="1820">
                  <c:v>628.29383104125725</c:v>
                </c:pt>
                <c:pt idx="1821">
                  <c:v>657.73642436149305</c:v>
                </c:pt>
                <c:pt idx="1822">
                  <c:v>650.51465618860504</c:v>
                </c:pt>
                <c:pt idx="1823">
                  <c:v>643.29288801571704</c:v>
                </c:pt>
                <c:pt idx="1824">
                  <c:v>640.79304518664037</c:v>
                </c:pt>
                <c:pt idx="1825">
                  <c:v>659.95850687622783</c:v>
                </c:pt>
                <c:pt idx="1826">
                  <c:v>661.90282907662083</c:v>
                </c:pt>
                <c:pt idx="1827">
                  <c:v>642.18184675834959</c:v>
                </c:pt>
                <c:pt idx="1828">
                  <c:v>640.51528487229859</c:v>
                </c:pt>
                <c:pt idx="1829">
                  <c:v>640.51528487229859</c:v>
                </c:pt>
                <c:pt idx="1830">
                  <c:v>672.17996070726906</c:v>
                </c:pt>
                <c:pt idx="1831">
                  <c:v>676.62412573673862</c:v>
                </c:pt>
                <c:pt idx="1832">
                  <c:v>658.01418467583494</c:v>
                </c:pt>
                <c:pt idx="1833">
                  <c:v>652.45897838899805</c:v>
                </c:pt>
                <c:pt idx="1834">
                  <c:v>667.73579567779962</c:v>
                </c:pt>
                <c:pt idx="1835">
                  <c:v>666.62475442043217</c:v>
                </c:pt>
                <c:pt idx="1836">
                  <c:v>677.73516699410607</c:v>
                </c:pt>
                <c:pt idx="1837">
                  <c:v>664.40267190569739</c:v>
                </c:pt>
                <c:pt idx="1838">
                  <c:v>659.40298624754416</c:v>
                </c:pt>
                <c:pt idx="1839">
                  <c:v>655.51434184675827</c:v>
                </c:pt>
                <c:pt idx="1840">
                  <c:v>648.01481335952849</c:v>
                </c:pt>
                <c:pt idx="1841">
                  <c:v>633.0157563850687</c:v>
                </c:pt>
                <c:pt idx="1842">
                  <c:v>632.73799607072692</c:v>
                </c:pt>
                <c:pt idx="1843">
                  <c:v>622.73862475442036</c:v>
                </c:pt>
                <c:pt idx="1844">
                  <c:v>622.18310412573669</c:v>
                </c:pt>
                <c:pt idx="1845">
                  <c:v>630.51591355599214</c:v>
                </c:pt>
                <c:pt idx="1846">
                  <c:v>613.01701375245568</c:v>
                </c:pt>
                <c:pt idx="1847">
                  <c:v>583.2966601178781</c:v>
                </c:pt>
                <c:pt idx="1848">
                  <c:v>577.74145383104121</c:v>
                </c:pt>
                <c:pt idx="1849">
                  <c:v>586.07426326129666</c:v>
                </c:pt>
                <c:pt idx="1850">
                  <c:v>591.35170923379167</c:v>
                </c:pt>
                <c:pt idx="1851">
                  <c:v>588.57410609037322</c:v>
                </c:pt>
                <c:pt idx="1852">
                  <c:v>583.2966601178781</c:v>
                </c:pt>
                <c:pt idx="1853">
                  <c:v>585.79650294695477</c:v>
                </c:pt>
                <c:pt idx="1854">
                  <c:v>586.07426326129666</c:v>
                </c:pt>
                <c:pt idx="1855">
                  <c:v>587.46306483300589</c:v>
                </c:pt>
                <c:pt idx="1856">
                  <c:v>580.24129666011788</c:v>
                </c:pt>
                <c:pt idx="1857">
                  <c:v>605.5174852652259</c:v>
                </c:pt>
                <c:pt idx="1858">
                  <c:v>613.29477406679757</c:v>
                </c:pt>
                <c:pt idx="1859">
                  <c:v>629.68263261296647</c:v>
                </c:pt>
                <c:pt idx="1860">
                  <c:v>627.18278978388992</c:v>
                </c:pt>
                <c:pt idx="1861">
                  <c:v>599.40675834970534</c:v>
                </c:pt>
                <c:pt idx="1862">
                  <c:v>588.85186640471511</c:v>
                </c:pt>
                <c:pt idx="1863">
                  <c:v>611.07269155206279</c:v>
                </c:pt>
                <c:pt idx="1864">
                  <c:v>621.07206286836924</c:v>
                </c:pt>
                <c:pt idx="1865">
                  <c:v>623.29414538310414</c:v>
                </c:pt>
                <c:pt idx="1866">
                  <c:v>652.45897838899805</c:v>
                </c:pt>
                <c:pt idx="1867">
                  <c:v>644.40392927308449</c:v>
                </c:pt>
                <c:pt idx="1868">
                  <c:v>629.68263261296647</c:v>
                </c:pt>
                <c:pt idx="1869">
                  <c:v>643.01512770137515</c:v>
                </c:pt>
                <c:pt idx="1870">
                  <c:v>644.40392927308449</c:v>
                </c:pt>
                <c:pt idx="1871">
                  <c:v>630.79367387033392</c:v>
                </c:pt>
                <c:pt idx="1872">
                  <c:v>694.40078585461686</c:v>
                </c:pt>
                <c:pt idx="1873">
                  <c:v>693.84526522593319</c:v>
                </c:pt>
                <c:pt idx="1874">
                  <c:v>667.45803536345772</c:v>
                </c:pt>
                <c:pt idx="1875">
                  <c:v>661.06954813359528</c:v>
                </c:pt>
                <c:pt idx="1876">
                  <c:v>646.90377210216104</c:v>
                </c:pt>
                <c:pt idx="1877">
                  <c:v>635.79335952848714</c:v>
                </c:pt>
                <c:pt idx="1878">
                  <c:v>631.90471512770137</c:v>
                </c:pt>
                <c:pt idx="1879">
                  <c:v>628.57159135559925</c:v>
                </c:pt>
                <c:pt idx="1880">
                  <c:v>626.07174852652258</c:v>
                </c:pt>
                <c:pt idx="1881">
                  <c:v>627.73831041257358</c:v>
                </c:pt>
                <c:pt idx="1882">
                  <c:v>574.4083300589391</c:v>
                </c:pt>
                <c:pt idx="1883">
                  <c:v>586.07426326129666</c:v>
                </c:pt>
                <c:pt idx="1884">
                  <c:v>581.63009823182711</c:v>
                </c:pt>
                <c:pt idx="1885">
                  <c:v>610.79493123772102</c:v>
                </c:pt>
                <c:pt idx="1886">
                  <c:v>611.07269155206279</c:v>
                </c:pt>
                <c:pt idx="1887">
                  <c:v>612.18373280943024</c:v>
                </c:pt>
                <c:pt idx="1888">
                  <c:v>613.85029469548124</c:v>
                </c:pt>
                <c:pt idx="1889">
                  <c:v>613.29477406679757</c:v>
                </c:pt>
                <c:pt idx="1890">
                  <c:v>611.07269155206279</c:v>
                </c:pt>
                <c:pt idx="1891">
                  <c:v>603.01764243614923</c:v>
                </c:pt>
                <c:pt idx="1892">
                  <c:v>604.96196463654223</c:v>
                </c:pt>
                <c:pt idx="1893">
                  <c:v>596.90691552062867</c:v>
                </c:pt>
                <c:pt idx="1894">
                  <c:v>584.40770137524555</c:v>
                </c:pt>
                <c:pt idx="1895">
                  <c:v>584.96322200392922</c:v>
                </c:pt>
                <c:pt idx="1896">
                  <c:v>583.85218074656177</c:v>
                </c:pt>
                <c:pt idx="1897">
                  <c:v>583.2966601178781</c:v>
                </c:pt>
                <c:pt idx="1898">
                  <c:v>606.07300589390957</c:v>
                </c:pt>
                <c:pt idx="1899">
                  <c:v>608.29508840864435</c:v>
                </c:pt>
                <c:pt idx="1900">
                  <c:v>637.45992141453826</c:v>
                </c:pt>
                <c:pt idx="1901">
                  <c:v>634.40455795677792</c:v>
                </c:pt>
                <c:pt idx="1902">
                  <c:v>615.51685658153235</c:v>
                </c:pt>
                <c:pt idx="1903">
                  <c:v>608.29508840864435</c:v>
                </c:pt>
                <c:pt idx="1904">
                  <c:v>613.01701375245568</c:v>
                </c:pt>
                <c:pt idx="1905">
                  <c:v>603.85092337917479</c:v>
                </c:pt>
                <c:pt idx="1906">
                  <c:v>634.68231827111981</c:v>
                </c:pt>
                <c:pt idx="1907">
                  <c:v>619.68326129666002</c:v>
                </c:pt>
                <c:pt idx="1908">
                  <c:v>621.07206286836924</c:v>
                </c:pt>
                <c:pt idx="1909">
                  <c:v>630.51591355599214</c:v>
                </c:pt>
                <c:pt idx="1910">
                  <c:v>646.62601178781927</c:v>
                </c:pt>
                <c:pt idx="1911">
                  <c:v>647.7370530451866</c:v>
                </c:pt>
                <c:pt idx="1912">
                  <c:v>644.40392927308449</c:v>
                </c:pt>
                <c:pt idx="1913">
                  <c:v>644.40392927308449</c:v>
                </c:pt>
                <c:pt idx="1914">
                  <c:v>644.40392927308449</c:v>
                </c:pt>
                <c:pt idx="1915">
                  <c:v>616.6278978388998</c:v>
                </c:pt>
                <c:pt idx="1916">
                  <c:v>616.6278978388998</c:v>
                </c:pt>
                <c:pt idx="1917">
                  <c:v>627.18278978388992</c:v>
                </c:pt>
                <c:pt idx="1918">
                  <c:v>655.51434184675827</c:v>
                </c:pt>
                <c:pt idx="1919">
                  <c:v>647.7370530451866</c:v>
                </c:pt>
                <c:pt idx="1920">
                  <c:v>644.40392927308449</c:v>
                </c:pt>
                <c:pt idx="1921">
                  <c:v>647.18153241650293</c:v>
                </c:pt>
                <c:pt idx="1922">
                  <c:v>647.7370530451866</c:v>
                </c:pt>
                <c:pt idx="1923">
                  <c:v>644.40392927308449</c:v>
                </c:pt>
                <c:pt idx="1924">
                  <c:v>636.90440078585459</c:v>
                </c:pt>
                <c:pt idx="1925">
                  <c:v>623.57190569744591</c:v>
                </c:pt>
                <c:pt idx="1926">
                  <c:v>624.96070726915514</c:v>
                </c:pt>
                <c:pt idx="1927">
                  <c:v>616.6278978388998</c:v>
                </c:pt>
                <c:pt idx="1928">
                  <c:v>616.6278978388998</c:v>
                </c:pt>
                <c:pt idx="1929">
                  <c:v>613.85029469548124</c:v>
                </c:pt>
                <c:pt idx="1930">
                  <c:v>612.18373280943024</c:v>
                </c:pt>
                <c:pt idx="1931">
                  <c:v>611.07269155206279</c:v>
                </c:pt>
                <c:pt idx="1932">
                  <c:v>636.07111984282903</c:v>
                </c:pt>
                <c:pt idx="1933">
                  <c:v>686.0679764243614</c:v>
                </c:pt>
                <c:pt idx="1934">
                  <c:v>674.12428290766195</c:v>
                </c:pt>
                <c:pt idx="1935">
                  <c:v>668.56907662082506</c:v>
                </c:pt>
                <c:pt idx="1936">
                  <c:v>655.51434184675827</c:v>
                </c:pt>
                <c:pt idx="1937">
                  <c:v>624.68294695481336</c:v>
                </c:pt>
                <c:pt idx="1938">
                  <c:v>622.18310412573669</c:v>
                </c:pt>
                <c:pt idx="1939">
                  <c:v>590.24066797642433</c:v>
                </c:pt>
                <c:pt idx="1940">
                  <c:v>612.18373280943024</c:v>
                </c:pt>
                <c:pt idx="1941">
                  <c:v>625.5162278978388</c:v>
                </c:pt>
                <c:pt idx="1942">
                  <c:v>613.29477406679757</c:v>
                </c:pt>
                <c:pt idx="1943">
                  <c:v>630.51591355599214</c:v>
                </c:pt>
                <c:pt idx="1944">
                  <c:v>622.18310412573669</c:v>
                </c:pt>
                <c:pt idx="1945">
                  <c:v>618.84998035363458</c:v>
                </c:pt>
                <c:pt idx="1946">
                  <c:v>609.68388998035357</c:v>
                </c:pt>
                <c:pt idx="1947">
                  <c:v>608.29508840864435</c:v>
                </c:pt>
                <c:pt idx="1948">
                  <c:v>603.85092337917479</c:v>
                </c:pt>
                <c:pt idx="1949">
                  <c:v>603.01764243614923</c:v>
                </c:pt>
                <c:pt idx="1950">
                  <c:v>599.12899803536334</c:v>
                </c:pt>
                <c:pt idx="1951">
                  <c:v>604.12868369351668</c:v>
                </c:pt>
                <c:pt idx="1952">
                  <c:v>590.24066797642433</c:v>
                </c:pt>
                <c:pt idx="1953">
                  <c:v>587.185304518664</c:v>
                </c:pt>
                <c:pt idx="1954">
                  <c:v>582.46337917485255</c:v>
                </c:pt>
                <c:pt idx="1955">
                  <c:v>578.29697445972488</c:v>
                </c:pt>
                <c:pt idx="1956">
                  <c:v>571.90848722986243</c:v>
                </c:pt>
                <c:pt idx="1957">
                  <c:v>549.68766208251475</c:v>
                </c:pt>
                <c:pt idx="1958">
                  <c:v>541.3548526522593</c:v>
                </c:pt>
                <c:pt idx="1959">
                  <c:v>537.18844793713163</c:v>
                </c:pt>
                <c:pt idx="1960">
                  <c:v>545.52125736738697</c:v>
                </c:pt>
                <c:pt idx="1961">
                  <c:v>554.96510805500986</c:v>
                </c:pt>
                <c:pt idx="1962">
                  <c:v>562.74239685658142</c:v>
                </c:pt>
                <c:pt idx="1963">
                  <c:v>579.40801571709233</c:v>
                </c:pt>
                <c:pt idx="1964">
                  <c:v>582.74113948919444</c:v>
                </c:pt>
                <c:pt idx="1965">
                  <c:v>571.07520628683687</c:v>
                </c:pt>
                <c:pt idx="1966">
                  <c:v>566.35328094302554</c:v>
                </c:pt>
                <c:pt idx="1967">
                  <c:v>561.90911591355598</c:v>
                </c:pt>
                <c:pt idx="1968">
                  <c:v>558.57599214145375</c:v>
                </c:pt>
                <c:pt idx="1969">
                  <c:v>548.02110019646364</c:v>
                </c:pt>
                <c:pt idx="1970">
                  <c:v>555.52062868369353</c:v>
                </c:pt>
                <c:pt idx="1971">
                  <c:v>541.3548526522593</c:v>
                </c:pt>
                <c:pt idx="1972">
                  <c:v>544.41021611001963</c:v>
                </c:pt>
                <c:pt idx="1973">
                  <c:v>545.79901768172886</c:v>
                </c:pt>
              </c:numCache>
            </c:numRef>
          </c:val>
          <c:smooth val="1"/>
        </c:ser>
        <c:dLbls>
          <c:showLegendKey val="0"/>
          <c:showVal val="0"/>
          <c:showCatName val="0"/>
          <c:showSerName val="0"/>
          <c:showPercent val="0"/>
          <c:showBubbleSize val="0"/>
        </c:dLbls>
        <c:marker val="1"/>
        <c:smooth val="0"/>
        <c:axId val="229038720"/>
        <c:axId val="229044608"/>
      </c:lineChart>
      <c:dateAx>
        <c:axId val="229038720"/>
        <c:scaling>
          <c:orientation val="minMax"/>
        </c:scaling>
        <c:delete val="0"/>
        <c:axPos val="b"/>
        <c:numFmt formatCode="[$-409]mmmmm-yy;@" sourceLinked="0"/>
        <c:majorTickMark val="out"/>
        <c:minorTickMark val="none"/>
        <c:tickLblPos val="nextTo"/>
        <c:txPr>
          <a:bodyPr/>
          <a:lstStyle/>
          <a:p>
            <a:pPr>
              <a:defRPr sz="800"/>
            </a:pPr>
            <a:endParaRPr lang="en-US"/>
          </a:p>
        </c:txPr>
        <c:crossAx val="229044608"/>
        <c:crosses val="autoZero"/>
        <c:auto val="1"/>
        <c:lblOffset val="100"/>
        <c:baseTimeUnit val="days"/>
      </c:dateAx>
      <c:valAx>
        <c:axId val="229044608"/>
        <c:scaling>
          <c:orientation val="minMax"/>
        </c:scaling>
        <c:delete val="0"/>
        <c:axPos val="r"/>
        <c:numFmt formatCode="General" sourceLinked="1"/>
        <c:majorTickMark val="out"/>
        <c:minorTickMark val="none"/>
        <c:tickLblPos val="nextTo"/>
        <c:spPr>
          <a:ln>
            <a:noFill/>
          </a:ln>
        </c:spPr>
        <c:txPr>
          <a:bodyPr/>
          <a:lstStyle/>
          <a:p>
            <a:pPr>
              <a:defRPr sz="800"/>
            </a:pPr>
            <a:endParaRPr lang="en-US"/>
          </a:p>
        </c:txPr>
        <c:crossAx val="229038720"/>
        <c:crosses val="max"/>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Moat = RoIC - CostOfCap</c:v>
          </c:tx>
          <c:invertIfNegative val="0"/>
          <c:dLbls>
            <c:numFmt formatCode="0%;\(0%\)" sourceLinked="0"/>
            <c:showLegendKey val="0"/>
            <c:showVal val="1"/>
            <c:showCatName val="0"/>
            <c:showSerName val="0"/>
            <c:showPercent val="0"/>
            <c:showBubbleSize val="0"/>
            <c:showLeaderLines val="0"/>
          </c:dLbls>
          <c:cat>
            <c:numRef>
              <c:f>Others!$C$2:$K$2</c:f>
              <c:numCache>
                <c:formatCode>[$-409]mmm\-yy;@</c:formatCode>
                <c:ptCount val="9"/>
                <c:pt idx="0">
                  <c:v>39903</c:v>
                </c:pt>
                <c:pt idx="1">
                  <c:v>40268</c:v>
                </c:pt>
                <c:pt idx="2">
                  <c:v>40633</c:v>
                </c:pt>
                <c:pt idx="3">
                  <c:v>40999</c:v>
                </c:pt>
                <c:pt idx="4">
                  <c:v>41364</c:v>
                </c:pt>
                <c:pt idx="5">
                  <c:v>41729</c:v>
                </c:pt>
                <c:pt idx="6">
                  <c:v>42094</c:v>
                </c:pt>
                <c:pt idx="7">
                  <c:v>42460</c:v>
                </c:pt>
                <c:pt idx="8">
                  <c:v>42825</c:v>
                </c:pt>
              </c:numCache>
            </c:numRef>
          </c:cat>
          <c:val>
            <c:numRef>
              <c:f>Others!$C$35:$K$35</c:f>
              <c:numCache>
                <c:formatCode>0%</c:formatCode>
                <c:ptCount val="9"/>
                <c:pt idx="0">
                  <c:v>-4.6714264937985875E-2</c:v>
                </c:pt>
                <c:pt idx="1">
                  <c:v>-2.9676555270437902E-3</c:v>
                </c:pt>
                <c:pt idx="2">
                  <c:v>2.5586612811731586E-2</c:v>
                </c:pt>
                <c:pt idx="3">
                  <c:v>-1.6396074093082927E-2</c:v>
                </c:pt>
                <c:pt idx="4">
                  <c:v>7.0270753824256293E-2</c:v>
                </c:pt>
                <c:pt idx="5">
                  <c:v>1.7732609166379171E-2</c:v>
                </c:pt>
                <c:pt idx="6">
                  <c:v>8.4313679735329355E-2</c:v>
                </c:pt>
                <c:pt idx="7">
                  <c:v>3.3771708152211449E-2</c:v>
                </c:pt>
                <c:pt idx="8">
                  <c:v>6.0533705505891863E-2</c:v>
                </c:pt>
              </c:numCache>
            </c:numRef>
          </c:val>
        </c:ser>
        <c:dLbls>
          <c:showLegendKey val="0"/>
          <c:showVal val="1"/>
          <c:showCatName val="0"/>
          <c:showSerName val="0"/>
          <c:showPercent val="0"/>
          <c:showBubbleSize val="0"/>
        </c:dLbls>
        <c:gapWidth val="25"/>
        <c:overlap val="1"/>
        <c:axId val="232416384"/>
        <c:axId val="232439808"/>
      </c:barChart>
      <c:catAx>
        <c:axId val="232416384"/>
        <c:scaling>
          <c:orientation val="minMax"/>
        </c:scaling>
        <c:delete val="0"/>
        <c:axPos val="b"/>
        <c:numFmt formatCode="yy;@" sourceLinked="0"/>
        <c:majorTickMark val="out"/>
        <c:minorTickMark val="none"/>
        <c:tickLblPos val="low"/>
        <c:crossAx val="232439808"/>
        <c:crosses val="autoZero"/>
        <c:auto val="0"/>
        <c:lblAlgn val="ctr"/>
        <c:lblOffset val="100"/>
        <c:noMultiLvlLbl val="0"/>
      </c:catAx>
      <c:valAx>
        <c:axId val="232439808"/>
        <c:scaling>
          <c:orientation val="minMax"/>
        </c:scaling>
        <c:delete val="1"/>
        <c:axPos val="l"/>
        <c:majorGridlines>
          <c:spPr>
            <a:ln>
              <a:noFill/>
            </a:ln>
          </c:spPr>
        </c:majorGridlines>
        <c:numFmt formatCode="0%" sourceLinked="1"/>
        <c:majorTickMark val="none"/>
        <c:minorTickMark val="none"/>
        <c:tickLblPos val="none"/>
        <c:crossAx val="232416384"/>
        <c:crosses val="autoZero"/>
        <c:crossBetween val="between"/>
      </c:valAx>
      <c:spPr>
        <a:noFill/>
        <a:ln w="25400">
          <a:noFill/>
        </a:ln>
      </c:spPr>
    </c:plotArea>
    <c:legend>
      <c:legendPos val="r"/>
      <c:layout>
        <c:manualLayout>
          <c:xMode val="edge"/>
          <c:yMode val="edge"/>
          <c:x val="7.398170094821771E-2"/>
          <c:y val="3.9101979003010767E-2"/>
          <c:w val="0.19546184870643013"/>
          <c:h val="0.13699176807444524"/>
        </c:manualLayout>
      </c:layou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RoIC</c:v>
          </c:tx>
          <c:invertIfNegative val="0"/>
          <c:dLbls>
            <c:numFmt formatCode="0%" sourceLinked="0"/>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Others!$B$61:$K$61</c:f>
              <c:numCache>
                <c:formatCode>0%</c:formatCode>
                <c:ptCount val="10"/>
                <c:pt idx="0">
                  <c:v>0.10665416347230076</c:v>
                </c:pt>
                <c:pt idx="1">
                  <c:v>3.4659305881603222E-2</c:v>
                </c:pt>
                <c:pt idx="2">
                  <c:v>6.052232049585627E-2</c:v>
                </c:pt>
                <c:pt idx="3">
                  <c:v>0.1105915688385543</c:v>
                </c:pt>
                <c:pt idx="4">
                  <c:v>0.12084653037719555</c:v>
                </c:pt>
                <c:pt idx="5">
                  <c:v>0.18275987808096314</c:v>
                </c:pt>
                <c:pt idx="6">
                  <c:v>0.22760524607701768</c:v>
                </c:pt>
                <c:pt idx="7">
                  <c:v>0.14657962041203923</c:v>
                </c:pt>
                <c:pt idx="8">
                  <c:v>0.18844520233997675</c:v>
                </c:pt>
                <c:pt idx="9">
                  <c:v>0.11849579068754593</c:v>
                </c:pt>
              </c:numCache>
            </c:numRef>
          </c:val>
        </c:ser>
        <c:dLbls>
          <c:showLegendKey val="0"/>
          <c:showVal val="1"/>
          <c:showCatName val="0"/>
          <c:showSerName val="0"/>
          <c:showPercent val="0"/>
          <c:showBubbleSize val="0"/>
        </c:dLbls>
        <c:gapWidth val="25"/>
        <c:overlap val="1"/>
        <c:axId val="232446592"/>
        <c:axId val="232588800"/>
      </c:barChart>
      <c:catAx>
        <c:axId val="232446592"/>
        <c:scaling>
          <c:orientation val="minMax"/>
        </c:scaling>
        <c:delete val="0"/>
        <c:axPos val="b"/>
        <c:numFmt formatCode="yy;@" sourceLinked="0"/>
        <c:majorTickMark val="out"/>
        <c:minorTickMark val="none"/>
        <c:tickLblPos val="nextTo"/>
        <c:crossAx val="232588800"/>
        <c:crosses val="autoZero"/>
        <c:auto val="0"/>
        <c:lblAlgn val="ctr"/>
        <c:lblOffset val="100"/>
        <c:noMultiLvlLbl val="0"/>
      </c:catAx>
      <c:valAx>
        <c:axId val="232588800"/>
        <c:scaling>
          <c:orientation val="minMax"/>
        </c:scaling>
        <c:delete val="1"/>
        <c:axPos val="l"/>
        <c:majorGridlines>
          <c:spPr>
            <a:ln>
              <a:noFill/>
            </a:ln>
          </c:spPr>
        </c:majorGridlines>
        <c:numFmt formatCode="0%" sourceLinked="1"/>
        <c:majorTickMark val="none"/>
        <c:minorTickMark val="none"/>
        <c:tickLblPos val="none"/>
        <c:crossAx val="232446592"/>
        <c:crosses val="autoZero"/>
        <c:crossBetween val="between"/>
      </c:valAx>
      <c:spPr>
        <a:noFill/>
        <a:ln w="25400">
          <a:noFill/>
        </a:ln>
      </c:spPr>
    </c:plotArea>
    <c:legend>
      <c:legendPos val="r"/>
      <c:layout>
        <c:manualLayout>
          <c:xMode val="edge"/>
          <c:yMode val="edge"/>
          <c:x val="7.398170094821771E-2"/>
          <c:y val="3.9101979003010767E-2"/>
          <c:w val="0.19546184870643013"/>
          <c:h val="0.13699176807444524"/>
        </c:manualLayout>
      </c:layout>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1"/>
          <c:order val="0"/>
          <c:tx>
            <c:v>FCF : Direct</c:v>
          </c:tx>
          <c:spPr>
            <a:solidFill>
              <a:srgbClr val="DEF5FA">
                <a:lumMod val="75000"/>
              </a:srgbClr>
            </a:solidFill>
          </c:spPr>
          <c:invertIfNegative val="0"/>
          <c:dLbls>
            <c:numFmt formatCode="0_);\(0\)" sourceLinked="0"/>
            <c:txPr>
              <a:bodyPr rot="5400000" vert="horz"/>
              <a:lstStyle/>
              <a:p>
                <a:pPr>
                  <a:defRPr/>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Others!$B$22:$K$22</c:f>
              <c:numCache>
                <c:formatCode>General</c:formatCode>
                <c:ptCount val="10"/>
                <c:pt idx="0">
                  <c:v>0</c:v>
                </c:pt>
                <c:pt idx="1">
                  <c:v>-8.500000000000032</c:v>
                </c:pt>
                <c:pt idx="2">
                  <c:v>6.0000000000040687E-2</c:v>
                </c:pt>
                <c:pt idx="3">
                  <c:v>45.859999999999985</c:v>
                </c:pt>
                <c:pt idx="4">
                  <c:v>58.010000000000005</c:v>
                </c:pt>
                <c:pt idx="5">
                  <c:v>82.88</c:v>
                </c:pt>
                <c:pt idx="6">
                  <c:v>62.350000000000009</c:v>
                </c:pt>
                <c:pt idx="7">
                  <c:v>-187.78</c:v>
                </c:pt>
                <c:pt idx="8">
                  <c:v>78.450000000000017</c:v>
                </c:pt>
                <c:pt idx="9">
                  <c:v>-197.64999999999995</c:v>
                </c:pt>
              </c:numCache>
            </c:numRef>
          </c:val>
        </c:ser>
        <c:ser>
          <c:idx val="2"/>
          <c:order val="1"/>
          <c:tx>
            <c:v>Adj</c:v>
          </c:tx>
          <c:invertIfNegative val="0"/>
          <c:dLbls>
            <c:numFmt formatCode="0_);\(0\)" sourceLinked="0"/>
            <c:txPr>
              <a:bodyPr rot="5400000" vert="horz"/>
              <a:lstStyle/>
              <a:p>
                <a:pPr>
                  <a:defRPr/>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Others!$B$23:$K$23</c:f>
              <c:numCache>
                <c:formatCode>General</c:formatCode>
                <c:ptCount val="10"/>
                <c:pt idx="0">
                  <c:v>0</c:v>
                </c:pt>
                <c:pt idx="1">
                  <c:v>-32.400000000000034</c:v>
                </c:pt>
                <c:pt idx="2">
                  <c:v>-15.089999999999959</c:v>
                </c:pt>
                <c:pt idx="3">
                  <c:v>24.819999999999986</c:v>
                </c:pt>
                <c:pt idx="4">
                  <c:v>37.110000000000007</c:v>
                </c:pt>
                <c:pt idx="5">
                  <c:v>55.569999999999993</c:v>
                </c:pt>
                <c:pt idx="6">
                  <c:v>44.89</c:v>
                </c:pt>
                <c:pt idx="7">
                  <c:v>-210.4</c:v>
                </c:pt>
                <c:pt idx="8">
                  <c:v>45.440000000000026</c:v>
                </c:pt>
                <c:pt idx="9">
                  <c:v>-219.88999999999993</c:v>
                </c:pt>
              </c:numCache>
            </c:numRef>
          </c:val>
        </c:ser>
        <c:dLbls>
          <c:showLegendKey val="0"/>
          <c:showVal val="1"/>
          <c:showCatName val="0"/>
          <c:showSerName val="0"/>
          <c:showPercent val="0"/>
          <c:showBubbleSize val="0"/>
        </c:dLbls>
        <c:gapWidth val="25"/>
        <c:overlap val="1"/>
        <c:axId val="232607104"/>
        <c:axId val="232612992"/>
      </c:barChart>
      <c:catAx>
        <c:axId val="232607104"/>
        <c:scaling>
          <c:orientation val="minMax"/>
        </c:scaling>
        <c:delete val="0"/>
        <c:axPos val="b"/>
        <c:numFmt formatCode="yy;@" sourceLinked="0"/>
        <c:majorTickMark val="out"/>
        <c:minorTickMark val="none"/>
        <c:tickLblPos val="low"/>
        <c:txPr>
          <a:bodyPr/>
          <a:lstStyle/>
          <a:p>
            <a:pPr>
              <a:defRPr sz="800"/>
            </a:pPr>
            <a:endParaRPr lang="en-US"/>
          </a:p>
        </c:txPr>
        <c:crossAx val="232612992"/>
        <c:crosses val="autoZero"/>
        <c:auto val="0"/>
        <c:lblAlgn val="ctr"/>
        <c:lblOffset val="100"/>
        <c:noMultiLvlLbl val="0"/>
      </c:catAx>
      <c:valAx>
        <c:axId val="232612992"/>
        <c:scaling>
          <c:orientation val="minMax"/>
        </c:scaling>
        <c:delete val="1"/>
        <c:axPos val="l"/>
        <c:majorGridlines>
          <c:spPr>
            <a:ln>
              <a:noFill/>
            </a:ln>
          </c:spPr>
        </c:majorGridlines>
        <c:numFmt formatCode="General" sourceLinked="1"/>
        <c:majorTickMark val="none"/>
        <c:minorTickMark val="none"/>
        <c:tickLblPos val="none"/>
        <c:crossAx val="232607104"/>
        <c:crosses val="autoZero"/>
        <c:crossBetween val="between"/>
      </c:valAx>
      <c:spPr>
        <a:noFill/>
        <a:ln w="25400">
          <a:noFill/>
        </a:ln>
      </c:spPr>
    </c:plotArea>
    <c:legend>
      <c:legendPos val="r"/>
      <c:layout>
        <c:manualLayout>
          <c:xMode val="edge"/>
          <c:yMode val="edge"/>
          <c:x val="7.398170094821771E-2"/>
          <c:y val="3.9101979003010767E-2"/>
          <c:w val="0.19546184870643013"/>
          <c:h val="0.13699176807444524"/>
        </c:manualLayout>
      </c:layout>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Deadly Trinity</a:t>
            </a:r>
          </a:p>
        </c:rich>
      </c:tx>
      <c:layout/>
      <c:overlay val="1"/>
    </c:title>
    <c:autoTitleDeleted val="0"/>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Debt</c:v>
          </c:tx>
          <c:spPr>
            <a:solidFill>
              <a:srgbClr val="EB641B">
                <a:lumMod val="40000"/>
                <a:lumOff val="60000"/>
              </a:srgbClr>
            </a:solidFill>
          </c:spPr>
          <c:invertIfNegative val="0"/>
          <c:dLbls>
            <c:numFmt formatCode="0_);\(0\)" sourceLinked="0"/>
            <c:txPr>
              <a:bodyPr rot="5400000" vert="horz"/>
              <a:lstStyle/>
              <a:p>
                <a:pPr>
                  <a:defRPr sz="800"/>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Others!$B$50:$K$50</c:f>
              <c:numCache>
                <c:formatCode>General</c:formatCode>
                <c:ptCount val="10"/>
                <c:pt idx="0">
                  <c:v>283.37</c:v>
                </c:pt>
                <c:pt idx="1">
                  <c:v>354.93</c:v>
                </c:pt>
                <c:pt idx="2">
                  <c:v>351.15999999999997</c:v>
                </c:pt>
                <c:pt idx="3">
                  <c:v>322.42999999999995</c:v>
                </c:pt>
                <c:pt idx="4">
                  <c:v>260.64</c:v>
                </c:pt>
                <c:pt idx="5">
                  <c:v>263.02</c:v>
                </c:pt>
                <c:pt idx="6">
                  <c:v>223.78</c:v>
                </c:pt>
                <c:pt idx="7">
                  <c:v>445.02</c:v>
                </c:pt>
                <c:pt idx="8">
                  <c:v>431.46</c:v>
                </c:pt>
                <c:pt idx="9">
                  <c:v>670.17000000000007</c:v>
                </c:pt>
              </c:numCache>
            </c:numRef>
          </c:val>
        </c:ser>
        <c:ser>
          <c:idx val="1"/>
          <c:order val="1"/>
          <c:tx>
            <c:v>Sales</c:v>
          </c:tx>
          <c:spPr>
            <a:solidFill>
              <a:srgbClr val="92D050"/>
            </a:solidFill>
          </c:spPr>
          <c:invertIfNegative val="0"/>
          <c:dLbls>
            <c:numFmt formatCode="0" sourceLinked="0"/>
            <c:txPr>
              <a:bodyPr rot="5400000" vert="horz"/>
              <a:lstStyle/>
              <a:p>
                <a:pPr>
                  <a:defRPr/>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'Alt D S'!$B$17:$K$17</c:f>
              <c:numCache>
                <c:formatCode>General</c:formatCode>
                <c:ptCount val="10"/>
                <c:pt idx="0">
                  <c:v>203.76</c:v>
                </c:pt>
                <c:pt idx="1">
                  <c:v>262.27</c:v>
                </c:pt>
                <c:pt idx="2">
                  <c:v>301.95</c:v>
                </c:pt>
                <c:pt idx="3">
                  <c:v>410.92</c:v>
                </c:pt>
                <c:pt idx="4">
                  <c:v>428.3</c:v>
                </c:pt>
                <c:pt idx="5">
                  <c:v>446.05</c:v>
                </c:pt>
                <c:pt idx="6">
                  <c:v>488.34</c:v>
                </c:pt>
                <c:pt idx="7">
                  <c:v>616.47</c:v>
                </c:pt>
                <c:pt idx="8">
                  <c:v>766.87</c:v>
                </c:pt>
                <c:pt idx="9">
                  <c:v>933.38</c:v>
                </c:pt>
              </c:numCache>
            </c:numRef>
          </c:val>
        </c:ser>
        <c:ser>
          <c:idx val="2"/>
          <c:order val="2"/>
          <c:tx>
            <c:v>Recv.</c:v>
          </c:tx>
          <c:spPr>
            <a:solidFill>
              <a:srgbClr val="FF0000"/>
            </a:solidFill>
          </c:spPr>
          <c:invertIfNegative val="0"/>
          <c:dLbls>
            <c:numFmt formatCode="#,##0_);\(#,##0\)" sourceLinked="0"/>
            <c:txPr>
              <a:bodyPr/>
              <a:lstStyle/>
              <a:p>
                <a:pPr>
                  <a:defRPr sz="800"/>
                </a:pPr>
                <a:endParaRPr lang="en-US"/>
              </a:p>
            </c:txPr>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'Balance Sheet'!$B$17:$K$17</c:f>
              <c:numCache>
                <c:formatCode>_ * #,##0.00_ ;_ * \-#,##0.00_ ;_ * "-"??_ ;_ @_ </c:formatCode>
                <c:ptCount val="10"/>
                <c:pt idx="0">
                  <c:v>11.79</c:v>
                </c:pt>
                <c:pt idx="1">
                  <c:v>15.24</c:v>
                </c:pt>
                <c:pt idx="2">
                  <c:v>9.4</c:v>
                </c:pt>
                <c:pt idx="3">
                  <c:v>35.340000000000003</c:v>
                </c:pt>
                <c:pt idx="4">
                  <c:v>18.5</c:v>
                </c:pt>
                <c:pt idx="5">
                  <c:v>28.04</c:v>
                </c:pt>
                <c:pt idx="6">
                  <c:v>24.89</c:v>
                </c:pt>
                <c:pt idx="7">
                  <c:v>40.42</c:v>
                </c:pt>
                <c:pt idx="8">
                  <c:v>39.25</c:v>
                </c:pt>
                <c:pt idx="9">
                  <c:v>48.33</c:v>
                </c:pt>
              </c:numCache>
            </c:numRef>
          </c:val>
        </c:ser>
        <c:dLbls>
          <c:showLegendKey val="0"/>
          <c:showVal val="1"/>
          <c:showCatName val="0"/>
          <c:showSerName val="0"/>
          <c:showPercent val="0"/>
          <c:showBubbleSize val="0"/>
        </c:dLbls>
        <c:gapWidth val="25"/>
        <c:overlap val="1"/>
        <c:axId val="232643968"/>
        <c:axId val="232653952"/>
      </c:barChart>
      <c:catAx>
        <c:axId val="232643968"/>
        <c:scaling>
          <c:orientation val="minMax"/>
        </c:scaling>
        <c:delete val="0"/>
        <c:axPos val="b"/>
        <c:numFmt formatCode="yy;@" sourceLinked="0"/>
        <c:majorTickMark val="out"/>
        <c:minorTickMark val="none"/>
        <c:tickLblPos val="nextTo"/>
        <c:txPr>
          <a:bodyPr/>
          <a:lstStyle/>
          <a:p>
            <a:pPr>
              <a:defRPr sz="800"/>
            </a:pPr>
            <a:endParaRPr lang="en-US"/>
          </a:p>
        </c:txPr>
        <c:crossAx val="232653952"/>
        <c:crosses val="autoZero"/>
        <c:auto val="0"/>
        <c:lblAlgn val="ctr"/>
        <c:lblOffset val="100"/>
        <c:noMultiLvlLbl val="0"/>
      </c:catAx>
      <c:valAx>
        <c:axId val="232653952"/>
        <c:scaling>
          <c:orientation val="minMax"/>
        </c:scaling>
        <c:delete val="1"/>
        <c:axPos val="l"/>
        <c:majorGridlines>
          <c:spPr>
            <a:ln>
              <a:noFill/>
            </a:ln>
          </c:spPr>
        </c:majorGridlines>
        <c:numFmt formatCode="General" sourceLinked="1"/>
        <c:majorTickMark val="none"/>
        <c:minorTickMark val="none"/>
        <c:tickLblPos val="none"/>
        <c:crossAx val="232643968"/>
        <c:crosses val="autoZero"/>
        <c:crossBetween val="between"/>
      </c:valAx>
      <c:spPr>
        <a:noFill/>
        <a:ln w="25400">
          <a:noFill/>
        </a:ln>
      </c:spPr>
    </c:plotArea>
    <c:legend>
      <c:legendPos val="r"/>
      <c:layout>
        <c:manualLayout>
          <c:xMode val="edge"/>
          <c:yMode val="edge"/>
          <c:x val="7.398170094821771E-2"/>
          <c:y val="3.9101979003010767E-2"/>
          <c:w val="0.10738779527559054"/>
          <c:h val="0.25115157480314959"/>
        </c:manualLayout>
      </c:layou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Deadly Trinity</a:t>
            </a:r>
          </a:p>
        </c:rich>
      </c:tx>
      <c:layout/>
      <c:overlay val="1"/>
    </c:title>
    <c:autoTitleDeleted val="0"/>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Debt</c:v>
          </c:tx>
          <c:spPr>
            <a:solidFill>
              <a:srgbClr val="EB641B">
                <a:lumMod val="40000"/>
                <a:lumOff val="60000"/>
              </a:srgbClr>
            </a:solidFill>
          </c:spPr>
          <c:invertIfNegative val="0"/>
          <c:dLbls>
            <c:numFmt formatCode="0%;\(0%\)" sourceLinked="0"/>
            <c:txPr>
              <a:bodyPr rot="5400000" vert="horz"/>
              <a:lstStyle/>
              <a:p>
                <a:pPr>
                  <a:defRPr sz="800"/>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Others!$B$65:$K$65</c:f>
              <c:numCache>
                <c:formatCode>0.00%</c:formatCode>
                <c:ptCount val="10"/>
                <c:pt idx="1">
                  <c:v>0.25253202526731833</c:v>
                </c:pt>
                <c:pt idx="2">
                  <c:v>-1.0621812751810325E-2</c:v>
                </c:pt>
                <c:pt idx="3">
                  <c:v>-8.1814557466681911E-2</c:v>
                </c:pt>
                <c:pt idx="4">
                  <c:v>-0.19163849517724768</c:v>
                </c:pt>
                <c:pt idx="5">
                  <c:v>9.1313689379987559E-3</c:v>
                </c:pt>
                <c:pt idx="6">
                  <c:v>-0.1491901756520416</c:v>
                </c:pt>
                <c:pt idx="7">
                  <c:v>0.98864956653856462</c:v>
                </c:pt>
                <c:pt idx="8">
                  <c:v>-3.0470540649858439E-2</c:v>
                </c:pt>
                <c:pt idx="9">
                  <c:v>0.55326102072034511</c:v>
                </c:pt>
              </c:numCache>
            </c:numRef>
          </c:val>
        </c:ser>
        <c:ser>
          <c:idx val="1"/>
          <c:order val="1"/>
          <c:tx>
            <c:v>Sales</c:v>
          </c:tx>
          <c:spPr>
            <a:solidFill>
              <a:srgbClr val="92D050"/>
            </a:solidFill>
          </c:spPr>
          <c:invertIfNegative val="0"/>
          <c:dLbls>
            <c:numFmt formatCode="0%;\(0%\)" sourceLinked="0"/>
            <c:txPr>
              <a:bodyPr rot="5400000" vert="horz"/>
              <a:lstStyle/>
              <a:p>
                <a:pPr>
                  <a:defRPr/>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Others!$B$64:$K$64</c:f>
              <c:numCache>
                <c:formatCode>0.00%</c:formatCode>
                <c:ptCount val="10"/>
                <c:pt idx="1">
                  <c:v>0.2871515508441303</c:v>
                </c:pt>
                <c:pt idx="2">
                  <c:v>0.15129446753345793</c:v>
                </c:pt>
                <c:pt idx="3">
                  <c:v>0.36088756416625278</c:v>
                </c:pt>
                <c:pt idx="4">
                  <c:v>4.2295337291930288E-2</c:v>
                </c:pt>
                <c:pt idx="5">
                  <c:v>4.1442913845435442E-2</c:v>
                </c:pt>
                <c:pt idx="6">
                  <c:v>9.4809998879049354E-2</c:v>
                </c:pt>
                <c:pt idx="7">
                  <c:v>0.26237867059835374</c:v>
                </c:pt>
                <c:pt idx="8">
                  <c:v>0.24396969844436869</c:v>
                </c:pt>
                <c:pt idx="9">
                  <c:v>0.21712937003664246</c:v>
                </c:pt>
              </c:numCache>
            </c:numRef>
          </c:val>
        </c:ser>
        <c:ser>
          <c:idx val="2"/>
          <c:order val="2"/>
          <c:tx>
            <c:v>Recv.</c:v>
          </c:tx>
          <c:spPr>
            <a:solidFill>
              <a:srgbClr val="FF0000"/>
            </a:solidFill>
          </c:spPr>
          <c:invertIfNegative val="0"/>
          <c:dLbls>
            <c:numFmt formatCode="0%;\(0%\)" sourceLinked="0"/>
            <c:txPr>
              <a:bodyPr/>
              <a:lstStyle/>
              <a:p>
                <a:pPr>
                  <a:defRPr sz="800"/>
                </a:pPr>
                <a:endParaRPr lang="en-US"/>
              </a:p>
            </c:txPr>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Others!$B$66:$K$66</c:f>
              <c:numCache>
                <c:formatCode>0.00%</c:formatCode>
                <c:ptCount val="10"/>
                <c:pt idx="1">
                  <c:v>0.29262086513994923</c:v>
                </c:pt>
                <c:pt idx="2">
                  <c:v>-0.38320209973753278</c:v>
                </c:pt>
                <c:pt idx="3">
                  <c:v>2.7595744680851069</c:v>
                </c:pt>
                <c:pt idx="4">
                  <c:v>-0.47651386530843243</c:v>
                </c:pt>
                <c:pt idx="5">
                  <c:v>0.51567567567567563</c:v>
                </c:pt>
                <c:pt idx="6">
                  <c:v>-0.11233951497860195</c:v>
                </c:pt>
                <c:pt idx="7">
                  <c:v>0.62394535958216157</c:v>
                </c:pt>
                <c:pt idx="8">
                  <c:v>-2.8946066303810036E-2</c:v>
                </c:pt>
                <c:pt idx="9">
                  <c:v>0.23133757961783435</c:v>
                </c:pt>
              </c:numCache>
            </c:numRef>
          </c:val>
        </c:ser>
        <c:dLbls>
          <c:showLegendKey val="0"/>
          <c:showVal val="1"/>
          <c:showCatName val="0"/>
          <c:showSerName val="0"/>
          <c:showPercent val="0"/>
          <c:showBubbleSize val="0"/>
        </c:dLbls>
        <c:gapWidth val="25"/>
        <c:overlap val="1"/>
        <c:axId val="232685568"/>
        <c:axId val="232687104"/>
      </c:barChart>
      <c:catAx>
        <c:axId val="232685568"/>
        <c:scaling>
          <c:orientation val="minMax"/>
        </c:scaling>
        <c:delete val="0"/>
        <c:axPos val="b"/>
        <c:numFmt formatCode="yy;@" sourceLinked="0"/>
        <c:majorTickMark val="out"/>
        <c:minorTickMark val="none"/>
        <c:tickLblPos val="nextTo"/>
        <c:txPr>
          <a:bodyPr/>
          <a:lstStyle/>
          <a:p>
            <a:pPr>
              <a:defRPr sz="800"/>
            </a:pPr>
            <a:endParaRPr lang="en-US"/>
          </a:p>
        </c:txPr>
        <c:crossAx val="232687104"/>
        <c:crosses val="autoZero"/>
        <c:auto val="0"/>
        <c:lblAlgn val="ctr"/>
        <c:lblOffset val="100"/>
        <c:noMultiLvlLbl val="0"/>
      </c:catAx>
      <c:valAx>
        <c:axId val="232687104"/>
        <c:scaling>
          <c:orientation val="minMax"/>
        </c:scaling>
        <c:delete val="1"/>
        <c:axPos val="l"/>
        <c:majorGridlines>
          <c:spPr>
            <a:ln>
              <a:noFill/>
            </a:ln>
          </c:spPr>
        </c:majorGridlines>
        <c:numFmt formatCode="General" sourceLinked="1"/>
        <c:majorTickMark val="none"/>
        <c:minorTickMark val="none"/>
        <c:tickLblPos val="none"/>
        <c:crossAx val="232685568"/>
        <c:crosses val="autoZero"/>
        <c:crossBetween val="between"/>
      </c:valAx>
      <c:spPr>
        <a:noFill/>
        <a:ln w="25400">
          <a:noFill/>
        </a:ln>
      </c:spPr>
    </c:plotArea>
    <c:legend>
      <c:legendPos val="r"/>
      <c:layout>
        <c:manualLayout>
          <c:xMode val="edge"/>
          <c:yMode val="edge"/>
          <c:x val="7.398170094821771E-2"/>
          <c:y val="3.9101979003010767E-2"/>
          <c:w val="0.10738779527559054"/>
          <c:h val="0.25115157480314959"/>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410745333191401E-2"/>
          <c:y val="5.1400554097404488E-2"/>
          <c:w val="0.88060898116166431"/>
          <c:h val="0.8326195683872849"/>
        </c:manualLayout>
      </c:layout>
      <c:barChart>
        <c:barDir val="col"/>
        <c:grouping val="stacked"/>
        <c:varyColors val="0"/>
        <c:ser>
          <c:idx val="0"/>
          <c:order val="0"/>
          <c:tx>
            <c:v>NFA</c:v>
          </c:tx>
          <c:spPr>
            <a:solidFill>
              <a:schemeClr val="bg2">
                <a:lumMod val="90000"/>
              </a:schemeClr>
            </a:solidFill>
          </c:spPr>
          <c:invertIfNegative val="0"/>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Sheet'!$B$62:$K$62</c:f>
              <c:numCache>
                <c:formatCode>General</c:formatCode>
                <c:ptCount val="10"/>
                <c:pt idx="0">
                  <c:v>239.51</c:v>
                </c:pt>
                <c:pt idx="1">
                  <c:v>313.16000000000003</c:v>
                </c:pt>
                <c:pt idx="2">
                  <c:v>295.08</c:v>
                </c:pt>
                <c:pt idx="3">
                  <c:v>249.28</c:v>
                </c:pt>
                <c:pt idx="4">
                  <c:v>228.09</c:v>
                </c:pt>
                <c:pt idx="5">
                  <c:v>212.99</c:v>
                </c:pt>
                <c:pt idx="6">
                  <c:v>191.21</c:v>
                </c:pt>
                <c:pt idx="7">
                  <c:v>416.74</c:v>
                </c:pt>
                <c:pt idx="8">
                  <c:v>382.07</c:v>
                </c:pt>
                <c:pt idx="9">
                  <c:v>614.29</c:v>
                </c:pt>
              </c:numCache>
            </c:numRef>
          </c:val>
        </c:ser>
        <c:ser>
          <c:idx val="1"/>
          <c:order val="1"/>
          <c:tx>
            <c:v>Cap WIP</c:v>
          </c:tx>
          <c:spPr>
            <a:solidFill>
              <a:srgbClr val="FF0000"/>
            </a:solidFill>
          </c:spPr>
          <c:invertIfNegative val="0"/>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Sheet'!$B$63:$K$63</c:f>
              <c:numCache>
                <c:formatCode>General</c:formatCode>
                <c:ptCount val="10"/>
                <c:pt idx="0">
                  <c:v>47.89</c:v>
                </c:pt>
                <c:pt idx="1">
                  <c:v>0.08</c:v>
                </c:pt>
                <c:pt idx="4">
                  <c:v>3.38</c:v>
                </c:pt>
                <c:pt idx="6">
                  <c:v>21.18</c:v>
                </c:pt>
                <c:pt idx="8">
                  <c:v>17.059999999999999</c:v>
                </c:pt>
              </c:numCache>
            </c:numRef>
          </c:val>
        </c:ser>
        <c:dLbls>
          <c:showLegendKey val="0"/>
          <c:showVal val="0"/>
          <c:showCatName val="0"/>
          <c:showSerName val="0"/>
          <c:showPercent val="0"/>
          <c:showBubbleSize val="0"/>
        </c:dLbls>
        <c:gapWidth val="25"/>
        <c:overlap val="100"/>
        <c:axId val="242332032"/>
        <c:axId val="242333568"/>
      </c:barChart>
      <c:catAx>
        <c:axId val="242332032"/>
        <c:scaling>
          <c:orientation val="minMax"/>
        </c:scaling>
        <c:delete val="0"/>
        <c:axPos val="b"/>
        <c:numFmt formatCode="yy;@" sourceLinked="0"/>
        <c:majorTickMark val="out"/>
        <c:minorTickMark val="none"/>
        <c:tickLblPos val="nextTo"/>
        <c:crossAx val="242333568"/>
        <c:crosses val="autoZero"/>
        <c:auto val="0"/>
        <c:lblAlgn val="ctr"/>
        <c:lblOffset val="100"/>
        <c:noMultiLvlLbl val="0"/>
      </c:catAx>
      <c:valAx>
        <c:axId val="242333568"/>
        <c:scaling>
          <c:orientation val="minMax"/>
        </c:scaling>
        <c:delete val="0"/>
        <c:axPos val="r"/>
        <c:majorGridlines>
          <c:spPr>
            <a:ln>
              <a:noFill/>
            </a:ln>
          </c:spPr>
        </c:majorGridlines>
        <c:numFmt formatCode="General" sourceLinked="1"/>
        <c:majorTickMark val="out"/>
        <c:minorTickMark val="none"/>
        <c:tickLblPos val="nextTo"/>
        <c:spPr>
          <a:ln>
            <a:noFill/>
          </a:ln>
        </c:spPr>
        <c:crossAx val="242332032"/>
        <c:crosses val="max"/>
        <c:crossBetween val="between"/>
      </c:valAx>
    </c:plotArea>
    <c:legend>
      <c:legendPos val="r"/>
      <c:layout>
        <c:manualLayout>
          <c:xMode val="edge"/>
          <c:yMode val="edge"/>
          <c:x val="9.1678969816272934E-3"/>
          <c:y val="4.2459536307961499E-3"/>
          <c:w val="0.36516725947411366"/>
          <c:h val="0.16743438320209975"/>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CFO (adj)</a:t>
            </a:r>
          </a:p>
        </c:rich>
      </c:tx>
      <c:layout>
        <c:manualLayout>
          <c:xMode val="edge"/>
          <c:yMode val="edge"/>
          <c:x val="6.0336291917925449E-3"/>
          <c:y val="4.1666666666666664E-2"/>
        </c:manualLayout>
      </c:layout>
      <c:overlay val="1"/>
    </c:title>
    <c:autoTitleDeleted val="0"/>
    <c:plotArea>
      <c:layout>
        <c:manualLayout>
          <c:layoutTarget val="inner"/>
          <c:xMode val="edge"/>
          <c:yMode val="edge"/>
          <c:x val="1.1980801415938405E-2"/>
          <c:y val="1.9840483286890805E-2"/>
          <c:w val="0.97978963963246657"/>
          <c:h val="0.84722549681289838"/>
        </c:manualLayout>
      </c:layout>
      <c:barChart>
        <c:barDir val="col"/>
        <c:grouping val="clustered"/>
        <c:varyColors val="0"/>
        <c:ser>
          <c:idx val="0"/>
          <c:order val="0"/>
          <c:tx>
            <c:v>CFO (adj)</c:v>
          </c:tx>
          <c:spPr>
            <a:solidFill>
              <a:srgbClr val="92D050"/>
            </a:solidFill>
          </c:spPr>
          <c:invertIfNegative val="1"/>
          <c:dLbls>
            <c:numFmt formatCode="0_);\(0\)" sourceLinked="0"/>
            <c:txPr>
              <a:bodyPr/>
              <a:lstStyle/>
              <a:p>
                <a:pPr>
                  <a:defRPr sz="800"/>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Others!$B$19:$K$19</c:f>
              <c:numCache>
                <c:formatCode>General</c:formatCode>
                <c:ptCount val="10"/>
                <c:pt idx="0">
                  <c:v>3.2800000000000011</c:v>
                </c:pt>
                <c:pt idx="1">
                  <c:v>-9.629999999999999</c:v>
                </c:pt>
                <c:pt idx="2">
                  <c:v>-14.6</c:v>
                </c:pt>
                <c:pt idx="3">
                  <c:v>24.35</c:v>
                </c:pt>
                <c:pt idx="4">
                  <c:v>43.280000000000008</c:v>
                </c:pt>
                <c:pt idx="5">
                  <c:v>61.59</c:v>
                </c:pt>
                <c:pt idx="6">
                  <c:v>69.16</c:v>
                </c:pt>
                <c:pt idx="7">
                  <c:v>21.889999999999997</c:v>
                </c:pt>
                <c:pt idx="8">
                  <c:v>67.390000000000015</c:v>
                </c:pt>
                <c:pt idx="9">
                  <c:v>36.92</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25"/>
        <c:axId val="243553792"/>
        <c:axId val="243566080"/>
      </c:barChart>
      <c:catAx>
        <c:axId val="243553792"/>
        <c:scaling>
          <c:orientation val="minMax"/>
        </c:scaling>
        <c:delete val="0"/>
        <c:axPos val="b"/>
        <c:numFmt formatCode="yy;@" sourceLinked="0"/>
        <c:majorTickMark val="out"/>
        <c:minorTickMark val="none"/>
        <c:tickLblPos val="low"/>
        <c:txPr>
          <a:bodyPr/>
          <a:lstStyle/>
          <a:p>
            <a:pPr>
              <a:defRPr sz="800"/>
            </a:pPr>
            <a:endParaRPr lang="en-US"/>
          </a:p>
        </c:txPr>
        <c:crossAx val="243566080"/>
        <c:crosses val="autoZero"/>
        <c:auto val="0"/>
        <c:lblAlgn val="ctr"/>
        <c:lblOffset val="100"/>
        <c:noMultiLvlLbl val="0"/>
      </c:catAx>
      <c:valAx>
        <c:axId val="243566080"/>
        <c:scaling>
          <c:orientation val="minMax"/>
        </c:scaling>
        <c:delete val="1"/>
        <c:axPos val="l"/>
        <c:majorGridlines>
          <c:spPr>
            <a:ln>
              <a:noFill/>
            </a:ln>
          </c:spPr>
        </c:majorGridlines>
        <c:numFmt formatCode="General" sourceLinked="1"/>
        <c:majorTickMark val="out"/>
        <c:minorTickMark val="none"/>
        <c:tickLblPos val="nextTo"/>
        <c:crossAx val="243553792"/>
        <c:crosses val="autoZero"/>
        <c:crossBetween val="between"/>
      </c:valAx>
    </c:plotArea>
    <c:plotVisOnly val="1"/>
    <c:dispBlanksAs val="gap"/>
    <c:showDLblsOverMax val="0"/>
  </c:chart>
  <c:spPr>
    <a:ln w="3175"/>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0344504010509738E-2"/>
          <c:y val="2.2422398927302207E-2"/>
          <c:w val="0.97931099197898053"/>
          <c:h val="0.92698384528827804"/>
        </c:manualLayout>
      </c:layout>
      <c:barChart>
        <c:barDir val="col"/>
        <c:grouping val="clustered"/>
        <c:varyColors val="0"/>
        <c:ser>
          <c:idx val="0"/>
          <c:order val="0"/>
          <c:tx>
            <c:v>Gross Profit</c:v>
          </c:tx>
          <c:spPr>
            <a:solidFill>
              <a:srgbClr val="C2E8C7"/>
            </a:solidFill>
          </c:spPr>
          <c:invertIfNegative val="1"/>
          <c:dLbls>
            <c:numFmt formatCode="#,##0" sourceLinked="0"/>
            <c:txPr>
              <a:bodyPr/>
              <a:lstStyle/>
              <a:p>
                <a:pPr>
                  <a:defRPr sz="800"/>
                </a:pPr>
                <a:endParaRPr lang="en-US"/>
              </a:p>
            </c:txPr>
            <c:dLblPos val="out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Others!$B$7:$K$7</c:f>
              <c:numCache>
                <c:formatCode>General</c:formatCode>
                <c:ptCount val="10"/>
                <c:pt idx="0">
                  <c:v>92.38</c:v>
                </c:pt>
                <c:pt idx="1">
                  <c:v>95.729999999999976</c:v>
                </c:pt>
                <c:pt idx="2">
                  <c:v>108.15</c:v>
                </c:pt>
                <c:pt idx="3">
                  <c:v>158.77000000000001</c:v>
                </c:pt>
                <c:pt idx="4">
                  <c:v>131.57</c:v>
                </c:pt>
                <c:pt idx="5">
                  <c:v>182.05</c:v>
                </c:pt>
                <c:pt idx="6">
                  <c:v>190.48</c:v>
                </c:pt>
                <c:pt idx="7">
                  <c:v>232.79000000000005</c:v>
                </c:pt>
                <c:pt idx="8">
                  <c:v>303.64000000000004</c:v>
                </c:pt>
                <c:pt idx="9">
                  <c:v>344.36</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0"/>
          <c:showCatName val="0"/>
          <c:showSerName val="0"/>
          <c:showPercent val="0"/>
          <c:showBubbleSize val="0"/>
        </c:dLbls>
        <c:gapWidth val="25"/>
        <c:axId val="272706176"/>
        <c:axId val="175022464"/>
      </c:barChart>
      <c:catAx>
        <c:axId val="272706176"/>
        <c:scaling>
          <c:orientation val="minMax"/>
        </c:scaling>
        <c:delete val="0"/>
        <c:axPos val="b"/>
        <c:numFmt formatCode="yy;@" sourceLinked="0"/>
        <c:majorTickMark val="out"/>
        <c:minorTickMark val="none"/>
        <c:tickLblPos val="nextTo"/>
        <c:crossAx val="175022464"/>
        <c:crosses val="autoZero"/>
        <c:auto val="0"/>
        <c:lblAlgn val="ctr"/>
        <c:lblOffset val="100"/>
        <c:noMultiLvlLbl val="0"/>
      </c:catAx>
      <c:valAx>
        <c:axId val="175022464"/>
        <c:scaling>
          <c:orientation val="minMax"/>
        </c:scaling>
        <c:delete val="1"/>
        <c:axPos val="l"/>
        <c:majorGridlines>
          <c:spPr>
            <a:ln>
              <a:noFill/>
            </a:ln>
          </c:spPr>
        </c:majorGridlines>
        <c:numFmt formatCode="General" sourceLinked="1"/>
        <c:majorTickMark val="out"/>
        <c:minorTickMark val="none"/>
        <c:tickLblPos val="nextTo"/>
        <c:crossAx val="272706176"/>
        <c:crosses val="autoZero"/>
        <c:crossBetween val="between"/>
      </c:valAx>
    </c:plotArea>
    <c:legend>
      <c:legendPos val="r"/>
      <c:layout>
        <c:manualLayout>
          <c:xMode val="edge"/>
          <c:yMode val="edge"/>
          <c:x val="1.7240704021933374E-2"/>
          <c:y val="4.7007341997151716E-2"/>
          <c:w val="0.41243872189535546"/>
          <c:h val="9.5996496956789745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787245656366472E-2"/>
          <c:y val="2.0513998250218726E-2"/>
          <c:w val="0.95384930999469963"/>
          <c:h val="0.84023840769903757"/>
        </c:manualLayout>
      </c:layout>
      <c:barChart>
        <c:barDir val="col"/>
        <c:grouping val="clustered"/>
        <c:varyColors val="0"/>
        <c:ser>
          <c:idx val="0"/>
          <c:order val="0"/>
          <c:tx>
            <c:v>Gross Margin</c:v>
          </c:tx>
          <c:spPr>
            <a:solidFill>
              <a:srgbClr val="C2E8C7"/>
            </a:solidFill>
          </c:spPr>
          <c:invertIfNegative val="1"/>
          <c:dLbls>
            <c:numFmt formatCode="0%" sourceLinked="0"/>
            <c:txPr>
              <a:bodyPr rot="0" vert="horz"/>
              <a:lstStyle/>
              <a:p>
                <a:pPr>
                  <a:defRPr sz="800"/>
                </a:pPr>
                <a:endParaRPr lang="en-US"/>
              </a:p>
            </c:txPr>
            <c:dLblPos val="inEnd"/>
            <c:showLegendKey val="0"/>
            <c:showVal val="1"/>
            <c:showCatName val="0"/>
            <c:showSerName val="0"/>
            <c:showPercent val="0"/>
            <c:showBubbleSize val="0"/>
            <c:showLeaderLines val="0"/>
          </c:dLbls>
          <c:cat>
            <c:numRef>
              <c:f>Others!$B$2:$K$2</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Others!$B$8:$K$8</c:f>
              <c:numCache>
                <c:formatCode>0%</c:formatCode>
                <c:ptCount val="10"/>
                <c:pt idx="0">
                  <c:v>0.45337652139772283</c:v>
                </c:pt>
                <c:pt idx="1">
                  <c:v>0.36500552865367741</c:v>
                </c:pt>
                <c:pt idx="2">
                  <c:v>0.35817188276204676</c:v>
                </c:pt>
                <c:pt idx="3">
                  <c:v>0.38637691034751293</c:v>
                </c:pt>
                <c:pt idx="4">
                  <c:v>0.30719122110670088</c:v>
                </c:pt>
                <c:pt idx="5">
                  <c:v>0.40813810110974108</c:v>
                </c:pt>
                <c:pt idx="6">
                  <c:v>0.39005610844903144</c:v>
                </c:pt>
                <c:pt idx="7">
                  <c:v>0.37761772673447214</c:v>
                </c:pt>
                <c:pt idx="8">
                  <c:v>0.39594716183968603</c:v>
                </c:pt>
                <c:pt idx="9">
                  <c:v>0.36893869592234674</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Lst>
        </c:ser>
        <c:dLbls>
          <c:showLegendKey val="0"/>
          <c:showVal val="1"/>
          <c:showCatName val="0"/>
          <c:showSerName val="0"/>
          <c:showPercent val="0"/>
          <c:showBubbleSize val="0"/>
        </c:dLbls>
        <c:gapWidth val="36"/>
        <c:overlap val="1"/>
        <c:axId val="175029248"/>
        <c:axId val="175040384"/>
      </c:barChart>
      <c:catAx>
        <c:axId val="175029248"/>
        <c:scaling>
          <c:orientation val="minMax"/>
        </c:scaling>
        <c:delete val="0"/>
        <c:axPos val="b"/>
        <c:numFmt formatCode="yy;@" sourceLinked="0"/>
        <c:majorTickMark val="out"/>
        <c:minorTickMark val="none"/>
        <c:tickLblPos val="nextTo"/>
        <c:crossAx val="175040384"/>
        <c:crosses val="autoZero"/>
        <c:auto val="0"/>
        <c:lblAlgn val="ctr"/>
        <c:lblOffset val="100"/>
        <c:noMultiLvlLbl val="0"/>
      </c:catAx>
      <c:valAx>
        <c:axId val="175040384"/>
        <c:scaling>
          <c:orientation val="minMax"/>
        </c:scaling>
        <c:delete val="1"/>
        <c:axPos val="l"/>
        <c:majorGridlines>
          <c:spPr>
            <a:ln>
              <a:noFill/>
            </a:ln>
          </c:spPr>
        </c:majorGridlines>
        <c:numFmt formatCode="0%" sourceLinked="1"/>
        <c:majorTickMark val="none"/>
        <c:minorTickMark val="none"/>
        <c:tickLblPos val="none"/>
        <c:crossAx val="175029248"/>
        <c:crosses val="autoZero"/>
        <c:crossBetween val="between"/>
      </c:valAx>
      <c:spPr>
        <a:noFill/>
        <a:ln w="25400">
          <a:noFill/>
        </a:ln>
      </c:spPr>
    </c:plotArea>
    <c:legend>
      <c:legendPos val="r"/>
      <c:layout>
        <c:manualLayout>
          <c:xMode val="edge"/>
          <c:yMode val="edge"/>
          <c:x val="0"/>
          <c:y val="9.3198398795579108E-3"/>
          <c:w val="0.4392690638969769"/>
          <c:h val="0.13896099936917988"/>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a:t>Total Debt</a:t>
            </a:r>
          </a:p>
        </c:rich>
      </c:tx>
      <c:layout>
        <c:manualLayout>
          <c:xMode val="edge"/>
          <c:yMode val="edge"/>
          <c:x val="1.1200973350902397E-2"/>
          <c:y val="3.4722222222222224E-2"/>
        </c:manualLayout>
      </c:layout>
      <c:overlay val="1"/>
    </c:title>
    <c:autoTitleDeleted val="0"/>
    <c:plotArea>
      <c:layout>
        <c:manualLayout>
          <c:layoutTarget val="inner"/>
          <c:xMode val="edge"/>
          <c:yMode val="edge"/>
          <c:x val="1.2787245656366472E-2"/>
          <c:y val="5.523641634347945E-2"/>
          <c:w val="0.9639871697662179"/>
          <c:h val="0.82110001175226233"/>
        </c:manualLayout>
      </c:layout>
      <c:barChart>
        <c:barDir val="col"/>
        <c:grouping val="clustered"/>
        <c:varyColors val="0"/>
        <c:ser>
          <c:idx val="0"/>
          <c:order val="0"/>
          <c:tx>
            <c:v>Total Debt</c:v>
          </c:tx>
          <c:spPr>
            <a:solidFill>
              <a:srgbClr val="FF0000"/>
            </a:solidFill>
          </c:spPr>
          <c:invertIfNegative val="0"/>
          <c:dLbls>
            <c:numFmt formatCode="#,##0" sourceLinked="0"/>
            <c:spPr>
              <a:ln w="3175"/>
            </c:spPr>
            <c:txPr>
              <a:bodyPr/>
              <a:lstStyle/>
              <a:p>
                <a:pPr>
                  <a:defRPr sz="800"/>
                </a:pPr>
                <a:endParaRPr lang="en-US"/>
              </a:p>
            </c:txPr>
            <c:dLblPos val="inEnd"/>
            <c:showLegendKey val="0"/>
            <c:showVal val="1"/>
            <c:showCatName val="0"/>
            <c:showSerName val="0"/>
            <c:showPercent val="0"/>
            <c:showBubbleSize val="0"/>
            <c:showLeaderLines val="0"/>
          </c:dLbls>
          <c:cat>
            <c:numRef>
              <c:f>'Data Sheet'!$B$56:$K$56</c:f>
              <c:numCache>
                <c:formatCode>[$-409]mmm\-yy;@</c:formatCode>
                <c:ptCount val="10"/>
                <c:pt idx="0">
                  <c:v>39538</c:v>
                </c:pt>
                <c:pt idx="1">
                  <c:v>39903</c:v>
                </c:pt>
                <c:pt idx="2">
                  <c:v>40268</c:v>
                </c:pt>
                <c:pt idx="3">
                  <c:v>40633</c:v>
                </c:pt>
                <c:pt idx="4">
                  <c:v>40999</c:v>
                </c:pt>
                <c:pt idx="5">
                  <c:v>41364</c:v>
                </c:pt>
                <c:pt idx="6">
                  <c:v>41729</c:v>
                </c:pt>
                <c:pt idx="7">
                  <c:v>42094</c:v>
                </c:pt>
                <c:pt idx="8">
                  <c:v>42460</c:v>
                </c:pt>
                <c:pt idx="9">
                  <c:v>42825</c:v>
                </c:pt>
              </c:numCache>
            </c:numRef>
          </c:cat>
          <c:val>
            <c:numRef>
              <c:f>'Data Sheet'!$B$59:$K$59</c:f>
              <c:numCache>
                <c:formatCode>General</c:formatCode>
                <c:ptCount val="10"/>
                <c:pt idx="0">
                  <c:v>267.33999999999997</c:v>
                </c:pt>
                <c:pt idx="1">
                  <c:v>299.41000000000003</c:v>
                </c:pt>
                <c:pt idx="2">
                  <c:v>308.51</c:v>
                </c:pt>
                <c:pt idx="3">
                  <c:v>284.02999999999997</c:v>
                </c:pt>
                <c:pt idx="4">
                  <c:v>248.92</c:v>
                </c:pt>
                <c:pt idx="5">
                  <c:v>206.64</c:v>
                </c:pt>
                <c:pt idx="6">
                  <c:v>176.07</c:v>
                </c:pt>
                <c:pt idx="7">
                  <c:v>378.27</c:v>
                </c:pt>
                <c:pt idx="8">
                  <c:v>352.07</c:v>
                </c:pt>
                <c:pt idx="9">
                  <c:v>563.49</c:v>
                </c:pt>
              </c:numCache>
            </c:numRef>
          </c:val>
        </c:ser>
        <c:dLbls>
          <c:showLegendKey val="0"/>
          <c:showVal val="1"/>
          <c:showCatName val="0"/>
          <c:showSerName val="0"/>
          <c:showPercent val="0"/>
          <c:showBubbleSize val="0"/>
        </c:dLbls>
        <c:gapWidth val="25"/>
        <c:overlap val="1"/>
        <c:axId val="175178112"/>
        <c:axId val="175180800"/>
      </c:barChart>
      <c:catAx>
        <c:axId val="175178112"/>
        <c:scaling>
          <c:orientation val="minMax"/>
        </c:scaling>
        <c:delete val="0"/>
        <c:axPos val="b"/>
        <c:numFmt formatCode="yy;@" sourceLinked="0"/>
        <c:majorTickMark val="out"/>
        <c:minorTickMark val="none"/>
        <c:tickLblPos val="nextTo"/>
        <c:crossAx val="175180800"/>
        <c:crosses val="autoZero"/>
        <c:auto val="0"/>
        <c:lblAlgn val="ctr"/>
        <c:lblOffset val="100"/>
        <c:noMultiLvlLbl val="0"/>
      </c:catAx>
      <c:valAx>
        <c:axId val="175180800"/>
        <c:scaling>
          <c:orientation val="minMax"/>
        </c:scaling>
        <c:delete val="1"/>
        <c:axPos val="l"/>
        <c:majorGridlines>
          <c:spPr>
            <a:ln>
              <a:noFill/>
            </a:ln>
          </c:spPr>
        </c:majorGridlines>
        <c:numFmt formatCode="General" sourceLinked="1"/>
        <c:majorTickMark val="none"/>
        <c:minorTickMark val="none"/>
        <c:tickLblPos val="none"/>
        <c:crossAx val="175178112"/>
        <c:crosses val="autoZero"/>
        <c:crossBetween val="between"/>
      </c:valAx>
      <c:spPr>
        <a:noFill/>
        <a:ln w="25400">
          <a:noFill/>
        </a:ln>
      </c:spPr>
    </c:plotArea>
    <c:plotVisOnly val="1"/>
    <c:dispBlanksAs val="gap"/>
    <c:showDLblsOverMax val="0"/>
  </c:chart>
  <c:spPr>
    <a:ln w="3175"/>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chart" Target="../charts/chart45.xml"/><Relationship Id="rId4"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xdr:from>
      <xdr:col>0</xdr:col>
      <xdr:colOff>80736</xdr:colOff>
      <xdr:row>1</xdr:row>
      <xdr:rowOff>185054</xdr:rowOff>
    </xdr:from>
    <xdr:to>
      <xdr:col>5</xdr:col>
      <xdr:colOff>1742</xdr:colOff>
      <xdr:row>11</xdr:row>
      <xdr:rowOff>108854</xdr:rowOff>
    </xdr:to>
    <xdr:graphicFrame macro="">
      <xdr:nvGraphicFramePr>
        <xdr:cNvPr id="2" name="Sal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34712</xdr:colOff>
      <xdr:row>2</xdr:row>
      <xdr:rowOff>4499</xdr:rowOff>
    </xdr:from>
    <xdr:to>
      <xdr:col>9</xdr:col>
      <xdr:colOff>557503</xdr:colOff>
      <xdr:row>11</xdr:row>
      <xdr:rowOff>118799</xdr:rowOff>
    </xdr:to>
    <xdr:graphicFrame macro="">
      <xdr:nvGraphicFramePr>
        <xdr:cNvPr id="3" name="OtherIncom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580414</xdr:colOff>
      <xdr:row>2</xdr:row>
      <xdr:rowOff>786</xdr:rowOff>
    </xdr:from>
    <xdr:to>
      <xdr:col>14</xdr:col>
      <xdr:colOff>495070</xdr:colOff>
      <xdr:row>11</xdr:row>
      <xdr:rowOff>115086</xdr:rowOff>
    </xdr:to>
    <xdr:graphicFrame macro="">
      <xdr:nvGraphicFramePr>
        <xdr:cNvPr id="4" name="Q-Sal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519339</xdr:colOff>
      <xdr:row>2</xdr:row>
      <xdr:rowOff>4188</xdr:rowOff>
    </xdr:from>
    <xdr:to>
      <xdr:col>19</xdr:col>
      <xdr:colOff>433995</xdr:colOff>
      <xdr:row>11</xdr:row>
      <xdr:rowOff>118488</xdr:rowOff>
    </xdr:to>
    <xdr:graphicFrame macro="">
      <xdr:nvGraphicFramePr>
        <xdr:cNvPr id="5" name="Shareholder Fund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462190</xdr:colOff>
      <xdr:row>2</xdr:row>
      <xdr:rowOff>4188</xdr:rowOff>
    </xdr:from>
    <xdr:to>
      <xdr:col>24</xdr:col>
      <xdr:colOff>376846</xdr:colOff>
      <xdr:row>11</xdr:row>
      <xdr:rowOff>118488</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406907</xdr:colOff>
      <xdr:row>1</xdr:row>
      <xdr:rowOff>187359</xdr:rowOff>
    </xdr:from>
    <xdr:to>
      <xdr:col>29</xdr:col>
      <xdr:colOff>321563</xdr:colOff>
      <xdr:row>11</xdr:row>
      <xdr:rowOff>111159</xdr:rowOff>
    </xdr:to>
    <xdr:graphicFrame macro="">
      <xdr:nvGraphicFramePr>
        <xdr:cNvPr id="7" name="CFO (Ad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94684</xdr:colOff>
      <xdr:row>11</xdr:row>
      <xdr:rowOff>137454</xdr:rowOff>
    </xdr:from>
    <xdr:to>
      <xdr:col>5</xdr:col>
      <xdr:colOff>3074</xdr:colOff>
      <xdr:row>21</xdr:row>
      <xdr:rowOff>61254</xdr:rowOff>
    </xdr:to>
    <xdr:graphicFrame macro="">
      <xdr:nvGraphicFramePr>
        <xdr:cNvPr id="8" name="Gross Profi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39051</xdr:colOff>
      <xdr:row>11</xdr:row>
      <xdr:rowOff>136933</xdr:rowOff>
    </xdr:from>
    <xdr:to>
      <xdr:col>9</xdr:col>
      <xdr:colOff>561842</xdr:colOff>
      <xdr:row>21</xdr:row>
      <xdr:rowOff>60733</xdr:rowOff>
    </xdr:to>
    <xdr:graphicFrame macro="">
      <xdr:nvGraphicFramePr>
        <xdr:cNvPr id="9" name="Gross Margi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516509</xdr:colOff>
      <xdr:row>11</xdr:row>
      <xdr:rowOff>145206</xdr:rowOff>
    </xdr:from>
    <xdr:to>
      <xdr:col>19</xdr:col>
      <xdr:colOff>431165</xdr:colOff>
      <xdr:row>21</xdr:row>
      <xdr:rowOff>69006</xdr:rowOff>
    </xdr:to>
    <xdr:graphicFrame macro="">
      <xdr:nvGraphicFramePr>
        <xdr:cNvPr id="10" name="TotalDeb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463159</xdr:colOff>
      <xdr:row>11</xdr:row>
      <xdr:rowOff>145115</xdr:rowOff>
    </xdr:from>
    <xdr:to>
      <xdr:col>24</xdr:col>
      <xdr:colOff>377815</xdr:colOff>
      <xdr:row>21</xdr:row>
      <xdr:rowOff>68915</xdr:rowOff>
    </xdr:to>
    <xdr:graphicFrame macro="">
      <xdr:nvGraphicFramePr>
        <xdr:cNvPr id="11" name="Fixed Asset Tur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418736</xdr:colOff>
      <xdr:row>11</xdr:row>
      <xdr:rowOff>139226</xdr:rowOff>
    </xdr:from>
    <xdr:to>
      <xdr:col>29</xdr:col>
      <xdr:colOff>333392</xdr:colOff>
      <xdr:row>21</xdr:row>
      <xdr:rowOff>63026</xdr:rowOff>
    </xdr:to>
    <xdr:graphicFrame macro="">
      <xdr:nvGraphicFramePr>
        <xdr:cNvPr id="12" name="CF Investmen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29</xdr:col>
      <xdr:colOff>351610</xdr:colOff>
      <xdr:row>1</xdr:row>
      <xdr:rowOff>187361</xdr:rowOff>
    </xdr:from>
    <xdr:to>
      <xdr:col>34</xdr:col>
      <xdr:colOff>267731</xdr:colOff>
      <xdr:row>11</xdr:row>
      <xdr:rowOff>111161</xdr:rowOff>
    </xdr:to>
    <xdr:graphicFrame macro="">
      <xdr:nvGraphicFramePr>
        <xdr:cNvPr id="13" name="RoE RoC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72947</xdr:colOff>
      <xdr:row>21</xdr:row>
      <xdr:rowOff>116398</xdr:rowOff>
    </xdr:from>
    <xdr:to>
      <xdr:col>4</xdr:col>
      <xdr:colOff>590853</xdr:colOff>
      <xdr:row>31</xdr:row>
      <xdr:rowOff>40198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24232</xdr:colOff>
      <xdr:row>21</xdr:row>
      <xdr:rowOff>111224</xdr:rowOff>
    </xdr:from>
    <xdr:to>
      <xdr:col>9</xdr:col>
      <xdr:colOff>547023</xdr:colOff>
      <xdr:row>31</xdr:row>
      <xdr:rowOff>35024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572128</xdr:colOff>
      <xdr:row>21</xdr:row>
      <xdr:rowOff>116401</xdr:rowOff>
    </xdr:from>
    <xdr:to>
      <xdr:col>14</xdr:col>
      <xdr:colOff>486784</xdr:colOff>
      <xdr:row>31</xdr:row>
      <xdr:rowOff>40201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xdr:col>
      <xdr:colOff>478969</xdr:colOff>
      <xdr:row>21</xdr:row>
      <xdr:rowOff>110347</xdr:rowOff>
    </xdr:from>
    <xdr:to>
      <xdr:col>24</xdr:col>
      <xdr:colOff>393625</xdr:colOff>
      <xdr:row>31</xdr:row>
      <xdr:rowOff>34147</xdr:rowOff>
    </xdr:to>
    <xdr:graphicFrame macro="">
      <xdr:nvGraphicFramePr>
        <xdr:cNvPr id="17" name="Inventory Day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475760</xdr:colOff>
      <xdr:row>31</xdr:row>
      <xdr:rowOff>73543</xdr:rowOff>
    </xdr:from>
    <xdr:to>
      <xdr:col>24</xdr:col>
      <xdr:colOff>390416</xdr:colOff>
      <xdr:row>40</xdr:row>
      <xdr:rowOff>187843</xdr:rowOff>
    </xdr:to>
    <xdr:graphicFrame macro="">
      <xdr:nvGraphicFramePr>
        <xdr:cNvPr id="18" name="Receivable Day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24</xdr:col>
      <xdr:colOff>422533</xdr:colOff>
      <xdr:row>21</xdr:row>
      <xdr:rowOff>110347</xdr:rowOff>
    </xdr:from>
    <xdr:to>
      <xdr:col>29</xdr:col>
      <xdr:colOff>337189</xdr:colOff>
      <xdr:row>31</xdr:row>
      <xdr:rowOff>34147</xdr:rowOff>
    </xdr:to>
    <xdr:graphicFrame macro="">
      <xdr:nvGraphicFramePr>
        <xdr:cNvPr id="19" name="CF Financin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24</xdr:col>
      <xdr:colOff>435199</xdr:colOff>
      <xdr:row>31</xdr:row>
      <xdr:rowOff>71563</xdr:rowOff>
    </xdr:from>
    <xdr:to>
      <xdr:col>29</xdr:col>
      <xdr:colOff>349855</xdr:colOff>
      <xdr:row>40</xdr:row>
      <xdr:rowOff>185863</xdr:rowOff>
    </xdr:to>
    <xdr:graphicFrame macro="">
      <xdr:nvGraphicFramePr>
        <xdr:cNvPr id="20" name="CFF Equit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24</xdr:col>
      <xdr:colOff>434600</xdr:colOff>
      <xdr:row>41</xdr:row>
      <xdr:rowOff>34105</xdr:rowOff>
    </xdr:from>
    <xdr:to>
      <xdr:col>29</xdr:col>
      <xdr:colOff>349256</xdr:colOff>
      <xdr:row>50</xdr:row>
      <xdr:rowOff>148405</xdr:rowOff>
    </xdr:to>
    <xdr:graphicFrame macro="">
      <xdr:nvGraphicFramePr>
        <xdr:cNvPr id="21" name="CFF Deb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24</xdr:col>
      <xdr:colOff>422258</xdr:colOff>
      <xdr:row>51</xdr:row>
      <xdr:rowOff>7033</xdr:rowOff>
    </xdr:from>
    <xdr:to>
      <xdr:col>29</xdr:col>
      <xdr:colOff>336914</xdr:colOff>
      <xdr:row>60</xdr:row>
      <xdr:rowOff>121333</xdr:rowOff>
    </xdr:to>
    <xdr:graphicFrame macro="">
      <xdr:nvGraphicFramePr>
        <xdr:cNvPr id="22" name="CFF Interes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29</xdr:col>
      <xdr:colOff>373027</xdr:colOff>
      <xdr:row>21</xdr:row>
      <xdr:rowOff>114698</xdr:rowOff>
    </xdr:from>
    <xdr:to>
      <xdr:col>34</xdr:col>
      <xdr:colOff>289148</xdr:colOff>
      <xdr:row>31</xdr:row>
      <xdr:rowOff>38498</xdr:rowOff>
    </xdr:to>
    <xdr:graphicFrame macro="">
      <xdr:nvGraphicFramePr>
        <xdr:cNvPr id="23" name="Ro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29</xdr:col>
      <xdr:colOff>376731</xdr:colOff>
      <xdr:row>41</xdr:row>
      <xdr:rowOff>41029</xdr:rowOff>
    </xdr:from>
    <xdr:to>
      <xdr:col>34</xdr:col>
      <xdr:colOff>292852</xdr:colOff>
      <xdr:row>50</xdr:row>
      <xdr:rowOff>155329</xdr:rowOff>
    </xdr:to>
    <xdr:graphicFrame macro="">
      <xdr:nvGraphicFramePr>
        <xdr:cNvPr id="24" name="Net Margi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29</xdr:col>
      <xdr:colOff>382446</xdr:colOff>
      <xdr:row>31</xdr:row>
      <xdr:rowOff>73761</xdr:rowOff>
    </xdr:from>
    <xdr:to>
      <xdr:col>34</xdr:col>
      <xdr:colOff>298567</xdr:colOff>
      <xdr:row>40</xdr:row>
      <xdr:rowOff>188061</xdr:rowOff>
    </xdr:to>
    <xdr:graphicFrame macro="">
      <xdr:nvGraphicFramePr>
        <xdr:cNvPr id="25" name="AssetTur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73326</xdr:colOff>
      <xdr:row>31</xdr:row>
      <xdr:rowOff>74607</xdr:rowOff>
    </xdr:from>
    <xdr:to>
      <xdr:col>4</xdr:col>
      <xdr:colOff>596117</xdr:colOff>
      <xdr:row>40</xdr:row>
      <xdr:rowOff>188907</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24069</xdr:colOff>
      <xdr:row>31</xdr:row>
      <xdr:rowOff>76639</xdr:rowOff>
    </xdr:from>
    <xdr:to>
      <xdr:col>9</xdr:col>
      <xdr:colOff>546860</xdr:colOff>
      <xdr:row>41</xdr:row>
      <xdr:rowOff>439</xdr:rowOff>
    </xdr:to>
    <xdr:graphicFrame macro="">
      <xdr:nvGraphicFramePr>
        <xdr:cNvPr id="27" name="EBITDA Margi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586129</xdr:colOff>
      <xdr:row>31</xdr:row>
      <xdr:rowOff>87223</xdr:rowOff>
    </xdr:from>
    <xdr:to>
      <xdr:col>14</xdr:col>
      <xdr:colOff>500785</xdr:colOff>
      <xdr:row>41</xdr:row>
      <xdr:rowOff>11023</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61521</xdr:colOff>
      <xdr:row>50</xdr:row>
      <xdr:rowOff>187361</xdr:rowOff>
    </xdr:from>
    <xdr:to>
      <xdr:col>4</xdr:col>
      <xdr:colOff>585777</xdr:colOff>
      <xdr:row>60</xdr:row>
      <xdr:rowOff>111161</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16744</xdr:colOff>
      <xdr:row>50</xdr:row>
      <xdr:rowOff>187361</xdr:rowOff>
    </xdr:from>
    <xdr:to>
      <xdr:col>9</xdr:col>
      <xdr:colOff>539535</xdr:colOff>
      <xdr:row>60</xdr:row>
      <xdr:rowOff>111161</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14</xdr:col>
      <xdr:colOff>526782</xdr:colOff>
      <xdr:row>21</xdr:row>
      <xdr:rowOff>107579</xdr:rowOff>
    </xdr:from>
    <xdr:to>
      <xdr:col>19</xdr:col>
      <xdr:colOff>441438</xdr:colOff>
      <xdr:row>41</xdr:row>
      <xdr:rowOff>899</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14</xdr:col>
      <xdr:colOff>532074</xdr:colOff>
      <xdr:row>41</xdr:row>
      <xdr:rowOff>51812</xdr:rowOff>
    </xdr:from>
    <xdr:to>
      <xdr:col>19</xdr:col>
      <xdr:colOff>446730</xdr:colOff>
      <xdr:row>60</xdr:row>
      <xdr:rowOff>135632</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19</xdr:col>
      <xdr:colOff>476146</xdr:colOff>
      <xdr:row>51</xdr:row>
      <xdr:rowOff>9060</xdr:rowOff>
    </xdr:from>
    <xdr:to>
      <xdr:col>24</xdr:col>
      <xdr:colOff>390802</xdr:colOff>
      <xdr:row>60</xdr:row>
      <xdr:rowOff>123360</xdr:rowOff>
    </xdr:to>
    <xdr:graphicFrame macro="">
      <xdr:nvGraphicFramePr>
        <xdr:cNvPr id="33" name="Interest Coverage Rati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480389</xdr:colOff>
      <xdr:row>41</xdr:row>
      <xdr:rowOff>37952</xdr:rowOff>
    </xdr:from>
    <xdr:to>
      <xdr:col>24</xdr:col>
      <xdr:colOff>395045</xdr:colOff>
      <xdr:row>50</xdr:row>
      <xdr:rowOff>152252</xdr:rowOff>
    </xdr:to>
    <xdr:graphicFrame macro="">
      <xdr:nvGraphicFramePr>
        <xdr:cNvPr id="3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57291</xdr:colOff>
      <xdr:row>41</xdr:row>
      <xdr:rowOff>39356</xdr:rowOff>
    </xdr:from>
    <xdr:to>
      <xdr:col>4</xdr:col>
      <xdr:colOff>580082</xdr:colOff>
      <xdr:row>50</xdr:row>
      <xdr:rowOff>153656</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xdr:col>
      <xdr:colOff>12351</xdr:colOff>
      <xdr:row>41</xdr:row>
      <xdr:rowOff>39358</xdr:rowOff>
    </xdr:from>
    <xdr:to>
      <xdr:col>9</xdr:col>
      <xdr:colOff>535142</xdr:colOff>
      <xdr:row>50</xdr:row>
      <xdr:rowOff>153658</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xdr:col>
      <xdr:colOff>582142</xdr:colOff>
      <xdr:row>41</xdr:row>
      <xdr:rowOff>55230</xdr:rowOff>
    </xdr:from>
    <xdr:to>
      <xdr:col>14</xdr:col>
      <xdr:colOff>496798</xdr:colOff>
      <xdr:row>50</xdr:row>
      <xdr:rowOff>169530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9</xdr:col>
      <xdr:colOff>582142</xdr:colOff>
      <xdr:row>51</xdr:row>
      <xdr:rowOff>14933</xdr:rowOff>
    </xdr:from>
    <xdr:to>
      <xdr:col>14</xdr:col>
      <xdr:colOff>496798</xdr:colOff>
      <xdr:row>60</xdr:row>
      <xdr:rowOff>129233</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9</xdr:col>
      <xdr:colOff>581200</xdr:colOff>
      <xdr:row>11</xdr:row>
      <xdr:rowOff>135905</xdr:rowOff>
    </xdr:from>
    <xdr:to>
      <xdr:col>14</xdr:col>
      <xdr:colOff>495856</xdr:colOff>
      <xdr:row>21</xdr:row>
      <xdr:rowOff>59705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29</xdr:col>
      <xdr:colOff>367744</xdr:colOff>
      <xdr:row>11</xdr:row>
      <xdr:rowOff>140570</xdr:rowOff>
    </xdr:from>
    <xdr:to>
      <xdr:col>34</xdr:col>
      <xdr:colOff>283865</xdr:colOff>
      <xdr:row>21</xdr:row>
      <xdr:rowOff>64370</xdr:rowOff>
    </xdr:to>
    <xdr:graphicFrame macro="">
      <xdr:nvGraphicFramePr>
        <xdr:cNvPr id="40" name="Le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29</xdr:col>
      <xdr:colOff>368300</xdr:colOff>
      <xdr:row>51</xdr:row>
      <xdr:rowOff>9525</xdr:rowOff>
    </xdr:from>
    <xdr:to>
      <xdr:col>34</xdr:col>
      <xdr:colOff>282956</xdr:colOff>
      <xdr:row>60</xdr:row>
      <xdr:rowOff>123825</xdr:rowOff>
    </xdr:to>
    <xdr:graphicFrame macro="">
      <xdr:nvGraphicFramePr>
        <xdr:cNvPr id="42" name="Mca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21120</xdr:colOff>
      <xdr:row>14</xdr:row>
      <xdr:rowOff>4969</xdr:rowOff>
    </xdr:from>
    <xdr:to>
      <xdr:col>19</xdr:col>
      <xdr:colOff>302728</xdr:colOff>
      <xdr:row>31</xdr:row>
      <xdr:rowOff>147430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47212</xdr:colOff>
      <xdr:row>32</xdr:row>
      <xdr:rowOff>11595</xdr:rowOff>
    </xdr:from>
    <xdr:to>
      <xdr:col>19</xdr:col>
      <xdr:colOff>328820</xdr:colOff>
      <xdr:row>46</xdr:row>
      <xdr:rowOff>87795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19050</xdr:colOff>
      <xdr:row>1</xdr:row>
      <xdr:rowOff>0</xdr:rowOff>
    </xdr:from>
    <xdr:to>
      <xdr:col>19</xdr:col>
      <xdr:colOff>323850</xdr:colOff>
      <xdr:row>13</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57150</xdr:colOff>
      <xdr:row>47</xdr:row>
      <xdr:rowOff>38100</xdr:rowOff>
    </xdr:from>
    <xdr:to>
      <xdr:col>19</xdr:col>
      <xdr:colOff>361950</xdr:colOff>
      <xdr:row>60</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62</xdr:row>
      <xdr:rowOff>0</xdr:rowOff>
    </xdr:from>
    <xdr:to>
      <xdr:col>19</xdr:col>
      <xdr:colOff>304800</xdr:colOff>
      <xdr:row>76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kumar/OneDrive%20-%20Hewlett%20Packard%20Enterprise/PERSONAL/STOCKS/Stocks/ValuePickr/Saurabh/Cupid%20Analysi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Framework"/>
      <sheetName val="rsklibSimData"/>
      <sheetName val="Analysis2"/>
      <sheetName val="Valuation"/>
      <sheetName val="Financial Analysis"/>
      <sheetName val="Checklist"/>
      <sheetName val="Profit &amp; Loss"/>
      <sheetName val="Quarters"/>
      <sheetName val="Balance Sheet"/>
      <sheetName val="Cash Flow"/>
      <sheetName val="Customization"/>
      <sheetName val="Scorecard"/>
      <sheetName val="Market_scope"/>
      <sheetName val="Data Sheet"/>
      <sheetName val="Research"/>
      <sheetName val="Other_input_data"/>
      <sheetName val="DCF"/>
      <sheetName val="Fair Value"/>
      <sheetName val="Expected Return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v>0</v>
          </cell>
        </row>
      </sheetData>
      <sheetData sheetId="15"/>
      <sheetData sheetId="16"/>
      <sheetData sheetId="17"/>
      <sheetData sheetId="18"/>
      <sheetData sheetId="19"/>
    </sheetDataSet>
  </externalBook>
</externalLink>
</file>

<file path=xl/tables/table1.xml><?xml version="1.0" encoding="utf-8"?>
<table xmlns="http://schemas.openxmlformats.org/spreadsheetml/2006/main" id="7" name="Table7" displayName="Table7" ref="A18:L21" headerRowCount="0" totalsRowCount="1">
  <tableColumns count="12">
    <tableColumn id="1" name="Column1" totalsRowLabel="Total" headerRowDxfId="164"/>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otalsRowFunction="custom" dataDxfId="163">
      <calculatedColumnFormula>SUM(Table7[[#This Row],[Column2]:[Column11]])</calculatedColumnFormula>
      <totalsRowFormula>L18-L19-L20</totalsRowFormula>
    </tableColumn>
  </tableColumns>
  <tableStyleInfo name="TableStyleMedium2" showFirstColumn="0" showLastColumn="1" showRowStripes="1" showColumnStripes="0"/>
</table>
</file>

<file path=xl/tables/table2.xml><?xml version="1.0" encoding="utf-8"?>
<table xmlns="http://schemas.openxmlformats.org/spreadsheetml/2006/main" id="8" name="Table8" displayName="Table8" ref="A4:K15" headerRowCount="0" totalsRowShown="0" headerRowDxfId="162" dataDxfId="161" dataCellStyle="Percent">
  <tableColumns count="11">
    <tableColumn id="1" name="Column1" headerRowDxfId="160" dataDxfId="159"/>
    <tableColumn id="2" name="Column2" dataDxfId="158"/>
    <tableColumn id="3" name="Column3" dataDxfId="157" dataCellStyle="Percent"/>
    <tableColumn id="4" name="Column4" headerRowDxfId="156" dataDxfId="155" dataCellStyle="Percent"/>
    <tableColumn id="5" name="Column5" headerRowDxfId="154" dataDxfId="153" dataCellStyle="Percent"/>
    <tableColumn id="6" name="Column6" headerRowDxfId="152" dataDxfId="151" dataCellStyle="Percent"/>
    <tableColumn id="7" name="Column7" headerRowDxfId="150" dataDxfId="149" dataCellStyle="Percent"/>
    <tableColumn id="8" name="Column8" headerRowDxfId="148" dataDxfId="147" dataCellStyle="Percent"/>
    <tableColumn id="9" name="Column9" headerRowDxfId="146" dataDxfId="145" dataCellStyle="Percent"/>
    <tableColumn id="10" name="Column10" headerRowDxfId="144" dataDxfId="143" dataCellStyle="Percent"/>
    <tableColumn id="11" name="Column11" headerRowDxfId="142" dataDxfId="141" dataCellStyle="Percent"/>
  </tableColumns>
  <tableStyleInfo name="TableStyleLight18" showFirstColumn="0" showLastColumn="0" showRowStripes="1" showColumnStripes="0"/>
</table>
</file>

<file path=xl/tables/table3.xml><?xml version="1.0" encoding="utf-8"?>
<table xmlns="http://schemas.openxmlformats.org/spreadsheetml/2006/main" id="5" name="Table5" displayName="Table5" ref="J4:S9" totalsRowShown="0" headerRowDxfId="140" tableBorderDxfId="139" headerRowCellStyle="60% - Accent4">
  <autoFilter ref="J4:S9"/>
  <tableColumns count="10">
    <tableColumn id="1" name="Apr-08"/>
    <tableColumn id="2" name="Apr-09"/>
    <tableColumn id="3" name="Apr-10"/>
    <tableColumn id="4" name="Apr-11"/>
    <tableColumn id="5" name="Apr-12"/>
    <tableColumn id="6" name="Apr-13"/>
    <tableColumn id="7" name="Apr-14"/>
    <tableColumn id="8" name="Apr-15"/>
    <tableColumn id="9" name="Apr-16"/>
    <tableColumn id="10" name="Apr-17"/>
  </tableColumns>
  <tableStyleInfo name="TableStyleLight2" showFirstColumn="0" showLastColumn="0" showRowStripes="1" showColumnStripes="0"/>
</table>
</file>

<file path=xl/tables/table4.xml><?xml version="1.0" encoding="utf-8"?>
<table xmlns="http://schemas.openxmlformats.org/spreadsheetml/2006/main" id="1" name="Annual" displayName="Annual" ref="A3:N19" headerRowCount="0" totalsRowShown="0" headerRowDxfId="138">
  <tableColumns count="14">
    <tableColumn id="1" name="Column1" headerRowDxfId="137" dataDxfId="136"/>
    <tableColumn id="2" name="Column2" headerRowDxfId="135"/>
    <tableColumn id="3" name="Column3" headerRowDxfId="134"/>
    <tableColumn id="4" name="Column4" headerRowDxfId="133"/>
    <tableColumn id="5" name="Column5" headerRowDxfId="132"/>
    <tableColumn id="6" name="Column6" headerRowDxfId="131"/>
    <tableColumn id="7" name="Column7" headerRowDxfId="130"/>
    <tableColumn id="8" name="Column8" headerRowDxfId="129"/>
    <tableColumn id="9" name="Column9" headerRowDxfId="128"/>
    <tableColumn id="10" name="Column10" headerRowDxfId="127"/>
    <tableColumn id="11" name="Column11" headerRowDxfId="126"/>
    <tableColumn id="12" name="Column12" headerRowDxfId="125"/>
    <tableColumn id="13" name="Column13" headerRowDxfId="124" dataDxfId="123"/>
    <tableColumn id="14" name="Column14" headerRowDxfId="122" dataDxfId="121"/>
  </tableColumns>
  <tableStyleInfo showFirstColumn="0" showLastColumn="0" showRowStripes="0" showColumnStripes="0"/>
</table>
</file>

<file path=xl/tables/table5.xml><?xml version="1.0" encoding="utf-8"?>
<table xmlns="http://schemas.openxmlformats.org/spreadsheetml/2006/main" id="2" name="Quarters" displayName="Quarters" ref="A3:K14" headerRowCount="0" totalsRowShown="0" headerRowDxfId="120">
  <tableColumns count="11">
    <tableColumn id="1" name="Column1" headerRowDxfId="119"/>
    <tableColumn id="2" name="Column2" headerRowDxfId="118"/>
    <tableColumn id="3" name="Column3" headerRowDxfId="117"/>
    <tableColumn id="4" name="Column4" headerRowDxfId="116"/>
    <tableColumn id="5" name="Column5" headerRowDxfId="115"/>
    <tableColumn id="6" name="Column6" headerRowDxfId="114"/>
    <tableColumn id="7" name="Column7" headerRowDxfId="113"/>
    <tableColumn id="8" name="Column8" headerRowDxfId="112"/>
    <tableColumn id="9" name="Column9" headerRowDxfId="111"/>
    <tableColumn id="10" name="Column10" headerRowDxfId="110"/>
    <tableColumn id="11" name="Column11" headerRowDxfId="10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theme/themeOverride1.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1.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2.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3.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4.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5.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6.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7.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8.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9.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0.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1.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2.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creener.i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8.bin"/><Relationship Id="rId1" Type="http://schemas.openxmlformats.org/officeDocument/2006/relationships/hyperlink" Target="http://www.screener.i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creener.in/" TargetMode="External"/></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creener.in/exce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www.screener.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6"/>
  <sheetViews>
    <sheetView workbookViewId="0">
      <selection activeCell="B8" sqref="B8"/>
    </sheetView>
  </sheetViews>
  <sheetFormatPr defaultRowHeight="15" x14ac:dyDescent="0.25"/>
  <cols>
    <col min="1" max="1" width="9.140625" style="8"/>
    <col min="2" max="2" width="10.5703125" style="11" customWidth="1"/>
    <col min="3" max="3" width="13.28515625" style="26" customWidth="1"/>
    <col min="4" max="5" width="9.140625" style="11"/>
    <col min="6" max="6" width="6.85546875" style="11" customWidth="1"/>
    <col min="7" max="16384" width="9.140625" style="11"/>
  </cols>
  <sheetData>
    <row r="1" spans="1:7" ht="21" x14ac:dyDescent="0.35">
      <c r="A1" s="25" t="s">
        <v>57</v>
      </c>
    </row>
    <row r="3" spans="1:7" x14ac:dyDescent="0.25">
      <c r="A3" s="8" t="s">
        <v>48</v>
      </c>
    </row>
    <row r="4" spans="1:7" x14ac:dyDescent="0.25">
      <c r="B4" s="11" t="s">
        <v>91</v>
      </c>
    </row>
    <row r="5" spans="1:7" x14ac:dyDescent="0.25">
      <c r="B5" s="11" t="s">
        <v>49</v>
      </c>
    </row>
    <row r="7" spans="1:7" x14ac:dyDescent="0.25">
      <c r="A7" s="8" t="s">
        <v>50</v>
      </c>
    </row>
    <row r="8" spans="1:7" x14ac:dyDescent="0.25">
      <c r="B8" s="11" t="s">
        <v>51</v>
      </c>
      <c r="C8" s="27" t="s">
        <v>92</v>
      </c>
    </row>
    <row r="10" spans="1:7" x14ac:dyDescent="0.25">
      <c r="A10" s="8" t="s">
        <v>52</v>
      </c>
    </row>
    <row r="11" spans="1:7" x14ac:dyDescent="0.25">
      <c r="B11" s="11" t="s">
        <v>53</v>
      </c>
    </row>
    <row r="14" spans="1:7" x14ac:dyDescent="0.25">
      <c r="A14" s="8" t="s">
        <v>54</v>
      </c>
    </row>
    <row r="15" spans="1:7" x14ac:dyDescent="0.25">
      <c r="B15" s="11" t="s">
        <v>55</v>
      </c>
    </row>
    <row r="16" spans="1:7" x14ac:dyDescent="0.25">
      <c r="B16" s="11" t="s">
        <v>56</v>
      </c>
      <c r="G16" s="28" t="s">
        <v>93</v>
      </c>
    </row>
  </sheetData>
  <hyperlinks>
    <hyperlink ref="C8" r:id="rId1" display=" http://www.screener.in/exce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5"/>
  <sheetViews>
    <sheetView workbookViewId="0">
      <pane xSplit="1" ySplit="3" topLeftCell="B4" activePane="bottomRight" state="frozen"/>
      <selection activeCell="C4" sqref="C4"/>
      <selection pane="topRight" activeCell="C4" sqref="C4"/>
      <selection pane="bottomLeft" activeCell="C4" sqref="C4"/>
      <selection pane="bottomRight" activeCell="B24" sqref="B24"/>
    </sheetView>
  </sheetViews>
  <sheetFormatPr defaultRowHeight="15" x14ac:dyDescent="0.25"/>
  <cols>
    <col min="1" max="1" width="22.85546875" style="11" bestFit="1" customWidth="1"/>
    <col min="2" max="2" width="13.5703125" style="11" customWidth="1"/>
    <col min="3" max="11" width="15.5703125" style="11" customWidth="1"/>
    <col min="12" max="16384" width="9.140625" style="11"/>
  </cols>
  <sheetData>
    <row r="1" spans="1:11" s="8" customFormat="1" x14ac:dyDescent="0.25">
      <c r="A1" s="8" t="str">
        <f>'Profit &amp; Loss'!A1</f>
        <v>NITIN SPINNERS LTD</v>
      </c>
      <c r="E1" t="str">
        <f>UPDATE</f>
        <v/>
      </c>
      <c r="G1"/>
      <c r="J1" s="4" t="s">
        <v>1</v>
      </c>
      <c r="K1" s="4"/>
    </row>
    <row r="2" spans="1:11" x14ac:dyDescent="0.25">
      <c r="G2" s="8"/>
      <c r="H2" s="8"/>
    </row>
    <row r="3" spans="1:11" s="18" customFormat="1" x14ac:dyDescent="0.25">
      <c r="A3" s="15" t="s">
        <v>2</v>
      </c>
      <c r="B3" s="16">
        <f>'Data Sheet'!B56</f>
        <v>39538</v>
      </c>
      <c r="C3" s="16">
        <f>'Data Sheet'!C56</f>
        <v>39903</v>
      </c>
      <c r="D3" s="16">
        <f>'Data Sheet'!D56</f>
        <v>40268</v>
      </c>
      <c r="E3" s="16">
        <f>'Data Sheet'!E56</f>
        <v>40633</v>
      </c>
      <c r="F3" s="16">
        <f>'Data Sheet'!F56</f>
        <v>40999</v>
      </c>
      <c r="G3" s="16">
        <f>'Data Sheet'!G56</f>
        <v>41364</v>
      </c>
      <c r="H3" s="16">
        <f>'Data Sheet'!H56</f>
        <v>41729</v>
      </c>
      <c r="I3" s="16">
        <f>'Data Sheet'!I56</f>
        <v>42094</v>
      </c>
      <c r="J3" s="16">
        <f>'Data Sheet'!J56</f>
        <v>42460</v>
      </c>
      <c r="K3" s="16">
        <f>'Data Sheet'!K56</f>
        <v>42825</v>
      </c>
    </row>
    <row r="4" spans="1:11" x14ac:dyDescent="0.25">
      <c r="A4" s="6" t="s">
        <v>24</v>
      </c>
      <c r="B4" s="19">
        <f>'Data Sheet'!B57</f>
        <v>40.83</v>
      </c>
      <c r="C4" s="19">
        <f>'Data Sheet'!C57</f>
        <v>40.83</v>
      </c>
      <c r="D4" s="19">
        <f>'Data Sheet'!D57</f>
        <v>45.83</v>
      </c>
      <c r="E4" s="19">
        <f>'Data Sheet'!E57</f>
        <v>45.83</v>
      </c>
      <c r="F4" s="19">
        <f>'Data Sheet'!F57</f>
        <v>45.83</v>
      </c>
      <c r="G4" s="19">
        <f>'Data Sheet'!G57</f>
        <v>45.83</v>
      </c>
      <c r="H4" s="19">
        <f>'Data Sheet'!H57</f>
        <v>45.83</v>
      </c>
      <c r="I4" s="19">
        <f>'Data Sheet'!I57</f>
        <v>45.83</v>
      </c>
      <c r="J4" s="19">
        <f>'Data Sheet'!J57</f>
        <v>45.83</v>
      </c>
      <c r="K4" s="19">
        <f>'Data Sheet'!K57</f>
        <v>45.83</v>
      </c>
    </row>
    <row r="5" spans="1:11" s="6" customFormat="1" x14ac:dyDescent="0.25">
      <c r="A5" s="6" t="s">
        <v>25</v>
      </c>
      <c r="B5" s="19">
        <f>'Data Sheet'!B58</f>
        <v>47.23</v>
      </c>
      <c r="C5" s="19">
        <f>'Data Sheet'!C58</f>
        <v>33.11</v>
      </c>
      <c r="D5" s="19">
        <f>'Data Sheet'!D58</f>
        <v>33.78</v>
      </c>
      <c r="E5" s="19">
        <f>'Data Sheet'!E58</f>
        <v>40.520000000000003</v>
      </c>
      <c r="F5" s="19">
        <f>'Data Sheet'!F58</f>
        <v>40.83</v>
      </c>
      <c r="G5" s="19">
        <f>'Data Sheet'!G58</f>
        <v>54.96</v>
      </c>
      <c r="H5" s="19">
        <f>'Data Sheet'!H58</f>
        <v>85.72</v>
      </c>
      <c r="I5" s="19">
        <f>'Data Sheet'!I58</f>
        <v>121.16</v>
      </c>
      <c r="J5" s="19">
        <f>'Data Sheet'!J58</f>
        <v>159.81</v>
      </c>
      <c r="K5" s="19">
        <f>'Data Sheet'!K58</f>
        <v>210.34</v>
      </c>
    </row>
    <row r="6" spans="1:11" x14ac:dyDescent="0.25">
      <c r="A6" s="11" t="s">
        <v>72</v>
      </c>
      <c r="B6" s="19">
        <f>'Data Sheet'!B59</f>
        <v>267.33999999999997</v>
      </c>
      <c r="C6" s="19">
        <f>'Data Sheet'!C59</f>
        <v>299.41000000000003</v>
      </c>
      <c r="D6" s="19">
        <f>'Data Sheet'!D59</f>
        <v>308.51</v>
      </c>
      <c r="E6" s="19">
        <f>'Data Sheet'!E59</f>
        <v>284.02999999999997</v>
      </c>
      <c r="F6" s="19">
        <f>'Data Sheet'!F59</f>
        <v>248.92</v>
      </c>
      <c r="G6" s="19">
        <f>'Data Sheet'!G59</f>
        <v>206.64</v>
      </c>
      <c r="H6" s="19">
        <f>'Data Sheet'!H59</f>
        <v>176.07</v>
      </c>
      <c r="I6" s="19">
        <f>'Data Sheet'!I59</f>
        <v>378.27</v>
      </c>
      <c r="J6" s="19">
        <f>'Data Sheet'!J59</f>
        <v>352.07</v>
      </c>
      <c r="K6" s="19">
        <f>'Data Sheet'!K59</f>
        <v>563.49</v>
      </c>
    </row>
    <row r="7" spans="1:11" s="6" customFormat="1" x14ac:dyDescent="0.25">
      <c r="A7" s="11" t="s">
        <v>73</v>
      </c>
      <c r="B7" s="19">
        <f>'Data Sheet'!B60</f>
        <v>16.03</v>
      </c>
      <c r="C7" s="19">
        <f>'Data Sheet'!C60</f>
        <v>55.52</v>
      </c>
      <c r="D7" s="19">
        <f>'Data Sheet'!D60</f>
        <v>42.65</v>
      </c>
      <c r="E7" s="19">
        <f>'Data Sheet'!E60</f>
        <v>38.4</v>
      </c>
      <c r="F7" s="19">
        <f>'Data Sheet'!F60</f>
        <v>11.72</v>
      </c>
      <c r="G7" s="19">
        <f>'Data Sheet'!G60</f>
        <v>56.38</v>
      </c>
      <c r="H7" s="19">
        <f>'Data Sheet'!H60</f>
        <v>47.71</v>
      </c>
      <c r="I7" s="19">
        <f>'Data Sheet'!I60</f>
        <v>66.75</v>
      </c>
      <c r="J7" s="19">
        <f>'Data Sheet'!J60</f>
        <v>79.39</v>
      </c>
      <c r="K7" s="19">
        <f>'Data Sheet'!K60</f>
        <v>106.68</v>
      </c>
    </row>
    <row r="8" spans="1:11" s="8" customFormat="1" x14ac:dyDescent="0.25">
      <c r="A8" s="8" t="s">
        <v>26</v>
      </c>
      <c r="B8" s="20">
        <f>'Data Sheet'!B61</f>
        <v>371.43</v>
      </c>
      <c r="C8" s="20">
        <f>'Data Sheet'!C61</f>
        <v>428.87</v>
      </c>
      <c r="D8" s="20">
        <f>'Data Sheet'!D61</f>
        <v>430.77</v>
      </c>
      <c r="E8" s="20">
        <f>'Data Sheet'!E61</f>
        <v>408.78</v>
      </c>
      <c r="F8" s="20">
        <f>'Data Sheet'!F61</f>
        <v>347.3</v>
      </c>
      <c r="G8" s="20">
        <f>'Data Sheet'!G61</f>
        <v>363.81</v>
      </c>
      <c r="H8" s="20">
        <f>'Data Sheet'!H61</f>
        <v>355.33</v>
      </c>
      <c r="I8" s="20">
        <f>'Data Sheet'!I61</f>
        <v>612.01</v>
      </c>
      <c r="J8" s="20">
        <f>'Data Sheet'!J61</f>
        <v>637.1</v>
      </c>
      <c r="K8" s="20">
        <f>'Data Sheet'!K61</f>
        <v>926.34</v>
      </c>
    </row>
    <row r="9" spans="1:11" s="8" customFormat="1" x14ac:dyDescent="0.25">
      <c r="B9" s="20"/>
      <c r="C9" s="20"/>
      <c r="D9" s="20"/>
      <c r="E9" s="20"/>
      <c r="F9" s="20"/>
      <c r="G9" s="20"/>
      <c r="H9" s="20"/>
      <c r="I9" s="20"/>
      <c r="J9" s="20"/>
      <c r="K9" s="20"/>
    </row>
    <row r="10" spans="1:11" x14ac:dyDescent="0.25">
      <c r="A10" s="6" t="s">
        <v>27</v>
      </c>
      <c r="B10" s="19">
        <f>'Data Sheet'!B62</f>
        <v>239.51</v>
      </c>
      <c r="C10" s="19">
        <f>'Data Sheet'!C62</f>
        <v>313.16000000000003</v>
      </c>
      <c r="D10" s="19">
        <f>'Data Sheet'!D62</f>
        <v>295.08</v>
      </c>
      <c r="E10" s="19">
        <f>'Data Sheet'!E62</f>
        <v>249.28</v>
      </c>
      <c r="F10" s="19">
        <f>'Data Sheet'!F62</f>
        <v>228.09</v>
      </c>
      <c r="G10" s="19">
        <f>'Data Sheet'!G62</f>
        <v>212.99</v>
      </c>
      <c r="H10" s="19">
        <f>'Data Sheet'!H62</f>
        <v>191.21</v>
      </c>
      <c r="I10" s="19">
        <f>'Data Sheet'!I62</f>
        <v>416.74</v>
      </c>
      <c r="J10" s="19">
        <f>'Data Sheet'!J62</f>
        <v>382.07</v>
      </c>
      <c r="K10" s="19">
        <f>'Data Sheet'!K62</f>
        <v>614.29</v>
      </c>
    </row>
    <row r="11" spans="1:11" x14ac:dyDescent="0.25">
      <c r="A11" s="6" t="s">
        <v>28</v>
      </c>
      <c r="B11" s="19">
        <f>'Data Sheet'!B63</f>
        <v>47.89</v>
      </c>
      <c r="C11" s="19">
        <f>'Data Sheet'!C63</f>
        <v>0.08</v>
      </c>
      <c r="D11" s="19">
        <f>'Data Sheet'!D63</f>
        <v>0</v>
      </c>
      <c r="E11" s="19">
        <f>'Data Sheet'!E63</f>
        <v>0</v>
      </c>
      <c r="F11" s="19">
        <f>'Data Sheet'!F63</f>
        <v>3.38</v>
      </c>
      <c r="G11" s="19">
        <f>'Data Sheet'!G63</f>
        <v>0</v>
      </c>
      <c r="H11" s="19">
        <f>'Data Sheet'!H63</f>
        <v>21.18</v>
      </c>
      <c r="I11" s="19">
        <f>'Data Sheet'!I63</f>
        <v>0</v>
      </c>
      <c r="J11" s="19">
        <f>'Data Sheet'!J63</f>
        <v>17.059999999999999</v>
      </c>
      <c r="K11" s="19">
        <f>'Data Sheet'!K63</f>
        <v>0</v>
      </c>
    </row>
    <row r="12" spans="1:11" x14ac:dyDescent="0.25">
      <c r="A12" s="6" t="s">
        <v>29</v>
      </c>
      <c r="B12" s="19">
        <f>'Data Sheet'!B64</f>
        <v>0</v>
      </c>
      <c r="C12" s="19">
        <f>'Data Sheet'!C64</f>
        <v>0</v>
      </c>
      <c r="D12" s="19">
        <f>'Data Sheet'!D64</f>
        <v>0</v>
      </c>
      <c r="E12" s="19">
        <f>'Data Sheet'!E64</f>
        <v>0</v>
      </c>
      <c r="F12" s="19">
        <f>'Data Sheet'!F64</f>
        <v>0</v>
      </c>
      <c r="G12" s="19">
        <f>'Data Sheet'!G64</f>
        <v>0</v>
      </c>
      <c r="H12" s="19">
        <f>'Data Sheet'!H64</f>
        <v>0</v>
      </c>
      <c r="I12" s="19">
        <f>'Data Sheet'!I64</f>
        <v>0</v>
      </c>
      <c r="J12" s="19">
        <f>'Data Sheet'!J64</f>
        <v>0</v>
      </c>
      <c r="K12" s="19">
        <f>'Data Sheet'!K64</f>
        <v>0</v>
      </c>
    </row>
    <row r="13" spans="1:11" x14ac:dyDescent="0.25">
      <c r="A13" s="11" t="s">
        <v>74</v>
      </c>
      <c r="B13" s="19">
        <f>'Data Sheet'!B65</f>
        <v>84.03</v>
      </c>
      <c r="C13" s="19">
        <f>'Data Sheet'!C65</f>
        <v>115.63</v>
      </c>
      <c r="D13" s="19">
        <f>'Data Sheet'!D65</f>
        <v>135.69</v>
      </c>
      <c r="E13" s="19">
        <f>'Data Sheet'!E65</f>
        <v>159.5</v>
      </c>
      <c r="F13" s="19">
        <f>'Data Sheet'!F65</f>
        <v>115.83</v>
      </c>
      <c r="G13" s="19">
        <f>'Data Sheet'!G65</f>
        <v>150.82</v>
      </c>
      <c r="H13" s="19">
        <f>'Data Sheet'!H65</f>
        <v>142.94</v>
      </c>
      <c r="I13" s="19">
        <f>'Data Sheet'!I65</f>
        <v>195.27</v>
      </c>
      <c r="J13" s="19">
        <f>'Data Sheet'!J65</f>
        <v>237.97</v>
      </c>
      <c r="K13" s="19">
        <f>'Data Sheet'!K65</f>
        <v>312.05</v>
      </c>
    </row>
    <row r="14" spans="1:11" s="8" customFormat="1" x14ac:dyDescent="0.25">
      <c r="A14" s="8" t="s">
        <v>26</v>
      </c>
      <c r="B14" s="19">
        <f>'Data Sheet'!B66</f>
        <v>371.43</v>
      </c>
      <c r="C14" s="19">
        <f>'Data Sheet'!C66</f>
        <v>428.87</v>
      </c>
      <c r="D14" s="19">
        <f>'Data Sheet'!D66</f>
        <v>430.77</v>
      </c>
      <c r="E14" s="19">
        <f>'Data Sheet'!E66</f>
        <v>408.78</v>
      </c>
      <c r="F14" s="19">
        <f>'Data Sheet'!F66</f>
        <v>347.3</v>
      </c>
      <c r="G14" s="19">
        <f>'Data Sheet'!G66</f>
        <v>363.81</v>
      </c>
      <c r="H14" s="19">
        <f>'Data Sheet'!H66</f>
        <v>355.33</v>
      </c>
      <c r="I14" s="19">
        <f>'Data Sheet'!I66</f>
        <v>612.01</v>
      </c>
      <c r="J14" s="19">
        <f>'Data Sheet'!J66</f>
        <v>637.1</v>
      </c>
      <c r="K14" s="19">
        <f>'Data Sheet'!K66</f>
        <v>926.34</v>
      </c>
    </row>
    <row r="15" spans="1:11" x14ac:dyDescent="0.25">
      <c r="A15" s="6"/>
      <c r="B15" s="21"/>
      <c r="C15" s="21"/>
      <c r="D15" s="21"/>
      <c r="E15" s="21"/>
      <c r="F15" s="21"/>
      <c r="G15" s="21"/>
      <c r="H15" s="21"/>
      <c r="I15" s="21"/>
      <c r="J15" s="21"/>
      <c r="K15" s="21"/>
    </row>
    <row r="16" spans="1:11" x14ac:dyDescent="0.25">
      <c r="A16" s="29" t="s">
        <v>30</v>
      </c>
      <c r="B16" s="21">
        <f>B13-B7</f>
        <v>68</v>
      </c>
      <c r="C16" s="21">
        <f t="shared" ref="C16:K16" si="0">C13-C7</f>
        <v>60.109999999999992</v>
      </c>
      <c r="D16" s="21">
        <f t="shared" si="0"/>
        <v>93.039999999999992</v>
      </c>
      <c r="E16" s="21">
        <f t="shared" si="0"/>
        <v>121.1</v>
      </c>
      <c r="F16" s="21">
        <f t="shared" si="0"/>
        <v>104.11</v>
      </c>
      <c r="G16" s="21">
        <f t="shared" si="0"/>
        <v>94.44</v>
      </c>
      <c r="H16" s="21">
        <f t="shared" si="0"/>
        <v>95.22999999999999</v>
      </c>
      <c r="I16" s="21">
        <f t="shared" si="0"/>
        <v>128.52000000000001</v>
      </c>
      <c r="J16" s="21">
        <f t="shared" si="0"/>
        <v>158.57999999999998</v>
      </c>
      <c r="K16" s="21">
        <f t="shared" si="0"/>
        <v>205.37</v>
      </c>
    </row>
    <row r="17" spans="1:11" x14ac:dyDescent="0.25">
      <c r="A17" s="11" t="s">
        <v>44</v>
      </c>
      <c r="B17" s="21">
        <f>'Data Sheet'!B67</f>
        <v>11.79</v>
      </c>
      <c r="C17" s="21">
        <f>'Data Sheet'!C67</f>
        <v>15.24</v>
      </c>
      <c r="D17" s="21">
        <f>'Data Sheet'!D67</f>
        <v>9.4</v>
      </c>
      <c r="E17" s="21">
        <f>'Data Sheet'!E67</f>
        <v>35.340000000000003</v>
      </c>
      <c r="F17" s="21">
        <f>'Data Sheet'!F67</f>
        <v>18.5</v>
      </c>
      <c r="G17" s="21">
        <f>'Data Sheet'!G67</f>
        <v>28.04</v>
      </c>
      <c r="H17" s="21">
        <f>'Data Sheet'!H67</f>
        <v>24.89</v>
      </c>
      <c r="I17" s="21">
        <f>'Data Sheet'!I67</f>
        <v>40.42</v>
      </c>
      <c r="J17" s="21">
        <f>'Data Sheet'!J67</f>
        <v>39.25</v>
      </c>
      <c r="K17" s="21">
        <f>'Data Sheet'!K67</f>
        <v>48.33</v>
      </c>
    </row>
    <row r="18" spans="1:11" x14ac:dyDescent="0.25">
      <c r="A18" s="11" t="s">
        <v>45</v>
      </c>
      <c r="B18" s="21">
        <f>'Data Sheet'!B68</f>
        <v>48.75</v>
      </c>
      <c r="C18" s="21">
        <f>'Data Sheet'!C68</f>
        <v>40.98</v>
      </c>
      <c r="D18" s="21">
        <f>'Data Sheet'!D68</f>
        <v>76.03</v>
      </c>
      <c r="E18" s="21">
        <f>'Data Sheet'!E68</f>
        <v>81.84</v>
      </c>
      <c r="F18" s="21">
        <f>'Data Sheet'!F68</f>
        <v>77.13</v>
      </c>
      <c r="G18" s="21">
        <f>'Data Sheet'!G68</f>
        <v>81.900000000000006</v>
      </c>
      <c r="H18" s="21">
        <f>'Data Sheet'!H68</f>
        <v>70.7</v>
      </c>
      <c r="I18" s="21">
        <f>'Data Sheet'!I68</f>
        <v>94.19</v>
      </c>
      <c r="J18" s="21">
        <f>'Data Sheet'!J68</f>
        <v>114.76</v>
      </c>
      <c r="K18" s="21">
        <f>'Data Sheet'!K68</f>
        <v>170.04</v>
      </c>
    </row>
    <row r="20" spans="1:11" x14ac:dyDescent="0.25">
      <c r="A20" s="11" t="s">
        <v>46</v>
      </c>
      <c r="B20" s="5">
        <f>IF('Profit &amp; Loss'!B4&gt;0,'Balance Sheet'!B17/('Profit &amp; Loss'!B4/365),0)</f>
        <v>21.11969964664311</v>
      </c>
      <c r="C20" s="5">
        <f>IF('Profit &amp; Loss'!C4&gt;0,'Balance Sheet'!C17/('Profit &amp; Loss'!C4/365),0)</f>
        <v>21.209440652762424</v>
      </c>
      <c r="D20" s="5">
        <f>IF('Profit &amp; Loss'!D4&gt;0,'Balance Sheet'!D17/('Profit &amp; Loss'!D4/365),0)</f>
        <v>11.362808411988741</v>
      </c>
      <c r="E20" s="5">
        <f>IF('Profit &amp; Loss'!E4&gt;0,'Balance Sheet'!E17/('Profit &amp; Loss'!E4/365),0)</f>
        <v>31.390781660663876</v>
      </c>
      <c r="F20" s="5">
        <f>IF('Profit &amp; Loss'!F4&gt;0,'Balance Sheet'!F17/('Profit &amp; Loss'!F4/365),0)</f>
        <v>15.765818351622693</v>
      </c>
      <c r="G20" s="5">
        <f>IF('Profit &amp; Loss'!G4&gt;0,'Balance Sheet'!G17/('Profit &amp; Loss'!G4/365),0)</f>
        <v>22.944961327205469</v>
      </c>
      <c r="H20" s="5">
        <f>IF('Profit &amp; Loss'!H4&gt;0,'Balance Sheet'!H17/('Profit &amp; Loss'!H4/365),0)</f>
        <v>18.603534422738257</v>
      </c>
      <c r="I20" s="5">
        <f>IF('Profit &amp; Loss'!I4&gt;0,'Balance Sheet'!I17/('Profit &amp; Loss'!I4/365),0)</f>
        <v>23.931902606777296</v>
      </c>
      <c r="J20" s="5">
        <f>IF('Profit &amp; Loss'!J4&gt;0,'Balance Sheet'!J17/('Profit &amp; Loss'!J4/365),0)</f>
        <v>18.681458395816762</v>
      </c>
      <c r="K20" s="5">
        <f>IF('Profit &amp; Loss'!K4&gt;0,'Balance Sheet'!K17/('Profit &amp; Loss'!K4/365),0)</f>
        <v>18.899537165998844</v>
      </c>
    </row>
    <row r="21" spans="1:11" x14ac:dyDescent="0.25">
      <c r="A21" s="11" t="s">
        <v>47</v>
      </c>
      <c r="B21" s="5">
        <f>IF('Balance Sheet'!B18&gt;0,'Profit &amp; Loss'!B4/'Balance Sheet'!B18,0)</f>
        <v>4.1796923076923074</v>
      </c>
      <c r="C21" s="5">
        <f>IF('Balance Sheet'!C18&gt;0,'Profit &amp; Loss'!C4/'Balance Sheet'!C18,0)</f>
        <v>6.3999511957052224</v>
      </c>
      <c r="D21" s="5">
        <f>IF('Balance Sheet'!D18&gt;0,'Profit &amp; Loss'!D4/'Balance Sheet'!D18,0)</f>
        <v>3.9714586347494407</v>
      </c>
      <c r="E21" s="5">
        <f>IF('Balance Sheet'!E18&gt;0,'Profit &amp; Loss'!E4/'Balance Sheet'!E18,0)</f>
        <v>5.0210166177908118</v>
      </c>
      <c r="F21" s="5">
        <f>IF('Balance Sheet'!F18&gt;0,'Profit &amp; Loss'!F4/'Balance Sheet'!F18,0)</f>
        <v>5.5529625307921693</v>
      </c>
      <c r="G21" s="5">
        <f>IF('Balance Sheet'!G18&gt;0,'Profit &amp; Loss'!G4/'Balance Sheet'!G18,0)</f>
        <v>5.4462759462759465</v>
      </c>
      <c r="H21" s="5">
        <f>IF('Balance Sheet'!H18&gt;0,'Profit &amp; Loss'!H4/'Balance Sheet'!H18,0)</f>
        <v>6.9072135785007065</v>
      </c>
      <c r="I21" s="5">
        <f>IF('Balance Sheet'!I18&gt;0,'Profit &amp; Loss'!I4/'Balance Sheet'!I18,0)</f>
        <v>6.5449623102240153</v>
      </c>
      <c r="J21" s="5">
        <f>IF('Balance Sheet'!J18&gt;0,'Profit &amp; Loss'!J4/'Balance Sheet'!J18,0)</f>
        <v>6.682380620425235</v>
      </c>
      <c r="K21" s="5">
        <f>IF('Balance Sheet'!K18&gt;0,'Profit &amp; Loss'!K4/'Balance Sheet'!K18,0)</f>
        <v>5.4891790167019527</v>
      </c>
    </row>
    <row r="23" spans="1:11" s="8" customFormat="1" x14ac:dyDescent="0.25">
      <c r="A23" s="8" t="s">
        <v>60</v>
      </c>
      <c r="B23" s="14">
        <f>IF(SUM('Balance Sheet'!B4:B5)&gt;0,'Profit &amp; Loss'!B12/SUM('Balance Sheet'!B4:B5),"")</f>
        <v>-4.8716784010901654E-2</v>
      </c>
      <c r="C23" s="14">
        <f>IF(SUM('Balance Sheet'!C4:C5)&gt;0,'Profit &amp; Loss'!C12/SUM('Balance Sheet'!C4:C5),"")</f>
        <v>-0.19083040302948337</v>
      </c>
      <c r="D23" s="14">
        <f>IF(SUM('Balance Sheet'!D4:D5)&gt;0,'Profit &amp; Loss'!D12/SUM('Balance Sheet'!D4:D5),"")</f>
        <v>8.5416404974249481E-3</v>
      </c>
      <c r="E23" s="14">
        <f>IF(SUM('Balance Sheet'!E4:E5)&gt;0,'Profit &amp; Loss'!E12/SUM('Balance Sheet'!E4:E5),"")</f>
        <v>7.8054429646786341E-2</v>
      </c>
      <c r="F23" s="14">
        <f>IF(SUM('Balance Sheet'!F4:F5)&gt;0,'Profit &amp; Loss'!F12/SUM('Balance Sheet'!F4:F5),"")</f>
        <v>3.4618047542118624E-3</v>
      </c>
      <c r="G23" s="14">
        <f>IF(SUM('Balance Sheet'!G4:G5)&gt;0,'Profit &amp; Loss'!G12/SUM('Balance Sheet'!G4:G5),"")</f>
        <v>0.14029169560472271</v>
      </c>
      <c r="H23" s="14">
        <f>IF(SUM('Balance Sheet'!H4:H5)&gt;0,'Profit &amp; Loss'!H12/SUM('Balance Sheet'!H4:H5),"")</f>
        <v>0.26438616495629036</v>
      </c>
      <c r="I23" s="14">
        <f>IF(SUM('Balance Sheet'!I4:I5)&gt;0,'Profit &amp; Loss'!I12/SUM('Balance Sheet'!I4:I5),"")</f>
        <v>0.24528414875142224</v>
      </c>
      <c r="J23" s="14">
        <f>IF(SUM('Balance Sheet'!J4:J5)&gt;0,'Profit &amp; Loss'!J12/SUM('Balance Sheet'!J4:J5),"")</f>
        <v>0.2147442131880957</v>
      </c>
      <c r="K23" s="14">
        <f>IF(SUM('Balance Sheet'!K4:K5)&gt;0,'Profit &amp; Loss'!K12/SUM('Balance Sheet'!K4:K5),"")</f>
        <v>0.22309403911465039</v>
      </c>
    </row>
    <row r="24" spans="1:11" s="8" customFormat="1" x14ac:dyDescent="0.25">
      <c r="A24" s="8" t="s">
        <v>61</v>
      </c>
      <c r="B24" s="14">
        <f>IF(('Balance Sheet'!B10+'Balance Sheet'!B16)&gt;0,('Profit &amp; Loss'!B6-'Profit &amp; Loss'!B8-'Profit &amp; Loss'!B11)/('Balance Sheet'!B10+'Balance Sheet'!B16),"")</f>
        <v>3.2942018145751387E-2</v>
      </c>
      <c r="C24" s="14">
        <f>IF(('Balance Sheet'!C10+'Balance Sheet'!C16)&gt;0,('Profit &amp; Loss'!C6-'Profit &amp; Loss'!C8-'Profit &amp; Loss'!C11)/('Balance Sheet'!C10+'Balance Sheet'!C16),"")</f>
        <v>2.3602218233450215E-2</v>
      </c>
      <c r="D24" s="14">
        <f>IF(('Balance Sheet'!D10+'Balance Sheet'!D16)&gt;0,('Profit &amp; Loss'!D6-'Profit &amp; Loss'!D8-'Profit &amp; Loss'!D11)/('Balance Sheet'!D10+'Balance Sheet'!D16),"")</f>
        <v>3.9343502009687607E-2</v>
      </c>
      <c r="E24" s="14">
        <f>IF(('Balance Sheet'!E10+'Balance Sheet'!E16)&gt;0,('Profit &amp; Loss'!E6-'Profit &amp; Loss'!E8-'Profit &amp; Loss'!E11)/('Balance Sheet'!E10+'Balance Sheet'!E16),"")</f>
        <v>7.4356066742264887E-2</v>
      </c>
      <c r="F24" s="14">
        <f>IF(('Balance Sheet'!F10+'Balance Sheet'!F16)&gt;0,('Profit &amp; Loss'!F6-'Profit &amp; Loss'!F8-'Profit &amp; Loss'!F11)/('Balance Sheet'!F10+'Balance Sheet'!F16),"")</f>
        <v>6.3425647200481675E-2</v>
      </c>
      <c r="G24" s="14">
        <f>IF(('Balance Sheet'!G10+'Balance Sheet'!G16)&gt;0,('Profit &amp; Loss'!G6-'Profit &amp; Loss'!G8-'Profit &amp; Loss'!G11)/('Balance Sheet'!G10+'Balance Sheet'!G16),"")</f>
        <v>0.13385160849624306</v>
      </c>
      <c r="H24" s="14">
        <f>IF(('Balance Sheet'!H10+'Balance Sheet'!H16)&gt;0,('Profit &amp; Loss'!H6-'Profit &amp; Loss'!H8-'Profit &amp; Loss'!H11)/('Balance Sheet'!H10+'Balance Sheet'!H16),"")</f>
        <v>0.18118977796397168</v>
      </c>
      <c r="I24" s="14">
        <f>IF(('Balance Sheet'!I10+'Balance Sheet'!I16)&gt;0,('Profit &amp; Loss'!I6-'Profit &amp; Loss'!I8-'Profit &amp; Loss'!I11)/('Balance Sheet'!I10+'Balance Sheet'!I16),"")</f>
        <v>0.10721490665003862</v>
      </c>
      <c r="J24" s="14">
        <f>IF(('Balance Sheet'!J10+'Balance Sheet'!J16)&gt;0,('Profit &amp; Loss'!J6-'Profit &amp; Loss'!J8-'Profit &amp; Loss'!J11)/('Balance Sheet'!J10+'Balance Sheet'!J16),"")</f>
        <v>0.14136687320817551</v>
      </c>
      <c r="K24" s="14">
        <f>IF(('Balance Sheet'!K10+'Balance Sheet'!K16)&gt;0,('Profit &amp; Loss'!K6-'Profit &amp; Loss'!K8-'Profit &amp; Loss'!K11)/('Balance Sheet'!K10+'Balance Sheet'!K16),"")</f>
        <v>9.5893419222604498E-2</v>
      </c>
    </row>
    <row r="25" spans="1:11" s="18"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workbookViewId="0">
      <selection activeCell="B110" sqref="B110"/>
    </sheetView>
  </sheetViews>
  <sheetFormatPr defaultRowHeight="12" x14ac:dyDescent="0.2"/>
  <cols>
    <col min="1" max="1" width="45.28515625" style="246" bestFit="1" customWidth="1"/>
    <col min="2" max="2" width="6.85546875" style="246" bestFit="1" customWidth="1"/>
    <col min="3" max="4" width="6.7109375" style="246" bestFit="1" customWidth="1"/>
    <col min="5" max="5" width="6.28515625" style="246" bestFit="1" customWidth="1"/>
    <col min="6" max="6" width="6.7109375" style="246" bestFit="1" customWidth="1"/>
    <col min="7" max="9" width="6.28515625" style="246" bestFit="1" customWidth="1"/>
    <col min="10" max="10" width="6.42578125" style="246" bestFit="1" customWidth="1"/>
    <col min="11" max="11" width="6.28515625" style="246" bestFit="1" customWidth="1"/>
    <col min="12" max="12" width="6.28515625" style="246" customWidth="1"/>
    <col min="13" max="14" width="16.42578125" style="246" bestFit="1" customWidth="1"/>
    <col min="15" max="15" width="17.42578125" style="246" bestFit="1" customWidth="1"/>
    <col min="16" max="17" width="10.28515625" style="246" bestFit="1" customWidth="1"/>
    <col min="18" max="18" width="11" style="246" bestFit="1" customWidth="1"/>
    <col min="19" max="16384" width="9.140625" style="246"/>
  </cols>
  <sheetData>
    <row r="1" spans="1:18" x14ac:dyDescent="0.2">
      <c r="B1" s="257">
        <f>'Data Sheet'!B16</f>
        <v>39538</v>
      </c>
      <c r="C1" s="257">
        <f>'Data Sheet'!C16</f>
        <v>39903</v>
      </c>
      <c r="D1" s="257">
        <f>'Data Sheet'!D16</f>
        <v>40268</v>
      </c>
      <c r="E1" s="257">
        <f>'Data Sheet'!E16</f>
        <v>40633</v>
      </c>
      <c r="F1" s="257">
        <f>'Data Sheet'!F16</f>
        <v>40999</v>
      </c>
      <c r="G1" s="257">
        <f>'Data Sheet'!G16</f>
        <v>41364</v>
      </c>
      <c r="H1" s="257">
        <f>'Data Sheet'!H16</f>
        <v>41729</v>
      </c>
      <c r="I1" s="257">
        <f>'Data Sheet'!I16</f>
        <v>42094</v>
      </c>
      <c r="J1" s="257">
        <f>'Data Sheet'!J16</f>
        <v>42460</v>
      </c>
      <c r="K1" s="257">
        <f>'Data Sheet'!K16</f>
        <v>42825</v>
      </c>
      <c r="L1" s="257">
        <v>42842</v>
      </c>
      <c r="M1" s="246" t="s">
        <v>556</v>
      </c>
      <c r="N1" s="246" t="s">
        <v>557</v>
      </c>
      <c r="O1" s="246" t="s">
        <v>558</v>
      </c>
      <c r="P1" s="246" t="s">
        <v>559</v>
      </c>
      <c r="Q1" s="246" t="s">
        <v>560</v>
      </c>
      <c r="R1" s="246" t="s">
        <v>561</v>
      </c>
    </row>
    <row r="2" spans="1:18" ht="15" x14ac:dyDescent="0.25">
      <c r="A2" s="1" t="s">
        <v>78</v>
      </c>
      <c r="B2" s="258">
        <f>'Data Sheet'!B90</f>
        <v>11.74</v>
      </c>
      <c r="C2" s="258">
        <f>'Data Sheet'!C90</f>
        <v>4.84</v>
      </c>
      <c r="D2" s="258">
        <f>'Data Sheet'!D90</f>
        <v>8.6999999999999993</v>
      </c>
      <c r="E2" s="258">
        <f>'Data Sheet'!E90</f>
        <v>12.42</v>
      </c>
      <c r="F2" s="258">
        <f>'Data Sheet'!F90</f>
        <v>6.18</v>
      </c>
      <c r="G2" s="258">
        <f>'Data Sheet'!G90</f>
        <v>9.98</v>
      </c>
      <c r="H2" s="258">
        <f>'Data Sheet'!H90</f>
        <v>16.059999999999999</v>
      </c>
      <c r="I2" s="258">
        <f>'Data Sheet'!I90</f>
        <v>38.79</v>
      </c>
      <c r="J2" s="258">
        <f>'Data Sheet'!J90</f>
        <v>65.56</v>
      </c>
      <c r="K2" s="258">
        <f>'Data Sheet'!K90</f>
        <v>130.18</v>
      </c>
      <c r="L2" s="257"/>
    </row>
    <row r="3" spans="1:18" ht="15" x14ac:dyDescent="0.25">
      <c r="A3" s="5" t="s">
        <v>90</v>
      </c>
      <c r="B3" s="258">
        <f>'Data Sheet'!B93</f>
        <v>4.0833944999999998</v>
      </c>
      <c r="C3" s="258">
        <f>'Data Sheet'!C93</f>
        <v>4.0833944999999998</v>
      </c>
      <c r="D3" s="258">
        <f>'Data Sheet'!D93</f>
        <v>4.5833944999999998</v>
      </c>
      <c r="E3" s="258">
        <f>'Data Sheet'!E93</f>
        <v>4.5833944999999998</v>
      </c>
      <c r="F3" s="258">
        <f>'Data Sheet'!F93</f>
        <v>4.5833944999999998</v>
      </c>
      <c r="G3" s="258">
        <f>'Data Sheet'!G93</f>
        <v>4.5833944999999998</v>
      </c>
      <c r="H3" s="258">
        <f>'Data Sheet'!H93</f>
        <v>4.5833944999999998</v>
      </c>
      <c r="I3" s="258">
        <f>'Data Sheet'!I93</f>
        <v>4.5833944999999998</v>
      </c>
      <c r="J3" s="258">
        <f>'Data Sheet'!J93</f>
        <v>4.5833944999999998</v>
      </c>
      <c r="K3" s="258">
        <f>'Data Sheet'!K93</f>
        <v>4.5833944999999998</v>
      </c>
      <c r="L3" s="257"/>
    </row>
    <row r="4" spans="1:18" x14ac:dyDescent="0.2">
      <c r="A4" s="246" t="s">
        <v>142</v>
      </c>
      <c r="B4" s="259">
        <f>'Data Sheet'!B17</f>
        <v>203.76</v>
      </c>
      <c r="C4" s="259">
        <f>'Data Sheet'!C17</f>
        <v>262.27</v>
      </c>
      <c r="D4" s="259">
        <f>'Data Sheet'!D17</f>
        <v>301.95</v>
      </c>
      <c r="E4" s="259">
        <f>'Data Sheet'!E17</f>
        <v>410.92</v>
      </c>
      <c r="F4" s="259">
        <f>'Data Sheet'!F17</f>
        <v>428.3</v>
      </c>
      <c r="G4" s="259">
        <f>'Data Sheet'!G17</f>
        <v>446.05</v>
      </c>
      <c r="H4" s="259">
        <f>'Data Sheet'!H17</f>
        <v>488.34</v>
      </c>
      <c r="I4" s="259">
        <f>'Data Sheet'!I17</f>
        <v>616.47</v>
      </c>
      <c r="J4" s="259">
        <f>'Data Sheet'!J17</f>
        <v>766.87</v>
      </c>
      <c r="K4" s="259">
        <f>'Data Sheet'!K17</f>
        <v>933.38</v>
      </c>
      <c r="L4" s="259"/>
      <c r="M4" s="259">
        <f t="shared" ref="M4:M9" si="0">SUM(I4:K4)</f>
        <v>2316.7200000000003</v>
      </c>
      <c r="N4" s="259">
        <f t="shared" ref="N4:N9" si="1">SUM(G4:K4)</f>
        <v>3251.11</v>
      </c>
      <c r="O4" s="259">
        <f t="shared" ref="O4:O9" si="2">SUM(C4:K4)</f>
        <v>4654.55</v>
      </c>
    </row>
    <row r="5" spans="1:18" x14ac:dyDescent="0.2">
      <c r="A5" s="246" t="s">
        <v>9</v>
      </c>
      <c r="B5" s="260">
        <f>'Data Sheet'!B25</f>
        <v>0.17</v>
      </c>
      <c r="C5" s="260">
        <f>'Data Sheet'!C25</f>
        <v>0.98</v>
      </c>
      <c r="D5" s="260">
        <f>'Data Sheet'!D25</f>
        <v>0.56000000000000005</v>
      </c>
      <c r="E5" s="260">
        <f>'Data Sheet'!E25</f>
        <v>0.24</v>
      </c>
      <c r="F5" s="260">
        <f>'Data Sheet'!F25</f>
        <v>0.13</v>
      </c>
      <c r="G5" s="260">
        <f>'Data Sheet'!G25</f>
        <v>0.3</v>
      </c>
      <c r="H5" s="260">
        <f>'Data Sheet'!H25</f>
        <v>0.35</v>
      </c>
      <c r="I5" s="260">
        <f>'Data Sheet'!I25</f>
        <v>5.13</v>
      </c>
      <c r="J5" s="260">
        <f>'Data Sheet'!J25</f>
        <v>0.72</v>
      </c>
      <c r="K5" s="260">
        <f>'Data Sheet'!K25</f>
        <v>0.79</v>
      </c>
      <c r="L5" s="260"/>
      <c r="M5" s="259">
        <f t="shared" si="0"/>
        <v>6.64</v>
      </c>
      <c r="N5" s="259">
        <f t="shared" si="1"/>
        <v>7.2899999999999991</v>
      </c>
      <c r="O5" s="259">
        <f t="shared" si="2"/>
        <v>9.1999999999999993</v>
      </c>
    </row>
    <row r="6" spans="1:18" x14ac:dyDescent="0.2">
      <c r="A6" s="246" t="s">
        <v>562</v>
      </c>
      <c r="B6" s="259">
        <f>SUM('Data Sheet'!B18:B24)</f>
        <v>174.74</v>
      </c>
      <c r="C6" s="259">
        <f>SUM('Data Sheet'!C18:C24)</f>
        <v>269.52</v>
      </c>
      <c r="D6" s="259">
        <f>SUM('Data Sheet'!D18:D24)</f>
        <v>265.51000000000005</v>
      </c>
      <c r="E6" s="259">
        <f>SUM('Data Sheet'!E18:E24)</f>
        <v>352.7</v>
      </c>
      <c r="F6" s="259">
        <f>SUM('Data Sheet'!F18:F24)</f>
        <v>362.39</v>
      </c>
      <c r="G6" s="259">
        <f>SUM('Data Sheet'!G18:G24)</f>
        <v>373.93999999999994</v>
      </c>
      <c r="H6" s="259">
        <f>SUM('Data Sheet'!H18:H24)</f>
        <v>406.23999999999995</v>
      </c>
      <c r="I6" s="259">
        <f>SUM('Data Sheet'!I18:I24)</f>
        <v>524.1</v>
      </c>
      <c r="J6" s="259">
        <f>SUM('Data Sheet'!J18:J24)</f>
        <v>626.41999999999996</v>
      </c>
      <c r="K6" s="259">
        <f>SUM('Data Sheet'!K18:K24)</f>
        <v>856.5</v>
      </c>
      <c r="L6" s="259"/>
      <c r="M6" s="259">
        <f t="shared" si="0"/>
        <v>2007.02</v>
      </c>
      <c r="N6" s="259">
        <f t="shared" si="1"/>
        <v>2787.2</v>
      </c>
      <c r="O6" s="259">
        <f t="shared" si="2"/>
        <v>4037.32</v>
      </c>
    </row>
    <row r="7" spans="1:18" x14ac:dyDescent="0.2">
      <c r="A7" s="246" t="s">
        <v>563</v>
      </c>
      <c r="B7" s="260">
        <f>'Data Sheet'!B24</f>
        <v>2.4</v>
      </c>
      <c r="C7" s="260">
        <f>'Data Sheet'!C24</f>
        <v>29.33</v>
      </c>
      <c r="D7" s="260">
        <f>'Data Sheet'!D24</f>
        <v>0.11</v>
      </c>
      <c r="E7" s="260">
        <f>'Data Sheet'!E24</f>
        <v>0.21</v>
      </c>
      <c r="F7" s="260">
        <f>'Data Sheet'!F24</f>
        <v>0.15</v>
      </c>
      <c r="G7" s="260">
        <f>'Data Sheet'!G24</f>
        <v>15.53</v>
      </c>
      <c r="H7" s="260">
        <f>'Data Sheet'!H24</f>
        <v>0.21</v>
      </c>
      <c r="I7" s="260">
        <f>'Data Sheet'!I24</f>
        <v>0.88</v>
      </c>
      <c r="J7" s="260">
        <f>'Data Sheet'!J24</f>
        <v>0.06</v>
      </c>
      <c r="K7" s="260">
        <f>'Data Sheet'!K24</f>
        <v>7.0000000000000007E-2</v>
      </c>
      <c r="L7" s="260"/>
      <c r="M7" s="259">
        <f t="shared" si="0"/>
        <v>1.01</v>
      </c>
      <c r="N7" s="259">
        <f t="shared" si="1"/>
        <v>16.75</v>
      </c>
      <c r="O7" s="259">
        <f t="shared" si="2"/>
        <v>46.550000000000004</v>
      </c>
    </row>
    <row r="8" spans="1:18" x14ac:dyDescent="0.2">
      <c r="A8" s="246" t="s">
        <v>79</v>
      </c>
      <c r="B8" s="260">
        <f>'Data Sheet'!B67</f>
        <v>11.79</v>
      </c>
      <c r="C8" s="260">
        <f>'Data Sheet'!C67</f>
        <v>15.24</v>
      </c>
      <c r="D8" s="260">
        <f>'Data Sheet'!D67</f>
        <v>9.4</v>
      </c>
      <c r="E8" s="260">
        <f>'Data Sheet'!E67</f>
        <v>35.340000000000003</v>
      </c>
      <c r="F8" s="260">
        <f>'Data Sheet'!F67</f>
        <v>18.5</v>
      </c>
      <c r="G8" s="260">
        <f>'Data Sheet'!G67</f>
        <v>28.04</v>
      </c>
      <c r="H8" s="260">
        <f>'Data Sheet'!H67</f>
        <v>24.89</v>
      </c>
      <c r="I8" s="260">
        <f>'Data Sheet'!I67</f>
        <v>40.42</v>
      </c>
      <c r="J8" s="260">
        <f>'Data Sheet'!J67</f>
        <v>39.25</v>
      </c>
      <c r="K8" s="260">
        <f>'Data Sheet'!K67</f>
        <v>48.33</v>
      </c>
      <c r="L8" s="260"/>
      <c r="M8" s="259">
        <f t="shared" si="0"/>
        <v>128</v>
      </c>
      <c r="N8" s="259">
        <f t="shared" si="1"/>
        <v>180.93</v>
      </c>
      <c r="O8" s="259">
        <f t="shared" si="2"/>
        <v>259.41000000000003</v>
      </c>
    </row>
    <row r="9" spans="1:18" x14ac:dyDescent="0.2">
      <c r="A9" s="246" t="s">
        <v>45</v>
      </c>
      <c r="B9" s="260">
        <f>'Data Sheet'!B68</f>
        <v>48.75</v>
      </c>
      <c r="C9" s="260">
        <f>'Data Sheet'!C68</f>
        <v>40.98</v>
      </c>
      <c r="D9" s="260">
        <f>'Data Sheet'!D68</f>
        <v>76.03</v>
      </c>
      <c r="E9" s="260">
        <f>'Data Sheet'!E68</f>
        <v>81.84</v>
      </c>
      <c r="F9" s="260">
        <f>'Data Sheet'!F68</f>
        <v>77.13</v>
      </c>
      <c r="G9" s="260">
        <f>'Data Sheet'!G68</f>
        <v>81.900000000000006</v>
      </c>
      <c r="H9" s="260">
        <f>'Data Sheet'!H68</f>
        <v>70.7</v>
      </c>
      <c r="I9" s="260">
        <f>'Data Sheet'!I68</f>
        <v>94.19</v>
      </c>
      <c r="J9" s="260">
        <f>'Data Sheet'!J68</f>
        <v>114.76</v>
      </c>
      <c r="K9" s="260">
        <f>'Data Sheet'!K68</f>
        <v>170.04</v>
      </c>
      <c r="L9" s="260"/>
      <c r="M9" s="259">
        <f t="shared" si="0"/>
        <v>378.99</v>
      </c>
      <c r="N9" s="259">
        <f t="shared" si="1"/>
        <v>531.59</v>
      </c>
      <c r="O9" s="259">
        <f t="shared" si="2"/>
        <v>807.56999999999994</v>
      </c>
    </row>
    <row r="10" spans="1:18" x14ac:dyDescent="0.2">
      <c r="A10" s="246" t="s">
        <v>540</v>
      </c>
      <c r="B10" s="259">
        <f>'Data Sheet'!B57+'Data Sheet'!B58+'Data Sheet'!B59</f>
        <v>355.4</v>
      </c>
      <c r="C10" s="259">
        <f>'Data Sheet'!C57+'Data Sheet'!C58+'Data Sheet'!C59</f>
        <v>373.35</v>
      </c>
      <c r="D10" s="259">
        <f>'Data Sheet'!D57+'Data Sheet'!D58+'Data Sheet'!D59</f>
        <v>388.12</v>
      </c>
      <c r="E10" s="259">
        <f>'Data Sheet'!E57+'Data Sheet'!E58+'Data Sheet'!E59</f>
        <v>370.38</v>
      </c>
      <c r="F10" s="259">
        <f>'Data Sheet'!F57+'Data Sheet'!F58+'Data Sheet'!F59</f>
        <v>335.58</v>
      </c>
      <c r="G10" s="259">
        <f>'Data Sheet'!G57+'Data Sheet'!G58+'Data Sheet'!G59</f>
        <v>307.42999999999995</v>
      </c>
      <c r="H10" s="259">
        <f>'Data Sheet'!H57+'Data Sheet'!H58+'Data Sheet'!H59</f>
        <v>307.62</v>
      </c>
      <c r="I10" s="259">
        <f>'Data Sheet'!I57+'Data Sheet'!I58+'Data Sheet'!I59</f>
        <v>545.26</v>
      </c>
      <c r="J10" s="259">
        <f>'Data Sheet'!J57+'Data Sheet'!J58+'Data Sheet'!J59</f>
        <v>557.71</v>
      </c>
      <c r="K10" s="259">
        <f>'Data Sheet'!K57+'Data Sheet'!K58+'Data Sheet'!K59</f>
        <v>819.66000000000008</v>
      </c>
      <c r="L10" s="259"/>
      <c r="M10" s="259"/>
      <c r="N10" s="259"/>
      <c r="O10" s="259"/>
    </row>
    <row r="11" spans="1:18" x14ac:dyDescent="0.2">
      <c r="A11" s="246" t="s">
        <v>145</v>
      </c>
      <c r="B11" s="260">
        <f>'Data Sheet'!B30</f>
        <v>-4.29</v>
      </c>
      <c r="C11" s="260">
        <f>'Data Sheet'!C30</f>
        <v>-14.11</v>
      </c>
      <c r="D11" s="260">
        <f>'Data Sheet'!D30</f>
        <v>0.68</v>
      </c>
      <c r="E11" s="260">
        <f>'Data Sheet'!E30</f>
        <v>6.74</v>
      </c>
      <c r="F11" s="260">
        <f>'Data Sheet'!F30</f>
        <v>0.3</v>
      </c>
      <c r="G11" s="260">
        <f>'Data Sheet'!G30</f>
        <v>14.14</v>
      </c>
      <c r="H11" s="260">
        <f>'Data Sheet'!H30</f>
        <v>34.78</v>
      </c>
      <c r="I11" s="260">
        <f>'Data Sheet'!I30</f>
        <v>40.96</v>
      </c>
      <c r="J11" s="260">
        <f>'Data Sheet'!J30</f>
        <v>44.16</v>
      </c>
      <c r="K11" s="260">
        <f>'Data Sheet'!K30</f>
        <v>57.15</v>
      </c>
      <c r="L11" s="260"/>
      <c r="M11" s="259">
        <f>SUM(I11:K11)</f>
        <v>142.27000000000001</v>
      </c>
      <c r="N11" s="259">
        <f>SUM(G11:K11)</f>
        <v>191.19</v>
      </c>
      <c r="O11" s="259">
        <f>SUM(C11:K11)</f>
        <v>184.8</v>
      </c>
    </row>
    <row r="12" spans="1:18" x14ac:dyDescent="0.2">
      <c r="A12" s="246" t="s">
        <v>146</v>
      </c>
      <c r="B12" s="260">
        <f>'Data Sheet'!B82</f>
        <v>17.87</v>
      </c>
      <c r="C12" s="260">
        <f>'Data Sheet'!C82</f>
        <v>14.27</v>
      </c>
      <c r="D12" s="260">
        <f>'Data Sheet'!D82</f>
        <v>0.55000000000000004</v>
      </c>
      <c r="E12" s="260">
        <f>'Data Sheet'!E82</f>
        <v>45.39</v>
      </c>
      <c r="F12" s="260">
        <f>'Data Sheet'!F82</f>
        <v>64.180000000000007</v>
      </c>
      <c r="G12" s="260">
        <f>'Data Sheet'!G82</f>
        <v>88.9</v>
      </c>
      <c r="H12" s="260">
        <f>'Data Sheet'!H82</f>
        <v>86.62</v>
      </c>
      <c r="I12" s="260">
        <f>'Data Sheet'!I82</f>
        <v>44.51</v>
      </c>
      <c r="J12" s="260">
        <f>'Data Sheet'!J82</f>
        <v>100.4</v>
      </c>
      <c r="K12" s="260">
        <f>'Data Sheet'!K82</f>
        <v>59.16</v>
      </c>
      <c r="L12" s="260"/>
      <c r="M12" s="259">
        <f>SUM(I12:K12)</f>
        <v>204.07</v>
      </c>
      <c r="N12" s="259">
        <f>SUM(G12:K12)</f>
        <v>379.59000000000003</v>
      </c>
      <c r="O12" s="259">
        <f>SUM(C12:K12)</f>
        <v>503.98</v>
      </c>
    </row>
    <row r="13" spans="1:18" x14ac:dyDescent="0.2">
      <c r="A13" s="246" t="s">
        <v>157</v>
      </c>
      <c r="C13" s="260">
        <f>('Data Sheet'!C62-'Data Sheet'!B62)+('Data Sheet'!C63-'Data Sheet'!B63)+'Data Sheet'!C26</f>
        <v>22.770000000000032</v>
      </c>
      <c r="D13" s="260">
        <f>('Data Sheet'!D62-'Data Sheet'!C62)+('Data Sheet'!D63-'Data Sheet'!C63)+'Data Sheet'!D26</f>
        <v>0.48999999999995936</v>
      </c>
      <c r="E13" s="260">
        <f>('Data Sheet'!E62-'Data Sheet'!D62)+('Data Sheet'!E63-'Data Sheet'!D63)+'Data Sheet'!E26</f>
        <v>-0.46999999999998465</v>
      </c>
      <c r="F13" s="260">
        <f>('Data Sheet'!F62-'Data Sheet'!E62)+('Data Sheet'!F63-'Data Sheet'!E63)+'Data Sheet'!F26</f>
        <v>6.1700000000000017</v>
      </c>
      <c r="G13" s="260">
        <f>('Data Sheet'!G62-'Data Sheet'!F62)+('Data Sheet'!G63-'Data Sheet'!F63)+'Data Sheet'!G26</f>
        <v>6.0200000000000067</v>
      </c>
      <c r="H13" s="260">
        <f>('Data Sheet'!H62-'Data Sheet'!G62)+('Data Sheet'!H63-'Data Sheet'!G63)+'Data Sheet'!H26</f>
        <v>24.27</v>
      </c>
      <c r="I13" s="260">
        <f>('Data Sheet'!I62-'Data Sheet'!H62)+('Data Sheet'!I63-'Data Sheet'!H63)+'Data Sheet'!I26</f>
        <v>232.29</v>
      </c>
      <c r="J13" s="260">
        <f>('Data Sheet'!J62-'Data Sheet'!I62)+('Data Sheet'!J63-'Data Sheet'!I63)+'Data Sheet'!J26</f>
        <v>21.949999999999985</v>
      </c>
      <c r="K13" s="260">
        <f>('Data Sheet'!K62-'Data Sheet'!J62)+('Data Sheet'!K63-'Data Sheet'!J63)+'Data Sheet'!K26</f>
        <v>256.80999999999995</v>
      </c>
      <c r="L13" s="260"/>
      <c r="M13" s="259">
        <f>SUM(I13:K13)</f>
        <v>511.04999999999995</v>
      </c>
      <c r="N13" s="259">
        <f>SUM(G13:K13)</f>
        <v>541.33999999999992</v>
      </c>
      <c r="O13" s="259">
        <f>SUM(C13:K13)</f>
        <v>570.29999999999995</v>
      </c>
    </row>
    <row r="14" spans="1:18" x14ac:dyDescent="0.2">
      <c r="A14" s="246" t="s">
        <v>162</v>
      </c>
      <c r="B14" s="260">
        <f>'Data Sheet'!B31</f>
        <v>0</v>
      </c>
      <c r="C14" s="260">
        <f>'Data Sheet'!C31</f>
        <v>0</v>
      </c>
      <c r="D14" s="260">
        <f>'Data Sheet'!D31</f>
        <v>0</v>
      </c>
      <c r="E14" s="260">
        <f>'Data Sheet'!E31</f>
        <v>0</v>
      </c>
      <c r="F14" s="260">
        <f>'Data Sheet'!F31</f>
        <v>0</v>
      </c>
      <c r="G14" s="260">
        <f>'Data Sheet'!G31</f>
        <v>0</v>
      </c>
      <c r="H14" s="260">
        <f>'Data Sheet'!H31</f>
        <v>3.44</v>
      </c>
      <c r="I14" s="260">
        <f>'Data Sheet'!I31</f>
        <v>4.58</v>
      </c>
      <c r="J14" s="260">
        <f>'Data Sheet'!J31</f>
        <v>4.58</v>
      </c>
      <c r="K14" s="260">
        <f>'Data Sheet'!K31</f>
        <v>5.5</v>
      </c>
      <c r="L14" s="260"/>
      <c r="M14" s="259">
        <f>SUM(I14:K14)</f>
        <v>14.66</v>
      </c>
      <c r="N14" s="259">
        <f>SUM(G14:K14)</f>
        <v>18.100000000000001</v>
      </c>
      <c r="O14" s="259">
        <f>SUM(C14:K14)</f>
        <v>18.100000000000001</v>
      </c>
    </row>
    <row r="15" spans="1:18" x14ac:dyDescent="0.2">
      <c r="A15" s="246" t="s">
        <v>541</v>
      </c>
      <c r="C15" s="260">
        <f>C12-C13</f>
        <v>-8.500000000000032</v>
      </c>
      <c r="D15" s="260">
        <f t="shared" ref="D15:K15" si="3">D12-D13</f>
        <v>6.0000000000040687E-2</v>
      </c>
      <c r="E15" s="260">
        <f t="shared" si="3"/>
        <v>45.859999999999985</v>
      </c>
      <c r="F15" s="260">
        <f t="shared" si="3"/>
        <v>58.010000000000005</v>
      </c>
      <c r="G15" s="260">
        <f t="shared" si="3"/>
        <v>82.88</v>
      </c>
      <c r="H15" s="260">
        <f t="shared" si="3"/>
        <v>62.350000000000009</v>
      </c>
      <c r="I15" s="260">
        <f t="shared" si="3"/>
        <v>-187.78</v>
      </c>
      <c r="J15" s="260">
        <f t="shared" si="3"/>
        <v>78.450000000000017</v>
      </c>
      <c r="K15" s="260">
        <f t="shared" si="3"/>
        <v>-197.64999999999995</v>
      </c>
      <c r="L15" s="260"/>
      <c r="M15" s="259">
        <f>SUM(I15:K15)</f>
        <v>-306.9799999999999</v>
      </c>
      <c r="N15" s="259">
        <f>SUM(G15:K15)</f>
        <v>-161.74999999999991</v>
      </c>
      <c r="O15" s="259">
        <f>SUM(C15:K15)</f>
        <v>-66.319999999999908</v>
      </c>
    </row>
    <row r="16" spans="1:18" x14ac:dyDescent="0.2">
      <c r="A16" s="246" t="s">
        <v>191</v>
      </c>
      <c r="B16" s="259">
        <f>Other_input_data!C43+Other_input_data!C51-Other_input_data!C8</f>
        <v>314.87905143</v>
      </c>
      <c r="C16" s="259">
        <f>Other_input_data!D43+Other_input_data!D51-Other_input_data!D8</f>
        <v>318.64362938000005</v>
      </c>
      <c r="D16" s="259">
        <f>Other_input_data!E43+Other_input_data!E51-Other_input_data!E8</f>
        <v>348.28553214999999</v>
      </c>
      <c r="E16" s="259">
        <f>Other_input_data!F43+Other_input_data!F51-Other_input_data!F8</f>
        <v>340.81575968999999</v>
      </c>
      <c r="F16" s="259">
        <f>Other_input_data!G43+Other_input_data!G51-Other_input_data!G8</f>
        <v>277.16537800999998</v>
      </c>
      <c r="G16" s="259">
        <f>Other_input_data!H43+Other_input_data!H51-Other_input_data!H8</f>
        <v>252.10227710999999</v>
      </c>
      <c r="H16" s="259">
        <f>Other_input_data!I43+Other_input_data!I51-Other_input_data!I8</f>
        <v>249.61931566999999</v>
      </c>
      <c r="I16" s="259">
        <f>Other_input_data!J43+Other_input_data!J51-Other_input_data!J8</f>
        <v>555.37987265499999</v>
      </c>
      <c r="J16" s="259">
        <f>Other_input_data!K43+Other_input_data!K51-Other_input_data!K8</f>
        <v>651.98734342</v>
      </c>
      <c r="K16" s="259">
        <f>Other_input_data!L43+Other_input_data!L51-Other_input_data!L8</f>
        <v>1158.88629601</v>
      </c>
      <c r="L16" s="259"/>
    </row>
    <row r="17" spans="1:18" x14ac:dyDescent="0.2">
      <c r="A17" s="246" t="s">
        <v>483</v>
      </c>
      <c r="C17" s="261">
        <f>IFERROR(('Profit &amp; Loss'!C4-'Profit &amp; Loss'!B4)/'Profit &amp; Loss'!B4,"NA")</f>
        <v>0.2871515508441303</v>
      </c>
      <c r="D17" s="261">
        <f>IFERROR(('Profit &amp; Loss'!D4-'Profit &amp; Loss'!C4)/'Profit &amp; Loss'!C4,"NA")</f>
        <v>0.15129446753345793</v>
      </c>
      <c r="E17" s="261">
        <f>IFERROR(('Profit &amp; Loss'!E4-'Profit &amp; Loss'!D4)/'Profit &amp; Loss'!D4,"NA")</f>
        <v>0.36088756416625278</v>
      </c>
      <c r="F17" s="261">
        <f>IFERROR(('Profit &amp; Loss'!F4-'Profit &amp; Loss'!E4)/'Profit &amp; Loss'!E4,"NA")</f>
        <v>4.2295337291930288E-2</v>
      </c>
      <c r="G17" s="261">
        <f>IFERROR(('Profit &amp; Loss'!G4-'Profit &amp; Loss'!F4)/'Profit &amp; Loss'!F4,"NA")</f>
        <v>4.1442913845435442E-2</v>
      </c>
      <c r="H17" s="261">
        <f>IFERROR(('Profit &amp; Loss'!H4-'Profit &amp; Loss'!G4)/'Profit &amp; Loss'!G4,"NA")</f>
        <v>9.4809998879049354E-2</v>
      </c>
      <c r="I17" s="261">
        <f>IFERROR(('Profit &amp; Loss'!I4-'Profit &amp; Loss'!H4)/'Profit &amp; Loss'!H4,"NA")</f>
        <v>0.26237867059835374</v>
      </c>
      <c r="J17" s="262">
        <f>IFERROR(('Profit &amp; Loss'!J4-'Profit &amp; Loss'!I4)/'Profit &amp; Loss'!I4,"NA")</f>
        <v>0.24396969844436869</v>
      </c>
      <c r="K17" s="262">
        <f>IFERROR(('Profit &amp; Loss'!K4-'Profit &amp; Loss'!J4)/'Profit &amp; Loss'!J4,"NA")</f>
        <v>0.21712937003664246</v>
      </c>
      <c r="L17" s="262"/>
      <c r="N17" s="263"/>
      <c r="P17" s="263">
        <f>('Profit &amp; Loss'!K4/'Profit &amp; Loss'!H4)^(1/(3-1))-1</f>
        <v>0.38250940991425231</v>
      </c>
      <c r="Q17" s="263">
        <f>('Profit &amp; Loss'!K4/'Profit &amp; Loss'!F4)^(1/(5-1))-1</f>
        <v>0.21500371014602315</v>
      </c>
      <c r="R17" s="263">
        <f>('Profit &amp; Loss'!K4/'Profit &amp; Loss'!B4)^(1/(9-1))-1</f>
        <v>0.2095322286197967</v>
      </c>
    </row>
    <row r="18" spans="1:18" x14ac:dyDescent="0.2">
      <c r="A18" s="246" t="s">
        <v>484</v>
      </c>
      <c r="C18" s="261">
        <f>IFERROR(('Profit &amp; Loss'!C12-'Profit &amp; Loss'!B12)/ABS('Profit &amp; Loss'!B12),"NA")</f>
        <v>-2.289044289044289</v>
      </c>
      <c r="D18" s="261">
        <f>IFERROR(('Profit &amp; Loss'!D12-'Profit &amp; Loss'!C12)/ABS('Profit &amp; Loss'!C12),"NA")</f>
        <v>1.0481927710843373</v>
      </c>
      <c r="E18" s="261">
        <f>IFERROR(('Profit &amp; Loss'!E12-'Profit &amp; Loss'!D12)/ABS('Profit &amp; Loss'!D12),"NA")</f>
        <v>8.9117647058823533</v>
      </c>
      <c r="F18" s="261">
        <f>IFERROR(('Profit &amp; Loss'!F12-'Profit &amp; Loss'!E12)/ABS('Profit &amp; Loss'!E12),"NA")</f>
        <v>-0.95548961424332346</v>
      </c>
      <c r="G18" s="261">
        <f>IFERROR(('Profit &amp; Loss'!G12-'Profit &amp; Loss'!F12)/ABS('Profit &amp; Loss'!F12),"NA")</f>
        <v>46.133333333333333</v>
      </c>
      <c r="H18" s="261">
        <f>IFERROR(('Profit &amp; Loss'!H12-'Profit &amp; Loss'!G12)/ABS('Profit &amp; Loss'!G12),"NA")</f>
        <v>1.4596888260254597</v>
      </c>
      <c r="I18" s="261">
        <f>IFERROR(('Profit &amp; Loss'!I12-'Profit &amp; Loss'!H12)/ABS('Profit &amp; Loss'!H12),"NA")</f>
        <v>0.17768832662449682</v>
      </c>
      <c r="J18" s="264">
        <f>IFERROR(('Profit &amp; Loss'!J12-'Profit &amp; Loss'!I12)/ABS('Profit &amp; Loss'!I12),"NA")</f>
        <v>7.8124999999999889E-2</v>
      </c>
      <c r="K18" s="264">
        <f>IFERROR(('Profit &amp; Loss'!K12-'Profit &amp; Loss'!J12)/ABS('Profit &amp; Loss'!J12),"NA")</f>
        <v>0.29415760869565222</v>
      </c>
      <c r="L18" s="264"/>
      <c r="P18" s="263">
        <f>('Profit &amp; Loss'!K12/'Profit &amp; Loss'!H12)^(1/(3-1))-1</f>
        <v>0.28186806611695414</v>
      </c>
      <c r="Q18" s="263">
        <f>('Profit &amp; Loss'!K12/'Profit &amp; Loss'!F12)^(1/(5-1))-1</f>
        <v>2.7151276884976996</v>
      </c>
      <c r="R18" s="263" t="e">
        <f>('Profit &amp; Loss'!K12/'Profit &amp; Loss'!B12)^(1/(9-1))-1</f>
        <v>#NUM!</v>
      </c>
    </row>
    <row r="19" spans="1:18" x14ac:dyDescent="0.2">
      <c r="A19" s="246" t="s">
        <v>485</v>
      </c>
      <c r="B19" s="261">
        <f t="shared" ref="B19:K19" si="4">B8/B4</f>
        <v>5.786219081272085E-2</v>
      </c>
      <c r="C19" s="261">
        <f t="shared" si="4"/>
        <v>5.8108056582910746E-2</v>
      </c>
      <c r="D19" s="261">
        <f t="shared" si="4"/>
        <v>3.1130981950654085E-2</v>
      </c>
      <c r="E19" s="261">
        <f t="shared" si="4"/>
        <v>8.6002141536065418E-2</v>
      </c>
      <c r="F19" s="261">
        <f t="shared" si="4"/>
        <v>4.3194022881158069E-2</v>
      </c>
      <c r="G19" s="261">
        <f t="shared" si="4"/>
        <v>6.2862907745768415E-2</v>
      </c>
      <c r="H19" s="261">
        <f t="shared" si="4"/>
        <v>5.0968587459556867E-2</v>
      </c>
      <c r="I19" s="261">
        <f t="shared" si="4"/>
        <v>6.5566856456924102E-2</v>
      </c>
      <c r="J19" s="261">
        <f t="shared" si="4"/>
        <v>5.1182077796758249E-2</v>
      </c>
      <c r="K19" s="261">
        <f t="shared" si="4"/>
        <v>5.1779553879448881E-2</v>
      </c>
      <c r="L19" s="261"/>
      <c r="M19" s="261">
        <f>SUM(I8:K8)/SUM(I4:K4)</f>
        <v>5.525052660658171E-2</v>
      </c>
      <c r="N19" s="261">
        <f>SUM(F8:I8)/SUM(F4:I4)</f>
        <v>5.6513874573051195E-2</v>
      </c>
      <c r="O19" s="261">
        <f>SUM(B8:I8)/SUM(B4:I4)</f>
        <v>5.8143290501130436E-2</v>
      </c>
    </row>
    <row r="20" spans="1:18" x14ac:dyDescent="0.2">
      <c r="A20" s="246" t="s">
        <v>264</v>
      </c>
      <c r="B20" s="261">
        <f t="shared" ref="B20:K20" si="5">B9/B4</f>
        <v>0.23925206124852769</v>
      </c>
      <c r="C20" s="261">
        <f t="shared" si="5"/>
        <v>0.15625119152018913</v>
      </c>
      <c r="D20" s="261">
        <f t="shared" si="5"/>
        <v>0.2517966550753436</v>
      </c>
      <c r="E20" s="261">
        <f t="shared" si="5"/>
        <v>0.19916285408351991</v>
      </c>
      <c r="F20" s="261">
        <f t="shared" si="5"/>
        <v>0.18008405323371468</v>
      </c>
      <c r="G20" s="261">
        <f t="shared" si="5"/>
        <v>0.18361170272390989</v>
      </c>
      <c r="H20" s="261">
        <f t="shared" si="5"/>
        <v>0.14477618052995864</v>
      </c>
      <c r="I20" s="265">
        <f t="shared" si="5"/>
        <v>0.15278926792869077</v>
      </c>
      <c r="J20" s="265">
        <f t="shared" si="5"/>
        <v>0.14964726746384654</v>
      </c>
      <c r="K20" s="265">
        <f t="shared" si="5"/>
        <v>0.18217660545544151</v>
      </c>
      <c r="L20" s="265"/>
      <c r="M20" s="261">
        <f>SUM(I9:K9)/SUM(I4:K4)</f>
        <v>0.1635890396767844</v>
      </c>
      <c r="N20" s="261">
        <f>SUM(F9:I9)/SUM(F4:I4)</f>
        <v>0.16366539339921987</v>
      </c>
      <c r="O20" s="261">
        <f>SUM(B9:I9)/SUM(B4:I4)</f>
        <v>0.18097186247253058</v>
      </c>
    </row>
    <row r="21" spans="1:18" x14ac:dyDescent="0.2">
      <c r="A21" s="246" t="s">
        <v>143</v>
      </c>
      <c r="B21" s="266">
        <f t="shared" ref="B21:K21" si="6">B11/B4</f>
        <v>-2.1054181389870436E-2</v>
      </c>
      <c r="C21" s="266">
        <f t="shared" si="6"/>
        <v>-5.3799519579059749E-2</v>
      </c>
      <c r="D21" s="266">
        <f t="shared" si="6"/>
        <v>2.2520284815366787E-3</v>
      </c>
      <c r="E21" s="266">
        <f t="shared" si="6"/>
        <v>1.6402219410104158E-2</v>
      </c>
      <c r="F21" s="266">
        <f t="shared" si="6"/>
        <v>7.0044361428904967E-4</v>
      </c>
      <c r="G21" s="266">
        <f t="shared" si="6"/>
        <v>3.1700482008743418E-2</v>
      </c>
      <c r="H21" s="266">
        <f t="shared" si="6"/>
        <v>7.1220870704836806E-2</v>
      </c>
      <c r="I21" s="267">
        <f t="shared" si="6"/>
        <v>6.6442811491232337E-2</v>
      </c>
      <c r="J21" s="267">
        <f t="shared" si="6"/>
        <v>5.7584727528785837E-2</v>
      </c>
      <c r="K21" s="267">
        <f t="shared" si="6"/>
        <v>6.1229081403072705E-2</v>
      </c>
      <c r="L21" s="267"/>
      <c r="M21" s="261">
        <f>SUM(I11:K11)/SUM(I4:K4)</f>
        <v>6.141009703373735E-2</v>
      </c>
      <c r="N21" s="261">
        <f>SUM(F11:I11)/SUM(F4:I4)</f>
        <v>4.5564785060328628E-2</v>
      </c>
      <c r="O21" s="261">
        <f>SUM(B11:I11)/SUM(B4:I4)</f>
        <v>2.507868754868495E-2</v>
      </c>
    </row>
    <row r="22" spans="1:18" x14ac:dyDescent="0.2">
      <c r="A22" s="246" t="s">
        <v>262</v>
      </c>
      <c r="B22" s="261">
        <f>'Data Sheet'!B29/'Data Sheet'!B28</f>
        <v>-0.88986784140969166</v>
      </c>
      <c r="C22" s="261">
        <f>'Data Sheet'!C29/'Data Sheet'!C28</f>
        <v>0.38811795316565478</v>
      </c>
      <c r="D22" s="261">
        <f>'Data Sheet'!D29/'Data Sheet'!D28</f>
        <v>0.32</v>
      </c>
      <c r="E22" s="265">
        <f>'Data Sheet'!E29/'Data Sheet'!E28</f>
        <v>0.30299896587383662</v>
      </c>
      <c r="F22" s="265">
        <f>'Data Sheet'!F29/'Data Sheet'!F28</f>
        <v>0</v>
      </c>
      <c r="G22" s="261">
        <f>'Data Sheet'!G29/'Data Sheet'!G28</f>
        <v>0.3261802575107296</v>
      </c>
      <c r="H22" s="261">
        <f>'Data Sheet'!H29/'Data Sheet'!H28</f>
        <v>0.33051010587102986</v>
      </c>
      <c r="I22" s="261">
        <f>'Data Sheet'!I29/'Data Sheet'!I28</f>
        <v>0.23795348837209301</v>
      </c>
      <c r="J22" s="265">
        <f>'Data Sheet'!J29/'Data Sheet'!J28</f>
        <v>0.32274888786623718</v>
      </c>
      <c r="K22" s="261">
        <f>'Data Sheet'!K29/'Data Sheet'!K28</f>
        <v>0.18380462724935734</v>
      </c>
      <c r="L22" s="261"/>
      <c r="M22" s="261">
        <f>SUM('Data Sheet'!I29:K29)/SUM('Data Sheet'!I30:K30)</f>
        <v>0.32824910381668654</v>
      </c>
      <c r="N22" s="261">
        <f>SUM('Data Sheet'!F29:I29)/SUM('Data Sheet'!F30:I30)</f>
        <v>0.40807274340208466</v>
      </c>
      <c r="O22" s="261">
        <f>SUM('Data Sheet'!B29:I29)/SUM('Data Sheet'!B30:I30)</f>
        <v>0.41818181818181821</v>
      </c>
    </row>
    <row r="23" spans="1:18" x14ac:dyDescent="0.2">
      <c r="A23" s="246" t="s">
        <v>486</v>
      </c>
      <c r="B23" s="260">
        <f t="shared" ref="B23:K23" si="7">B12-B11</f>
        <v>22.16</v>
      </c>
      <c r="C23" s="260">
        <f t="shared" si="7"/>
        <v>28.38</v>
      </c>
      <c r="D23" s="260">
        <f t="shared" si="7"/>
        <v>-0.13</v>
      </c>
      <c r="E23" s="260">
        <f t="shared" si="7"/>
        <v>38.65</v>
      </c>
      <c r="F23" s="260">
        <f t="shared" si="7"/>
        <v>63.88000000000001</v>
      </c>
      <c r="G23" s="260">
        <f t="shared" si="7"/>
        <v>74.760000000000005</v>
      </c>
      <c r="H23" s="260">
        <f t="shared" si="7"/>
        <v>51.84</v>
      </c>
      <c r="I23" s="260">
        <f t="shared" si="7"/>
        <v>3.5499999999999972</v>
      </c>
      <c r="J23" s="260">
        <f t="shared" si="7"/>
        <v>56.240000000000009</v>
      </c>
      <c r="K23" s="260">
        <f t="shared" si="7"/>
        <v>2.009999999999998</v>
      </c>
      <c r="L23" s="260"/>
      <c r="M23" s="260">
        <f>M12-M11</f>
        <v>61.799999999999983</v>
      </c>
      <c r="N23" s="260">
        <f>N12-N11</f>
        <v>188.40000000000003</v>
      </c>
      <c r="O23" s="260">
        <f>O12-O11</f>
        <v>319.18</v>
      </c>
    </row>
    <row r="24" spans="1:18" x14ac:dyDescent="0.2">
      <c r="A24" s="247" t="s">
        <v>487</v>
      </c>
      <c r="B24" s="260"/>
      <c r="C24" s="260"/>
      <c r="D24" s="260"/>
      <c r="E24" s="260"/>
      <c r="F24" s="260"/>
      <c r="G24" s="260"/>
      <c r="H24" s="260"/>
      <c r="I24" s="260"/>
      <c r="J24" s="260"/>
      <c r="K24" s="260"/>
      <c r="L24" s="260"/>
    </row>
    <row r="25" spans="1:18" x14ac:dyDescent="0.2">
      <c r="A25" s="252" t="s">
        <v>488</v>
      </c>
      <c r="B25" s="261">
        <f>'Data Sheet'!B18/'Data Sheet'!B$17</f>
        <v>0.5569787985865724</v>
      </c>
      <c r="C25" s="261">
        <f>'Data Sheet'!C18/'Data Sheet'!C$17</f>
        <v>0.64269645784878182</v>
      </c>
      <c r="D25" s="261">
        <f>'Data Sheet'!D18/'Data Sheet'!D$17</f>
        <v>0.63818512998840871</v>
      </c>
      <c r="E25" s="261">
        <f>'Data Sheet'!E18/'Data Sheet'!E$17</f>
        <v>0.63501411466952207</v>
      </c>
      <c r="F25" s="261">
        <f>'Data Sheet'!F18/'Data Sheet'!F$17</f>
        <v>0.66845668923651647</v>
      </c>
      <c r="G25" s="261">
        <f>'Data Sheet'!G18/'Data Sheet'!G$17</f>
        <v>0.59228786010536938</v>
      </c>
      <c r="H25" s="261">
        <f>'Data Sheet'!H18/'Data Sheet'!H$17</f>
        <v>0.62206659294753652</v>
      </c>
      <c r="I25" s="264">
        <f>'Data Sheet'!I18/'Data Sheet'!I$17</f>
        <v>0.62791376709328917</v>
      </c>
      <c r="J25" s="264">
        <f>'Data Sheet'!J18/'Data Sheet'!J$17</f>
        <v>0.60182299477095202</v>
      </c>
      <c r="K25" s="264">
        <f>'Data Sheet'!K18/'Data Sheet'!K$17</f>
        <v>0.66118836915297086</v>
      </c>
      <c r="L25" s="264"/>
      <c r="M25" s="261">
        <f>SUM('Data Sheet'!I18:K18)/SUM('Data Sheet'!$I$17:$K$17)</f>
        <v>0.63268327635622768</v>
      </c>
      <c r="N25" s="261">
        <f>SUM('Data Sheet'!F18:I18)/SUM('Data Sheet'!$F$17:$I$17)</f>
        <v>0.62721558641039621</v>
      </c>
      <c r="O25" s="261">
        <f>SUM('Data Sheet'!B18:I18)/SUM('Data Sheet'!$B$17:$I$17)</f>
        <v>0.62603307093595428</v>
      </c>
    </row>
    <row r="26" spans="1:18" x14ac:dyDescent="0.2">
      <c r="A26" s="253" t="s">
        <v>489</v>
      </c>
      <c r="B26" s="261">
        <f>'Data Sheet'!B19/'Data Sheet'!B$17</f>
        <v>1.0355319984295249E-2</v>
      </c>
      <c r="C26" s="261">
        <f>'Data Sheet'!C19/'Data Sheet'!C$17</f>
        <v>7.7019865024592982E-3</v>
      </c>
      <c r="D26" s="261">
        <f>'Data Sheet'!D19/'Data Sheet'!D$17</f>
        <v>-3.642987249544627E-3</v>
      </c>
      <c r="E26" s="261">
        <f>'Data Sheet'!E19/'Data Sheet'!E$17</f>
        <v>2.1391025017034944E-2</v>
      </c>
      <c r="F26" s="261">
        <f>'Data Sheet'!F19/'Data Sheet'!F$17</f>
        <v>-2.4352089656782629E-2</v>
      </c>
      <c r="G26" s="261">
        <f>'Data Sheet'!G19/'Data Sheet'!G$17</f>
        <v>4.2596121511041362E-4</v>
      </c>
      <c r="H26" s="261">
        <f>'Data Sheet'!H19/'Data Sheet'!H$17</f>
        <v>1.2122701396567966E-2</v>
      </c>
      <c r="I26" s="261">
        <f>'Data Sheet'!I19/'Data Sheet'!I$17</f>
        <v>5.5314938277612859E-3</v>
      </c>
      <c r="J26" s="261">
        <f>'Data Sheet'!J19/'Data Sheet'!J$17</f>
        <v>-2.229843389361952E-3</v>
      </c>
      <c r="K26" s="265">
        <f>'Data Sheet'!K19/'Data Sheet'!K$17</f>
        <v>3.0127065075317663E-2</v>
      </c>
      <c r="L26" s="265"/>
      <c r="M26" s="261">
        <f>SUM('Data Sheet'!I19:K19)/SUM('Data Sheet'!$I$17:$K$17)</f>
        <v>1.2871646120377084E-2</v>
      </c>
      <c r="N26" s="261">
        <f>SUM('Data Sheet'!F19:I19)/SUM('Data Sheet'!$F$17:$I$17)</f>
        <v>-4.5979102245397041E-4</v>
      </c>
      <c r="O26" s="261">
        <f>SUM('Data Sheet'!B19:I19)/SUM('Data Sheet'!$B$17:$I$17)</f>
        <v>3.4546525398504134E-3</v>
      </c>
    </row>
    <row r="27" spans="1:18" x14ac:dyDescent="0.2">
      <c r="A27" s="253" t="s">
        <v>490</v>
      </c>
      <c r="B27" s="261">
        <f>'Data Sheet'!B20/'Data Sheet'!B$17</f>
        <v>0.1335394581861013</v>
      </c>
      <c r="C27" s="261">
        <f>'Data Sheet'!C20/'Data Sheet'!C$17</f>
        <v>0.13276394555229346</v>
      </c>
      <c r="D27" s="261">
        <f>'Data Sheet'!D20/'Data Sheet'!D$17</f>
        <v>0.10395760887564166</v>
      </c>
      <c r="E27" s="261">
        <f>'Data Sheet'!E20/'Data Sheet'!E$17</f>
        <v>8.5515428793925818E-2</v>
      </c>
      <c r="F27" s="261">
        <f>'Data Sheet'!F20/'Data Sheet'!F$17</f>
        <v>9.0053700677095491E-2</v>
      </c>
      <c r="G27" s="261">
        <f>'Data Sheet'!G20/'Data Sheet'!G$17</f>
        <v>8.6380450622127569E-2</v>
      </c>
      <c r="H27" s="261">
        <f>'Data Sheet'!H20/'Data Sheet'!H$17</f>
        <v>7.1589466355408124E-2</v>
      </c>
      <c r="I27" s="261">
        <f>'Data Sheet'!I20/'Data Sheet'!I$17</f>
        <v>8.3215728259282681E-2</v>
      </c>
      <c r="J27" s="261">
        <f>'Data Sheet'!J20/'Data Sheet'!J$17</f>
        <v>8.4825328934499983E-2</v>
      </c>
      <c r="K27" s="261">
        <f>'Data Sheet'!K20/'Data Sheet'!K$17</f>
        <v>9.8684351496710884E-2</v>
      </c>
      <c r="L27" s="261"/>
      <c r="M27" s="261">
        <f>SUM('Data Sheet'!I20:K20)/SUM('Data Sheet'!$I$17:$K$17)</f>
        <v>8.9980662315687673E-2</v>
      </c>
      <c r="N27" s="261">
        <f>SUM('Data Sheet'!F20:I20)/SUM('Data Sheet'!$F$17:$I$17)</f>
        <v>8.2540067503385273E-2</v>
      </c>
      <c r="O27" s="261">
        <f>SUM('Data Sheet'!B20:I20)/SUM('Data Sheet'!$B$17:$I$17)</f>
        <v>9.2436495823385242E-2</v>
      </c>
    </row>
    <row r="28" spans="1:18" x14ac:dyDescent="0.2">
      <c r="A28" s="253" t="s">
        <v>491</v>
      </c>
      <c r="B28" s="261">
        <f>'Data Sheet'!B21/'Data Sheet'!B$17</f>
        <v>4.4071456615626232E-2</v>
      </c>
      <c r="C28" s="261">
        <f>'Data Sheet'!C21/'Data Sheet'!C$17</f>
        <v>4.4267358066115071E-2</v>
      </c>
      <c r="D28" s="261">
        <f>'Data Sheet'!D21/'Data Sheet'!D$17</f>
        <v>5.4810399072694159E-2</v>
      </c>
      <c r="E28" s="261">
        <f>'Data Sheet'!E21/'Data Sheet'!E$17</f>
        <v>3.9131704468022964E-2</v>
      </c>
      <c r="F28" s="261">
        <f>'Data Sheet'!F21/'Data Sheet'!F$17</f>
        <v>3.6399719822554286E-2</v>
      </c>
      <c r="G28" s="261">
        <f>'Data Sheet'!G21/'Data Sheet'!G$17</f>
        <v>4.0937114673242909E-2</v>
      </c>
      <c r="H28" s="261">
        <f>'Data Sheet'!H21/'Data Sheet'!H$17</f>
        <v>4.1487488225416723E-2</v>
      </c>
      <c r="I28" s="261">
        <f>'Data Sheet'!I21/'Data Sheet'!I$17</f>
        <v>4.0748130484857335E-2</v>
      </c>
      <c r="J28" s="261">
        <f>'Data Sheet'!J21/'Data Sheet'!J$17</f>
        <v>4.0150221028335958E-2</v>
      </c>
      <c r="K28" s="261">
        <f>'Data Sheet'!K21/'Data Sheet'!K$17</f>
        <v>3.6673166341682911E-2</v>
      </c>
      <c r="L28" s="261"/>
      <c r="M28" s="261">
        <f>SUM('Data Sheet'!I21:K21)/SUM('Data Sheet'!$I$17:$K$17)</f>
        <v>3.8908456783728708E-2</v>
      </c>
      <c r="N28" s="261">
        <f>SUM('Data Sheet'!F21:I21)/SUM('Data Sheet'!$F$17:$I$17)</f>
        <v>4.0032134845085797E-2</v>
      </c>
      <c r="O28" s="261">
        <f>SUM('Data Sheet'!B21:I21)/SUM('Data Sheet'!$B$17:$I$17)</f>
        <v>4.1940305124031844E-2</v>
      </c>
    </row>
    <row r="29" spans="1:18" x14ac:dyDescent="0.2">
      <c r="A29" s="253" t="s">
        <v>492</v>
      </c>
      <c r="B29" s="261">
        <f>'Data Sheet'!B22/'Data Sheet'!B$17</f>
        <v>3.9998036906164117E-2</v>
      </c>
      <c r="C29" s="261">
        <f>'Data Sheet'!C22/'Data Sheet'!C$17</f>
        <v>3.9920692416212308E-2</v>
      </c>
      <c r="D29" s="261">
        <f>'Data Sheet'!D22/'Data Sheet'!D$17</f>
        <v>4.1927471435668162E-2</v>
      </c>
      <c r="E29" s="261">
        <f>'Data Sheet'!E22/'Data Sheet'!E$17</f>
        <v>3.5895064732794704E-2</v>
      </c>
      <c r="F29" s="261">
        <f>'Data Sheet'!F22/'Data Sheet'!F$17</f>
        <v>3.8501050665421428E-2</v>
      </c>
      <c r="G29" s="261">
        <f>'Data Sheet'!G22/'Data Sheet'!G$17</f>
        <v>4.4703508575271833E-2</v>
      </c>
      <c r="H29" s="261">
        <f>'Data Sheet'!H22/'Data Sheet'!H$17</f>
        <v>5.0374738911414182E-2</v>
      </c>
      <c r="I29" s="261">
        <f>'Data Sheet'!I22/'Data Sheet'!I$17</f>
        <v>5.560692328904894E-2</v>
      </c>
      <c r="J29" s="261">
        <f>'Data Sheet'!J22/'Data Sheet'!J$17</f>
        <v>5.625464550706117E-2</v>
      </c>
      <c r="K29" s="265">
        <f>'Data Sheet'!K22/'Data Sheet'!K$17</f>
        <v>5.5882920139707297E-2</v>
      </c>
      <c r="L29" s="265"/>
      <c r="M29" s="261">
        <f>SUM('Data Sheet'!I22:K22)/SUM('Data Sheet'!$I$17:$K$17)</f>
        <v>5.5932525294381696E-2</v>
      </c>
      <c r="N29" s="261">
        <f>SUM('Data Sheet'!F22:I22)/SUM('Data Sheet'!$F$17:$I$17)</f>
        <v>4.8156793791305399E-2</v>
      </c>
      <c r="O29" s="261">
        <f>SUM('Data Sheet'!B22:I22)/SUM('Data Sheet'!$B$17:$I$17)</f>
        <v>4.4755324471352664E-2</v>
      </c>
    </row>
    <row r="30" spans="1:18" x14ac:dyDescent="0.2">
      <c r="A30" s="253" t="s">
        <v>493</v>
      </c>
      <c r="B30" s="261">
        <f>'Data Sheet'!B23/'Data Sheet'!B$17</f>
        <v>6.0855908912446022E-2</v>
      </c>
      <c r="C30" s="261">
        <f>'Data Sheet'!C23/'Data Sheet'!C$17</f>
        <v>4.8461509131810736E-2</v>
      </c>
      <c r="D30" s="261">
        <f>'Data Sheet'!D23/'Data Sheet'!D$17</f>
        <v>4.3715846994535519E-2</v>
      </c>
      <c r="E30" s="261">
        <f>'Data Sheet'!E23/'Data Sheet'!E$17</f>
        <v>4.0859534702618508E-2</v>
      </c>
      <c r="F30" s="261">
        <f>'Data Sheet'!F23/'Data Sheet'!F$17</f>
        <v>3.6703245388746204E-2</v>
      </c>
      <c r="G30" s="261">
        <f>'Data Sheet'!G23/'Data Sheet'!G$17</f>
        <v>3.8784889586369241E-2</v>
      </c>
      <c r="H30" s="261">
        <f>'Data Sheet'!H23/'Data Sheet'!H$17</f>
        <v>3.3808412171847491E-2</v>
      </c>
      <c r="I30" s="261">
        <f>'Data Sheet'!I23/'Data Sheet'!I$17</f>
        <v>3.5719499732347074E-2</v>
      </c>
      <c r="J30" s="261">
        <f>'Data Sheet'!J23/'Data Sheet'!J$17</f>
        <v>3.5951334646028663E-2</v>
      </c>
      <c r="K30" s="261">
        <f>'Data Sheet'!K23/'Data Sheet'!K$17</f>
        <v>3.5001821337504554E-2</v>
      </c>
      <c r="L30" s="261"/>
      <c r="M30" s="261">
        <f>SUM('Data Sheet'!I23:K23)/SUM('Data Sheet'!$I$17:$K$17)</f>
        <v>3.5507096239511031E-2</v>
      </c>
      <c r="N30" s="261">
        <f>SUM('Data Sheet'!F23:I23)/SUM('Data Sheet'!$F$17:$I$17)</f>
        <v>3.6151700721518215E-2</v>
      </c>
      <c r="O30" s="261">
        <f>SUM('Data Sheet'!B23:I23)/SUM('Data Sheet'!$B$17:$I$17)</f>
        <v>4.0103734571224105E-2</v>
      </c>
    </row>
    <row r="31" spans="1:18" x14ac:dyDescent="0.2">
      <c r="A31" s="253" t="s">
        <v>494</v>
      </c>
      <c r="B31" s="261">
        <f>'Data Sheet'!B24/'Data Sheet'!B$17</f>
        <v>1.1778563015312132E-2</v>
      </c>
      <c r="C31" s="261">
        <f>'Data Sheet'!C24/'Data Sheet'!C$17</f>
        <v>0.11183131886986693</v>
      </c>
      <c r="D31" s="261">
        <f>'Data Sheet'!D24/'Data Sheet'!D$17</f>
        <v>3.6429872495446266E-4</v>
      </c>
      <c r="E31" s="261">
        <f>'Data Sheet'!E24/'Data Sheet'!E$17</f>
        <v>5.1104837924656867E-4</v>
      </c>
      <c r="F31" s="261">
        <f>'Data Sheet'!F24/'Data Sheet'!F$17</f>
        <v>3.5022180714452483E-4</v>
      </c>
      <c r="G31" s="261">
        <f>'Data Sheet'!G24/'Data Sheet'!G$17</f>
        <v>3.4816724582445911E-2</v>
      </c>
      <c r="H31" s="261">
        <f>'Data Sheet'!H24/'Data Sheet'!H$17</f>
        <v>4.3002825899987715E-4</v>
      </c>
      <c r="I31" s="261">
        <f>'Data Sheet'!I24/'Data Sheet'!I$17</f>
        <v>1.4274822781319447E-3</v>
      </c>
      <c r="J31" s="261">
        <f>'Data Sheet'!J24/'Data Sheet'!J$17</f>
        <v>7.8240118924980767E-5</v>
      </c>
      <c r="K31" s="261">
        <f>'Data Sheet'!K24/'Data Sheet'!K$17</f>
        <v>7.4996250187490637E-5</v>
      </c>
      <c r="L31" s="261"/>
      <c r="M31" s="261">
        <f>SUM('Data Sheet'!I24:K24)/SUM('Data Sheet'!$I$17:$K$17)</f>
        <v>4.3596118650505886E-4</v>
      </c>
      <c r="N31" s="261">
        <f>SUM('Data Sheet'!F24:I24)/SUM('Data Sheet'!$F$17:$I$17)</f>
        <v>8.4732916995088822E-3</v>
      </c>
      <c r="O31" s="261">
        <f>SUM('Data Sheet'!B24:I24)/SUM('Data Sheet'!$B$17:$I$17)</f>
        <v>1.5458857653116151E-2</v>
      </c>
    </row>
    <row r="32" spans="1:18" x14ac:dyDescent="0.2">
      <c r="A32" s="252" t="s">
        <v>495</v>
      </c>
      <c r="B32" s="261">
        <f>'Data Sheet'!B25/'Data Sheet'!B$17</f>
        <v>8.3431488025127612E-4</v>
      </c>
      <c r="C32" s="261">
        <f>'Data Sheet'!C25/'Data Sheet'!C$17</f>
        <v>3.7366073130743129E-3</v>
      </c>
      <c r="D32" s="261">
        <f>'Data Sheet'!D25/'Data Sheet'!D$17</f>
        <v>1.8546116906772647E-3</v>
      </c>
      <c r="E32" s="261">
        <f>'Data Sheet'!E25/'Data Sheet'!E$17</f>
        <v>5.84055290567507E-4</v>
      </c>
      <c r="F32" s="261">
        <f>'Data Sheet'!F25/'Data Sheet'!F$17</f>
        <v>3.0352556619192155E-4</v>
      </c>
      <c r="G32" s="261">
        <f>'Data Sheet'!G25/'Data Sheet'!G$17</f>
        <v>6.7257033964802145E-4</v>
      </c>
      <c r="H32" s="261">
        <f>'Data Sheet'!H25/'Data Sheet'!H$17</f>
        <v>7.1671376499979518E-4</v>
      </c>
      <c r="I32" s="261">
        <f>'Data Sheet'!I25/'Data Sheet'!I$17</f>
        <v>8.3215728259282678E-3</v>
      </c>
      <c r="J32" s="261">
        <f>'Data Sheet'!J25/'Data Sheet'!J$17</f>
        <v>9.3888142709976921E-4</v>
      </c>
      <c r="K32" s="261">
        <f>'Data Sheet'!K25/'Data Sheet'!K$17</f>
        <v>8.4638625211596566E-4</v>
      </c>
      <c r="L32" s="261"/>
      <c r="M32" s="261">
        <f>SUM('Data Sheet'!I25:K25)/SUM('Data Sheet'!$I$17:$K$17)</f>
        <v>2.8661210677164263E-3</v>
      </c>
      <c r="N32" s="261">
        <f>SUM('Data Sheet'!F25:I25)/SUM('Data Sheet'!$F$17:$I$17)</f>
        <v>2.9861153216516096E-3</v>
      </c>
      <c r="O32" s="261">
        <f>SUM('Data Sheet'!B25:I25)/SUM('Data Sheet'!$B$17:$I$17)</f>
        <v>2.4888697491497942E-3</v>
      </c>
    </row>
    <row r="33" spans="1:15" x14ac:dyDescent="0.2">
      <c r="A33" s="253" t="s">
        <v>496</v>
      </c>
      <c r="B33" s="266">
        <f>'Data Sheet'!B26/'Data Sheet'!B$17</f>
        <v>0.10350412249705536</v>
      </c>
      <c r="C33" s="266">
        <f>'Data Sheet'!C26/'Data Sheet'!C$17</f>
        <v>-1.1705494337896062E-2</v>
      </c>
      <c r="D33" s="266">
        <f>'Data Sheet'!D26/'Data Sheet'!D$17</f>
        <v>6.1765192912733892E-2</v>
      </c>
      <c r="E33" s="266">
        <f>'Data Sheet'!E26/'Data Sheet'!E$17</f>
        <v>0.11031344300593789</v>
      </c>
      <c r="F33" s="266">
        <f>'Data Sheet'!F26/'Data Sheet'!F$17</f>
        <v>5.5988792902171375E-2</v>
      </c>
      <c r="G33" s="266">
        <f>'Data Sheet'!G26/'Data Sheet'!G$17</f>
        <v>5.4926577737921756E-2</v>
      </c>
      <c r="H33" s="266">
        <f>'Data Sheet'!H26/'Data Sheet'!H$17</f>
        <v>5.0927632387271167E-2</v>
      </c>
      <c r="I33" s="266">
        <f>'Data Sheet'!I26/'Data Sheet'!I$17</f>
        <v>4.5322562330689244E-2</v>
      </c>
      <c r="J33" s="266">
        <f>'Data Sheet'!J26/'Data Sheet'!J$17</f>
        <v>5.1586318411203987E-2</v>
      </c>
      <c r="K33" s="268">
        <f>'Data Sheet'!K26/'Data Sheet'!K$17</f>
        <v>4.4622768861556923E-2</v>
      </c>
      <c r="L33" s="268"/>
      <c r="M33" s="261">
        <f>SUM('Data Sheet'!I26:K26)/SUM('Data Sheet'!$I$17:$K$17)</f>
        <v>4.7114023274284329E-2</v>
      </c>
      <c r="N33" s="261">
        <f>SUM('Data Sheet'!F26:I26)/SUM('Data Sheet'!$F$17:$I$17)</f>
        <v>5.1178277653145782E-2</v>
      </c>
      <c r="O33" s="261">
        <f>SUM('Data Sheet'!B26:I26)/SUM('Data Sheet'!$B$17:$I$17)</f>
        <v>5.8038795969677585E-2</v>
      </c>
    </row>
    <row r="34" spans="1:15" x14ac:dyDescent="0.2">
      <c r="A34" s="246" t="s">
        <v>260</v>
      </c>
      <c r="B34" s="261">
        <f>1-B25</f>
        <v>0.4430212014134276</v>
      </c>
      <c r="C34" s="261">
        <f t="shared" ref="C34:O34" si="8">1-C25</f>
        <v>0.35730354215121818</v>
      </c>
      <c r="D34" s="261">
        <f t="shared" si="8"/>
        <v>0.36181487001159129</v>
      </c>
      <c r="E34" s="261">
        <f t="shared" si="8"/>
        <v>0.36498588533047793</v>
      </c>
      <c r="F34" s="261">
        <f t="shared" si="8"/>
        <v>0.33154331076348353</v>
      </c>
      <c r="G34" s="261">
        <f t="shared" si="8"/>
        <v>0.40771213989463062</v>
      </c>
      <c r="H34" s="264">
        <f t="shared" si="8"/>
        <v>0.37793340705246348</v>
      </c>
      <c r="I34" s="264">
        <f t="shared" si="8"/>
        <v>0.37208623290671083</v>
      </c>
      <c r="J34" s="264">
        <f t="shared" si="8"/>
        <v>0.39817700522904798</v>
      </c>
      <c r="K34" s="264">
        <f t="shared" si="8"/>
        <v>0.33881163084702914</v>
      </c>
      <c r="L34" s="264"/>
      <c r="M34" s="264">
        <f t="shared" si="8"/>
        <v>0.36731672364377232</v>
      </c>
      <c r="N34" s="264">
        <f t="shared" si="8"/>
        <v>0.37278441358960379</v>
      </c>
      <c r="O34" s="264">
        <f t="shared" si="8"/>
        <v>0.37396692906404572</v>
      </c>
    </row>
    <row r="35" spans="1:15" x14ac:dyDescent="0.2">
      <c r="A35" s="246" t="s">
        <v>497</v>
      </c>
      <c r="B35" s="261">
        <f>('Data Sheet'!B28+'Data Sheet'!B27)/'Data Sheet'!B17</f>
        <v>6.0463290145268946E-2</v>
      </c>
      <c r="C35" s="261">
        <f>('Data Sheet'!C28+'Data Sheet'!C27)/'Data Sheet'!C17</f>
        <v>3.2028062683494107E-3</v>
      </c>
      <c r="D35" s="261">
        <f>('Data Sheet'!D28+'Data Sheet'!D27)/'Data Sheet'!D17</f>
        <v>5.3485676436496106E-2</v>
      </c>
      <c r="E35" s="261">
        <f>('Data Sheet'!E28+'Data Sheet'!E27)/'Data Sheet'!E17</f>
        <v>7.4734741555533918E-2</v>
      </c>
      <c r="F35" s="261">
        <f>('Data Sheet'!F28+'Data Sheet'!F27)/'Data Sheet'!F17</f>
        <v>4.949801540975951E-2</v>
      </c>
      <c r="G35" s="261">
        <f>('Data Sheet'!G28+'Data Sheet'!G27)/'Data Sheet'!G17</f>
        <v>0.10823898666068826</v>
      </c>
      <c r="H35" s="261">
        <f>('Data Sheet'!H28+'Data Sheet'!H27)/'Data Sheet'!H17</f>
        <v>0.14213457836753082</v>
      </c>
      <c r="I35" s="261">
        <f>('Data Sheet'!I28+'Data Sheet'!I27)/'Data Sheet'!I17</f>
        <v>0.12388275179651889</v>
      </c>
      <c r="J35" s="261">
        <f>('Data Sheet'!J28+'Data Sheet'!J27)/'Data Sheet'!J17</f>
        <v>0.12805299464055184</v>
      </c>
      <c r="K35" s="261">
        <f>('Data Sheet'!K28+'Data Sheet'!K27)/'Data Sheet'!K17</f>
        <v>9.8845057747112636E-2</v>
      </c>
      <c r="L35" s="261"/>
      <c r="M35" s="261">
        <f>(SUM('Data Sheet'!I28:K28)+SUM('Data Sheet'!I27:K27))/SUM('Data Sheet'!$I$17:$K$17)</f>
        <v>0.11517576573776717</v>
      </c>
      <c r="N35" s="261">
        <f>(SUM('Data Sheet'!F28:I28)+SUM('Data Sheet'!F27:I27))/SUM('Data Sheet'!$F$17:$I$17)</f>
        <v>0.10876331372905676</v>
      </c>
      <c r="O35" s="261">
        <f>(SUM('Data Sheet'!B28:I28)+SUM('Data Sheet'!B27:I27))/SUM('Data Sheet'!$B$17:$I$17)</f>
        <v>8.7167438237398892E-2</v>
      </c>
    </row>
    <row r="36" spans="1:15" x14ac:dyDescent="0.2">
      <c r="A36" s="246" t="s">
        <v>143</v>
      </c>
      <c r="B36" s="266">
        <f>'Data Sheet'!B30/'Data Sheet'!B17</f>
        <v>-2.1054181389870436E-2</v>
      </c>
      <c r="C36" s="266">
        <f>'Data Sheet'!C30/'Data Sheet'!C17</f>
        <v>-5.3799519579059749E-2</v>
      </c>
      <c r="D36" s="266">
        <f>'Data Sheet'!D30/'Data Sheet'!D17</f>
        <v>2.2520284815366787E-3</v>
      </c>
      <c r="E36" s="266">
        <f>'Data Sheet'!E30/'Data Sheet'!E17</f>
        <v>1.6402219410104158E-2</v>
      </c>
      <c r="F36" s="266">
        <f>'Data Sheet'!F30/'Data Sheet'!F17</f>
        <v>7.0044361428904967E-4</v>
      </c>
      <c r="G36" s="266">
        <f>'Data Sheet'!G30/'Data Sheet'!G17</f>
        <v>3.1700482008743418E-2</v>
      </c>
      <c r="H36" s="266">
        <f>'Data Sheet'!H30/'Data Sheet'!H17</f>
        <v>7.1220870704836806E-2</v>
      </c>
      <c r="I36" s="266">
        <f>'Data Sheet'!I30/'Data Sheet'!I17</f>
        <v>6.6442811491232337E-2</v>
      </c>
      <c r="J36" s="266">
        <f>'Data Sheet'!J30/'Data Sheet'!J17</f>
        <v>5.7584727528785837E-2</v>
      </c>
      <c r="K36" s="266">
        <f>'Data Sheet'!K30/'Data Sheet'!K17</f>
        <v>6.1229081403072705E-2</v>
      </c>
      <c r="L36" s="266"/>
      <c r="M36" s="261">
        <f>SUM('Data Sheet'!I30:K30)/SUM('Data Sheet'!$I$17:$K$17)</f>
        <v>6.141009703373735E-2</v>
      </c>
      <c r="N36" s="261">
        <f>SUM('Data Sheet'!F30:I30)/SUM('Data Sheet'!$F$17:$I$17)</f>
        <v>4.5564785060328628E-2</v>
      </c>
      <c r="O36" s="261">
        <f>SUM('Data Sheet'!B30:I30)/SUM('Data Sheet'!$B$17:$I$17)</f>
        <v>2.507868754868495E-2</v>
      </c>
    </row>
    <row r="37" spans="1:15" x14ac:dyDescent="0.2">
      <c r="A37" s="246" t="s">
        <v>262</v>
      </c>
      <c r="B37" s="261">
        <f>'Data Sheet'!B29/'Data Sheet'!B28</f>
        <v>-0.88986784140969166</v>
      </c>
      <c r="C37" s="261">
        <f>'Data Sheet'!C29/'Data Sheet'!C28</f>
        <v>0.38811795316565478</v>
      </c>
      <c r="D37" s="261">
        <f>'Data Sheet'!D29/'Data Sheet'!D28</f>
        <v>0.32</v>
      </c>
      <c r="E37" s="265">
        <f>'Data Sheet'!E29/'Data Sheet'!E28</f>
        <v>0.30299896587383662</v>
      </c>
      <c r="F37" s="265">
        <f>'Data Sheet'!F29/'Data Sheet'!F28</f>
        <v>0</v>
      </c>
      <c r="G37" s="261">
        <f>'Data Sheet'!G29/'Data Sheet'!G28</f>
        <v>0.3261802575107296</v>
      </c>
      <c r="H37" s="261">
        <f>'Data Sheet'!H29/'Data Sheet'!H28</f>
        <v>0.33051010587102986</v>
      </c>
      <c r="I37" s="261">
        <f>'Data Sheet'!I29/'Data Sheet'!I28</f>
        <v>0.23795348837209301</v>
      </c>
      <c r="J37" s="265">
        <f>'Data Sheet'!J29/'Data Sheet'!J28</f>
        <v>0.32274888786623718</v>
      </c>
      <c r="K37" s="261">
        <f>'Data Sheet'!K29/'Data Sheet'!K28</f>
        <v>0.18380462724935734</v>
      </c>
      <c r="L37" s="261"/>
      <c r="M37" s="261">
        <f>SUM('Data Sheet'!I29:K29)/SUM('Data Sheet'!$I$28:$K$28)</f>
        <v>0.24714225232853515</v>
      </c>
      <c r="N37" s="261">
        <f>SUM('Data Sheet'!F29:I29)/SUM('Data Sheet'!$F$28:$I$28)</f>
        <v>0.28983224383712686</v>
      </c>
      <c r="O37" s="261">
        <f>SUM('Data Sheet'!B29:I29)/SUM('Data Sheet'!$B$28:$I$28)</f>
        <v>0.29489805004006769</v>
      </c>
    </row>
    <row r="38" spans="1:15" ht="21" customHeight="1" x14ac:dyDescent="0.2">
      <c r="A38" s="247" t="s">
        <v>498</v>
      </c>
    </row>
    <row r="39" spans="1:15" x14ac:dyDescent="0.2">
      <c r="A39" s="246" t="s">
        <v>542</v>
      </c>
      <c r="B39" s="261">
        <f>('Data Sheet'!B62+'Data Sheet'!B45)/'Data Sheet'!B61</f>
        <v>0.67175510863419752</v>
      </c>
      <c r="C39" s="261">
        <f>('Data Sheet'!C62+'Data Sheet'!C45)/'Data Sheet'!C61</f>
        <v>0.75337514864644306</v>
      </c>
      <c r="D39" s="261">
        <f>('Data Sheet'!D62+'Data Sheet'!D45)/'Data Sheet'!D61</f>
        <v>0.70759337929753696</v>
      </c>
      <c r="E39" s="261">
        <f>('Data Sheet'!E62+'Data Sheet'!E45)/'Data Sheet'!E61</f>
        <v>0.63391066099124227</v>
      </c>
      <c r="F39" s="261">
        <f>('Data Sheet'!F62+'Data Sheet'!F45)/'Data Sheet'!F61</f>
        <v>0.68545925712640365</v>
      </c>
      <c r="G39" s="261">
        <f>('Data Sheet'!G62+'Data Sheet'!G45)/'Data Sheet'!G61</f>
        <v>0.61284736538302964</v>
      </c>
      <c r="H39" s="261">
        <f>('Data Sheet'!H62+'Data Sheet'!H45)/'Data Sheet'!H61</f>
        <v>0.57152506121070556</v>
      </c>
      <c r="I39" s="261">
        <f>('Data Sheet'!I62+'Data Sheet'!I45)/'Data Sheet'!I61</f>
        <v>0.70402444404503195</v>
      </c>
      <c r="J39" s="261">
        <f>('Data Sheet'!J62+'Data Sheet'!J45)/'Data Sheet'!J61</f>
        <v>0.62205305289593471</v>
      </c>
      <c r="K39" s="261">
        <f>('Data Sheet'!K62+'Data Sheet'!K45)/'Data Sheet'!K61</f>
        <v>0.67851976596066232</v>
      </c>
      <c r="L39" s="261"/>
      <c r="M39" s="269">
        <f>AVERAGE(I39:K39)</f>
        <v>0.66819908763387625</v>
      </c>
      <c r="N39" s="269">
        <f>AVERAGE(G39:K39)</f>
        <v>0.63779393789907279</v>
      </c>
      <c r="O39" s="269">
        <f>AVERAGE(B39:K39)</f>
        <v>0.66410632441911877</v>
      </c>
    </row>
    <row r="40" spans="1:15" x14ac:dyDescent="0.2">
      <c r="A40" s="246" t="s">
        <v>543</v>
      </c>
      <c r="B40" s="261">
        <f>'Data Sheet'!B62/'Data Sheet'!B61</f>
        <v>0.64483213526101824</v>
      </c>
      <c r="C40" s="261">
        <f>'Data Sheet'!C62/'Data Sheet'!C61</f>
        <v>0.73019796208641319</v>
      </c>
      <c r="D40" s="261">
        <f>'Data Sheet'!D62/'Data Sheet'!D61</f>
        <v>0.68500591963228641</v>
      </c>
      <c r="E40" s="261">
        <f>'Data Sheet'!E62/'Data Sheet'!E61</f>
        <v>0.60981457018445129</v>
      </c>
      <c r="F40" s="261">
        <f>'Data Sheet'!F62/'Data Sheet'!F61</f>
        <v>0.65675208753239278</v>
      </c>
      <c r="G40" s="261">
        <f>'Data Sheet'!G62/'Data Sheet'!G61</f>
        <v>0.58544295099090182</v>
      </c>
      <c r="H40" s="261">
        <f>'Data Sheet'!H62/'Data Sheet'!H61</f>
        <v>0.53811949455435792</v>
      </c>
      <c r="I40" s="261">
        <f>'Data Sheet'!I62/'Data Sheet'!I61</f>
        <v>0.68093658600349671</v>
      </c>
      <c r="J40" s="261">
        <f>'Data Sheet'!J62/'Data Sheet'!J61</f>
        <v>0.59970177366190547</v>
      </c>
      <c r="K40" s="261">
        <f>'Data Sheet'!K62/'Data Sheet'!K61</f>
        <v>0.66313664529222527</v>
      </c>
      <c r="L40" s="261"/>
      <c r="M40" s="269">
        <f t="shared" ref="M40:M52" si="9">AVERAGE(I40:K40)</f>
        <v>0.64792500165254241</v>
      </c>
      <c r="N40" s="269">
        <f t="shared" ref="N40:N52" si="10">AVERAGE(G40:K40)</f>
        <v>0.61346749010057744</v>
      </c>
      <c r="O40" s="269">
        <f t="shared" ref="O40:O52" si="11">AVERAGE(B40:K40)</f>
        <v>0.63939401251994499</v>
      </c>
    </row>
    <row r="41" spans="1:15" x14ac:dyDescent="0.2">
      <c r="A41" s="246" t="s">
        <v>499</v>
      </c>
      <c r="B41" s="261">
        <f>('Data Sheet'!B62+'Data Sheet'!B45)/'Data Sheet'!B17</f>
        <v>1.2245288574793876</v>
      </c>
      <c r="C41" s="261">
        <f>('Data Sheet'!C62+'Data Sheet'!C45)/'Data Sheet'!C17</f>
        <v>1.2319365539329701</v>
      </c>
      <c r="D41" s="261">
        <f>('Data Sheet'!D62+'Data Sheet'!D45)/'Data Sheet'!D17</f>
        <v>1.009471766848816</v>
      </c>
      <c r="E41" s="261">
        <f>('Data Sheet'!E62+'Data Sheet'!E45)/'Data Sheet'!E17</f>
        <v>0.63060936435315873</v>
      </c>
      <c r="F41" s="261">
        <f>('Data Sheet'!F62+'Data Sheet'!F45)/'Data Sheet'!F17</f>
        <v>0.55582535605883721</v>
      </c>
      <c r="G41" s="261">
        <f>('Data Sheet'!G62+'Data Sheet'!G45)/'Data Sheet'!G17</f>
        <v>0.49985427642640962</v>
      </c>
      <c r="H41" s="261">
        <f>('Data Sheet'!H62+'Data Sheet'!H45)/'Data Sheet'!H17</f>
        <v>0.41585780398902411</v>
      </c>
      <c r="I41" s="261">
        <f>('Data Sheet'!I62+'Data Sheet'!I45)/'Data Sheet'!I17</f>
        <v>0.69893101043035344</v>
      </c>
      <c r="J41" s="261">
        <f>('Data Sheet'!J62+'Data Sheet'!J45)/'Data Sheet'!J17</f>
        <v>0.51678902551931882</v>
      </c>
      <c r="K41" s="261">
        <f>('Data Sheet'!K62+'Data Sheet'!K45)/'Data Sheet'!K17</f>
        <v>0.67340204418350502</v>
      </c>
      <c r="L41" s="261"/>
      <c r="M41" s="269">
        <f t="shared" si="9"/>
        <v>0.62970736004439243</v>
      </c>
      <c r="N41" s="269">
        <f t="shared" si="10"/>
        <v>0.56096683210972231</v>
      </c>
      <c r="O41" s="269">
        <f t="shared" si="11"/>
        <v>0.74572060592217793</v>
      </c>
    </row>
    <row r="42" spans="1:15" x14ac:dyDescent="0.2">
      <c r="A42" s="246" t="s">
        <v>500</v>
      </c>
      <c r="B42" s="261">
        <f>('Data Sheet'!B62)/'Data Sheet'!B17</f>
        <v>1.1754515115822537</v>
      </c>
      <c r="C42" s="261">
        <f>('Data Sheet'!C62)/'Data Sheet'!C17</f>
        <v>1.1940366797575019</v>
      </c>
      <c r="D42" s="261">
        <f>('Data Sheet'!D62)/'Data Sheet'!D17</f>
        <v>0.9772478887232986</v>
      </c>
      <c r="E42" s="261">
        <f>('Data Sheet'!E62)/'Data Sheet'!E17</f>
        <v>0.60663876180278398</v>
      </c>
      <c r="F42" s="261">
        <f>('Data Sheet'!F62)/'Data Sheet'!F17</f>
        <v>0.53254727994396456</v>
      </c>
      <c r="G42" s="261">
        <f>('Data Sheet'!G62)/'Data Sheet'!G17</f>
        <v>0.4775025221387737</v>
      </c>
      <c r="H42" s="261">
        <f>('Data Sheet'!H62)/'Data Sheet'!H17</f>
        <v>0.39155096858745958</v>
      </c>
      <c r="I42" s="261">
        <f>('Data Sheet'!I62)/'Data Sheet'!I17</f>
        <v>0.67601018703262117</v>
      </c>
      <c r="J42" s="261">
        <f>('Data Sheet'!J62)/'Data Sheet'!J17</f>
        <v>0.49822003729445669</v>
      </c>
      <c r="K42" s="261">
        <f>('Data Sheet'!K62)/'Data Sheet'!K17</f>
        <v>0.65813495039533731</v>
      </c>
      <c r="L42" s="261"/>
      <c r="M42" s="269">
        <f t="shared" si="9"/>
        <v>0.61078839157413845</v>
      </c>
      <c r="N42" s="269">
        <f t="shared" si="10"/>
        <v>0.54028373308972966</v>
      </c>
      <c r="O42" s="269">
        <f t="shared" si="11"/>
        <v>0.71873407872584516</v>
      </c>
    </row>
    <row r="43" spans="1:15" x14ac:dyDescent="0.2">
      <c r="A43" s="246" t="s">
        <v>544</v>
      </c>
      <c r="C43" s="261">
        <f>C13/'Data Sheet'!C61</f>
        <v>5.3093011868398425E-2</v>
      </c>
      <c r="D43" s="261">
        <f>D13/'Data Sheet'!D61</f>
        <v>1.137497968753533E-3</v>
      </c>
      <c r="E43" s="261">
        <f>E13/'Data Sheet'!E61</f>
        <v>-1.1497627085473474E-3</v>
      </c>
      <c r="F43" s="261">
        <f>F13/'Data Sheet'!F61</f>
        <v>1.776562050100778E-2</v>
      </c>
      <c r="G43" s="261">
        <f>G13/'Data Sheet'!G61</f>
        <v>1.6547098760341956E-2</v>
      </c>
      <c r="H43" s="261">
        <f>H13/'Data Sheet'!H61</f>
        <v>6.8302704528185071E-2</v>
      </c>
      <c r="I43" s="261">
        <f>I13/'Data Sheet'!I61</f>
        <v>0.37955262168918807</v>
      </c>
      <c r="J43" s="261">
        <f>J13/'Data Sheet'!J61</f>
        <v>3.4452990111442448E-2</v>
      </c>
      <c r="K43" s="261">
        <f>K13/'Data Sheet'!K61</f>
        <v>0.27723082237623325</v>
      </c>
      <c r="L43" s="261"/>
      <c r="M43" s="269">
        <f t="shared" si="9"/>
        <v>0.23041214472562124</v>
      </c>
      <c r="N43" s="269">
        <f t="shared" si="10"/>
        <v>0.15521724749307814</v>
      </c>
      <c r="O43" s="269">
        <f t="shared" si="11"/>
        <v>9.4103622788333688E-2</v>
      </c>
    </row>
    <row r="44" spans="1:15" x14ac:dyDescent="0.2">
      <c r="A44" s="252" t="s">
        <v>501</v>
      </c>
      <c r="C44" s="261">
        <f>C13/('Data Sheet'!C62+'Data Sheet'!C45)</f>
        <v>7.0473537604456918E-2</v>
      </c>
      <c r="D44" s="261">
        <f>D13/('Data Sheet'!D62+'Data Sheet'!D45)</f>
        <v>1.607558807125617E-3</v>
      </c>
      <c r="E44" s="261">
        <f>E13/('Data Sheet'!E62+'Data Sheet'!E45)</f>
        <v>-1.8137614324855657E-3</v>
      </c>
      <c r="F44" s="261">
        <f>F13/('Data Sheet'!F62+'Data Sheet'!F45)</f>
        <v>2.5917835839704282E-2</v>
      </c>
      <c r="G44" s="261">
        <f>G13/('Data Sheet'!G62+'Data Sheet'!G45)</f>
        <v>2.7000358808754961E-2</v>
      </c>
      <c r="H44" s="261">
        <f>H13/('Data Sheet'!H62+'Data Sheet'!H45)</f>
        <v>0.11950955288556234</v>
      </c>
      <c r="I44" s="261">
        <f>I13/('Data Sheet'!I62+'Data Sheet'!I45)</f>
        <v>0.53911852763014367</v>
      </c>
      <c r="J44" s="261">
        <f>J13/('Data Sheet'!J62+'Data Sheet'!J45)</f>
        <v>5.538593525270618E-2</v>
      </c>
      <c r="K44" s="261">
        <f>K13/('Data Sheet'!K62+'Data Sheet'!K45)</f>
        <v>0.40858179272599987</v>
      </c>
      <c r="L44" s="261"/>
      <c r="M44" s="269">
        <f t="shared" si="9"/>
        <v>0.33436208520294991</v>
      </c>
      <c r="N44" s="269">
        <f t="shared" si="10"/>
        <v>0.22991923346063339</v>
      </c>
      <c r="O44" s="269">
        <f t="shared" si="11"/>
        <v>0.13842014868021868</v>
      </c>
    </row>
    <row r="45" spans="1:15" x14ac:dyDescent="0.2">
      <c r="A45" s="252" t="s">
        <v>502</v>
      </c>
      <c r="C45" s="265">
        <f>C13/'Data Sheet'!C62</f>
        <v>7.2710435560097167E-2</v>
      </c>
      <c r="D45" s="261">
        <f>D13/'Data Sheet'!D62</f>
        <v>1.6605666259995912E-3</v>
      </c>
      <c r="E45" s="261">
        <f>E13/'Data Sheet'!E62</f>
        <v>-1.8854300385108499E-3</v>
      </c>
      <c r="F45" s="261">
        <f>F13/'Data Sheet'!F62</f>
        <v>2.7050725590775579E-2</v>
      </c>
      <c r="G45" s="265">
        <f>G13/'Data Sheet'!G62</f>
        <v>2.8264237757641236E-2</v>
      </c>
      <c r="H45" s="265">
        <f>H13/'Data Sheet'!H62</f>
        <v>0.12692850792322577</v>
      </c>
      <c r="I45" s="265">
        <f>I13/'Data Sheet'!I62</f>
        <v>0.5573978979699572</v>
      </c>
      <c r="J45" s="265">
        <f>J13/'Data Sheet'!J62</f>
        <v>5.7450205459732472E-2</v>
      </c>
      <c r="K45" s="265">
        <f>K13/'Data Sheet'!K62</f>
        <v>0.41805987400087902</v>
      </c>
      <c r="L45" s="265"/>
      <c r="M45" s="269">
        <f t="shared" si="9"/>
        <v>0.34430265914352293</v>
      </c>
      <c r="N45" s="269">
        <f t="shared" si="10"/>
        <v>0.23762014462228714</v>
      </c>
      <c r="O45" s="269">
        <f t="shared" si="11"/>
        <v>0.1430707800944219</v>
      </c>
    </row>
    <row r="46" spans="1:15" x14ac:dyDescent="0.2">
      <c r="A46" s="252" t="s">
        <v>545</v>
      </c>
      <c r="B46" s="261">
        <f>('Data Sheet'!B62+'Data Sheet'!B45)/'Data Sheet'!B66</f>
        <v>0.67175510863419752</v>
      </c>
      <c r="C46" s="261">
        <f>('Data Sheet'!C62+'Data Sheet'!C45)/'Data Sheet'!C66</f>
        <v>0.75337514864644306</v>
      </c>
      <c r="D46" s="261">
        <f>('Data Sheet'!D62+'Data Sheet'!D45)/'Data Sheet'!D66</f>
        <v>0.70759337929753696</v>
      </c>
      <c r="E46" s="261">
        <f>('Data Sheet'!E62+'Data Sheet'!E45)/'Data Sheet'!E66</f>
        <v>0.63391066099124227</v>
      </c>
      <c r="F46" s="261">
        <f>('Data Sheet'!F62+'Data Sheet'!F45)/'Data Sheet'!F66</f>
        <v>0.68545925712640365</v>
      </c>
      <c r="G46" s="261">
        <f>('Data Sheet'!G62+'Data Sheet'!G45)/'Data Sheet'!G66</f>
        <v>0.61284736538302964</v>
      </c>
      <c r="H46" s="261">
        <f>('Data Sheet'!H62+'Data Sheet'!H45)/'Data Sheet'!H66</f>
        <v>0.57152506121070556</v>
      </c>
      <c r="I46" s="261">
        <f>('Data Sheet'!I62+'Data Sheet'!I45)/'Data Sheet'!I66</f>
        <v>0.70402444404503195</v>
      </c>
      <c r="J46" s="261">
        <f>('Data Sheet'!J62+'Data Sheet'!J45)/'Data Sheet'!J66</f>
        <v>0.62205305289593471</v>
      </c>
      <c r="K46" s="261">
        <f>('Data Sheet'!K62+'Data Sheet'!K45)/'Data Sheet'!K66</f>
        <v>0.67851976596066232</v>
      </c>
      <c r="L46" s="261"/>
      <c r="M46" s="269">
        <f t="shared" si="9"/>
        <v>0.66819908763387625</v>
      </c>
      <c r="N46" s="269">
        <f t="shared" si="10"/>
        <v>0.63779393789907279</v>
      </c>
      <c r="O46" s="269">
        <f t="shared" si="11"/>
        <v>0.66410632441911877</v>
      </c>
    </row>
    <row r="47" spans="1:15" x14ac:dyDescent="0.2">
      <c r="A47" s="252" t="s">
        <v>546</v>
      </c>
      <c r="B47" s="261">
        <f>'Data Sheet'!B62/'Data Sheet'!B66</f>
        <v>0.64483213526101824</v>
      </c>
      <c r="C47" s="261">
        <f>'Data Sheet'!C62/'Data Sheet'!C66</f>
        <v>0.73019796208641319</v>
      </c>
      <c r="D47" s="261">
        <f>'Data Sheet'!D62/'Data Sheet'!D66</f>
        <v>0.68500591963228641</v>
      </c>
      <c r="E47" s="261">
        <f>'Data Sheet'!E62/'Data Sheet'!E66</f>
        <v>0.60981457018445129</v>
      </c>
      <c r="F47" s="261">
        <f>'Data Sheet'!F62/'Data Sheet'!F66</f>
        <v>0.65675208753239278</v>
      </c>
      <c r="G47" s="261">
        <f>'Data Sheet'!G62/'Data Sheet'!G66</f>
        <v>0.58544295099090182</v>
      </c>
      <c r="H47" s="261">
        <f>'Data Sheet'!H62/'Data Sheet'!H66</f>
        <v>0.53811949455435792</v>
      </c>
      <c r="I47" s="261">
        <f>'Data Sheet'!I62/'Data Sheet'!I66</f>
        <v>0.68093658600349671</v>
      </c>
      <c r="J47" s="261">
        <f>'Data Sheet'!J62/'Data Sheet'!J66</f>
        <v>0.59970177366190547</v>
      </c>
      <c r="K47" s="261">
        <f>'Data Sheet'!K62/'Data Sheet'!K66</f>
        <v>0.66313664529222527</v>
      </c>
      <c r="L47" s="261"/>
      <c r="M47" s="269">
        <f t="shared" si="9"/>
        <v>0.64792500165254241</v>
      </c>
      <c r="N47" s="269">
        <f t="shared" si="10"/>
        <v>0.61346749010057744</v>
      </c>
      <c r="O47" s="269">
        <f t="shared" si="11"/>
        <v>0.63939401251994499</v>
      </c>
    </row>
    <row r="48" spans="1:15" x14ac:dyDescent="0.2">
      <c r="A48" s="246" t="s">
        <v>547</v>
      </c>
      <c r="B48" s="261">
        <f>'Data Sheet'!B64/'Data Sheet'!B61</f>
        <v>0</v>
      </c>
      <c r="C48" s="261">
        <f>'Data Sheet'!C64/'Data Sheet'!C61</f>
        <v>0</v>
      </c>
      <c r="D48" s="261">
        <f>'Data Sheet'!D64/'Data Sheet'!D61</f>
        <v>0</v>
      </c>
      <c r="E48" s="261">
        <f>'Data Sheet'!E64/'Data Sheet'!E61</f>
        <v>0</v>
      </c>
      <c r="F48" s="261">
        <f>'Data Sheet'!F64/'Data Sheet'!F61</f>
        <v>0</v>
      </c>
      <c r="G48" s="261">
        <f>'Data Sheet'!G64/'Data Sheet'!G61</f>
        <v>0</v>
      </c>
      <c r="H48" s="261">
        <f>'Data Sheet'!H64/'Data Sheet'!H61</f>
        <v>0</v>
      </c>
      <c r="I48" s="261">
        <f>'Data Sheet'!I64/'Data Sheet'!I61</f>
        <v>0</v>
      </c>
      <c r="J48" s="261">
        <f>'Data Sheet'!J64/'Data Sheet'!J61</f>
        <v>0</v>
      </c>
      <c r="K48" s="261">
        <f>'Data Sheet'!K64/'Data Sheet'!K61</f>
        <v>0</v>
      </c>
      <c r="L48" s="261"/>
      <c r="M48" s="269">
        <f t="shared" si="9"/>
        <v>0</v>
      </c>
      <c r="N48" s="269">
        <f t="shared" si="10"/>
        <v>0</v>
      </c>
      <c r="O48" s="269">
        <f t="shared" si="11"/>
        <v>0</v>
      </c>
    </row>
    <row r="49" spans="1:15" x14ac:dyDescent="0.2">
      <c r="A49" s="246" t="s">
        <v>548</v>
      </c>
      <c r="B49" s="261">
        <f>'Data Sheet'!B65/'Data Sheet'!B61</f>
        <v>0.22623374525482595</v>
      </c>
      <c r="C49" s="261">
        <f>'Data Sheet'!C65/'Data Sheet'!C61</f>
        <v>0.26961550120083005</v>
      </c>
      <c r="D49" s="261">
        <f>'Data Sheet'!D65/'Data Sheet'!D61</f>
        <v>0.31499408036771365</v>
      </c>
      <c r="E49" s="261">
        <f>'Data Sheet'!E65/'Data Sheet'!E61</f>
        <v>0.39018542981554871</v>
      </c>
      <c r="F49" s="261">
        <f>'Data Sheet'!F65/'Data Sheet'!F61</f>
        <v>0.33351569248488339</v>
      </c>
      <c r="G49" s="261">
        <f>'Data Sheet'!G65/'Data Sheet'!G61</f>
        <v>0.41455704900909812</v>
      </c>
      <c r="H49" s="261">
        <f>'Data Sheet'!H65/'Data Sheet'!H61</f>
        <v>0.40227394253229393</v>
      </c>
      <c r="I49" s="261">
        <f>'Data Sheet'!I65/'Data Sheet'!I61</f>
        <v>0.31906341399650334</v>
      </c>
      <c r="J49" s="261">
        <f>'Data Sheet'!J65/'Data Sheet'!J61</f>
        <v>0.37352064040182076</v>
      </c>
      <c r="K49" s="261">
        <f>'Data Sheet'!K65/'Data Sheet'!K61</f>
        <v>0.33686335470777468</v>
      </c>
      <c r="L49" s="261"/>
      <c r="M49" s="269">
        <f t="shared" si="9"/>
        <v>0.34314913636869959</v>
      </c>
      <c r="N49" s="269">
        <f t="shared" si="10"/>
        <v>0.36925568012949816</v>
      </c>
      <c r="O49" s="269">
        <f t="shared" si="11"/>
        <v>0.33808228497712933</v>
      </c>
    </row>
    <row r="50" spans="1:15" x14ac:dyDescent="0.2">
      <c r="A50" s="246" t="s">
        <v>549</v>
      </c>
      <c r="B50" s="261">
        <f>'Data Sheet'!B63/'Data Sheet'!B61</f>
        <v>0.12893411948415584</v>
      </c>
      <c r="C50" s="261">
        <f>'Data Sheet'!C63/'Data Sheet'!C61</f>
        <v>1.8653671275677944E-4</v>
      </c>
      <c r="D50" s="261">
        <f>'Data Sheet'!D63/'Data Sheet'!D61</f>
        <v>0</v>
      </c>
      <c r="E50" s="261">
        <f>'Data Sheet'!E63/'Data Sheet'!E61</f>
        <v>0</v>
      </c>
      <c r="F50" s="261">
        <f>'Data Sheet'!F63/'Data Sheet'!F61</f>
        <v>9.7322199827238696E-3</v>
      </c>
      <c r="G50" s="261">
        <f>'Data Sheet'!G63/'Data Sheet'!G61</f>
        <v>0</v>
      </c>
      <c r="H50" s="261">
        <f>'Data Sheet'!H63/'Data Sheet'!H61</f>
        <v>5.9606562913348156E-2</v>
      </c>
      <c r="I50" s="261">
        <f>'Data Sheet'!I63/'Data Sheet'!I61</f>
        <v>0</v>
      </c>
      <c r="J50" s="261">
        <f>'Data Sheet'!J63/'Data Sheet'!J61</f>
        <v>2.6777585936273739E-2</v>
      </c>
      <c r="K50" s="261">
        <f>'Data Sheet'!K63/'Data Sheet'!K61</f>
        <v>0</v>
      </c>
      <c r="L50" s="261"/>
      <c r="M50" s="269">
        <f t="shared" si="9"/>
        <v>8.9258619787579135E-3</v>
      </c>
      <c r="N50" s="269">
        <f t="shared" si="10"/>
        <v>1.7276829769924378E-2</v>
      </c>
      <c r="O50" s="269">
        <f t="shared" si="11"/>
        <v>2.2523702502925839E-2</v>
      </c>
    </row>
    <row r="51" spans="1:15" x14ac:dyDescent="0.2">
      <c r="A51" s="252" t="s">
        <v>503</v>
      </c>
      <c r="B51" s="261">
        <f>'Data Sheet'!B63/('Data Sheet'!B62+'Data Sheet'!B45)</f>
        <v>0.1919361949420865</v>
      </c>
      <c r="C51" s="261">
        <f>'Data Sheet'!C63/('Data Sheet'!C62+'Data Sheet'!C45)</f>
        <v>2.4760136180748991E-4</v>
      </c>
      <c r="D51" s="261">
        <f>'Data Sheet'!D63/('Data Sheet'!D62+'Data Sheet'!D45)</f>
        <v>0</v>
      </c>
      <c r="E51" s="261">
        <f>'Data Sheet'!E63/('Data Sheet'!E62+'Data Sheet'!E45)</f>
        <v>0</v>
      </c>
      <c r="F51" s="261">
        <f>'Data Sheet'!F63/('Data Sheet'!F62+'Data Sheet'!F45)</f>
        <v>1.419810131899521E-2</v>
      </c>
      <c r="G51" s="261">
        <f>'Data Sheet'!G63/('Data Sheet'!G62+'Data Sheet'!G45)</f>
        <v>0</v>
      </c>
      <c r="H51" s="261">
        <f>'Data Sheet'!H63/('Data Sheet'!H62+'Data Sheet'!H45)</f>
        <v>0.10429387433523733</v>
      </c>
      <c r="I51" s="261">
        <f>'Data Sheet'!I63/('Data Sheet'!I62+'Data Sheet'!I45)</f>
        <v>0</v>
      </c>
      <c r="J51" s="261">
        <f>'Data Sheet'!J63/('Data Sheet'!J62+'Data Sheet'!J45)</f>
        <v>4.30471095859302E-2</v>
      </c>
      <c r="K51" s="261">
        <f>'Data Sheet'!K63/('Data Sheet'!K62+'Data Sheet'!K45)</f>
        <v>0</v>
      </c>
      <c r="L51" s="261"/>
      <c r="M51" s="269">
        <f t="shared" si="9"/>
        <v>1.4349036528643401E-2</v>
      </c>
      <c r="N51" s="269">
        <f t="shared" si="10"/>
        <v>2.9468196784233507E-2</v>
      </c>
      <c r="O51" s="269">
        <f t="shared" si="11"/>
        <v>3.5372288154405671E-2</v>
      </c>
    </row>
    <row r="52" spans="1:15" x14ac:dyDescent="0.2">
      <c r="A52" s="252" t="s">
        <v>504</v>
      </c>
      <c r="B52" s="265">
        <f>'Data Sheet'!B63/'Data Sheet'!B62</f>
        <v>0.19994989770782015</v>
      </c>
      <c r="C52" s="265">
        <f>'Data Sheet'!C63/'Data Sheet'!C62</f>
        <v>2.5546046749265548E-4</v>
      </c>
      <c r="D52" s="261">
        <f>'Data Sheet'!D63/'Data Sheet'!D62</f>
        <v>0</v>
      </c>
      <c r="E52" s="261">
        <f>'Data Sheet'!E63/'Data Sheet'!E62</f>
        <v>0</v>
      </c>
      <c r="F52" s="261">
        <f>'Data Sheet'!F63/'Data Sheet'!F62</f>
        <v>1.4818711911964575E-2</v>
      </c>
      <c r="G52" s="261">
        <f>'Data Sheet'!G63/'Data Sheet'!G62</f>
        <v>0</v>
      </c>
      <c r="H52" s="265">
        <f>'Data Sheet'!H63/'Data Sheet'!H62</f>
        <v>0.11076826525809319</v>
      </c>
      <c r="I52" s="265">
        <f>'Data Sheet'!I63/'Data Sheet'!I62</f>
        <v>0</v>
      </c>
      <c r="J52" s="261">
        <f>'Data Sheet'!J63/'Data Sheet'!J62</f>
        <v>4.4651503651163396E-2</v>
      </c>
      <c r="K52" s="261">
        <f>'Data Sheet'!K63/'Data Sheet'!K62</f>
        <v>0</v>
      </c>
      <c r="L52" s="261"/>
      <c r="M52" s="269">
        <f t="shared" si="9"/>
        <v>1.4883834550387798E-2</v>
      </c>
      <c r="N52" s="269">
        <f t="shared" si="10"/>
        <v>3.1083953781851314E-2</v>
      </c>
      <c r="O52" s="269">
        <f t="shared" si="11"/>
        <v>3.7044383899653394E-2</v>
      </c>
    </row>
    <row r="53" spans="1:15" x14ac:dyDescent="0.2">
      <c r="A53" s="249" t="s">
        <v>505</v>
      </c>
    </row>
    <row r="54" spans="1:15" x14ac:dyDescent="0.2">
      <c r="A54" s="252" t="s">
        <v>506</v>
      </c>
      <c r="B54" s="260">
        <f>'Data Sheet'!B59/('Data Sheet'!B57+'Data Sheet'!B58)</f>
        <v>3.0358846241199178</v>
      </c>
      <c r="C54" s="260">
        <f>'Data Sheet'!C59/('Data Sheet'!C57+'Data Sheet'!C58)</f>
        <v>4.0493643494725458</v>
      </c>
      <c r="D54" s="260">
        <f>'Data Sheet'!D59/('Data Sheet'!D57+'Data Sheet'!D58)</f>
        <v>3.8752669262655446</v>
      </c>
      <c r="E54" s="260">
        <f>'Data Sheet'!E59/('Data Sheet'!E57+'Data Sheet'!E58)</f>
        <v>3.2892877822814128</v>
      </c>
      <c r="F54" s="260">
        <f>'Data Sheet'!F59/('Data Sheet'!F57+'Data Sheet'!F58)</f>
        <v>2.8723747980613892</v>
      </c>
      <c r="G54" s="260">
        <f>'Data Sheet'!G59/('Data Sheet'!G57+'Data Sheet'!G58)</f>
        <v>2.0502033931937693</v>
      </c>
      <c r="H54" s="260">
        <f>'Data Sheet'!H59/('Data Sheet'!H57+'Data Sheet'!H58)</f>
        <v>1.3384264538198403</v>
      </c>
      <c r="I54" s="260">
        <f>'Data Sheet'!I59/('Data Sheet'!I57+'Data Sheet'!I58)</f>
        <v>2.265225462602551</v>
      </c>
      <c r="J54" s="260">
        <f>'Data Sheet'!J59/('Data Sheet'!J57+'Data Sheet'!J58)</f>
        <v>1.7120696362575376</v>
      </c>
      <c r="K54" s="270">
        <f>'Data Sheet'!K59/('Data Sheet'!K57+'Data Sheet'!K58)</f>
        <v>2.1996720927509075</v>
      </c>
      <c r="L54" s="270"/>
      <c r="M54" s="260">
        <f t="shared" ref="M54:M65" si="12">AVERAGE(I54:K54)</f>
        <v>2.0589890638703321</v>
      </c>
      <c r="N54" s="260">
        <f t="shared" ref="N54:N65" si="13">AVERAGE(G54:K54)</f>
        <v>1.9131194077249212</v>
      </c>
      <c r="O54" s="260">
        <f t="shared" ref="O54:O65" si="14">AVERAGE(B54:K54)</f>
        <v>2.6687775518825414</v>
      </c>
    </row>
    <row r="55" spans="1:15" x14ac:dyDescent="0.2">
      <c r="A55" s="252" t="s">
        <v>267</v>
      </c>
      <c r="B55" s="260">
        <f>'Data Sheet'!B65/'Data Sheet'!B60</f>
        <v>5.2420461634435433</v>
      </c>
      <c r="C55" s="260">
        <f>'Data Sheet'!C65/'Data Sheet'!C60</f>
        <v>2.0826729106628239</v>
      </c>
      <c r="D55" s="260">
        <f>'Data Sheet'!D65/'Data Sheet'!D60</f>
        <v>3.1814771395076202</v>
      </c>
      <c r="E55" s="260">
        <f>'Data Sheet'!E65/'Data Sheet'!E60</f>
        <v>4.1536458333333339</v>
      </c>
      <c r="F55" s="260">
        <f>'Data Sheet'!F65/'Data Sheet'!F60</f>
        <v>9.8831058020477816</v>
      </c>
      <c r="G55" s="260">
        <f>'Data Sheet'!G65/'Data Sheet'!G60</f>
        <v>2.67506207875133</v>
      </c>
      <c r="H55" s="260">
        <f>'Data Sheet'!H65/'Data Sheet'!H60</f>
        <v>2.9960176063718298</v>
      </c>
      <c r="I55" s="260">
        <f>'Data Sheet'!I65/'Data Sheet'!I60</f>
        <v>2.9253932584269666</v>
      </c>
      <c r="J55" s="260">
        <f>'Data Sheet'!J65/'Data Sheet'!J60</f>
        <v>2.9974807910316161</v>
      </c>
      <c r="K55" s="270">
        <f>'Data Sheet'!K65/'Data Sheet'!K60</f>
        <v>2.9251031121109858</v>
      </c>
      <c r="L55" s="270"/>
      <c r="M55" s="260">
        <f t="shared" si="12"/>
        <v>2.9493257205231895</v>
      </c>
      <c r="N55" s="260">
        <f t="shared" si="13"/>
        <v>2.9038113693385457</v>
      </c>
      <c r="O55" s="260">
        <f t="shared" si="14"/>
        <v>3.9062004695687831</v>
      </c>
    </row>
    <row r="56" spans="1:15" x14ac:dyDescent="0.2">
      <c r="A56" s="252" t="s">
        <v>507</v>
      </c>
      <c r="B56" s="260">
        <f>('Data Sheet'!B27+'Data Sheet'!B28)/'Data Sheet'!B27</f>
        <v>0.84441398217957508</v>
      </c>
      <c r="C56" s="260">
        <f>('Data Sheet'!C27+'Data Sheet'!C28)/'Data Sheet'!C27</f>
        <v>3.5146443514644347E-2</v>
      </c>
      <c r="D56" s="260">
        <f>('Data Sheet'!D27+'Data Sheet'!D28)/'Data Sheet'!D27</f>
        <v>1.0660066006600659</v>
      </c>
      <c r="E56" s="260">
        <f>('Data Sheet'!E27+'Data Sheet'!E28)/'Data Sheet'!E27</f>
        <v>1.459600760456274</v>
      </c>
      <c r="F56" s="260">
        <f>('Data Sheet'!F27+'Data Sheet'!F28)/'Data Sheet'!F27</f>
        <v>1.0143540669856459</v>
      </c>
      <c r="G56" s="260">
        <f>('Data Sheet'!G27+'Data Sheet'!G28)/'Data Sheet'!G27</f>
        <v>1.7678506041742952</v>
      </c>
      <c r="H56" s="260">
        <f>('Data Sheet'!H27+'Data Sheet'!H28)/'Data Sheet'!H27</f>
        <v>3.9753722794959905</v>
      </c>
      <c r="I56" s="260">
        <f>('Data Sheet'!I27+'Data Sheet'!I28)/'Data Sheet'!I27</f>
        <v>3.3762157382847038</v>
      </c>
      <c r="J56" s="260">
        <f>('Data Sheet'!J27+'Data Sheet'!J28)/'Data Sheet'!J27</f>
        <v>2.9748561042108452</v>
      </c>
      <c r="K56" s="270">
        <f>('Data Sheet'!K27+'Data Sheet'!K28)/'Data Sheet'!K27</f>
        <v>4.1483812949640289</v>
      </c>
      <c r="L56" s="270"/>
      <c r="M56" s="260">
        <f t="shared" si="12"/>
        <v>3.4998177124865264</v>
      </c>
      <c r="N56" s="260">
        <f t="shared" si="13"/>
        <v>3.2485352042259725</v>
      </c>
      <c r="O56" s="260">
        <f t="shared" si="14"/>
        <v>2.0662197874926069</v>
      </c>
    </row>
    <row r="57" spans="1:15" x14ac:dyDescent="0.2">
      <c r="A57" s="252" t="s">
        <v>508</v>
      </c>
      <c r="B57" s="260">
        <f>'Data Sheet'!B61/('Data Sheet'!B57+'Data Sheet'!B58)</f>
        <v>4.2179196002725412</v>
      </c>
      <c r="C57" s="260">
        <f>'Data Sheet'!C61/('Data Sheet'!C57+'Data Sheet'!C58)</f>
        <v>5.8002434406275363</v>
      </c>
      <c r="D57" s="260">
        <f>'Data Sheet'!D61/('Data Sheet'!D57+'Data Sheet'!D58)</f>
        <v>5.4110036427584474</v>
      </c>
      <c r="E57" s="260">
        <f>'Data Sheet'!E61/('Data Sheet'!E57+'Data Sheet'!E58)</f>
        <v>4.7339895773016796</v>
      </c>
      <c r="F57" s="260">
        <f>'Data Sheet'!F61/('Data Sheet'!F57+'Data Sheet'!F58)</f>
        <v>4.0076159704592662</v>
      </c>
      <c r="G57" s="260">
        <f>'Data Sheet'!G61/('Data Sheet'!G57+'Data Sheet'!G58)</f>
        <v>3.6095842841551744</v>
      </c>
      <c r="H57" s="260">
        <f>'Data Sheet'!H61/('Data Sheet'!H57+'Data Sheet'!H58)</f>
        <v>2.7011022424933482</v>
      </c>
      <c r="I57" s="260">
        <f>'Data Sheet'!I61/('Data Sheet'!I57+'Data Sheet'!I58)</f>
        <v>3.6649499970058086</v>
      </c>
      <c r="J57" s="260">
        <f>'Data Sheet'!J61/('Data Sheet'!J57+'Data Sheet'!J58)</f>
        <v>3.0981326590157559</v>
      </c>
      <c r="K57" s="270">
        <f>'Data Sheet'!K61/('Data Sheet'!K57+'Data Sheet'!K58)</f>
        <v>3.6161142990982551</v>
      </c>
      <c r="L57" s="270"/>
      <c r="M57" s="260">
        <f t="shared" si="12"/>
        <v>3.4597323183732733</v>
      </c>
      <c r="N57" s="260">
        <f t="shared" si="13"/>
        <v>3.3379766963536683</v>
      </c>
      <c r="O57" s="260">
        <f t="shared" si="14"/>
        <v>4.0860655713187821</v>
      </c>
    </row>
    <row r="58" spans="1:15" x14ac:dyDescent="0.2">
      <c r="A58" s="252" t="s">
        <v>509</v>
      </c>
      <c r="B58" s="260">
        <f>('Data Sheet'!B65-'Data Sheet'!B68)/'Data Sheet'!B60</f>
        <v>2.2008733624454146</v>
      </c>
      <c r="C58" s="260">
        <f>('Data Sheet'!C65-'Data Sheet'!C68)/'Data Sheet'!C60</f>
        <v>1.3445605187319885</v>
      </c>
      <c r="D58" s="260">
        <f>('Data Sheet'!D65-'Data Sheet'!D68)/'Data Sheet'!D60</f>
        <v>1.3988276670574442</v>
      </c>
      <c r="E58" s="260">
        <f>('Data Sheet'!E65-'Data Sheet'!E68)/'Data Sheet'!E60</f>
        <v>2.0223958333333334</v>
      </c>
      <c r="F58" s="260">
        <f>('Data Sheet'!F65-'Data Sheet'!F68)/'Data Sheet'!F60</f>
        <v>3.302047781569966</v>
      </c>
      <c r="G58" s="260">
        <f>('Data Sheet'!G65-'Data Sheet'!G68)/'Data Sheet'!G60</f>
        <v>1.2224192976232704</v>
      </c>
      <c r="H58" s="260">
        <f>('Data Sheet'!H65-'Data Sheet'!H68)/'Data Sheet'!H60</f>
        <v>1.514147977363236</v>
      </c>
      <c r="I58" s="260">
        <f>('Data Sheet'!I65-'Data Sheet'!I68)/'Data Sheet'!I60</f>
        <v>1.5143071161048691</v>
      </c>
      <c r="J58" s="260">
        <f>('Data Sheet'!J65-'Data Sheet'!J68)/'Data Sheet'!J60</f>
        <v>1.5519586849729183</v>
      </c>
      <c r="K58" s="270">
        <f>('Data Sheet'!K65-'Data Sheet'!K68)/'Data Sheet'!K60</f>
        <v>1.3311773528308963</v>
      </c>
      <c r="L58" s="270"/>
      <c r="M58" s="260">
        <f t="shared" si="12"/>
        <v>1.4658143846362279</v>
      </c>
      <c r="N58" s="260">
        <f t="shared" si="13"/>
        <v>1.426802085779038</v>
      </c>
      <c r="O58" s="260">
        <f t="shared" si="14"/>
        <v>1.7402715592033335</v>
      </c>
    </row>
    <row r="59" spans="1:15" x14ac:dyDescent="0.2">
      <c r="A59" s="252" t="s">
        <v>510</v>
      </c>
      <c r="B59" s="260">
        <f>'Data Sheet'!B82/'Data Sheet'!B60</f>
        <v>1.1147847785402369</v>
      </c>
      <c r="C59" s="260">
        <f>'Data Sheet'!C82/'Data Sheet'!C60</f>
        <v>0.2570244956772334</v>
      </c>
      <c r="D59" s="260">
        <f>'Data Sheet'!D82/'Data Sheet'!D60</f>
        <v>1.2895662368112546E-2</v>
      </c>
      <c r="E59" s="260">
        <f>'Data Sheet'!E82/'Data Sheet'!E60</f>
        <v>1.1820312500000001</v>
      </c>
      <c r="F59" s="260">
        <f>'Data Sheet'!F82/'Data Sheet'!F60</f>
        <v>5.4761092150170647</v>
      </c>
      <c r="G59" s="260">
        <f>'Data Sheet'!G82/'Data Sheet'!G60</f>
        <v>1.5768002837885775</v>
      </c>
      <c r="H59" s="260">
        <f>'Data Sheet'!H82/'Data Sheet'!H60</f>
        <v>1.8155522951163279</v>
      </c>
      <c r="I59" s="260">
        <f>'Data Sheet'!I82/'Data Sheet'!I60</f>
        <v>0.66681647940074906</v>
      </c>
      <c r="J59" s="260">
        <f>'Data Sheet'!J82/'Data Sheet'!J60</f>
        <v>1.2646429021287315</v>
      </c>
      <c r="K59" s="270">
        <f>'Data Sheet'!K82/'Data Sheet'!K60</f>
        <v>0.55455568053993243</v>
      </c>
      <c r="L59" s="270"/>
      <c r="M59" s="260">
        <f t="shared" si="12"/>
        <v>0.82867168735647112</v>
      </c>
      <c r="N59" s="260">
        <f t="shared" si="13"/>
        <v>1.1756735281948636</v>
      </c>
      <c r="O59" s="260">
        <f t="shared" si="14"/>
        <v>1.3921213042576965</v>
      </c>
    </row>
    <row r="60" spans="1:15" x14ac:dyDescent="0.2">
      <c r="A60" s="252" t="s">
        <v>550</v>
      </c>
      <c r="C60" s="261">
        <f>'Data Sheet'!B69/'Data Sheet'!B61</f>
        <v>1.0769189349271735E-3</v>
      </c>
      <c r="D60" s="261">
        <f>'Data Sheet'!C69/'Data Sheet'!C61</f>
        <v>1.2358057220136639E-3</v>
      </c>
      <c r="E60" s="261">
        <f>'Data Sheet'!D69/'Data Sheet'!D61</f>
        <v>2.321424426027811E-4</v>
      </c>
      <c r="F60" s="261">
        <f>'Data Sheet'!E69/'Data Sheet'!E61</f>
        <v>3.4248250892900833E-4</v>
      </c>
      <c r="G60" s="261">
        <f>'Data Sheet'!F69/'Data Sheet'!F61</f>
        <v>2.3034840195796142E-4</v>
      </c>
      <c r="H60" s="261">
        <f>'Data Sheet'!G69/'Data Sheet'!G61</f>
        <v>7.6963250048102036E-4</v>
      </c>
      <c r="I60" s="261">
        <f>'Data Sheet'!H69/'Data Sheet'!H61</f>
        <v>1.6885711873469733E-4</v>
      </c>
      <c r="J60" s="261">
        <f>'Data Sheet'!I69/'Data Sheet'!I61</f>
        <v>1.1110929559974511E-3</v>
      </c>
      <c r="K60" s="261">
        <f>'Data Sheet'!J69/'Data Sheet'!J61</f>
        <v>8.9467901428347187E-4</v>
      </c>
      <c r="L60" s="261"/>
      <c r="M60" s="261">
        <f t="shared" si="12"/>
        <v>7.2487636300520679E-4</v>
      </c>
      <c r="N60" s="261">
        <f t="shared" si="13"/>
        <v>6.3492199829092029E-4</v>
      </c>
      <c r="O60" s="261">
        <f t="shared" si="14"/>
        <v>6.7355106665858099E-4</v>
      </c>
    </row>
    <row r="61" spans="1:15" x14ac:dyDescent="0.2">
      <c r="A61" s="246" t="s">
        <v>551</v>
      </c>
      <c r="B61" s="261">
        <f>'Data Sheet'!B69/'Data Sheet'!B59</f>
        <v>1.4962220393506399E-3</v>
      </c>
      <c r="C61" s="261">
        <f>'Data Sheet'!C69/'Data Sheet'!C59</f>
        <v>1.7701479576500451E-3</v>
      </c>
      <c r="D61" s="261">
        <f>'Data Sheet'!D69/'Data Sheet'!D59</f>
        <v>3.2413860166607245E-4</v>
      </c>
      <c r="E61" s="261">
        <f>'Data Sheet'!E69/'Data Sheet'!E59</f>
        <v>4.9290567897757292E-4</v>
      </c>
      <c r="F61" s="261">
        <f>'Data Sheet'!F69/'Data Sheet'!F59</f>
        <v>3.2138839787883657E-4</v>
      </c>
      <c r="G61" s="261">
        <f>'Data Sheet'!G69/'Data Sheet'!G59</f>
        <v>1.3550135501355016E-3</v>
      </c>
      <c r="H61" s="261">
        <f>'Data Sheet'!H69/'Data Sheet'!H59</f>
        <v>3.4077355597205659E-4</v>
      </c>
      <c r="I61" s="261">
        <f>'Data Sheet'!I69/'Data Sheet'!I59</f>
        <v>1.7976577576863089E-3</v>
      </c>
      <c r="J61" s="265">
        <f>'Data Sheet'!J69/'Data Sheet'!J59</f>
        <v>1.6189962223421477E-3</v>
      </c>
      <c r="K61" s="265">
        <f>'Data Sheet'!K69/'Data Sheet'!K59</f>
        <v>2.2538110702940602E-3</v>
      </c>
      <c r="L61" s="265"/>
      <c r="M61" s="261">
        <f t="shared" si="12"/>
        <v>1.8901550167741722E-3</v>
      </c>
      <c r="N61" s="261">
        <f t="shared" si="13"/>
        <v>1.4732504312860149E-3</v>
      </c>
      <c r="O61" s="261">
        <f t="shared" si="14"/>
        <v>1.1771054831953239E-3</v>
      </c>
    </row>
    <row r="62" spans="1:15" x14ac:dyDescent="0.2">
      <c r="A62" s="246" t="s">
        <v>552</v>
      </c>
      <c r="B62" s="261">
        <f>'Data Sheet'!B69/'Data Sheet'!B60</f>
        <v>2.4953212726138489E-2</v>
      </c>
      <c r="C62" s="261">
        <f>'Data Sheet'!C69/'Data Sheet'!C60</f>
        <v>9.5461095100864545E-3</v>
      </c>
      <c r="D62" s="261">
        <f>'Data Sheet'!D69/'Data Sheet'!D60</f>
        <v>2.3446658851113719E-3</v>
      </c>
      <c r="E62" s="261">
        <f>'Data Sheet'!E69/'Data Sheet'!E60</f>
        <v>3.6458333333333338E-3</v>
      </c>
      <c r="F62" s="261">
        <f>'Data Sheet'!F69/'Data Sheet'!F60</f>
        <v>6.8259385665529011E-3</v>
      </c>
      <c r="G62" s="261">
        <f>'Data Sheet'!G69/'Data Sheet'!G60</f>
        <v>4.9663001064207167E-3</v>
      </c>
      <c r="H62" s="261">
        <f>'Data Sheet'!H69/'Data Sheet'!H60</f>
        <v>1.2575979878432194E-3</v>
      </c>
      <c r="I62" s="261">
        <f>'Data Sheet'!I69/'Data Sheet'!I60</f>
        <v>1.0187265917602996E-2</v>
      </c>
      <c r="J62" s="261">
        <f>'Data Sheet'!J69/'Data Sheet'!J60</f>
        <v>7.1797455598941922E-3</v>
      </c>
      <c r="K62" s="261">
        <f>'Data Sheet'!K69/'Data Sheet'!K60</f>
        <v>1.1904761904761904E-2</v>
      </c>
      <c r="L62" s="261"/>
      <c r="M62" s="261">
        <f t="shared" si="12"/>
        <v>9.7572577940863645E-3</v>
      </c>
      <c r="N62" s="261">
        <f t="shared" si="13"/>
        <v>7.0991342953046054E-3</v>
      </c>
      <c r="O62" s="261">
        <f t="shared" si="14"/>
        <v>8.2811431497745568E-3</v>
      </c>
    </row>
    <row r="63" spans="1:15" x14ac:dyDescent="0.2">
      <c r="A63" s="246" t="s">
        <v>511</v>
      </c>
      <c r="B63" s="261">
        <f>'Data Sheet'!B60/'Data Sheet'!B59</f>
        <v>5.9961098226976893E-2</v>
      </c>
      <c r="C63" s="261">
        <f>'Data Sheet'!C60/'Data Sheet'!C59</f>
        <v>0.18543134831835945</v>
      </c>
      <c r="D63" s="261">
        <f>'Data Sheet'!D60/'Data Sheet'!D59</f>
        <v>0.1382451136105799</v>
      </c>
      <c r="E63" s="261">
        <f>'Data Sheet'!E60/'Data Sheet'!E59</f>
        <v>0.13519698623384854</v>
      </c>
      <c r="F63" s="261">
        <f>'Data Sheet'!F60/'Data Sheet'!F59</f>
        <v>4.7083400289249566E-2</v>
      </c>
      <c r="G63" s="261">
        <f>'Data Sheet'!G60/'Data Sheet'!G59</f>
        <v>0.2728416569879985</v>
      </c>
      <c r="H63" s="261">
        <f>'Data Sheet'!H60/'Data Sheet'!H59</f>
        <v>0.27097177259044702</v>
      </c>
      <c r="I63" s="261">
        <f>'Data Sheet'!I60/'Data Sheet'!I59</f>
        <v>0.17646125783170752</v>
      </c>
      <c r="J63" s="261">
        <f>'Data Sheet'!J60/'Data Sheet'!J59</f>
        <v>0.22549492998551426</v>
      </c>
      <c r="K63" s="265">
        <f>'Data Sheet'!K60/'Data Sheet'!K59</f>
        <v>0.18932012990470107</v>
      </c>
      <c r="L63" s="265"/>
      <c r="M63" s="261">
        <f t="shared" si="12"/>
        <v>0.19709210590730761</v>
      </c>
      <c r="N63" s="261">
        <f t="shared" si="13"/>
        <v>0.2270179494600737</v>
      </c>
      <c r="O63" s="261">
        <f t="shared" si="14"/>
        <v>0.17010076939793828</v>
      </c>
    </row>
    <row r="64" spans="1:15" x14ac:dyDescent="0.2">
      <c r="A64" s="252" t="s">
        <v>512</v>
      </c>
      <c r="B64" s="261">
        <f>'Data Sheet'!B26/('Data Sheet'!B62+'Data Sheet'!B26)</f>
        <v>8.0928626247122035E-2</v>
      </c>
      <c r="C64" s="261">
        <f>'Data Sheet'!C26/('Data Sheet'!C62+'Data Sheet'!C26)</f>
        <v>-9.9003515108516873E-3</v>
      </c>
      <c r="D64" s="261">
        <f>'Data Sheet'!D26/('Data Sheet'!D62+'Data Sheet'!D26)</f>
        <v>5.9446020463455838E-2</v>
      </c>
      <c r="E64" s="261">
        <f>'Data Sheet'!E26/('Data Sheet'!E62+'Data Sheet'!E26)</f>
        <v>0.15386443094260208</v>
      </c>
      <c r="F64" s="261">
        <f>'Data Sheet'!F26/('Data Sheet'!F62+'Data Sheet'!F26)</f>
        <v>9.5132304518586105E-2</v>
      </c>
      <c r="G64" s="261">
        <f>'Data Sheet'!G26/('Data Sheet'!G62+'Data Sheet'!G26)</f>
        <v>0.10316223841003831</v>
      </c>
      <c r="H64" s="261">
        <f>'Data Sheet'!H26/('Data Sheet'!H62+'Data Sheet'!H26)</f>
        <v>0.11509626064420585</v>
      </c>
      <c r="I64" s="261">
        <f>'Data Sheet'!I26/('Data Sheet'!I62+'Data Sheet'!I26)</f>
        <v>6.2831699199424301E-2</v>
      </c>
      <c r="J64" s="261">
        <f>'Data Sheet'!J26/('Data Sheet'!J62+'Data Sheet'!J26)</f>
        <v>9.3826340630410551E-2</v>
      </c>
      <c r="K64" s="261">
        <f>'Data Sheet'!K26/('Data Sheet'!K62+'Data Sheet'!K26)</f>
        <v>6.349666127999512E-2</v>
      </c>
      <c r="L64" s="261"/>
      <c r="M64" s="261">
        <f t="shared" si="12"/>
        <v>7.3384900369943315E-2</v>
      </c>
      <c r="N64" s="261">
        <f t="shared" si="13"/>
        <v>8.7682640032814826E-2</v>
      </c>
      <c r="O64" s="261">
        <f t="shared" si="14"/>
        <v>8.178842308249884E-2</v>
      </c>
    </row>
    <row r="65" spans="1:15" x14ac:dyDescent="0.2">
      <c r="A65" s="252" t="s">
        <v>513</v>
      </c>
      <c r="B65" s="261">
        <f>'Data Sheet'!B26/'Data Sheet'!B62</f>
        <v>8.8054778506116663E-2</v>
      </c>
      <c r="C65" s="261">
        <f>'Data Sheet'!C26/'Data Sheet'!C62</f>
        <v>-9.8032954400306543E-3</v>
      </c>
      <c r="D65" s="261">
        <f>'Data Sheet'!D26/'Data Sheet'!D62</f>
        <v>6.3203199132438659E-2</v>
      </c>
      <c r="E65" s="261">
        <f>'Data Sheet'!E26/'Data Sheet'!E62</f>
        <v>0.18184370988446727</v>
      </c>
      <c r="F65" s="261">
        <f>'Data Sheet'!F26/'Data Sheet'!F62</f>
        <v>0.10513393835766584</v>
      </c>
      <c r="G65" s="261">
        <f>'Data Sheet'!G26/'Data Sheet'!G62</f>
        <v>0.1150288745950514</v>
      </c>
      <c r="H65" s="261">
        <f>'Data Sheet'!H26/'Data Sheet'!H62</f>
        <v>0.13006641912033889</v>
      </c>
      <c r="I65" s="261">
        <f>'Data Sheet'!I26/'Data Sheet'!I62</f>
        <v>6.7044200220761144E-2</v>
      </c>
      <c r="J65" s="265">
        <f>'Data Sheet'!J26/'Data Sheet'!J62</f>
        <v>0.10354123589918078</v>
      </c>
      <c r="K65" s="265">
        <f>'Data Sheet'!K26/'Data Sheet'!K62</f>
        <v>6.78018525452148E-2</v>
      </c>
      <c r="L65" s="265"/>
      <c r="M65" s="261">
        <f t="shared" si="12"/>
        <v>7.9462429555052241E-2</v>
      </c>
      <c r="N65" s="261">
        <f t="shared" si="13"/>
        <v>9.6696516476109412E-2</v>
      </c>
      <c r="O65" s="261">
        <f t="shared" si="14"/>
        <v>9.1191491282120479E-2</v>
      </c>
    </row>
    <row r="66" spans="1:15" x14ac:dyDescent="0.2">
      <c r="A66" s="252" t="s">
        <v>553</v>
      </c>
      <c r="B66" s="365">
        <f>'Data Sheet'!B69/('Data Sheet'!B90*'Data Sheet'!B93)</f>
        <v>8.3439281351671089E-3</v>
      </c>
      <c r="C66" s="365">
        <f>'Data Sheet'!C69/('Data Sheet'!C90*'Data Sheet'!C93)</f>
        <v>2.681693679888264E-2</v>
      </c>
      <c r="D66" s="365">
        <f>'Data Sheet'!D69/('Data Sheet'!D90*'Data Sheet'!D93)</f>
        <v>2.5078035228176887E-3</v>
      </c>
      <c r="E66" s="365">
        <f>'Data Sheet'!E69/('Data Sheet'!E90*'Data Sheet'!E93)</f>
        <v>2.4593435513622745E-3</v>
      </c>
      <c r="F66" s="365">
        <f>'Data Sheet'!F69/('Data Sheet'!F90*'Data Sheet'!F93)</f>
        <v>2.8243224140471058E-3</v>
      </c>
      <c r="G66" s="365">
        <f>'Data Sheet'!G69/('Data Sheet'!G90*'Data Sheet'!G93)</f>
        <v>6.121251885354599E-3</v>
      </c>
      <c r="H66" s="365">
        <f>'Data Sheet'!H69/('Data Sheet'!H90*'Data Sheet'!H93)</f>
        <v>8.151142209905564E-4</v>
      </c>
      <c r="I66" s="365">
        <f>'Data Sheet'!I69/('Data Sheet'!I90*'Data Sheet'!I93)</f>
        <v>3.8247397888603886E-3</v>
      </c>
      <c r="J66" s="365">
        <f>'Data Sheet'!J69/('Data Sheet'!J90*'Data Sheet'!J93)</f>
        <v>1.8969184975065462E-3</v>
      </c>
      <c r="K66" s="365">
        <f>'Data Sheet'!K69/('Data Sheet'!K90*'Data Sheet'!K93)</f>
        <v>2.128492942357708E-3</v>
      </c>
      <c r="L66" s="263"/>
    </row>
    <row r="67" spans="1:15" x14ac:dyDescent="0.2">
      <c r="A67" s="252" t="s">
        <v>554</v>
      </c>
      <c r="B67" s="365">
        <f>'Data Sheet'!B64/('Data Sheet'!B90*'Data Sheet'!B93)</f>
        <v>0</v>
      </c>
      <c r="C67" s="365">
        <f>'Data Sheet'!C64/('Data Sheet'!C90*'Data Sheet'!C93)</f>
        <v>0</v>
      </c>
      <c r="D67" s="365">
        <f>'Data Sheet'!D64/('Data Sheet'!D90*'Data Sheet'!D93)</f>
        <v>0</v>
      </c>
      <c r="E67" s="365">
        <f>'Data Sheet'!E64/('Data Sheet'!E90*'Data Sheet'!E93)</f>
        <v>0</v>
      </c>
      <c r="F67" s="365">
        <f>'Data Sheet'!F64/('Data Sheet'!F90*'Data Sheet'!F93)</f>
        <v>0</v>
      </c>
      <c r="G67" s="365">
        <f>'Data Sheet'!G64/('Data Sheet'!G90*'Data Sheet'!G93)</f>
        <v>0</v>
      </c>
      <c r="H67" s="365">
        <f>'Data Sheet'!H64/('Data Sheet'!H90*'Data Sheet'!H93)</f>
        <v>0</v>
      </c>
      <c r="I67" s="365">
        <f>'Data Sheet'!I64/('Data Sheet'!I90*'Data Sheet'!I93)</f>
        <v>0</v>
      </c>
      <c r="J67" s="365">
        <f>'Data Sheet'!J64/('Data Sheet'!J90*'Data Sheet'!J93)</f>
        <v>0</v>
      </c>
      <c r="K67" s="365">
        <f>'Data Sheet'!K64/('Data Sheet'!K90*'Data Sheet'!K93)</f>
        <v>0</v>
      </c>
      <c r="L67" s="263"/>
    </row>
    <row r="68" spans="1:15" x14ac:dyDescent="0.2">
      <c r="A68" s="249" t="s">
        <v>514</v>
      </c>
    </row>
    <row r="69" spans="1:15" x14ac:dyDescent="0.2">
      <c r="A69" s="252" t="s">
        <v>515</v>
      </c>
      <c r="B69" s="261">
        <f>('Data Sheet'!B65-'Data Sheet'!B60)/'Data Sheet'!B17</f>
        <v>0.33372595210051043</v>
      </c>
      <c r="C69" s="261">
        <f>('Data Sheet'!C65-'Data Sheet'!C60)/'Data Sheet'!C17</f>
        <v>0.22919129141724176</v>
      </c>
      <c r="D69" s="261">
        <f>('Data Sheet'!D65-'Data Sheet'!D60)/'Data Sheet'!D17</f>
        <v>0.30813048517966551</v>
      </c>
      <c r="E69" s="261">
        <f>('Data Sheet'!E65-'Data Sheet'!E60)/'Data Sheet'!E17</f>
        <v>0.29470456536552125</v>
      </c>
      <c r="F69" s="261">
        <f>('Data Sheet'!F65-'Data Sheet'!F60)/'Data Sheet'!F17</f>
        <v>0.24307728227877656</v>
      </c>
      <c r="G69" s="261">
        <f>('Data Sheet'!G65-'Data Sheet'!G60)/'Data Sheet'!G17</f>
        <v>0.21172514292119715</v>
      </c>
      <c r="H69" s="261">
        <f>('Data Sheet'!H65-'Data Sheet'!H60)/'Data Sheet'!H17</f>
        <v>0.19500757668837285</v>
      </c>
      <c r="I69" s="261">
        <f>('Data Sheet'!I65-'Data Sheet'!I60)/'Data Sheet'!I17</f>
        <v>0.20847729816536084</v>
      </c>
      <c r="J69" s="261">
        <f>('Data Sheet'!J65-'Data Sheet'!J60)/'Data Sheet'!J17</f>
        <v>0.20678863431872413</v>
      </c>
      <c r="K69" s="261">
        <f>('Data Sheet'!K65-'Data Sheet'!K60)/'Data Sheet'!K17</f>
        <v>0.22002828430007071</v>
      </c>
      <c r="L69" s="261"/>
      <c r="M69" s="261">
        <f t="shared" ref="M69:M122" si="15">AVERAGE(I69:K69)</f>
        <v>0.21176473892805189</v>
      </c>
      <c r="N69" s="261">
        <f t="shared" ref="N69:N122" si="16">AVERAGE(G69:K69)</f>
        <v>0.20840538727874516</v>
      </c>
      <c r="O69" s="261">
        <f t="shared" ref="O69:O122" si="17">AVERAGE(B69:K69)</f>
        <v>0.24508565127354412</v>
      </c>
    </row>
    <row r="70" spans="1:15" x14ac:dyDescent="0.2">
      <c r="A70" s="252" t="s">
        <v>46</v>
      </c>
      <c r="B70" s="259">
        <f>IFERROR(('Data Sheet'!B67/'Data Sheet'!B17)*365,"NA")</f>
        <v>21.11969964664311</v>
      </c>
      <c r="C70" s="259">
        <f>IFERROR(('Data Sheet'!C67/'Data Sheet'!C17)*365,"NA")</f>
        <v>21.209440652762421</v>
      </c>
      <c r="D70" s="259">
        <f>IFERROR(('Data Sheet'!D67/'Data Sheet'!D17)*365,"NA")</f>
        <v>11.362808411988741</v>
      </c>
      <c r="E70" s="259">
        <f>IFERROR(('Data Sheet'!E67/'Data Sheet'!E17)*365,"NA")</f>
        <v>31.390781660663876</v>
      </c>
      <c r="F70" s="259">
        <f>IFERROR(('Data Sheet'!F67/'Data Sheet'!F17)*365,"NA")</f>
        <v>15.765818351622695</v>
      </c>
      <c r="G70" s="259">
        <f>IFERROR(('Data Sheet'!G67/'Data Sheet'!G17)*365,"NA")</f>
        <v>22.944961327205473</v>
      </c>
      <c r="H70" s="259">
        <f>IFERROR(('Data Sheet'!H67/'Data Sheet'!H17)*365,"NA")</f>
        <v>18.603534422738257</v>
      </c>
      <c r="I70" s="259">
        <f>IFERROR(('Data Sheet'!I67/'Data Sheet'!I17)*365,"NA")</f>
        <v>23.931902606777296</v>
      </c>
      <c r="J70" s="271">
        <f>IFERROR(('Data Sheet'!J67/'Data Sheet'!J17)*365,"NA")</f>
        <v>18.681458395816762</v>
      </c>
      <c r="K70" s="271">
        <f>IFERROR(('Data Sheet'!K67/'Data Sheet'!K17)*365,"NA")</f>
        <v>18.89953716599884</v>
      </c>
      <c r="L70" s="271"/>
      <c r="M70" s="260">
        <f t="shared" si="15"/>
        <v>20.504299389530967</v>
      </c>
      <c r="N70" s="260">
        <f t="shared" si="16"/>
        <v>20.612278783707325</v>
      </c>
      <c r="O70" s="260">
        <f t="shared" si="17"/>
        <v>20.390994264221749</v>
      </c>
    </row>
    <row r="71" spans="1:15" x14ac:dyDescent="0.2">
      <c r="A71" s="252" t="s">
        <v>516</v>
      </c>
      <c r="B71" s="260">
        <f>365/B70</f>
        <v>17.282442748091604</v>
      </c>
      <c r="C71" s="260">
        <f t="shared" ref="C71:K71" si="18">365/C70</f>
        <v>17.209317585301836</v>
      </c>
      <c r="D71" s="260">
        <f t="shared" si="18"/>
        <v>32.12234042553191</v>
      </c>
      <c r="E71" s="260">
        <f t="shared" si="18"/>
        <v>11.627617430673459</v>
      </c>
      <c r="F71" s="260">
        <f t="shared" si="18"/>
        <v>23.151351351351352</v>
      </c>
      <c r="G71" s="260">
        <f t="shared" si="18"/>
        <v>15.907631954350926</v>
      </c>
      <c r="H71" s="260">
        <f t="shared" si="18"/>
        <v>19.619927681799918</v>
      </c>
      <c r="I71" s="260">
        <f t="shared" si="18"/>
        <v>15.251608114794657</v>
      </c>
      <c r="J71" s="260">
        <f t="shared" si="18"/>
        <v>19.538089171974523</v>
      </c>
      <c r="K71" s="260">
        <f t="shared" si="18"/>
        <v>19.31264225118974</v>
      </c>
      <c r="L71" s="260"/>
      <c r="M71" s="260">
        <f t="shared" si="15"/>
        <v>18.034113179319643</v>
      </c>
      <c r="N71" s="260">
        <f t="shared" si="16"/>
        <v>17.925979834821952</v>
      </c>
      <c r="O71" s="260">
        <f t="shared" si="17"/>
        <v>19.102296871505992</v>
      </c>
    </row>
    <row r="72" spans="1:15" x14ac:dyDescent="0.2">
      <c r="A72" s="252" t="s">
        <v>312</v>
      </c>
      <c r="B72" s="259">
        <f>IFERROR(('Data Sheet'!B68/'Data Sheet'!B17)*365,"NA")</f>
        <v>87.327002355712608</v>
      </c>
      <c r="C72" s="259">
        <f>IFERROR(('Data Sheet'!C68/'Data Sheet'!C17)*365,"NA")</f>
        <v>57.031684904869032</v>
      </c>
      <c r="D72" s="259">
        <f>IFERROR(('Data Sheet'!D68/'Data Sheet'!D17)*365,"NA")</f>
        <v>91.905779102500418</v>
      </c>
      <c r="E72" s="259">
        <f>IFERROR(('Data Sheet'!E68/'Data Sheet'!E17)*365,"NA")</f>
        <v>72.694441740484763</v>
      </c>
      <c r="F72" s="259">
        <f>IFERROR(('Data Sheet'!F68/'Data Sheet'!F17)*365,"NA")</f>
        <v>65.730679430305855</v>
      </c>
      <c r="G72" s="259">
        <f>IFERROR(('Data Sheet'!G68/'Data Sheet'!G17)*365,"NA")</f>
        <v>67.018271494227108</v>
      </c>
      <c r="H72" s="259">
        <f>IFERROR(('Data Sheet'!H68/'Data Sheet'!H17)*365,"NA")</f>
        <v>52.843305893434902</v>
      </c>
      <c r="I72" s="272">
        <f>IFERROR(('Data Sheet'!I68/'Data Sheet'!I17)*365,"NA")</f>
        <v>55.768082793972134</v>
      </c>
      <c r="J72" s="272">
        <f>IFERROR(('Data Sheet'!J68/'Data Sheet'!J17)*365,"NA")</f>
        <v>54.621252624303992</v>
      </c>
      <c r="K72" s="272">
        <f>IFERROR(('Data Sheet'!K68/'Data Sheet'!K17)*365,"NA")</f>
        <v>66.494460991236153</v>
      </c>
      <c r="L72" s="272"/>
      <c r="M72" s="260">
        <f t="shared" si="15"/>
        <v>58.961265469837429</v>
      </c>
      <c r="N72" s="260">
        <f t="shared" si="16"/>
        <v>59.349074759434856</v>
      </c>
      <c r="O72" s="260">
        <f t="shared" si="17"/>
        <v>67.143496133104691</v>
      </c>
    </row>
    <row r="73" spans="1:15" x14ac:dyDescent="0.2">
      <c r="A73" s="252" t="s">
        <v>47</v>
      </c>
      <c r="B73" s="260">
        <f>365/B72</f>
        <v>4.1796923076923074</v>
      </c>
      <c r="C73" s="260">
        <f t="shared" ref="C73:K73" si="19">365/C72</f>
        <v>6.3999511957052215</v>
      </c>
      <c r="D73" s="260">
        <f t="shared" si="19"/>
        <v>3.9714586347494407</v>
      </c>
      <c r="E73" s="260">
        <f t="shared" si="19"/>
        <v>5.0210166177908118</v>
      </c>
      <c r="F73" s="260">
        <f t="shared" si="19"/>
        <v>5.5529625307921693</v>
      </c>
      <c r="G73" s="260">
        <f t="shared" si="19"/>
        <v>5.4462759462759465</v>
      </c>
      <c r="H73" s="260">
        <f t="shared" si="19"/>
        <v>6.9072135785007074</v>
      </c>
      <c r="I73" s="260">
        <f t="shared" si="19"/>
        <v>6.5449623102240153</v>
      </c>
      <c r="J73" s="260">
        <f t="shared" si="19"/>
        <v>6.682380620425235</v>
      </c>
      <c r="K73" s="260">
        <f t="shared" si="19"/>
        <v>5.4891790167019527</v>
      </c>
      <c r="L73" s="260"/>
      <c r="M73" s="260">
        <f t="shared" si="15"/>
        <v>6.2388406491170683</v>
      </c>
      <c r="N73" s="260">
        <f t="shared" si="16"/>
        <v>6.2140022944255717</v>
      </c>
      <c r="O73" s="260">
        <f t="shared" si="17"/>
        <v>5.6195092758857808</v>
      </c>
    </row>
    <row r="74" spans="1:15" x14ac:dyDescent="0.2">
      <c r="A74" s="252" t="s">
        <v>517</v>
      </c>
      <c r="B74" s="266">
        <f>'Data Sheet'!B82/'Data Sheet'!B66</f>
        <v>4.8111353417871469E-2</v>
      </c>
      <c r="C74" s="266">
        <f>'Data Sheet'!C82/'Data Sheet'!C66</f>
        <v>3.3273486137990534E-2</v>
      </c>
      <c r="D74" s="266">
        <f>'Data Sheet'!D82/'Data Sheet'!D66</f>
        <v>1.2767834343152961E-3</v>
      </c>
      <c r="E74" s="266">
        <f>'Data Sheet'!E82/'Data Sheet'!E66</f>
        <v>0.1110377220020549</v>
      </c>
      <c r="F74" s="266">
        <f>'Data Sheet'!F82/'Data Sheet'!F66</f>
        <v>0.18479700547077457</v>
      </c>
      <c r="G74" s="266">
        <f>'Data Sheet'!G82/'Data Sheet'!G66</f>
        <v>0.24435831890272397</v>
      </c>
      <c r="H74" s="268">
        <f>'Data Sheet'!H82/'Data Sheet'!H66</f>
        <v>0.24377339374665807</v>
      </c>
      <c r="I74" s="268">
        <f>'Data Sheet'!I82/'Data Sheet'!I66</f>
        <v>7.2727569810950798E-2</v>
      </c>
      <c r="J74" s="268">
        <f>'Data Sheet'!J82/'Data Sheet'!J66</f>
        <v>0.15758907549835191</v>
      </c>
      <c r="K74" s="268">
        <f>'Data Sheet'!K82/'Data Sheet'!K66</f>
        <v>6.3864239911911383E-2</v>
      </c>
      <c r="L74" s="268"/>
      <c r="M74" s="261">
        <f t="shared" si="15"/>
        <v>9.8060295073738035E-2</v>
      </c>
      <c r="N74" s="261">
        <f t="shared" si="16"/>
        <v>0.15646251957411922</v>
      </c>
      <c r="O74" s="261">
        <f t="shared" si="17"/>
        <v>0.1160808948333603</v>
      </c>
    </row>
    <row r="75" spans="1:15" x14ac:dyDescent="0.2">
      <c r="A75" s="252"/>
      <c r="B75" s="266"/>
      <c r="C75" s="266"/>
      <c r="D75" s="266"/>
      <c r="E75" s="266"/>
      <c r="F75" s="266"/>
      <c r="G75" s="266"/>
      <c r="H75" s="268"/>
      <c r="I75" s="268"/>
      <c r="J75" s="268"/>
      <c r="K75" s="268"/>
      <c r="L75" s="268"/>
      <c r="M75" s="261"/>
      <c r="N75" s="261"/>
      <c r="O75" s="261"/>
    </row>
    <row r="76" spans="1:15" x14ac:dyDescent="0.2">
      <c r="A76" s="252" t="s">
        <v>564</v>
      </c>
      <c r="B76" s="273">
        <f>Other_input_data!C37/Other_input_data!C72</f>
        <v>3.3169103195756951E-2</v>
      </c>
      <c r="C76" s="273">
        <f>Other_input_data!D37/Other_input_data!D72</f>
        <v>1.9586354839461425E-3</v>
      </c>
      <c r="D76" s="273">
        <f>Other_input_data!E37/Other_input_data!E72</f>
        <v>3.7491004480349158E-2</v>
      </c>
      <c r="E76" s="273">
        <f>Other_input_data!F37/Other_input_data!F72</f>
        <v>7.5125984637213233E-2</v>
      </c>
      <c r="F76" s="273">
        <f>Other_input_data!G37/Other_input_data!G72</f>
        <v>6.104232651885981E-2</v>
      </c>
      <c r="G76" s="273">
        <f>Other_input_data!H37/Other_input_data!H72</f>
        <v>0.13273411945795885</v>
      </c>
      <c r="H76" s="273">
        <f>Other_input_data!I37/Other_input_data!I72</f>
        <v>0.19536768637604482</v>
      </c>
      <c r="I76" s="273">
        <f>Other_input_data!J37/Other_input_data!J72</f>
        <v>0.12480188232218434</v>
      </c>
      <c r="J76" s="273">
        <f>Other_input_data!K37/Other_input_data!K72</f>
        <v>0.15412023230262126</v>
      </c>
      <c r="K76" s="273">
        <f>Other_input_data!L37/Other_input_data!L72</f>
        <v>9.9596260552281032E-2</v>
      </c>
      <c r="L76" s="268"/>
      <c r="M76" s="261"/>
      <c r="N76" s="261"/>
      <c r="O76" s="261"/>
    </row>
    <row r="77" spans="1:15" x14ac:dyDescent="0.2">
      <c r="A77" s="252" t="s">
        <v>565</v>
      </c>
      <c r="B77" s="273"/>
      <c r="C77" s="273">
        <f>Other_input_data!D37/Other_input_data!D73</f>
        <v>2.0992127952017547E-3</v>
      </c>
      <c r="D77" s="273">
        <f>Other_input_data!E37/Other_input_data!E73</f>
        <v>3.7573868130845484E-2</v>
      </c>
      <c r="E77" s="273">
        <f>Other_input_data!F37/Other_input_data!F73</f>
        <v>7.3158239533083258E-2</v>
      </c>
      <c r="F77" s="273">
        <f>Other_input_data!G37/Other_input_data!G73</f>
        <v>5.6078721828377989E-2</v>
      </c>
      <c r="G77" s="273">
        <f>Other_input_data!H37/Other_input_data!H73</f>
        <v>0.13581583721224566</v>
      </c>
      <c r="H77" s="273">
        <f>Other_input_data!I37/Other_input_data!I73</f>
        <v>0.19306393748087994</v>
      </c>
      <c r="I77" s="273">
        <f>Other_input_data!J37/Other_input_data!J73</f>
        <v>0.15791758843839818</v>
      </c>
      <c r="J77" s="273">
        <f>Other_input_data!K37/Other_input_data!K73</f>
        <v>0.15721593774767634</v>
      </c>
      <c r="K77" s="273">
        <f>Other_input_data!L37/Other_input_data!L73</f>
        <v>0.11802179808627132</v>
      </c>
      <c r="L77" s="268"/>
      <c r="M77" s="261"/>
      <c r="N77" s="261"/>
      <c r="O77" s="261"/>
    </row>
    <row r="78" spans="1:15" x14ac:dyDescent="0.2">
      <c r="A78" s="252" t="s">
        <v>566</v>
      </c>
      <c r="B78" s="273">
        <f>Other_input_data!C37/Other_input_data!C74</f>
        <v>4.2867084203201129E-2</v>
      </c>
      <c r="C78" s="273">
        <f>Other_input_data!D37/Other_input_data!D74</f>
        <v>2.6816498531476887E-3</v>
      </c>
      <c r="D78" s="273">
        <f>Other_input_data!E37/Other_input_data!E74</f>
        <v>5.4730920428358434E-2</v>
      </c>
      <c r="E78" s="273">
        <f>Other_input_data!F37/Other_input_data!F74</f>
        <v>0.12319480102695772</v>
      </c>
      <c r="F78" s="273">
        <f>Other_input_data!G37/Other_input_data!G74</f>
        <v>9.158854279172253E-2</v>
      </c>
      <c r="G78" s="273">
        <f>Other_input_data!H37/Other_input_data!H74</f>
        <v>0.22672425935489932</v>
      </c>
      <c r="H78" s="273">
        <f>Other_input_data!I37/Other_input_data!I74</f>
        <v>0.32685154668298882</v>
      </c>
      <c r="I78" s="273">
        <f>Other_input_data!J37/Other_input_data!J74</f>
        <v>0.1832797427652734</v>
      </c>
      <c r="J78" s="273">
        <f>Other_input_data!K37/Other_input_data!K74</f>
        <v>0.2460100719063964</v>
      </c>
      <c r="K78" s="273">
        <f>Other_input_data!L37/Other_input_data!L74</f>
        <v>0.15018964983965233</v>
      </c>
      <c r="L78" s="268"/>
      <c r="M78" s="261"/>
      <c r="N78" s="261"/>
      <c r="O78" s="261"/>
    </row>
    <row r="79" spans="1:15" x14ac:dyDescent="0.2">
      <c r="A79" s="252" t="s">
        <v>567</v>
      </c>
      <c r="B79" s="273"/>
      <c r="C79" s="273">
        <f>Other_input_data!D37/Other_input_data!D75</f>
        <v>2.7970165157165093E-3</v>
      </c>
      <c r="D79" s="273">
        <f>Other_input_data!E37/Other_input_data!E75</f>
        <v>5.3097054182009495E-2</v>
      </c>
      <c r="E79" s="273">
        <f>Other_input_data!F37/Other_input_data!F75</f>
        <v>0.11282974502167691</v>
      </c>
      <c r="F79" s="273">
        <f>Other_input_data!G37/Other_input_data!G75</f>
        <v>8.8195527821112896E-2</v>
      </c>
      <c r="G79" s="273">
        <f>Other_input_data!H37/Other_input_data!H75</f>
        <v>0.21729739459118932</v>
      </c>
      <c r="H79" s="273">
        <f>Other_input_data!I37/Other_input_data!I75</f>
        <v>0.32639052141614555</v>
      </c>
      <c r="I79" s="273">
        <f>Other_input_data!J37/Other_input_data!J75</f>
        <v>0.24281150159744422</v>
      </c>
      <c r="J79" s="273">
        <f>Other_input_data!K37/Other_input_data!K75</f>
        <v>0.24070011153737728</v>
      </c>
      <c r="K79" s="273">
        <f>Other_input_data!L37/Other_input_data!L75</f>
        <v>0.18207653292810488</v>
      </c>
      <c r="L79" s="268"/>
      <c r="M79" s="261"/>
      <c r="N79" s="261"/>
      <c r="O79" s="261"/>
    </row>
    <row r="80" spans="1:15" x14ac:dyDescent="0.2">
      <c r="A80" s="252"/>
      <c r="B80" s="273"/>
      <c r="C80" s="273"/>
      <c r="D80" s="273"/>
      <c r="E80" s="273"/>
      <c r="F80" s="273"/>
      <c r="G80" s="273"/>
      <c r="H80" s="273"/>
      <c r="I80" s="273"/>
      <c r="J80" s="273"/>
      <c r="K80" s="273"/>
      <c r="L80" s="268"/>
      <c r="M80" s="261"/>
      <c r="N80" s="261"/>
      <c r="O80" s="261"/>
    </row>
    <row r="81" spans="1:15" x14ac:dyDescent="0.2">
      <c r="A81" s="252" t="s">
        <v>568</v>
      </c>
      <c r="B81" s="266"/>
      <c r="C81" s="266"/>
      <c r="D81" s="266"/>
      <c r="E81" s="266"/>
      <c r="F81" s="266"/>
      <c r="G81" s="266"/>
      <c r="H81" s="268"/>
      <c r="I81" s="268"/>
      <c r="J81" s="268"/>
      <c r="K81" s="268"/>
      <c r="L81" s="268"/>
      <c r="M81" s="261"/>
      <c r="N81" s="261"/>
      <c r="O81" s="261"/>
    </row>
    <row r="82" spans="1:15" x14ac:dyDescent="0.2">
      <c r="A82" s="252" t="s">
        <v>569</v>
      </c>
      <c r="B82" s="266"/>
      <c r="C82" s="266"/>
      <c r="D82" s="266"/>
      <c r="E82" s="266"/>
      <c r="F82" s="266"/>
      <c r="G82" s="266"/>
      <c r="H82" s="268"/>
      <c r="I82" s="268"/>
      <c r="J82" s="268"/>
      <c r="K82" s="268"/>
      <c r="L82" s="268"/>
      <c r="M82" s="261"/>
      <c r="N82" s="261"/>
      <c r="O82" s="261"/>
    </row>
    <row r="83" spans="1:15" x14ac:dyDescent="0.2">
      <c r="A83" s="252" t="s">
        <v>570</v>
      </c>
      <c r="B83" s="266"/>
      <c r="C83" s="266"/>
      <c r="D83" s="266"/>
      <c r="E83" s="266"/>
      <c r="F83" s="266"/>
      <c r="G83" s="266"/>
      <c r="H83" s="268"/>
      <c r="I83" s="268"/>
      <c r="J83" s="268"/>
      <c r="K83" s="268"/>
      <c r="L83" s="268"/>
      <c r="M83" s="261"/>
      <c r="N83" s="261"/>
      <c r="O83" s="261"/>
    </row>
    <row r="84" spans="1:15" x14ac:dyDescent="0.2">
      <c r="A84" s="252" t="s">
        <v>571</v>
      </c>
      <c r="B84" s="266"/>
      <c r="C84" s="266"/>
      <c r="D84" s="266"/>
      <c r="E84" s="266"/>
      <c r="F84" s="266"/>
      <c r="G84" s="266"/>
      <c r="H84" s="268"/>
      <c r="I84" s="268"/>
      <c r="J84" s="268"/>
      <c r="K84" s="268"/>
      <c r="L84" s="268"/>
      <c r="M84" s="261"/>
      <c r="N84" s="261"/>
      <c r="O84" s="261"/>
    </row>
    <row r="85" spans="1:15" x14ac:dyDescent="0.2">
      <c r="A85" s="252"/>
      <c r="B85" s="266"/>
      <c r="C85" s="266"/>
      <c r="D85" s="266"/>
      <c r="E85" s="266"/>
      <c r="F85" s="266"/>
      <c r="G85" s="266"/>
      <c r="H85" s="268"/>
      <c r="I85" s="268"/>
      <c r="J85" s="268"/>
      <c r="K85" s="268"/>
      <c r="L85" s="268"/>
      <c r="M85" s="261"/>
      <c r="N85" s="261"/>
      <c r="O85" s="261"/>
    </row>
    <row r="86" spans="1:15" x14ac:dyDescent="0.2">
      <c r="A86" s="252" t="s">
        <v>572</v>
      </c>
      <c r="B86" s="266"/>
      <c r="C86" s="266"/>
      <c r="D86" s="266"/>
      <c r="E86" s="266"/>
      <c r="F86" s="266"/>
      <c r="G86" s="266"/>
      <c r="H86" s="268"/>
      <c r="I86" s="268"/>
      <c r="J86" s="268"/>
      <c r="K86" s="268"/>
      <c r="L86" s="268"/>
      <c r="M86" s="261"/>
      <c r="N86" s="261"/>
      <c r="O86" s="261"/>
    </row>
    <row r="87" spans="1:15" x14ac:dyDescent="0.2">
      <c r="A87" s="252" t="s">
        <v>573</v>
      </c>
      <c r="B87" s="266"/>
      <c r="C87" s="266"/>
      <c r="D87" s="266"/>
      <c r="E87" s="266"/>
      <c r="F87" s="266"/>
      <c r="G87" s="266"/>
      <c r="H87" s="268"/>
      <c r="I87" s="268"/>
      <c r="J87" s="268"/>
      <c r="K87" s="268"/>
      <c r="L87" s="268"/>
      <c r="M87" s="261"/>
      <c r="N87" s="261"/>
      <c r="O87" s="261"/>
    </row>
    <row r="88" spans="1:15" x14ac:dyDescent="0.2">
      <c r="A88" s="252" t="s">
        <v>574</v>
      </c>
      <c r="B88" s="266"/>
      <c r="C88" s="266"/>
      <c r="D88" s="266"/>
      <c r="E88" s="266"/>
      <c r="F88" s="266"/>
      <c r="G88" s="266"/>
      <c r="H88" s="268"/>
      <c r="I88" s="268"/>
      <c r="J88" s="268"/>
      <c r="K88" s="268"/>
      <c r="L88" s="268"/>
      <c r="M88" s="261"/>
      <c r="N88" s="261"/>
      <c r="O88" s="261"/>
    </row>
    <row r="89" spans="1:15" x14ac:dyDescent="0.2">
      <c r="A89" s="252" t="s">
        <v>575</v>
      </c>
      <c r="B89" s="266"/>
      <c r="C89" s="266"/>
      <c r="D89" s="266"/>
      <c r="E89" s="266"/>
      <c r="F89" s="266"/>
      <c r="G89" s="266"/>
      <c r="H89" s="268"/>
      <c r="I89" s="268"/>
      <c r="J89" s="268"/>
      <c r="K89" s="268"/>
      <c r="L89" s="268"/>
      <c r="M89" s="261"/>
      <c r="N89" s="261"/>
      <c r="O89" s="261"/>
    </row>
    <row r="90" spans="1:15" x14ac:dyDescent="0.2">
      <c r="A90" s="252"/>
      <c r="B90" s="266"/>
      <c r="C90" s="266"/>
      <c r="D90" s="266"/>
      <c r="E90" s="266"/>
      <c r="F90" s="266"/>
      <c r="G90" s="266"/>
      <c r="H90" s="268"/>
      <c r="I90" s="268"/>
      <c r="J90" s="268"/>
      <c r="K90" s="268"/>
      <c r="L90" s="268"/>
      <c r="M90" s="261"/>
      <c r="N90" s="261"/>
      <c r="O90" s="261"/>
    </row>
    <row r="91" spans="1:15" x14ac:dyDescent="0.2">
      <c r="A91" s="252" t="s">
        <v>576</v>
      </c>
      <c r="B91" s="266"/>
      <c r="C91" s="266"/>
      <c r="D91" s="266"/>
      <c r="E91" s="266"/>
      <c r="F91" s="266"/>
      <c r="G91" s="266"/>
      <c r="H91" s="268"/>
      <c r="I91" s="268"/>
      <c r="J91" s="268"/>
      <c r="K91" s="268"/>
      <c r="L91" s="268"/>
      <c r="M91" s="261"/>
      <c r="N91" s="261"/>
      <c r="O91" s="261"/>
    </row>
    <row r="92" spans="1:15" x14ac:dyDescent="0.2">
      <c r="A92" s="252" t="s">
        <v>577</v>
      </c>
      <c r="B92" s="266"/>
      <c r="C92" s="266"/>
      <c r="D92" s="266"/>
      <c r="E92" s="266"/>
      <c r="F92" s="266"/>
      <c r="G92" s="266"/>
      <c r="H92" s="268"/>
      <c r="I92" s="268"/>
      <c r="J92" s="268"/>
      <c r="K92" s="268"/>
      <c r="L92" s="268"/>
      <c r="M92" s="261"/>
      <c r="N92" s="261"/>
      <c r="O92" s="261"/>
    </row>
    <row r="93" spans="1:15" x14ac:dyDescent="0.2">
      <c r="A93" s="252" t="s">
        <v>578</v>
      </c>
      <c r="B93" s="266"/>
      <c r="C93" s="266"/>
      <c r="D93" s="266"/>
      <c r="E93" s="266"/>
      <c r="F93" s="266"/>
      <c r="G93" s="266"/>
      <c r="H93" s="268"/>
      <c r="I93" s="268"/>
      <c r="J93" s="268"/>
      <c r="K93" s="268"/>
      <c r="L93" s="268"/>
      <c r="M93" s="261"/>
      <c r="N93" s="261"/>
      <c r="O93" s="261"/>
    </row>
    <row r="94" spans="1:15" x14ac:dyDescent="0.2">
      <c r="A94" s="252" t="s">
        <v>579</v>
      </c>
      <c r="B94" s="266"/>
      <c r="C94" s="266"/>
      <c r="D94" s="266"/>
      <c r="E94" s="266"/>
      <c r="F94" s="266"/>
      <c r="G94" s="266"/>
      <c r="H94" s="268"/>
      <c r="I94" s="268"/>
      <c r="J94" s="268"/>
      <c r="K94" s="268"/>
      <c r="L94" s="268"/>
      <c r="M94" s="261"/>
      <c r="N94" s="261"/>
      <c r="O94" s="261"/>
    </row>
    <row r="95" spans="1:15" x14ac:dyDescent="0.2">
      <c r="A95" s="252"/>
      <c r="B95" s="266"/>
      <c r="C95" s="266"/>
      <c r="D95" s="266"/>
      <c r="E95" s="266"/>
      <c r="F95" s="266"/>
      <c r="G95" s="266"/>
      <c r="H95" s="268"/>
      <c r="I95" s="268"/>
      <c r="J95" s="268"/>
      <c r="K95" s="268"/>
      <c r="L95" s="268"/>
      <c r="M95" s="261"/>
      <c r="N95" s="261"/>
      <c r="O95" s="261"/>
    </row>
    <row r="96" spans="1:15" x14ac:dyDescent="0.2">
      <c r="A96" s="252" t="s">
        <v>518</v>
      </c>
      <c r="B96" s="266">
        <f>'Data Sheet'!B30/'Data Sheet'!B66</f>
        <v>-1.1549955577093934E-2</v>
      </c>
      <c r="C96" s="266">
        <f>'Data Sheet'!C30/'Data Sheet'!C66</f>
        <v>-3.290041271247697E-2</v>
      </c>
      <c r="D96" s="266">
        <f>'Data Sheet'!D30/'Data Sheet'!D66</f>
        <v>1.5785686096989114E-3</v>
      </c>
      <c r="E96" s="266">
        <f>'Data Sheet'!E30/'Data Sheet'!E66</f>
        <v>1.6488086501296541E-2</v>
      </c>
      <c r="F96" s="266">
        <f>'Data Sheet'!F30/'Data Sheet'!F66</f>
        <v>8.6380650734235525E-4</v>
      </c>
      <c r="G96" s="266">
        <f>'Data Sheet'!G30/'Data Sheet'!G66</f>
        <v>3.8866441274291529E-2</v>
      </c>
      <c r="H96" s="266">
        <f>'Data Sheet'!H30/'Data Sheet'!H66</f>
        <v>9.7880843159879563E-2</v>
      </c>
      <c r="I96" s="274">
        <f>'Data Sheet'!I30/'Data Sheet'!I66</f>
        <v>6.692701099655235E-2</v>
      </c>
      <c r="J96" s="274">
        <f>'Data Sheet'!J30/'Data Sheet'!J66</f>
        <v>6.9314079422382657E-2</v>
      </c>
      <c r="K96" s="274">
        <f>'Data Sheet'!K30/'Data Sheet'!K66</f>
        <v>6.1694410259731845E-2</v>
      </c>
      <c r="L96" s="274"/>
      <c r="M96" s="261">
        <f t="shared" si="15"/>
        <v>6.5978500226222286E-2</v>
      </c>
      <c r="N96" s="261">
        <f t="shared" si="16"/>
        <v>6.6936557022567594E-2</v>
      </c>
      <c r="O96" s="261">
        <f t="shared" si="17"/>
        <v>3.0916287844160485E-2</v>
      </c>
    </row>
    <row r="97" spans="1:15" x14ac:dyDescent="0.2">
      <c r="A97" s="252" t="s">
        <v>519</v>
      </c>
      <c r="B97" s="260">
        <f>'Data Sheet'!B17/'Data Sheet'!B66</f>
        <v>0.54858250545190212</v>
      </c>
      <c r="C97" s="260">
        <f>'Data Sheet'!C17/'Data Sheet'!C66</f>
        <v>0.61153729568400672</v>
      </c>
      <c r="D97" s="260">
        <f>'Data Sheet'!D17/'Data Sheet'!D66</f>
        <v>0.70095410543909742</v>
      </c>
      <c r="E97" s="260">
        <f>'Data Sheet'!E17/'Data Sheet'!E66</f>
        <v>1.0052350897793436</v>
      </c>
      <c r="F97" s="260">
        <f>'Data Sheet'!F17/'Data Sheet'!F66</f>
        <v>1.2332277569824359</v>
      </c>
      <c r="G97" s="260">
        <f>'Data Sheet'!G17/'Data Sheet'!G66</f>
        <v>1.2260520601412825</v>
      </c>
      <c r="H97" s="275">
        <f>'Data Sheet'!H17/'Data Sheet'!H66</f>
        <v>1.3743280893817016</v>
      </c>
      <c r="I97" s="275">
        <f>'Data Sheet'!I17/'Data Sheet'!I66</f>
        <v>1.0072874626231598</v>
      </c>
      <c r="J97" s="275">
        <f>'Data Sheet'!J17/'Data Sheet'!J66</f>
        <v>1.2036885889185371</v>
      </c>
      <c r="K97" s="275">
        <f>'Data Sheet'!K17/'Data Sheet'!K66</f>
        <v>1.0075998013688279</v>
      </c>
      <c r="L97" s="275"/>
      <c r="M97" s="260">
        <f t="shared" si="15"/>
        <v>1.0728586176368415</v>
      </c>
      <c r="N97" s="260">
        <f t="shared" si="16"/>
        <v>1.1637912004867019</v>
      </c>
      <c r="O97" s="260">
        <f t="shared" si="17"/>
        <v>0.99184927557702951</v>
      </c>
    </row>
    <row r="98" spans="1:15" x14ac:dyDescent="0.2">
      <c r="A98" s="252" t="s">
        <v>520</v>
      </c>
      <c r="B98" s="260">
        <f>'Data Sheet'!B17/'Data Sheet'!B62</f>
        <v>0.85073692121414557</v>
      </c>
      <c r="C98" s="260">
        <f>'Data Sheet'!C17/'Data Sheet'!C62</f>
        <v>0.8374952101162344</v>
      </c>
      <c r="D98" s="260">
        <f>'Data Sheet'!D17/'Data Sheet'!D62</f>
        <v>1.0232818218788124</v>
      </c>
      <c r="E98" s="260">
        <f>'Data Sheet'!E17/'Data Sheet'!E62</f>
        <v>1.6484274711168165</v>
      </c>
      <c r="F98" s="260">
        <f>'Data Sheet'!F17/'Data Sheet'!F62</f>
        <v>1.8777675478977596</v>
      </c>
      <c r="G98" s="260">
        <f>'Data Sheet'!G17/'Data Sheet'!G62</f>
        <v>2.0942297760458235</v>
      </c>
      <c r="H98" s="275">
        <f>'Data Sheet'!H17/'Data Sheet'!H62</f>
        <v>2.5539459233303696</v>
      </c>
      <c r="I98" s="275">
        <f>'Data Sheet'!I17/'Data Sheet'!I62</f>
        <v>1.4792676488937948</v>
      </c>
      <c r="J98" s="275">
        <f>'Data Sheet'!J17/'Data Sheet'!J62</f>
        <v>2.0071452875127593</v>
      </c>
      <c r="K98" s="275">
        <f>'Data Sheet'!K17/'Data Sheet'!K62</f>
        <v>1.5194452131729315</v>
      </c>
      <c r="L98" s="275"/>
      <c r="M98" s="260">
        <f t="shared" si="15"/>
        <v>1.6686193831931619</v>
      </c>
      <c r="N98" s="260">
        <f t="shared" si="16"/>
        <v>1.9308067697911355</v>
      </c>
      <c r="O98" s="260">
        <f t="shared" si="17"/>
        <v>1.5891742821179446</v>
      </c>
    </row>
    <row r="99" spans="1:15" x14ac:dyDescent="0.2">
      <c r="A99" s="252" t="s">
        <v>229</v>
      </c>
      <c r="B99" s="276">
        <f t="shared" ref="B99:K99" si="20">B12/B11</f>
        <v>-4.1655011655011656</v>
      </c>
      <c r="C99" s="276">
        <f t="shared" si="20"/>
        <v>-1.011339475549256</v>
      </c>
      <c r="D99" s="276">
        <f t="shared" si="20"/>
        <v>0.80882352941176472</v>
      </c>
      <c r="E99" s="276">
        <f t="shared" si="20"/>
        <v>6.7344213649851632</v>
      </c>
      <c r="F99" s="276">
        <f t="shared" si="20"/>
        <v>213.93333333333337</v>
      </c>
      <c r="G99" s="276">
        <f t="shared" si="20"/>
        <v>6.2871287128712874</v>
      </c>
      <c r="H99" s="276">
        <f t="shared" si="20"/>
        <v>2.4905117883841288</v>
      </c>
      <c r="I99" s="276">
        <f t="shared" si="20"/>
        <v>1.086669921875</v>
      </c>
      <c r="J99" s="276">
        <f t="shared" si="20"/>
        <v>2.2735507246376816</v>
      </c>
      <c r="K99" s="277">
        <f t="shared" si="20"/>
        <v>1.0351706036745407</v>
      </c>
      <c r="L99" s="277"/>
      <c r="M99" s="260">
        <f t="shared" si="15"/>
        <v>1.465130416729074</v>
      </c>
      <c r="N99" s="260">
        <f t="shared" si="16"/>
        <v>2.6346063502885277</v>
      </c>
      <c r="O99" s="260">
        <f t="shared" si="17"/>
        <v>22.947276933812255</v>
      </c>
    </row>
    <row r="100" spans="1:15" x14ac:dyDescent="0.2">
      <c r="A100" s="252" t="s">
        <v>521</v>
      </c>
      <c r="B100" s="261">
        <f t="shared" ref="B100:K100" si="21">B12/B4</f>
        <v>8.7701217118178257E-2</v>
      </c>
      <c r="C100" s="261">
        <f t="shared" si="21"/>
        <v>5.4409577915888206E-2</v>
      </c>
      <c r="D100" s="261">
        <f t="shared" si="21"/>
        <v>1.8214936247723135E-3</v>
      </c>
      <c r="E100" s="261">
        <f t="shared" si="21"/>
        <v>0.11045945682857977</v>
      </c>
      <c r="F100" s="261">
        <f t="shared" si="21"/>
        <v>0.14984823721690405</v>
      </c>
      <c r="G100" s="261">
        <f t="shared" si="21"/>
        <v>0.19930501064903039</v>
      </c>
      <c r="H100" s="261">
        <f t="shared" si="21"/>
        <v>0.1773764180693779</v>
      </c>
      <c r="I100" s="261">
        <f t="shared" si="21"/>
        <v>7.2201404772332792E-2</v>
      </c>
      <c r="J100" s="261">
        <f t="shared" si="21"/>
        <v>0.13092179900113449</v>
      </c>
      <c r="K100" s="261">
        <f t="shared" si="21"/>
        <v>6.3382545158456358E-2</v>
      </c>
      <c r="L100" s="261"/>
      <c r="M100" s="261">
        <f t="shared" si="15"/>
        <v>8.8835249643974545E-2</v>
      </c>
      <c r="N100" s="261">
        <f t="shared" si="16"/>
        <v>0.12863743553006637</v>
      </c>
      <c r="O100" s="261">
        <f t="shared" si="17"/>
        <v>0.10474271603546545</v>
      </c>
    </row>
    <row r="101" spans="1:15" x14ac:dyDescent="0.2">
      <c r="A101" s="252" t="s">
        <v>522</v>
      </c>
      <c r="B101" s="276">
        <f t="shared" ref="B101:K101" si="22">B13/B11</f>
        <v>0</v>
      </c>
      <c r="C101" s="276">
        <f t="shared" si="22"/>
        <v>-1.613749114103475</v>
      </c>
      <c r="D101" s="276">
        <f t="shared" si="22"/>
        <v>0.7205882352940578</v>
      </c>
      <c r="E101" s="276">
        <f t="shared" si="22"/>
        <v>-6.9732937685457658E-2</v>
      </c>
      <c r="F101" s="276">
        <f t="shared" si="22"/>
        <v>20.566666666666674</v>
      </c>
      <c r="G101" s="276">
        <f t="shared" si="22"/>
        <v>0.42574257425742618</v>
      </c>
      <c r="H101" s="277">
        <f t="shared" si="22"/>
        <v>0.69781483611270845</v>
      </c>
      <c r="I101" s="277">
        <f t="shared" si="22"/>
        <v>5.671142578125</v>
      </c>
      <c r="J101" s="277">
        <f t="shared" si="22"/>
        <v>0.49705615942028958</v>
      </c>
      <c r="K101" s="277">
        <f t="shared" si="22"/>
        <v>4.4936132983377073</v>
      </c>
      <c r="L101" s="277"/>
      <c r="M101" s="260">
        <f t="shared" si="15"/>
        <v>3.5539373452943317</v>
      </c>
      <c r="N101" s="260">
        <f t="shared" si="16"/>
        <v>2.3570738892506262</v>
      </c>
      <c r="O101" s="260">
        <f t="shared" si="17"/>
        <v>3.1389142296424928</v>
      </c>
    </row>
    <row r="102" spans="1:15" x14ac:dyDescent="0.2">
      <c r="A102" s="252" t="s">
        <v>523</v>
      </c>
      <c r="B102" s="261">
        <f t="shared" ref="B102:K102" si="23">B14/B11</f>
        <v>0</v>
      </c>
      <c r="C102" s="261">
        <f t="shared" si="23"/>
        <v>0</v>
      </c>
      <c r="D102" s="261">
        <f t="shared" si="23"/>
        <v>0</v>
      </c>
      <c r="E102" s="261">
        <f t="shared" si="23"/>
        <v>0</v>
      </c>
      <c r="F102" s="261">
        <f t="shared" si="23"/>
        <v>0</v>
      </c>
      <c r="G102" s="261">
        <f t="shared" si="23"/>
        <v>0</v>
      </c>
      <c r="H102" s="261">
        <f t="shared" si="23"/>
        <v>9.8907418056354224E-2</v>
      </c>
      <c r="I102" s="261">
        <f t="shared" si="23"/>
        <v>0.11181640625</v>
      </c>
      <c r="J102" s="261">
        <f t="shared" si="23"/>
        <v>0.10371376811594205</v>
      </c>
      <c r="K102" s="261">
        <f t="shared" si="23"/>
        <v>9.6237970253718289E-2</v>
      </c>
      <c r="L102" s="261"/>
      <c r="M102" s="261">
        <f t="shared" si="15"/>
        <v>0.10392271487322012</v>
      </c>
      <c r="N102" s="261">
        <f t="shared" si="16"/>
        <v>8.213511253520292E-2</v>
      </c>
      <c r="O102" s="261">
        <f t="shared" si="17"/>
        <v>4.106755626760146E-2</v>
      </c>
    </row>
    <row r="103" spans="1:15" x14ac:dyDescent="0.2">
      <c r="A103" s="252" t="s">
        <v>316</v>
      </c>
      <c r="B103" s="276">
        <f t="shared" ref="B103:K103" si="24">B15/B11</f>
        <v>0</v>
      </c>
      <c r="C103" s="276">
        <f t="shared" si="24"/>
        <v>0.60240963855421914</v>
      </c>
      <c r="D103" s="276">
        <f t="shared" si="24"/>
        <v>8.8235294117706892E-2</v>
      </c>
      <c r="E103" s="276">
        <f t="shared" si="24"/>
        <v>6.8041543026706206</v>
      </c>
      <c r="F103" s="276">
        <f t="shared" si="24"/>
        <v>193.3666666666667</v>
      </c>
      <c r="G103" s="276">
        <f t="shared" si="24"/>
        <v>5.8613861386138613</v>
      </c>
      <c r="H103" s="276">
        <f t="shared" si="24"/>
        <v>1.7926969522714205</v>
      </c>
      <c r="I103" s="276">
        <f t="shared" si="24"/>
        <v>-4.58447265625</v>
      </c>
      <c r="J103" s="276">
        <f t="shared" si="24"/>
        <v>1.7764945652173918</v>
      </c>
      <c r="K103" s="276">
        <f t="shared" si="24"/>
        <v>-3.4584426946631663</v>
      </c>
      <c r="L103" s="276"/>
      <c r="M103" s="260">
        <f t="shared" si="15"/>
        <v>-2.0888069285652584</v>
      </c>
      <c r="N103" s="260">
        <f t="shared" si="16"/>
        <v>0.27753246103790136</v>
      </c>
      <c r="O103" s="260">
        <f t="shared" si="17"/>
        <v>20.224912820719876</v>
      </c>
    </row>
    <row r="104" spans="1:15" x14ac:dyDescent="0.2">
      <c r="A104" s="252" t="s">
        <v>231</v>
      </c>
      <c r="B104" s="276">
        <f t="shared" ref="B104:K104" si="25">B15/B12</f>
        <v>0</v>
      </c>
      <c r="C104" s="276">
        <f t="shared" si="25"/>
        <v>-0.5956552207428194</v>
      </c>
      <c r="D104" s="276">
        <f t="shared" si="25"/>
        <v>0.10909090909098305</v>
      </c>
      <c r="E104" s="276">
        <f t="shared" si="25"/>
        <v>1.0103547036792242</v>
      </c>
      <c r="F104" s="276">
        <f t="shared" si="25"/>
        <v>0.9038641321283889</v>
      </c>
      <c r="G104" s="276">
        <f t="shared" si="25"/>
        <v>0.93228346456692901</v>
      </c>
      <c r="H104" s="276">
        <f t="shared" si="25"/>
        <v>0.71981066728238285</v>
      </c>
      <c r="I104" s="276">
        <f t="shared" si="25"/>
        <v>-4.2188272298359921</v>
      </c>
      <c r="J104" s="276">
        <f t="shared" si="25"/>
        <v>0.78137450199203196</v>
      </c>
      <c r="K104" s="276">
        <f t="shared" si="25"/>
        <v>-3.3409398242055435</v>
      </c>
      <c r="L104" s="276"/>
      <c r="M104" s="260">
        <f t="shared" si="15"/>
        <v>-2.2594641840165011</v>
      </c>
      <c r="N104" s="260">
        <f t="shared" si="16"/>
        <v>-1.0252596840400383</v>
      </c>
      <c r="O104" s="260">
        <f t="shared" si="17"/>
        <v>-0.36986438960444146</v>
      </c>
    </row>
    <row r="105" spans="1:15" x14ac:dyDescent="0.2">
      <c r="A105" s="252" t="s">
        <v>524</v>
      </c>
      <c r="B105" s="261">
        <f t="shared" ref="B105:K105" si="26">B15/B4</f>
        <v>0</v>
      </c>
      <c r="C105" s="261">
        <f t="shared" si="26"/>
        <v>-3.2409349144012022E-2</v>
      </c>
      <c r="D105" s="261">
        <f t="shared" si="26"/>
        <v>1.9870839542984167E-4</v>
      </c>
      <c r="E105" s="261">
        <f t="shared" si="26"/>
        <v>0.11160323177260777</v>
      </c>
      <c r="F105" s="261">
        <f t="shared" si="26"/>
        <v>0.13544244688302592</v>
      </c>
      <c r="G105" s="265">
        <f t="shared" si="26"/>
        <v>0.18580876583342673</v>
      </c>
      <c r="H105" s="265">
        <f t="shared" si="26"/>
        <v>0.12767743785067784</v>
      </c>
      <c r="I105" s="265">
        <f t="shared" si="26"/>
        <v>-0.30460525248592796</v>
      </c>
      <c r="J105" s="265">
        <f t="shared" si="26"/>
        <v>0.10229895549441237</v>
      </c>
      <c r="K105" s="265">
        <f t="shared" si="26"/>
        <v>-0.21175726927939312</v>
      </c>
      <c r="L105" s="265"/>
      <c r="M105" s="261">
        <f t="shared" si="15"/>
        <v>-0.13802118875696956</v>
      </c>
      <c r="N105" s="261">
        <f t="shared" si="16"/>
        <v>-2.0115472517360827E-2</v>
      </c>
      <c r="O105" s="261">
        <f t="shared" si="17"/>
        <v>1.1425767532024742E-2</v>
      </c>
    </row>
    <row r="106" spans="1:15" x14ac:dyDescent="0.2">
      <c r="A106" s="254" t="s">
        <v>525</v>
      </c>
      <c r="B106" s="261">
        <f t="shared" ref="B106:K106" si="27">B21</f>
        <v>-2.1054181389870436E-2</v>
      </c>
      <c r="C106" s="261">
        <f t="shared" si="27"/>
        <v>-5.3799519579059749E-2</v>
      </c>
      <c r="D106" s="261">
        <f t="shared" si="27"/>
        <v>2.2520284815366787E-3</v>
      </c>
      <c r="E106" s="261">
        <f t="shared" si="27"/>
        <v>1.6402219410104158E-2</v>
      </c>
      <c r="F106" s="261">
        <f t="shared" si="27"/>
        <v>7.0044361428904967E-4</v>
      </c>
      <c r="G106" s="261">
        <f t="shared" si="27"/>
        <v>3.1700482008743418E-2</v>
      </c>
      <c r="H106" s="261">
        <f t="shared" si="27"/>
        <v>7.1220870704836806E-2</v>
      </c>
      <c r="I106" s="264">
        <f t="shared" si="27"/>
        <v>6.6442811491232337E-2</v>
      </c>
      <c r="J106" s="264">
        <f t="shared" si="27"/>
        <v>5.7584727528785837E-2</v>
      </c>
      <c r="K106" s="264">
        <f t="shared" si="27"/>
        <v>6.1229081403072705E-2</v>
      </c>
      <c r="L106" s="264"/>
      <c r="M106" s="261">
        <f t="shared" si="15"/>
        <v>6.1752206807696962E-2</v>
      </c>
      <c r="N106" s="261">
        <f t="shared" si="16"/>
        <v>5.7635594627334218E-2</v>
      </c>
      <c r="O106" s="261">
        <f t="shared" si="17"/>
        <v>2.3267896367367081E-2</v>
      </c>
    </row>
    <row r="107" spans="1:15" x14ac:dyDescent="0.2">
      <c r="A107" s="254" t="s">
        <v>526</v>
      </c>
      <c r="B107" s="278">
        <f t="shared" ref="B107:K107" si="28">B97</f>
        <v>0.54858250545190212</v>
      </c>
      <c r="C107" s="278">
        <f t="shared" si="28"/>
        <v>0.61153729568400672</v>
      </c>
      <c r="D107" s="278">
        <f t="shared" si="28"/>
        <v>0.70095410543909742</v>
      </c>
      <c r="E107" s="278">
        <f t="shared" si="28"/>
        <v>1.0052350897793436</v>
      </c>
      <c r="F107" s="278">
        <f t="shared" si="28"/>
        <v>1.2332277569824359</v>
      </c>
      <c r="G107" s="279">
        <f t="shared" si="28"/>
        <v>1.2260520601412825</v>
      </c>
      <c r="H107" s="279">
        <f t="shared" si="28"/>
        <v>1.3743280893817016</v>
      </c>
      <c r="I107" s="279">
        <f t="shared" si="28"/>
        <v>1.0072874626231598</v>
      </c>
      <c r="J107" s="279">
        <f t="shared" si="28"/>
        <v>1.2036885889185371</v>
      </c>
      <c r="K107" s="279">
        <f t="shared" si="28"/>
        <v>1.0075998013688279</v>
      </c>
      <c r="L107" s="279"/>
      <c r="M107" s="260">
        <f t="shared" si="15"/>
        <v>1.0728586176368415</v>
      </c>
      <c r="N107" s="260">
        <f t="shared" si="16"/>
        <v>1.1637912004867019</v>
      </c>
      <c r="O107" s="260">
        <f t="shared" si="17"/>
        <v>0.99184927557702951</v>
      </c>
    </row>
    <row r="108" spans="1:15" x14ac:dyDescent="0.2">
      <c r="A108" s="254" t="s">
        <v>307</v>
      </c>
      <c r="B108" s="276">
        <f t="shared" ref="B108:K108" si="29">B57</f>
        <v>4.2179196002725412</v>
      </c>
      <c r="C108" s="276">
        <f t="shared" si="29"/>
        <v>5.8002434406275363</v>
      </c>
      <c r="D108" s="276">
        <f t="shared" si="29"/>
        <v>5.4110036427584474</v>
      </c>
      <c r="E108" s="276">
        <f t="shared" si="29"/>
        <v>4.7339895773016796</v>
      </c>
      <c r="F108" s="276">
        <f t="shared" si="29"/>
        <v>4.0076159704592662</v>
      </c>
      <c r="G108" s="276">
        <f t="shared" si="29"/>
        <v>3.6095842841551744</v>
      </c>
      <c r="H108" s="276">
        <f t="shared" si="29"/>
        <v>2.7011022424933482</v>
      </c>
      <c r="I108" s="280">
        <f t="shared" si="29"/>
        <v>3.6649499970058086</v>
      </c>
      <c r="J108" s="280">
        <f t="shared" si="29"/>
        <v>3.0981326590157559</v>
      </c>
      <c r="K108" s="280">
        <f t="shared" si="29"/>
        <v>3.6161142990982551</v>
      </c>
      <c r="L108" s="280"/>
      <c r="M108" s="260">
        <f t="shared" si="15"/>
        <v>3.4597323183732733</v>
      </c>
      <c r="N108" s="260">
        <f t="shared" si="16"/>
        <v>3.3379766963536683</v>
      </c>
      <c r="O108" s="260">
        <f t="shared" si="17"/>
        <v>4.0860655713187821</v>
      </c>
    </row>
    <row r="109" spans="1:15" x14ac:dyDescent="0.2">
      <c r="A109" s="252" t="s">
        <v>60</v>
      </c>
      <c r="B109" s="261">
        <f>B106*B107*B108</f>
        <v>-4.8716784010901654E-2</v>
      </c>
      <c r="C109" s="261">
        <f t="shared" ref="C109:K109" si="30">C106*C107*C108</f>
        <v>-0.19083040302948334</v>
      </c>
      <c r="D109" s="261">
        <f t="shared" si="30"/>
        <v>8.5416404974249481E-3</v>
      </c>
      <c r="E109" s="261">
        <f t="shared" si="30"/>
        <v>7.8054429646786355E-2</v>
      </c>
      <c r="F109" s="261">
        <f t="shared" si="30"/>
        <v>3.4618047542118624E-3</v>
      </c>
      <c r="G109" s="261">
        <f t="shared" si="30"/>
        <v>0.14029169560472271</v>
      </c>
      <c r="H109" s="261">
        <f t="shared" si="30"/>
        <v>0.26438616495629041</v>
      </c>
      <c r="I109" s="261">
        <f t="shared" si="30"/>
        <v>0.24528414875142227</v>
      </c>
      <c r="J109" s="261">
        <f t="shared" si="30"/>
        <v>0.21474421318809567</v>
      </c>
      <c r="K109" s="261">
        <f t="shared" si="30"/>
        <v>0.22309403911465045</v>
      </c>
      <c r="L109" s="261"/>
      <c r="M109" s="261">
        <f t="shared" si="15"/>
        <v>0.22770746701805611</v>
      </c>
      <c r="N109" s="261">
        <f t="shared" si="16"/>
        <v>0.21756005232303632</v>
      </c>
      <c r="O109" s="261">
        <f t="shared" si="17"/>
        <v>9.3831094947321975E-2</v>
      </c>
    </row>
    <row r="110" spans="1:15" x14ac:dyDescent="0.2">
      <c r="A110" s="252" t="s">
        <v>527</v>
      </c>
      <c r="B110" s="266">
        <f>('Data Sheet'!B27+'Data Sheet'!B28)/B10</f>
        <v>3.4665166010129436E-2</v>
      </c>
      <c r="C110" s="266">
        <f>('Data Sheet'!C27+'Data Sheet'!C28)/C10</f>
        <v>2.2498995580554435E-3</v>
      </c>
      <c r="D110" s="266">
        <f>('Data Sheet'!D27+'Data Sheet'!D28)/D10</f>
        <v>4.1610842007626506E-2</v>
      </c>
      <c r="E110" s="266">
        <f>('Data Sheet'!E27+'Data Sheet'!E28)/E10</f>
        <v>8.2914844214050432E-2</v>
      </c>
      <c r="F110" s="266">
        <f>('Data Sheet'!F27+'Data Sheet'!F28)/F10</f>
        <v>6.3174205852553789E-2</v>
      </c>
      <c r="G110" s="266">
        <f>('Data Sheet'!G27+'Data Sheet'!G28)/G10</f>
        <v>0.15704387990762128</v>
      </c>
      <c r="H110" s="267">
        <f>('Data Sheet'!H27+'Data Sheet'!H28)/H10</f>
        <v>0.22563552434822182</v>
      </c>
      <c r="I110" s="267">
        <f>('Data Sheet'!I27+'Data Sheet'!I28)/I10</f>
        <v>0.14006162197850569</v>
      </c>
      <c r="J110" s="267">
        <f>('Data Sheet'!J27+'Data Sheet'!J28)/J10</f>
        <v>0.17607717272417561</v>
      </c>
      <c r="K110" s="267">
        <f>('Data Sheet'!K27+'Data Sheet'!K28)/K10</f>
        <v>0.11255886587121487</v>
      </c>
      <c r="L110" s="267"/>
      <c r="M110" s="261">
        <f t="shared" si="15"/>
        <v>0.14289922019129872</v>
      </c>
      <c r="N110" s="261">
        <f t="shared" si="16"/>
        <v>0.16227541296594789</v>
      </c>
      <c r="O110" s="261">
        <f t="shared" si="17"/>
        <v>0.10359920224721549</v>
      </c>
    </row>
    <row r="111" spans="1:15" x14ac:dyDescent="0.2">
      <c r="A111" s="254" t="s">
        <v>528</v>
      </c>
      <c r="B111" s="276">
        <f t="shared" ref="B111:K111" si="31">B4/B10</f>
        <v>0.57332583005064719</v>
      </c>
      <c r="C111" s="276">
        <f t="shared" si="31"/>
        <v>0.7024775679657157</v>
      </c>
      <c r="D111" s="276">
        <f t="shared" si="31"/>
        <v>0.77798103679274444</v>
      </c>
      <c r="E111" s="276">
        <f t="shared" si="31"/>
        <v>1.1094551541659918</v>
      </c>
      <c r="F111" s="276">
        <f t="shared" si="31"/>
        <v>1.2762977531438109</v>
      </c>
      <c r="G111" s="277">
        <f t="shared" si="31"/>
        <v>1.4508993917314514</v>
      </c>
      <c r="H111" s="277">
        <f t="shared" si="31"/>
        <v>1.5874780573434757</v>
      </c>
      <c r="I111" s="277">
        <f t="shared" si="31"/>
        <v>1.1305982467079927</v>
      </c>
      <c r="J111" s="277">
        <f t="shared" si="31"/>
        <v>1.3750336196231014</v>
      </c>
      <c r="K111" s="277">
        <f t="shared" si="31"/>
        <v>1.1387404533587095</v>
      </c>
      <c r="L111" s="277"/>
      <c r="M111" s="260">
        <f t="shared" si="15"/>
        <v>1.2147907732299346</v>
      </c>
      <c r="N111" s="260">
        <f t="shared" si="16"/>
        <v>1.3365499537529462</v>
      </c>
      <c r="O111" s="260">
        <f t="shared" si="17"/>
        <v>1.112228711088364</v>
      </c>
    </row>
    <row r="112" spans="1:15" x14ac:dyDescent="0.2">
      <c r="A112" s="254" t="s">
        <v>529</v>
      </c>
      <c r="B112" s="261">
        <f>B11/B10</f>
        <v>-1.2070906021384357E-2</v>
      </c>
      <c r="C112" s="261">
        <f t="shared" ref="C112:K112" si="32">C11/C10</f>
        <v>-3.7792955671621796E-2</v>
      </c>
      <c r="D112" s="261">
        <f t="shared" si="32"/>
        <v>1.7520354529526952E-3</v>
      </c>
      <c r="E112" s="261">
        <f t="shared" si="32"/>
        <v>1.8197526864301528E-2</v>
      </c>
      <c r="F112" s="261">
        <f t="shared" si="32"/>
        <v>8.9397461112104414E-4</v>
      </c>
      <c r="G112" s="261">
        <f t="shared" si="32"/>
        <v>4.5994210064079638E-2</v>
      </c>
      <c r="H112" s="261">
        <f t="shared" si="32"/>
        <v>0.11306156946882517</v>
      </c>
      <c r="I112" s="264">
        <f t="shared" si="32"/>
        <v>7.5120126178336938E-2</v>
      </c>
      <c r="J112" s="264">
        <f t="shared" si="32"/>
        <v>7.9180936328916457E-2</v>
      </c>
      <c r="K112" s="264">
        <f t="shared" si="32"/>
        <v>6.9724031915672349E-2</v>
      </c>
      <c r="L112" s="264"/>
      <c r="M112" s="261">
        <f t="shared" si="15"/>
        <v>7.4675031474308581E-2</v>
      </c>
      <c r="N112" s="261">
        <f t="shared" si="16"/>
        <v>7.6616174791166114E-2</v>
      </c>
      <c r="O112" s="261">
        <f t="shared" si="17"/>
        <v>3.5406054919119967E-2</v>
      </c>
    </row>
    <row r="113" spans="1:15" x14ac:dyDescent="0.2">
      <c r="A113" s="254" t="s">
        <v>530</v>
      </c>
      <c r="B113" s="261">
        <f>B12/B10</f>
        <v>5.0281373100731573E-2</v>
      </c>
      <c r="C113" s="261">
        <f t="shared" ref="C113:K113" si="33">C12/C10</f>
        <v>3.8221507968394262E-2</v>
      </c>
      <c r="D113" s="261">
        <f t="shared" si="33"/>
        <v>1.4170874987117388E-3</v>
      </c>
      <c r="E113" s="261">
        <f t="shared" si="33"/>
        <v>0.12254981370484368</v>
      </c>
      <c r="F113" s="261">
        <f t="shared" si="33"/>
        <v>0.1912509684724954</v>
      </c>
      <c r="G113" s="261">
        <f t="shared" si="33"/>
        <v>0.28917151871970864</v>
      </c>
      <c r="H113" s="265">
        <f t="shared" si="33"/>
        <v>0.2815811715753202</v>
      </c>
      <c r="I113" s="265">
        <f t="shared" si="33"/>
        <v>8.1630781645453537E-2</v>
      </c>
      <c r="J113" s="265">
        <f t="shared" si="33"/>
        <v>0.18002187516809812</v>
      </c>
      <c r="K113" s="265">
        <f t="shared" si="33"/>
        <v>7.2176268208769476E-2</v>
      </c>
      <c r="L113" s="265"/>
      <c r="M113" s="261">
        <f t="shared" si="15"/>
        <v>0.11127630834077372</v>
      </c>
      <c r="N113" s="261">
        <f t="shared" si="16"/>
        <v>0.18091632306347</v>
      </c>
      <c r="O113" s="261">
        <f t="shared" si="17"/>
        <v>0.13083023660625268</v>
      </c>
    </row>
    <row r="114" spans="1:15" x14ac:dyDescent="0.2">
      <c r="A114" s="254" t="s">
        <v>531</v>
      </c>
      <c r="B114" s="261">
        <f>B15/B10</f>
        <v>0</v>
      </c>
      <c r="C114" s="261">
        <f t="shared" ref="C114:K114" si="34">C15/C10</f>
        <v>-2.2766840766037313E-2</v>
      </c>
      <c r="D114" s="261">
        <f t="shared" si="34"/>
        <v>1.5459136349593088E-4</v>
      </c>
      <c r="E114" s="261">
        <f t="shared" si="34"/>
        <v>0.12381878071170145</v>
      </c>
      <c r="F114" s="261">
        <f t="shared" si="34"/>
        <v>0.17286489063710592</v>
      </c>
      <c r="G114" s="261">
        <f t="shared" si="34"/>
        <v>0.26958982532609055</v>
      </c>
      <c r="H114" s="261">
        <f t="shared" si="34"/>
        <v>0.20268513100578639</v>
      </c>
      <c r="I114" s="265">
        <f t="shared" si="34"/>
        <v>-0.34438616439863551</v>
      </c>
      <c r="J114" s="265">
        <f t="shared" si="34"/>
        <v>0.14066450305714442</v>
      </c>
      <c r="K114" s="265">
        <f t="shared" si="34"/>
        <v>-0.24113656882121848</v>
      </c>
      <c r="L114" s="265"/>
      <c r="M114" s="261">
        <f t="shared" si="15"/>
        <v>-0.14828607672090319</v>
      </c>
      <c r="N114" s="261">
        <f t="shared" si="16"/>
        <v>5.4833452338334697E-3</v>
      </c>
      <c r="O114" s="261">
        <f t="shared" si="17"/>
        <v>3.0148814811543346E-2</v>
      </c>
    </row>
    <row r="115" spans="1:15" x14ac:dyDescent="0.2">
      <c r="A115" s="254" t="s">
        <v>532</v>
      </c>
      <c r="C115" s="260">
        <f t="shared" ref="C115:K115" si="35">(C4-$B$4)/(C10-$B$10)</f>
        <v>3.2596100278551443</v>
      </c>
      <c r="D115" s="260">
        <f t="shared" si="35"/>
        <v>3.0009168704156455</v>
      </c>
      <c r="E115" s="260">
        <f t="shared" si="35"/>
        <v>13.829105473965273</v>
      </c>
      <c r="F115" s="260">
        <f t="shared" si="35"/>
        <v>-11.328960645812316</v>
      </c>
      <c r="G115" s="260">
        <f t="shared" si="35"/>
        <v>-5.0508651240358535</v>
      </c>
      <c r="H115" s="260">
        <f t="shared" si="35"/>
        <v>-5.9560485558811251</v>
      </c>
      <c r="I115" s="275">
        <f t="shared" si="35"/>
        <v>2.1737596123459393</v>
      </c>
      <c r="J115" s="275">
        <f t="shared" si="35"/>
        <v>2.7834017102466504</v>
      </c>
      <c r="K115" s="275">
        <f t="shared" si="35"/>
        <v>1.5715762719165982</v>
      </c>
      <c r="L115" s="275"/>
      <c r="M115" s="260">
        <f t="shared" si="15"/>
        <v>2.176245864836396</v>
      </c>
      <c r="N115" s="260">
        <f t="shared" si="16"/>
        <v>-0.89563521708155813</v>
      </c>
      <c r="O115" s="260">
        <f t="shared" si="17"/>
        <v>0.4758328490017727</v>
      </c>
    </row>
    <row r="116" spans="1:15" x14ac:dyDescent="0.2">
      <c r="A116" s="254" t="s">
        <v>533</v>
      </c>
      <c r="C116" s="261">
        <f>(C11-$B$11)/(C10-$B$10)</f>
        <v>-0.54707520891364769</v>
      </c>
      <c r="D116" s="261">
        <f t="shared" ref="D116:K116" si="36">(D11-$B$11)/(D10-$B$10)</f>
        <v>0.15189486552567225</v>
      </c>
      <c r="E116" s="261">
        <f t="shared" si="36"/>
        <v>0.73631508678237567</v>
      </c>
      <c r="F116" s="261">
        <f t="shared" si="36"/>
        <v>-0.23158425832492438</v>
      </c>
      <c r="G116" s="261">
        <f t="shared" si="36"/>
        <v>-0.38419845736918884</v>
      </c>
      <c r="H116" s="264">
        <f t="shared" si="36"/>
        <v>-0.8177061532021771</v>
      </c>
      <c r="I116" s="264">
        <f t="shared" si="36"/>
        <v>0.23833350890129568</v>
      </c>
      <c r="J116" s="264">
        <f t="shared" si="36"/>
        <v>0.23948396025900837</v>
      </c>
      <c r="K116" s="264">
        <f t="shared" si="36"/>
        <v>0.13233963727221812</v>
      </c>
      <c r="L116" s="264"/>
      <c r="M116" s="261">
        <f t="shared" si="15"/>
        <v>0.20338570214417406</v>
      </c>
      <c r="N116" s="261">
        <f t="shared" si="16"/>
        <v>-0.11834950082776877</v>
      </c>
      <c r="O116" s="261">
        <f t="shared" si="17"/>
        <v>-5.3577446563263097E-2</v>
      </c>
    </row>
    <row r="117" spans="1:15" x14ac:dyDescent="0.2">
      <c r="A117" s="254" t="s">
        <v>534</v>
      </c>
      <c r="C117" s="261">
        <f>(C12-$B$12)/(C10-$B$10)</f>
        <v>-0.20055710306406643</v>
      </c>
      <c r="D117" s="261">
        <f t="shared" ref="D117:K117" si="37">(D12-$B$12)/(D10-$B$10)</f>
        <v>-0.52933985330073308</v>
      </c>
      <c r="E117" s="261">
        <f t="shared" si="37"/>
        <v>1.837116154873162</v>
      </c>
      <c r="F117" s="261">
        <f t="shared" si="37"/>
        <v>-2.3365287588294663</v>
      </c>
      <c r="G117" s="261">
        <f t="shared" si="37"/>
        <v>-1.4807171148634555</v>
      </c>
      <c r="H117" s="265">
        <f t="shared" si="37"/>
        <v>-1.438886563415656</v>
      </c>
      <c r="I117" s="265">
        <f t="shared" si="37"/>
        <v>0.14031391551669647</v>
      </c>
      <c r="J117" s="265">
        <f t="shared" si="37"/>
        <v>0.40793831249073192</v>
      </c>
      <c r="K117" s="265">
        <f t="shared" si="37"/>
        <v>8.8937233446775482E-2</v>
      </c>
      <c r="L117" s="265"/>
      <c r="M117" s="261">
        <f t="shared" si="15"/>
        <v>0.21239648715140133</v>
      </c>
      <c r="N117" s="261">
        <f t="shared" si="16"/>
        <v>-0.45648284336498152</v>
      </c>
      <c r="O117" s="261">
        <f t="shared" si="17"/>
        <v>-0.39019153079400132</v>
      </c>
    </row>
    <row r="118" spans="1:15" x14ac:dyDescent="0.2">
      <c r="A118" s="254" t="s">
        <v>535</v>
      </c>
      <c r="C118" s="261">
        <f>(C15-$B$15)/(C10-$B$10)</f>
        <v>-0.47353760445682508</v>
      </c>
      <c r="D118" s="261">
        <f t="shared" ref="D118:K118" si="38">(D15-$B$15)/(D10-$B$10)</f>
        <v>1.8337408312970856E-3</v>
      </c>
      <c r="E118" s="261">
        <f t="shared" si="38"/>
        <v>3.0614152202937204</v>
      </c>
      <c r="F118" s="261">
        <f t="shared" si="38"/>
        <v>-2.9268415741675087</v>
      </c>
      <c r="G118" s="261">
        <f t="shared" si="38"/>
        <v>-1.727746508234312</v>
      </c>
      <c r="H118" s="261">
        <f t="shared" si="38"/>
        <v>-1.3049393051485987</v>
      </c>
      <c r="I118" s="261">
        <f t="shared" si="38"/>
        <v>-0.98904455914884648</v>
      </c>
      <c r="J118" s="261">
        <f t="shared" si="38"/>
        <v>0.3877712421531313</v>
      </c>
      <c r="K118" s="261">
        <f t="shared" si="38"/>
        <v>-0.42573127127040861</v>
      </c>
      <c r="L118" s="261"/>
      <c r="M118" s="261">
        <f t="shared" si="15"/>
        <v>-0.34233486275537461</v>
      </c>
      <c r="N118" s="261">
        <f t="shared" si="16"/>
        <v>-0.81193808032980697</v>
      </c>
      <c r="O118" s="261">
        <f t="shared" si="17"/>
        <v>-0.48853562434981679</v>
      </c>
    </row>
    <row r="119" spans="1:15" x14ac:dyDescent="0.2">
      <c r="A119" s="252" t="s">
        <v>247</v>
      </c>
      <c r="M119" s="260"/>
      <c r="N119" s="260"/>
      <c r="O119" s="260"/>
    </row>
    <row r="120" spans="1:15" x14ac:dyDescent="0.2">
      <c r="A120" s="252" t="s">
        <v>536</v>
      </c>
      <c r="B120" s="261">
        <f>B12/B16</f>
        <v>5.6751949419450783E-2</v>
      </c>
      <c r="C120" s="261">
        <f t="shared" ref="C120:K120" si="39">C12/C16</f>
        <v>4.4783572255205017E-2</v>
      </c>
      <c r="D120" s="261">
        <f t="shared" si="39"/>
        <v>1.5791640743868897E-3</v>
      </c>
      <c r="E120" s="261">
        <f t="shared" si="39"/>
        <v>0.13318046102470715</v>
      </c>
      <c r="F120" s="261">
        <f t="shared" si="39"/>
        <v>0.23155850294434835</v>
      </c>
      <c r="G120" s="261">
        <f t="shared" si="39"/>
        <v>0.35263465693017204</v>
      </c>
      <c r="H120" s="261">
        <f t="shared" si="39"/>
        <v>0.34700840264506128</v>
      </c>
      <c r="I120" s="261">
        <f t="shared" si="39"/>
        <v>8.0143343667136185E-2</v>
      </c>
      <c r="J120" s="261">
        <f t="shared" si="39"/>
        <v>0.15399071931880109</v>
      </c>
      <c r="K120" s="261">
        <f t="shared" si="39"/>
        <v>5.1049011627530283E-2</v>
      </c>
      <c r="L120" s="261"/>
      <c r="M120" s="261">
        <f t="shared" si="15"/>
        <v>9.5061024871155864E-2</v>
      </c>
      <c r="N120" s="261">
        <f t="shared" si="16"/>
        <v>0.19696522683774018</v>
      </c>
      <c r="O120" s="261">
        <f t="shared" si="17"/>
        <v>0.1452679783906799</v>
      </c>
    </row>
    <row r="121" spans="1:15" x14ac:dyDescent="0.2">
      <c r="A121" s="252" t="s">
        <v>537</v>
      </c>
      <c r="B121" s="266">
        <f>('Data Sheet'!B31*10000000/'Data Sheet'!B70)/'Data Sheet'!B90</f>
        <v>0</v>
      </c>
      <c r="C121" s="266">
        <f>('Data Sheet'!C31*10000000/'Data Sheet'!C70)/'Data Sheet'!C90</f>
        <v>0</v>
      </c>
      <c r="D121" s="266">
        <f>('Data Sheet'!D31*10000000/'Data Sheet'!D70)/'Data Sheet'!D90</f>
        <v>0</v>
      </c>
      <c r="E121" s="266">
        <f>('Data Sheet'!E31*10000000/'Data Sheet'!E70)/'Data Sheet'!E90</f>
        <v>0</v>
      </c>
      <c r="F121" s="266">
        <f>('Data Sheet'!F31*10000000/'Data Sheet'!F70)/'Data Sheet'!F90</f>
        <v>0</v>
      </c>
      <c r="G121" s="266">
        <f>('Data Sheet'!G31*10000000/'Data Sheet'!G70)/'Data Sheet'!G90</f>
        <v>0</v>
      </c>
      <c r="H121" s="266">
        <f>('Data Sheet'!H31*10000000/'Data Sheet'!H70)/'Data Sheet'!H90</f>
        <v>4.6733215336791895E-2</v>
      </c>
      <c r="I121" s="266">
        <f>('Data Sheet'!I31*10000000/'Data Sheet'!I70)/'Data Sheet'!I90</f>
        <v>2.5760747401442026E-2</v>
      </c>
      <c r="J121" s="266">
        <f>('Data Sheet'!J31*10000000/'Data Sheet'!J70)/'Data Sheet'!J90</f>
        <v>1.524190652382453E-2</v>
      </c>
      <c r="K121" s="266">
        <f>('Data Sheet'!K31*10000000/'Data Sheet'!K70)/'Data Sheet'!K90</f>
        <v>9.2178828212341676E-3</v>
      </c>
      <c r="L121" s="266"/>
      <c r="M121" s="261">
        <f t="shared" si="15"/>
        <v>1.6740178915500243E-2</v>
      </c>
      <c r="N121" s="261">
        <f t="shared" si="16"/>
        <v>1.9390750416658518E-2</v>
      </c>
      <c r="O121" s="261">
        <f t="shared" si="17"/>
        <v>9.6953752083292592E-3</v>
      </c>
    </row>
    <row r="122" spans="1:15" x14ac:dyDescent="0.2">
      <c r="A122" s="252" t="s">
        <v>17</v>
      </c>
      <c r="B122" s="261">
        <f>'Data Sheet'!B31/'Data Sheet'!B30</f>
        <v>0</v>
      </c>
      <c r="C122" s="261">
        <f>'Data Sheet'!C31/'Data Sheet'!C30</f>
        <v>0</v>
      </c>
      <c r="D122" s="261">
        <f>'Data Sheet'!D31/'Data Sheet'!D30</f>
        <v>0</v>
      </c>
      <c r="E122" s="261">
        <f>'Data Sheet'!E31/'Data Sheet'!E30</f>
        <v>0</v>
      </c>
      <c r="F122" s="261">
        <f>'Data Sheet'!F31/'Data Sheet'!F30</f>
        <v>0</v>
      </c>
      <c r="G122" s="261">
        <f>'Data Sheet'!G31/'Data Sheet'!G30</f>
        <v>0</v>
      </c>
      <c r="H122" s="261">
        <f>'Data Sheet'!H31/'Data Sheet'!H30</f>
        <v>9.8907418056354224E-2</v>
      </c>
      <c r="I122" s="261">
        <f>'Data Sheet'!I31/'Data Sheet'!I30</f>
        <v>0.11181640625</v>
      </c>
      <c r="J122" s="261">
        <f>'Data Sheet'!J31/'Data Sheet'!J30</f>
        <v>0.10371376811594205</v>
      </c>
      <c r="K122" s="261">
        <f>'Data Sheet'!K31/'Data Sheet'!K30</f>
        <v>9.6237970253718289E-2</v>
      </c>
      <c r="L122" s="261"/>
      <c r="M122" s="261">
        <f t="shared" si="15"/>
        <v>0.10392271487322012</v>
      </c>
      <c r="N122" s="261">
        <f t="shared" si="16"/>
        <v>8.213511253520292E-2</v>
      </c>
      <c r="O122" s="261">
        <f t="shared" si="17"/>
        <v>4.106755626760146E-2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2"/>
  <sheetViews>
    <sheetView workbookViewId="0">
      <pane xSplit="1" ySplit="3" topLeftCell="B4" activePane="bottomRight" state="frozen"/>
      <selection pane="topRight" activeCell="B1" sqref="B1"/>
      <selection pane="bottomLeft" activeCell="A4" sqref="A4"/>
      <selection pane="bottomRight" activeCell="K12" sqref="K12"/>
    </sheetView>
  </sheetViews>
  <sheetFormatPr defaultRowHeight="15" x14ac:dyDescent="0.25"/>
  <cols>
    <col min="1" max="1" width="20.7109375" style="6" customWidth="1"/>
    <col min="2" max="11" width="13.5703125" style="6" bestFit="1" customWidth="1"/>
    <col min="12" max="16384" width="9.140625" style="6"/>
  </cols>
  <sheetData>
    <row r="1" spans="1:11" s="8" customFormat="1" x14ac:dyDescent="0.25">
      <c r="A1" s="8" t="str">
        <f>'Profit &amp; Loss'!A1</f>
        <v>NITIN SPINNERS LTD</v>
      </c>
      <c r="E1" t="str">
        <f>UPDATE</f>
        <v/>
      </c>
      <c r="J1" s="4" t="s">
        <v>1</v>
      </c>
      <c r="K1" s="4"/>
    </row>
    <row r="3" spans="1:11" s="2" customFormat="1" x14ac:dyDescent="0.25">
      <c r="A3" s="15" t="s">
        <v>2</v>
      </c>
      <c r="B3" s="16">
        <f>'Data Sheet'!B41</f>
        <v>42277</v>
      </c>
      <c r="C3" s="16">
        <f>'Data Sheet'!C41</f>
        <v>42369</v>
      </c>
      <c r="D3" s="16">
        <f>'Data Sheet'!D41</f>
        <v>42460</v>
      </c>
      <c r="E3" s="16">
        <f>'Data Sheet'!E41</f>
        <v>42551</v>
      </c>
      <c r="F3" s="16">
        <f>'Data Sheet'!F41</f>
        <v>42643</v>
      </c>
      <c r="G3" s="16">
        <f>'Data Sheet'!G41</f>
        <v>42735</v>
      </c>
      <c r="H3" s="16">
        <f>'Data Sheet'!H41</f>
        <v>42825</v>
      </c>
      <c r="I3" s="16">
        <f>'Data Sheet'!I41</f>
        <v>42916</v>
      </c>
      <c r="J3" s="16">
        <f>'Data Sheet'!J41</f>
        <v>43008</v>
      </c>
      <c r="K3" s="16">
        <f>'Data Sheet'!K41</f>
        <v>43100</v>
      </c>
    </row>
    <row r="4" spans="1:11" s="8" customFormat="1" x14ac:dyDescent="0.25">
      <c r="A4" s="8" t="s">
        <v>6</v>
      </c>
      <c r="B4" s="1">
        <f>'Data Sheet'!B42</f>
        <v>190.13</v>
      </c>
      <c r="C4" s="1">
        <f>'Data Sheet'!C42</f>
        <v>190.45</v>
      </c>
      <c r="D4" s="1">
        <f>'Data Sheet'!D42</f>
        <v>190.47</v>
      </c>
      <c r="E4" s="1">
        <f>'Data Sheet'!E42</f>
        <v>193.53</v>
      </c>
      <c r="F4" s="1">
        <f>'Data Sheet'!F42</f>
        <v>206.47</v>
      </c>
      <c r="G4" s="1">
        <f>'Data Sheet'!G42</f>
        <v>248.17</v>
      </c>
      <c r="H4" s="1">
        <f>'Data Sheet'!H42</f>
        <v>285.2</v>
      </c>
      <c r="I4" s="1">
        <f>'Data Sheet'!I42</f>
        <v>287.25</v>
      </c>
      <c r="J4" s="1">
        <f>'Data Sheet'!J42</f>
        <v>284.45</v>
      </c>
      <c r="K4" s="1">
        <f>'Data Sheet'!K42</f>
        <v>287.10000000000002</v>
      </c>
    </row>
    <row r="5" spans="1:11" x14ac:dyDescent="0.25">
      <c r="A5" s="6" t="s">
        <v>7</v>
      </c>
      <c r="B5" s="9">
        <f>'Data Sheet'!B43</f>
        <v>155.29</v>
      </c>
      <c r="C5" s="9">
        <f>'Data Sheet'!C43</f>
        <v>156.52000000000001</v>
      </c>
      <c r="D5" s="9">
        <f>'Data Sheet'!D43</f>
        <v>159.37</v>
      </c>
      <c r="E5" s="9">
        <f>'Data Sheet'!E43</f>
        <v>162.65</v>
      </c>
      <c r="F5" s="9">
        <f>'Data Sheet'!F43</f>
        <v>174.77</v>
      </c>
      <c r="G5" s="9">
        <f>'Data Sheet'!G43</f>
        <v>214.48</v>
      </c>
      <c r="H5" s="9">
        <f>'Data Sheet'!H43</f>
        <v>247.88</v>
      </c>
      <c r="I5" s="9">
        <f>'Data Sheet'!I43</f>
        <v>245.92</v>
      </c>
      <c r="J5" s="9">
        <f>'Data Sheet'!J43</f>
        <v>250.96</v>
      </c>
      <c r="K5" s="9">
        <f>'Data Sheet'!K43</f>
        <v>248.96</v>
      </c>
    </row>
    <row r="6" spans="1:11" s="8" customFormat="1" x14ac:dyDescent="0.25">
      <c r="A6" s="8" t="s">
        <v>8</v>
      </c>
      <c r="B6" s="1">
        <f>'Data Sheet'!B50</f>
        <v>34.840000000000003</v>
      </c>
      <c r="C6" s="1">
        <f>'Data Sheet'!C50</f>
        <v>33.93</v>
      </c>
      <c r="D6" s="1">
        <f>'Data Sheet'!D50</f>
        <v>31.1</v>
      </c>
      <c r="E6" s="1">
        <f>'Data Sheet'!E50</f>
        <v>30.88</v>
      </c>
      <c r="F6" s="1">
        <f>'Data Sheet'!F50</f>
        <v>31.7</v>
      </c>
      <c r="G6" s="1">
        <f>'Data Sheet'!G50</f>
        <v>33.69</v>
      </c>
      <c r="H6" s="1">
        <f>'Data Sheet'!H50</f>
        <v>37.32</v>
      </c>
      <c r="I6" s="1">
        <f>'Data Sheet'!I50</f>
        <v>41.33</v>
      </c>
      <c r="J6" s="1">
        <f>'Data Sheet'!J50</f>
        <v>33.49</v>
      </c>
      <c r="K6" s="1">
        <f>'Data Sheet'!K50</f>
        <v>38.14</v>
      </c>
    </row>
    <row r="7" spans="1:11" x14ac:dyDescent="0.25">
      <c r="A7" s="6" t="s">
        <v>9</v>
      </c>
      <c r="B7" s="9">
        <f>'Data Sheet'!B44</f>
        <v>0.01</v>
      </c>
      <c r="C7" s="9">
        <f>'Data Sheet'!C44</f>
        <v>0.03</v>
      </c>
      <c r="D7" s="9">
        <f>'Data Sheet'!D44</f>
        <v>0</v>
      </c>
      <c r="E7" s="9">
        <f>'Data Sheet'!E44</f>
        <v>0.14000000000000001</v>
      </c>
      <c r="F7" s="9">
        <f>'Data Sheet'!F44</f>
        <v>0.41</v>
      </c>
      <c r="G7" s="9">
        <f>'Data Sheet'!G44</f>
        <v>7.0000000000000007E-2</v>
      </c>
      <c r="H7" s="9">
        <f>'Data Sheet'!H44</f>
        <v>0.16</v>
      </c>
      <c r="I7" s="9">
        <f>'Data Sheet'!I44</f>
        <v>0.19</v>
      </c>
      <c r="J7" s="9">
        <f>'Data Sheet'!J44</f>
        <v>0.79</v>
      </c>
      <c r="K7" s="9">
        <f>'Data Sheet'!K44</f>
        <v>0.83</v>
      </c>
    </row>
    <row r="8" spans="1:11" x14ac:dyDescent="0.25">
      <c r="A8" s="6" t="s">
        <v>10</v>
      </c>
      <c r="B8" s="9">
        <f>'Data Sheet'!B45</f>
        <v>10</v>
      </c>
      <c r="C8" s="9">
        <f>'Data Sheet'!C45</f>
        <v>9.94</v>
      </c>
      <c r="D8" s="9">
        <f>'Data Sheet'!D45</f>
        <v>9.73</v>
      </c>
      <c r="E8" s="9">
        <f>'Data Sheet'!E45</f>
        <v>9.85</v>
      </c>
      <c r="F8" s="9">
        <f>'Data Sheet'!F45</f>
        <v>9.9700000000000006</v>
      </c>
      <c r="G8" s="9">
        <f>'Data Sheet'!G45</f>
        <v>9.9700000000000006</v>
      </c>
      <c r="H8" s="9">
        <f>'Data Sheet'!H45</f>
        <v>11.87</v>
      </c>
      <c r="I8" s="9">
        <f>'Data Sheet'!I45</f>
        <v>14.13</v>
      </c>
      <c r="J8" s="9">
        <f>'Data Sheet'!J45</f>
        <v>14.24</v>
      </c>
      <c r="K8" s="9">
        <f>'Data Sheet'!K45</f>
        <v>14.25</v>
      </c>
    </row>
    <row r="9" spans="1:11" x14ac:dyDescent="0.25">
      <c r="A9" s="6" t="s">
        <v>11</v>
      </c>
      <c r="B9" s="9">
        <f>'Data Sheet'!B46</f>
        <v>8.83</v>
      </c>
      <c r="C9" s="9">
        <f>'Data Sheet'!C46</f>
        <v>8.7100000000000009</v>
      </c>
      <c r="D9" s="9">
        <f>'Data Sheet'!D46</f>
        <v>5.71</v>
      </c>
      <c r="E9" s="9">
        <f>'Data Sheet'!E46</f>
        <v>5.82</v>
      </c>
      <c r="F9" s="9">
        <f>'Data Sheet'!F46</f>
        <v>5.0199999999999996</v>
      </c>
      <c r="G9" s="9">
        <f>'Data Sheet'!G46</f>
        <v>5.0599999999999996</v>
      </c>
      <c r="H9" s="9">
        <f>'Data Sheet'!H46</f>
        <v>6.37</v>
      </c>
      <c r="I9" s="9">
        <f>'Data Sheet'!I46</f>
        <v>8.09</v>
      </c>
      <c r="J9" s="9">
        <f>'Data Sheet'!J46</f>
        <v>7.4</v>
      </c>
      <c r="K9" s="9">
        <f>'Data Sheet'!K46</f>
        <v>7.07</v>
      </c>
    </row>
    <row r="10" spans="1:11" x14ac:dyDescent="0.25">
      <c r="A10" s="6" t="s">
        <v>12</v>
      </c>
      <c r="B10" s="9">
        <f>'Data Sheet'!B47</f>
        <v>16.02</v>
      </c>
      <c r="C10" s="9">
        <f>'Data Sheet'!C47</f>
        <v>15.31</v>
      </c>
      <c r="D10" s="9">
        <f>'Data Sheet'!D47</f>
        <v>15.65</v>
      </c>
      <c r="E10" s="9">
        <f>'Data Sheet'!E47</f>
        <v>15.35</v>
      </c>
      <c r="F10" s="9">
        <f>'Data Sheet'!F47</f>
        <v>17.12</v>
      </c>
      <c r="G10" s="9">
        <f>'Data Sheet'!G47</f>
        <v>18.73</v>
      </c>
      <c r="H10" s="9">
        <f>'Data Sheet'!H47</f>
        <v>19.25</v>
      </c>
      <c r="I10" s="9">
        <f>'Data Sheet'!I47</f>
        <v>19.29</v>
      </c>
      <c r="J10" s="9">
        <f>'Data Sheet'!J47</f>
        <v>12.64</v>
      </c>
      <c r="K10" s="9">
        <f>'Data Sheet'!K47</f>
        <v>17.649999999999999</v>
      </c>
    </row>
    <row r="11" spans="1:11" x14ac:dyDescent="0.25">
      <c r="A11" s="6" t="s">
        <v>13</v>
      </c>
      <c r="B11" s="9">
        <f>'Data Sheet'!B48</f>
        <v>5.67</v>
      </c>
      <c r="C11" s="9">
        <f>'Data Sheet'!C48</f>
        <v>4.6399999999999997</v>
      </c>
      <c r="D11" s="9">
        <f>'Data Sheet'!D48</f>
        <v>4.28</v>
      </c>
      <c r="E11" s="9">
        <f>'Data Sheet'!E48</f>
        <v>3.06</v>
      </c>
      <c r="F11" s="9">
        <f>'Data Sheet'!F48</f>
        <v>3</v>
      </c>
      <c r="G11" s="9">
        <f>'Data Sheet'!G48</f>
        <v>3.5</v>
      </c>
      <c r="H11" s="9">
        <f>'Data Sheet'!H48</f>
        <v>3.46</v>
      </c>
      <c r="I11" s="9">
        <f>'Data Sheet'!I48</f>
        <v>6.57</v>
      </c>
      <c r="J11" s="9">
        <f>'Data Sheet'!J48</f>
        <v>4.33</v>
      </c>
      <c r="K11" s="9">
        <f>'Data Sheet'!K48</f>
        <v>0.89</v>
      </c>
    </row>
    <row r="12" spans="1:11" s="8" customFormat="1" x14ac:dyDescent="0.25">
      <c r="A12" s="8" t="s">
        <v>14</v>
      </c>
      <c r="B12" s="1">
        <f>'Data Sheet'!B49</f>
        <v>10.34</v>
      </c>
      <c r="C12" s="1">
        <f>'Data Sheet'!C49</f>
        <v>10.67</v>
      </c>
      <c r="D12" s="1">
        <f>'Data Sheet'!D49</f>
        <v>11.37</v>
      </c>
      <c r="E12" s="1">
        <f>'Data Sheet'!E49</f>
        <v>12.3</v>
      </c>
      <c r="F12" s="1">
        <f>'Data Sheet'!F49</f>
        <v>14.12</v>
      </c>
      <c r="G12" s="1">
        <f>'Data Sheet'!G49</f>
        <v>15.23</v>
      </c>
      <c r="H12" s="1">
        <f>'Data Sheet'!H49</f>
        <v>15.79</v>
      </c>
      <c r="I12" s="1">
        <f>'Data Sheet'!I49</f>
        <v>12.73</v>
      </c>
      <c r="J12" s="1">
        <f>'Data Sheet'!J49</f>
        <v>8.31</v>
      </c>
      <c r="K12" s="1">
        <f>'Data Sheet'!K49</f>
        <v>16.760000000000002</v>
      </c>
    </row>
    <row r="14" spans="1:11" s="8" customFormat="1" x14ac:dyDescent="0.25">
      <c r="A14" s="2" t="s">
        <v>18</v>
      </c>
      <c r="B14" s="14">
        <f>IF(B4&gt;0,B6/B4,"")</f>
        <v>0.18324304423289331</v>
      </c>
      <c r="C14" s="14">
        <f t="shared" ref="C14:K14" si="0">IF(C4&gt;0,C6/C4,"")</f>
        <v>0.17815699658703071</v>
      </c>
      <c r="D14" s="14">
        <f t="shared" si="0"/>
        <v>0.16328030660996484</v>
      </c>
      <c r="E14" s="14">
        <f t="shared" si="0"/>
        <v>0.15956182504004546</v>
      </c>
      <c r="F14" s="14">
        <f t="shared" si="0"/>
        <v>0.15353320094929046</v>
      </c>
      <c r="G14" s="14">
        <f t="shared" si="0"/>
        <v>0.13575371720997703</v>
      </c>
      <c r="H14" s="14">
        <f t="shared" si="0"/>
        <v>0.13085553997194951</v>
      </c>
      <c r="I14" s="14">
        <f t="shared" si="0"/>
        <v>0.14388163620539599</v>
      </c>
      <c r="J14" s="14">
        <f t="shared" si="0"/>
        <v>0.11773598171910706</v>
      </c>
      <c r="K14" s="14">
        <f t="shared" si="0"/>
        <v>0.13284569836293975</v>
      </c>
    </row>
    <row r="22" s="30" customFormat="1" x14ac:dyDescent="0.25"/>
  </sheetData>
  <hyperlinks>
    <hyperlink ref="J1" r:id="rId1"/>
  </hyperlinks>
  <printOptions gridLines="1"/>
  <pageMargins left="0.7" right="0.7" top="0.75" bottom="0.75" header="0.3" footer="0.3"/>
  <pageSetup paperSize="9" scale="83" orientation="landscape" horizontalDpi="300" verticalDpi="300"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topLeftCell="A7" workbookViewId="0">
      <selection activeCell="B16" sqref="B16"/>
    </sheetView>
  </sheetViews>
  <sheetFormatPr defaultRowHeight="15" x14ac:dyDescent="0.25"/>
  <cols>
    <col min="1" max="1" width="20.140625" bestFit="1" customWidth="1"/>
  </cols>
  <sheetData>
    <row r="1" spans="1:13" x14ac:dyDescent="0.25">
      <c r="A1" t="str">
        <f>'Data Sheet'!A1</f>
        <v>COMPANY NAME</v>
      </c>
      <c r="B1" t="str">
        <f>'Data Sheet'!B1</f>
        <v>NITIN SPINNERS LTD</v>
      </c>
    </row>
    <row r="2" spans="1:13" x14ac:dyDescent="0.25">
      <c r="A2" t="str">
        <f>'Data Sheet'!A2</f>
        <v>LATEST VERSION</v>
      </c>
      <c r="B2">
        <f>'Data Sheet'!B2</f>
        <v>2.1</v>
      </c>
    </row>
    <row r="3" spans="1:13" x14ac:dyDescent="0.25">
      <c r="A3" t="str">
        <f>'Data Sheet'!A3</f>
        <v>CURRENT VERSION</v>
      </c>
      <c r="B3">
        <f>'Data Sheet'!B3</f>
        <v>2.1</v>
      </c>
    </row>
    <row r="5" spans="1:13" x14ac:dyDescent="0.25">
      <c r="A5" t="str">
        <f>'Data Sheet'!A5</f>
        <v>META</v>
      </c>
    </row>
    <row r="6" spans="1:13" x14ac:dyDescent="0.25">
      <c r="A6" t="str">
        <f>'Data Sheet'!A6</f>
        <v>Number of shares</v>
      </c>
      <c r="B6">
        <f>'Data Sheet'!B6</f>
        <v>5.5552062868369347</v>
      </c>
    </row>
    <row r="7" spans="1:13" x14ac:dyDescent="0.25">
      <c r="A7" t="str">
        <f>'Data Sheet'!A7</f>
        <v>Face Value</v>
      </c>
      <c r="B7">
        <f>'Data Sheet'!B7</f>
        <v>10</v>
      </c>
    </row>
    <row r="8" spans="1:13" x14ac:dyDescent="0.25">
      <c r="A8" t="str">
        <f>'Data Sheet'!A8</f>
        <v>Current Price</v>
      </c>
      <c r="B8">
        <f>'Data Sheet'!B8</f>
        <v>101.8</v>
      </c>
    </row>
    <row r="9" spans="1:13" x14ac:dyDescent="0.25">
      <c r="A9" t="str">
        <f>'Data Sheet'!A9</f>
        <v>Market Capitalization</v>
      </c>
      <c r="B9">
        <f>'Data Sheet'!B9</f>
        <v>565.52</v>
      </c>
    </row>
    <row r="15" spans="1:13" x14ac:dyDescent="0.25">
      <c r="A15" t="str">
        <f>'Data Sheet'!A15</f>
        <v>PROFIT &amp; LOSS</v>
      </c>
    </row>
    <row r="16" spans="1:13" x14ac:dyDescent="0.25">
      <c r="A16" t="str">
        <f>'Data Sheet'!A16</f>
        <v>Report Date</v>
      </c>
      <c r="B16" s="16">
        <f>'Data Sheet'!B16</f>
        <v>39538</v>
      </c>
      <c r="C16" s="16">
        <f>'Data Sheet'!C16</f>
        <v>39903</v>
      </c>
      <c r="D16" s="16">
        <f>'Data Sheet'!D16</f>
        <v>40268</v>
      </c>
      <c r="E16" s="16">
        <f>'Data Sheet'!E16</f>
        <v>40633</v>
      </c>
      <c r="F16" s="16">
        <f>'Data Sheet'!F16</f>
        <v>40999</v>
      </c>
      <c r="G16" s="16">
        <f>'Data Sheet'!G16</f>
        <v>41364</v>
      </c>
      <c r="H16" s="16">
        <f>'Data Sheet'!H16</f>
        <v>41729</v>
      </c>
      <c r="I16" s="16">
        <f>'Data Sheet'!I16</f>
        <v>42094</v>
      </c>
      <c r="J16" s="16">
        <f>'Data Sheet'!J16</f>
        <v>42460</v>
      </c>
      <c r="K16" s="16">
        <f>'Data Sheet'!K16</f>
        <v>42825</v>
      </c>
      <c r="L16" t="s">
        <v>974</v>
      </c>
      <c r="M16" t="s">
        <v>975</v>
      </c>
    </row>
    <row r="17" spans="1:13" x14ac:dyDescent="0.25">
      <c r="A17" t="str">
        <f>'Data Sheet'!A17</f>
        <v>Sales</v>
      </c>
      <c r="B17">
        <f>'Data Sheet'!B17</f>
        <v>203.76</v>
      </c>
      <c r="C17">
        <f>'Data Sheet'!C17</f>
        <v>262.27</v>
      </c>
      <c r="D17">
        <f>'Data Sheet'!D17</f>
        <v>301.95</v>
      </c>
      <c r="E17">
        <f>'Data Sheet'!E17</f>
        <v>410.92</v>
      </c>
      <c r="F17">
        <f>'Data Sheet'!F17</f>
        <v>428.3</v>
      </c>
      <c r="G17">
        <f>'Data Sheet'!G17</f>
        <v>446.05</v>
      </c>
      <c r="H17">
        <f>'Data Sheet'!H17</f>
        <v>488.34</v>
      </c>
      <c r="I17">
        <f>'Data Sheet'!I17</f>
        <v>616.47</v>
      </c>
      <c r="J17">
        <f>'Data Sheet'!J17</f>
        <v>766.87</v>
      </c>
      <c r="K17">
        <f>'Data Sheet'!K17</f>
        <v>933.38</v>
      </c>
      <c r="L17">
        <f>L42</f>
        <v>648.16999999999996</v>
      </c>
      <c r="M17">
        <f>M42</f>
        <v>858.8</v>
      </c>
    </row>
    <row r="18" spans="1:13" x14ac:dyDescent="0.25">
      <c r="A18" t="str">
        <f>'Data Sheet'!A18</f>
        <v>Raw Material Cost</v>
      </c>
      <c r="B18">
        <f>'Data Sheet'!B18</f>
        <v>113.49</v>
      </c>
      <c r="C18">
        <f>'Data Sheet'!C18</f>
        <v>168.56</v>
      </c>
      <c r="D18">
        <f>'Data Sheet'!D18</f>
        <v>192.7</v>
      </c>
      <c r="E18">
        <f>'Data Sheet'!E18</f>
        <v>260.94</v>
      </c>
      <c r="F18">
        <f>'Data Sheet'!F18</f>
        <v>286.3</v>
      </c>
      <c r="G18">
        <f>'Data Sheet'!G18</f>
        <v>264.19</v>
      </c>
      <c r="H18">
        <f>'Data Sheet'!H18</f>
        <v>303.77999999999997</v>
      </c>
      <c r="I18">
        <f>'Data Sheet'!I18</f>
        <v>387.09</v>
      </c>
      <c r="J18">
        <f>'Data Sheet'!J18</f>
        <v>461.52</v>
      </c>
      <c r="K18">
        <f>'Data Sheet'!K18</f>
        <v>617.14</v>
      </c>
    </row>
    <row r="19" spans="1:13" x14ac:dyDescent="0.25">
      <c r="A19" t="str">
        <f>'Data Sheet'!A19</f>
        <v>Change in Inventory</v>
      </c>
      <c r="B19">
        <f>'Data Sheet'!B19</f>
        <v>2.11</v>
      </c>
      <c r="C19">
        <f>'Data Sheet'!C19</f>
        <v>2.02</v>
      </c>
      <c r="D19">
        <f>'Data Sheet'!D19</f>
        <v>-1.1000000000000001</v>
      </c>
      <c r="E19">
        <f>'Data Sheet'!E19</f>
        <v>8.7899999999999991</v>
      </c>
      <c r="F19">
        <f>'Data Sheet'!F19</f>
        <v>-10.43</v>
      </c>
      <c r="G19">
        <f>'Data Sheet'!G19</f>
        <v>0.19</v>
      </c>
      <c r="H19">
        <f>'Data Sheet'!H19</f>
        <v>5.92</v>
      </c>
      <c r="I19">
        <f>'Data Sheet'!I19</f>
        <v>3.41</v>
      </c>
      <c r="J19">
        <f>'Data Sheet'!J19</f>
        <v>-1.71</v>
      </c>
      <c r="K19">
        <f>'Data Sheet'!K19</f>
        <v>28.12</v>
      </c>
    </row>
    <row r="20" spans="1:13" x14ac:dyDescent="0.25">
      <c r="A20" t="str">
        <f>'Data Sheet'!A20</f>
        <v>Power and Fuel</v>
      </c>
      <c r="B20">
        <f>'Data Sheet'!B20</f>
        <v>27.21</v>
      </c>
      <c r="C20">
        <f>'Data Sheet'!C20</f>
        <v>34.82</v>
      </c>
      <c r="D20">
        <f>'Data Sheet'!D20</f>
        <v>31.39</v>
      </c>
      <c r="E20">
        <f>'Data Sheet'!E20</f>
        <v>35.14</v>
      </c>
      <c r="F20">
        <f>'Data Sheet'!F20</f>
        <v>38.57</v>
      </c>
      <c r="G20">
        <f>'Data Sheet'!G20</f>
        <v>38.53</v>
      </c>
      <c r="H20">
        <f>'Data Sheet'!H20</f>
        <v>34.96</v>
      </c>
      <c r="I20">
        <f>'Data Sheet'!I20</f>
        <v>51.3</v>
      </c>
      <c r="J20">
        <f>'Data Sheet'!J20</f>
        <v>65.05</v>
      </c>
      <c r="K20">
        <f>'Data Sheet'!K20</f>
        <v>92.11</v>
      </c>
    </row>
    <row r="21" spans="1:13" x14ac:dyDescent="0.25">
      <c r="A21" t="str">
        <f>'Data Sheet'!A21</f>
        <v>Other Mfr. Exp</v>
      </c>
      <c r="B21">
        <f>'Data Sheet'!B21</f>
        <v>8.98</v>
      </c>
      <c r="C21">
        <f>'Data Sheet'!C21</f>
        <v>11.61</v>
      </c>
      <c r="D21">
        <f>'Data Sheet'!D21</f>
        <v>16.55</v>
      </c>
      <c r="E21">
        <f>'Data Sheet'!E21</f>
        <v>16.079999999999998</v>
      </c>
      <c r="F21">
        <f>'Data Sheet'!F21</f>
        <v>15.59</v>
      </c>
      <c r="G21">
        <f>'Data Sheet'!G21</f>
        <v>18.260000000000002</v>
      </c>
      <c r="H21">
        <f>'Data Sheet'!H21</f>
        <v>20.260000000000002</v>
      </c>
      <c r="I21">
        <f>'Data Sheet'!I21</f>
        <v>25.12</v>
      </c>
      <c r="J21">
        <f>'Data Sheet'!J21</f>
        <v>30.79</v>
      </c>
      <c r="K21">
        <f>'Data Sheet'!K21</f>
        <v>34.229999999999997</v>
      </c>
    </row>
    <row r="22" spans="1:13" x14ac:dyDescent="0.25">
      <c r="A22" t="str">
        <f>'Data Sheet'!A22</f>
        <v>Employee Cost</v>
      </c>
      <c r="B22">
        <f>'Data Sheet'!B22</f>
        <v>8.15</v>
      </c>
      <c r="C22">
        <f>'Data Sheet'!C22</f>
        <v>10.47</v>
      </c>
      <c r="D22">
        <f>'Data Sheet'!D22</f>
        <v>12.66</v>
      </c>
      <c r="E22">
        <f>'Data Sheet'!E22</f>
        <v>14.75</v>
      </c>
      <c r="F22">
        <f>'Data Sheet'!F22</f>
        <v>16.489999999999998</v>
      </c>
      <c r="G22">
        <f>'Data Sheet'!G22</f>
        <v>19.940000000000001</v>
      </c>
      <c r="H22">
        <f>'Data Sheet'!H22</f>
        <v>24.6</v>
      </c>
      <c r="I22">
        <f>'Data Sheet'!I22</f>
        <v>34.28</v>
      </c>
      <c r="J22">
        <f>'Data Sheet'!J22</f>
        <v>43.14</v>
      </c>
      <c r="K22">
        <f>'Data Sheet'!K22</f>
        <v>52.16</v>
      </c>
    </row>
    <row r="23" spans="1:13" x14ac:dyDescent="0.25">
      <c r="A23" t="str">
        <f>'Data Sheet'!A23</f>
        <v>Selling and admin</v>
      </c>
      <c r="B23">
        <f>'Data Sheet'!B23</f>
        <v>12.4</v>
      </c>
      <c r="C23">
        <f>'Data Sheet'!C23</f>
        <v>12.71</v>
      </c>
      <c r="D23">
        <f>'Data Sheet'!D23</f>
        <v>13.2</v>
      </c>
      <c r="E23">
        <f>'Data Sheet'!E23</f>
        <v>16.79</v>
      </c>
      <c r="F23">
        <f>'Data Sheet'!F23</f>
        <v>15.72</v>
      </c>
      <c r="G23">
        <f>'Data Sheet'!G23</f>
        <v>17.3</v>
      </c>
      <c r="H23">
        <f>'Data Sheet'!H23</f>
        <v>16.510000000000002</v>
      </c>
      <c r="I23">
        <f>'Data Sheet'!I23</f>
        <v>22.02</v>
      </c>
      <c r="J23">
        <f>'Data Sheet'!J23</f>
        <v>27.57</v>
      </c>
      <c r="K23">
        <f>'Data Sheet'!K23</f>
        <v>32.67</v>
      </c>
    </row>
    <row r="24" spans="1:13" x14ac:dyDescent="0.25">
      <c r="A24" t="str">
        <f>'Data Sheet'!A24</f>
        <v>Other Expenses</v>
      </c>
      <c r="B24">
        <f>'Data Sheet'!B24</f>
        <v>2.4</v>
      </c>
      <c r="C24">
        <f>'Data Sheet'!C24</f>
        <v>29.33</v>
      </c>
      <c r="D24">
        <f>'Data Sheet'!D24</f>
        <v>0.11</v>
      </c>
      <c r="E24">
        <f>'Data Sheet'!E24</f>
        <v>0.21</v>
      </c>
      <c r="F24">
        <f>'Data Sheet'!F24</f>
        <v>0.15</v>
      </c>
      <c r="G24">
        <f>'Data Sheet'!G24</f>
        <v>15.53</v>
      </c>
      <c r="H24">
        <f>'Data Sheet'!H24</f>
        <v>0.21</v>
      </c>
      <c r="I24">
        <f>'Data Sheet'!I24</f>
        <v>0.88</v>
      </c>
      <c r="J24">
        <f>'Data Sheet'!J24</f>
        <v>0.06</v>
      </c>
      <c r="K24">
        <f>'Data Sheet'!K24</f>
        <v>7.0000000000000007E-2</v>
      </c>
    </row>
    <row r="25" spans="1:13" x14ac:dyDescent="0.25">
      <c r="A25" t="str">
        <f>'Data Sheet'!A25</f>
        <v>Other Income</v>
      </c>
      <c r="B25">
        <f>'Data Sheet'!B25</f>
        <v>0.17</v>
      </c>
      <c r="C25">
        <f>'Data Sheet'!C25</f>
        <v>0.98</v>
      </c>
      <c r="D25">
        <f>'Data Sheet'!D25</f>
        <v>0.56000000000000005</v>
      </c>
      <c r="E25">
        <f>'Data Sheet'!E25</f>
        <v>0.24</v>
      </c>
      <c r="F25">
        <f>'Data Sheet'!F25</f>
        <v>0.13</v>
      </c>
      <c r="G25">
        <f>'Data Sheet'!G25</f>
        <v>0.3</v>
      </c>
      <c r="H25">
        <f>'Data Sheet'!H25</f>
        <v>0.35</v>
      </c>
      <c r="I25">
        <f>'Data Sheet'!I25</f>
        <v>5.13</v>
      </c>
      <c r="J25">
        <f>'Data Sheet'!J25</f>
        <v>0.72</v>
      </c>
      <c r="K25">
        <f>'Data Sheet'!K25</f>
        <v>0.79</v>
      </c>
      <c r="L25">
        <f t="shared" ref="L25:M30" si="0">L44</f>
        <v>0.62</v>
      </c>
      <c r="M25">
        <f t="shared" si="0"/>
        <v>1.81</v>
      </c>
    </row>
    <row r="26" spans="1:13" x14ac:dyDescent="0.25">
      <c r="A26" t="str">
        <f>'Data Sheet'!A26</f>
        <v>Depreciation</v>
      </c>
      <c r="B26">
        <f>'Data Sheet'!B26</f>
        <v>21.09</v>
      </c>
      <c r="C26">
        <f>'Data Sheet'!C26</f>
        <v>-3.07</v>
      </c>
      <c r="D26">
        <f>'Data Sheet'!D26</f>
        <v>18.649999999999999</v>
      </c>
      <c r="E26">
        <f>'Data Sheet'!E26</f>
        <v>45.33</v>
      </c>
      <c r="F26">
        <f>'Data Sheet'!F26</f>
        <v>23.98</v>
      </c>
      <c r="G26">
        <f>'Data Sheet'!G26</f>
        <v>24.5</v>
      </c>
      <c r="H26">
        <f>'Data Sheet'!H26</f>
        <v>24.87</v>
      </c>
      <c r="I26">
        <f>'Data Sheet'!I26</f>
        <v>27.94</v>
      </c>
      <c r="J26">
        <f>'Data Sheet'!J26</f>
        <v>39.56</v>
      </c>
      <c r="K26">
        <f>'Data Sheet'!K26</f>
        <v>41.65</v>
      </c>
      <c r="L26">
        <f t="shared" si="0"/>
        <v>29.79</v>
      </c>
      <c r="M26">
        <f t="shared" si="0"/>
        <v>42.620000000000005</v>
      </c>
    </row>
    <row r="27" spans="1:13" x14ac:dyDescent="0.25">
      <c r="A27" t="str">
        <f>'Data Sheet'!A27</f>
        <v>Interest</v>
      </c>
      <c r="B27">
        <f>'Data Sheet'!B27</f>
        <v>14.59</v>
      </c>
      <c r="C27">
        <f>'Data Sheet'!C27</f>
        <v>23.9</v>
      </c>
      <c r="D27">
        <f>'Data Sheet'!D27</f>
        <v>15.15</v>
      </c>
      <c r="E27">
        <f>'Data Sheet'!E27</f>
        <v>21.04</v>
      </c>
      <c r="F27">
        <f>'Data Sheet'!F27</f>
        <v>20.9</v>
      </c>
      <c r="G27">
        <f>'Data Sheet'!G27</f>
        <v>27.31</v>
      </c>
      <c r="H27">
        <f>'Data Sheet'!H27</f>
        <v>17.46</v>
      </c>
      <c r="I27">
        <f>'Data Sheet'!I27</f>
        <v>22.62</v>
      </c>
      <c r="J27">
        <f>'Data Sheet'!J27</f>
        <v>33.01</v>
      </c>
      <c r="K27">
        <f>'Data Sheet'!K27</f>
        <v>22.24</v>
      </c>
      <c r="L27">
        <f t="shared" si="0"/>
        <v>15.899999999999999</v>
      </c>
      <c r="M27">
        <f t="shared" si="0"/>
        <v>22.560000000000002</v>
      </c>
    </row>
    <row r="28" spans="1:13" x14ac:dyDescent="0.25">
      <c r="A28" t="str">
        <f>'Data Sheet'!A28</f>
        <v>Profit before tax</v>
      </c>
      <c r="B28">
        <f>'Data Sheet'!B28</f>
        <v>-2.27</v>
      </c>
      <c r="C28">
        <f>'Data Sheet'!C28</f>
        <v>-23.06</v>
      </c>
      <c r="D28">
        <f>'Data Sheet'!D28</f>
        <v>1</v>
      </c>
      <c r="E28">
        <f>'Data Sheet'!E28</f>
        <v>9.67</v>
      </c>
      <c r="F28">
        <f>'Data Sheet'!F28</f>
        <v>0.3</v>
      </c>
      <c r="G28">
        <f>'Data Sheet'!G28</f>
        <v>20.97</v>
      </c>
      <c r="H28">
        <f>'Data Sheet'!H28</f>
        <v>51.95</v>
      </c>
      <c r="I28">
        <f>'Data Sheet'!I28</f>
        <v>53.75</v>
      </c>
      <c r="J28">
        <f>'Data Sheet'!J28</f>
        <v>65.19</v>
      </c>
      <c r="K28">
        <f>'Data Sheet'!K28</f>
        <v>70.02</v>
      </c>
      <c r="L28">
        <f t="shared" si="0"/>
        <v>51.2</v>
      </c>
      <c r="M28">
        <f t="shared" si="0"/>
        <v>49.58</v>
      </c>
    </row>
    <row r="29" spans="1:13" x14ac:dyDescent="0.25">
      <c r="A29" t="str">
        <f>'Data Sheet'!A29</f>
        <v>Tax</v>
      </c>
      <c r="B29">
        <f>'Data Sheet'!B29</f>
        <v>2.02</v>
      </c>
      <c r="C29">
        <f>'Data Sheet'!C29</f>
        <v>-8.9499999999999993</v>
      </c>
      <c r="D29">
        <f>'Data Sheet'!D29</f>
        <v>0.32</v>
      </c>
      <c r="E29">
        <f>'Data Sheet'!E29</f>
        <v>2.93</v>
      </c>
      <c r="F29">
        <f>'Data Sheet'!F29</f>
        <v>0</v>
      </c>
      <c r="G29">
        <f>'Data Sheet'!G29</f>
        <v>6.84</v>
      </c>
      <c r="H29">
        <f>'Data Sheet'!H29</f>
        <v>17.170000000000002</v>
      </c>
      <c r="I29">
        <f>'Data Sheet'!I29</f>
        <v>12.79</v>
      </c>
      <c r="J29">
        <f>'Data Sheet'!J29</f>
        <v>21.04</v>
      </c>
      <c r="K29">
        <f>'Data Sheet'!K29</f>
        <v>12.87</v>
      </c>
      <c r="L29">
        <f t="shared" si="0"/>
        <v>9.56</v>
      </c>
      <c r="M29">
        <f t="shared" si="0"/>
        <v>11.79</v>
      </c>
    </row>
    <row r="30" spans="1:13" x14ac:dyDescent="0.25">
      <c r="A30" t="str">
        <f>'Data Sheet'!A30</f>
        <v>Net profit</v>
      </c>
      <c r="B30">
        <f>'Data Sheet'!B30</f>
        <v>-4.29</v>
      </c>
      <c r="C30">
        <f>'Data Sheet'!C30</f>
        <v>-14.11</v>
      </c>
      <c r="D30">
        <f>'Data Sheet'!D30</f>
        <v>0.68</v>
      </c>
      <c r="E30">
        <f>'Data Sheet'!E30</f>
        <v>6.74</v>
      </c>
      <c r="F30">
        <f>'Data Sheet'!F30</f>
        <v>0.3</v>
      </c>
      <c r="G30">
        <f>'Data Sheet'!G30</f>
        <v>14.14</v>
      </c>
      <c r="H30">
        <f>'Data Sheet'!H30</f>
        <v>34.78</v>
      </c>
      <c r="I30">
        <f>'Data Sheet'!I30</f>
        <v>40.96</v>
      </c>
      <c r="J30">
        <f>'Data Sheet'!J30</f>
        <v>44.16</v>
      </c>
      <c r="K30">
        <f>'Data Sheet'!K30</f>
        <v>57.15</v>
      </c>
      <c r="L30">
        <f t="shared" si="0"/>
        <v>41.650000000000006</v>
      </c>
      <c r="M30">
        <f t="shared" si="0"/>
        <v>37.799999999999997</v>
      </c>
    </row>
    <row r="31" spans="1:13" x14ac:dyDescent="0.25">
      <c r="A31" t="str">
        <f>'Data Sheet'!A31</f>
        <v>Dividend Amount</v>
      </c>
      <c r="B31">
        <f>'Data Sheet'!B31</f>
        <v>0</v>
      </c>
      <c r="C31">
        <f>'Data Sheet'!C31</f>
        <v>0</v>
      </c>
      <c r="D31">
        <f>'Data Sheet'!D31</f>
        <v>0</v>
      </c>
      <c r="E31">
        <f>'Data Sheet'!E31</f>
        <v>0</v>
      </c>
      <c r="F31">
        <f>'Data Sheet'!F31</f>
        <v>0</v>
      </c>
      <c r="G31">
        <f>'Data Sheet'!G31</f>
        <v>0</v>
      </c>
      <c r="H31">
        <f>'Data Sheet'!H31</f>
        <v>3.44</v>
      </c>
      <c r="I31">
        <f>'Data Sheet'!I31</f>
        <v>4.58</v>
      </c>
      <c r="J31">
        <f>'Data Sheet'!J31</f>
        <v>4.58</v>
      </c>
      <c r="K31">
        <f>'Data Sheet'!K31</f>
        <v>5.5</v>
      </c>
    </row>
    <row r="40" spans="1:13" x14ac:dyDescent="0.25">
      <c r="A40" t="str">
        <f>'Data Sheet'!A40</f>
        <v>Quarters</v>
      </c>
    </row>
    <row r="41" spans="1:13" x14ac:dyDescent="0.25">
      <c r="A41" t="str">
        <f>'Data Sheet'!A41</f>
        <v>Report Date</v>
      </c>
      <c r="B41" s="16">
        <f>'Data Sheet'!B41</f>
        <v>42277</v>
      </c>
      <c r="C41" s="16">
        <f>'Data Sheet'!C41</f>
        <v>42369</v>
      </c>
      <c r="D41" s="16">
        <f>'Data Sheet'!D41</f>
        <v>42460</v>
      </c>
      <c r="E41" s="16">
        <f>'Data Sheet'!E41</f>
        <v>42551</v>
      </c>
      <c r="F41" s="16">
        <f>'Data Sheet'!F41</f>
        <v>42643</v>
      </c>
      <c r="G41" s="16">
        <f>'Data Sheet'!G41</f>
        <v>42735</v>
      </c>
      <c r="H41" s="16">
        <f>'Data Sheet'!H41</f>
        <v>42825</v>
      </c>
      <c r="I41" s="16">
        <f>'Data Sheet'!I41</f>
        <v>42916</v>
      </c>
      <c r="J41" s="16">
        <f>'Data Sheet'!J41</f>
        <v>43008</v>
      </c>
      <c r="K41" s="16">
        <f>'Data Sheet'!K41</f>
        <v>43100</v>
      </c>
      <c r="L41" t="s">
        <v>976</v>
      </c>
      <c r="M41" t="s">
        <v>977</v>
      </c>
    </row>
    <row r="42" spans="1:13" x14ac:dyDescent="0.25">
      <c r="A42" t="str">
        <f>'Data Sheet'!A42</f>
        <v>Sales</v>
      </c>
      <c r="B42">
        <f>'Data Sheet'!B42</f>
        <v>190.13</v>
      </c>
      <c r="C42">
        <f>'Data Sheet'!C42</f>
        <v>190.45</v>
      </c>
      <c r="D42">
        <f>'Data Sheet'!D42</f>
        <v>190.47</v>
      </c>
      <c r="E42">
        <f>'Data Sheet'!E42</f>
        <v>193.53</v>
      </c>
      <c r="F42">
        <f>'Data Sheet'!F42</f>
        <v>206.47</v>
      </c>
      <c r="G42">
        <f>'Data Sheet'!G42</f>
        <v>248.17</v>
      </c>
      <c r="H42">
        <f>'Data Sheet'!H42</f>
        <v>285.2</v>
      </c>
      <c r="I42">
        <f>'Data Sheet'!I42</f>
        <v>287.25</v>
      </c>
      <c r="J42">
        <f>'Data Sheet'!J42</f>
        <v>284.45</v>
      </c>
      <c r="K42">
        <f>'Data Sheet'!K42</f>
        <v>287.10000000000002</v>
      </c>
      <c r="L42">
        <f t="shared" ref="L42:L50" si="1">G42+F42+E42</f>
        <v>648.16999999999996</v>
      </c>
      <c r="M42">
        <f t="shared" ref="M42:M50" si="2">K42+J42+I42</f>
        <v>858.8</v>
      </c>
    </row>
    <row r="43" spans="1:13" x14ac:dyDescent="0.25">
      <c r="A43" t="str">
        <f>'Data Sheet'!A43</f>
        <v>Expenses</v>
      </c>
      <c r="B43">
        <f>'Data Sheet'!B43</f>
        <v>155.29</v>
      </c>
      <c r="C43">
        <f>'Data Sheet'!C43</f>
        <v>156.52000000000001</v>
      </c>
      <c r="D43">
        <f>'Data Sheet'!D43</f>
        <v>159.37</v>
      </c>
      <c r="E43">
        <f>'Data Sheet'!E43</f>
        <v>162.65</v>
      </c>
      <c r="F43">
        <f>'Data Sheet'!F43</f>
        <v>174.77</v>
      </c>
      <c r="G43">
        <f>'Data Sheet'!G43</f>
        <v>214.48</v>
      </c>
      <c r="H43">
        <f>'Data Sheet'!H43</f>
        <v>247.88</v>
      </c>
      <c r="I43">
        <f>'Data Sheet'!I43</f>
        <v>245.92</v>
      </c>
      <c r="J43">
        <f>'Data Sheet'!J43</f>
        <v>250.96</v>
      </c>
      <c r="K43">
        <f>'Data Sheet'!K43</f>
        <v>248.96</v>
      </c>
      <c r="L43">
        <f t="shared" si="1"/>
        <v>551.9</v>
      </c>
      <c r="M43">
        <f t="shared" si="2"/>
        <v>745.84</v>
      </c>
    </row>
    <row r="44" spans="1:13" x14ac:dyDescent="0.25">
      <c r="A44" t="str">
        <f>'Data Sheet'!A44</f>
        <v>Other Income</v>
      </c>
      <c r="B44">
        <f>'Data Sheet'!B44</f>
        <v>0.01</v>
      </c>
      <c r="C44">
        <f>'Data Sheet'!C44</f>
        <v>0.03</v>
      </c>
      <c r="D44">
        <f>'Data Sheet'!D44</f>
        <v>0</v>
      </c>
      <c r="E44">
        <f>'Data Sheet'!E44</f>
        <v>0.14000000000000001</v>
      </c>
      <c r="F44">
        <f>'Data Sheet'!F44</f>
        <v>0.41</v>
      </c>
      <c r="G44">
        <f>'Data Sheet'!G44</f>
        <v>7.0000000000000007E-2</v>
      </c>
      <c r="H44">
        <f>'Data Sheet'!H44</f>
        <v>0.16</v>
      </c>
      <c r="I44">
        <f>'Data Sheet'!I44</f>
        <v>0.19</v>
      </c>
      <c r="J44">
        <f>'Data Sheet'!J44</f>
        <v>0.79</v>
      </c>
      <c r="K44">
        <f>'Data Sheet'!K44</f>
        <v>0.83</v>
      </c>
      <c r="L44">
        <f t="shared" si="1"/>
        <v>0.62</v>
      </c>
      <c r="M44">
        <f t="shared" si="2"/>
        <v>1.81</v>
      </c>
    </row>
    <row r="45" spans="1:13" x14ac:dyDescent="0.25">
      <c r="A45" t="str">
        <f>'Data Sheet'!A45</f>
        <v>Depreciation</v>
      </c>
      <c r="B45">
        <f>'Data Sheet'!B45</f>
        <v>10</v>
      </c>
      <c r="C45">
        <f>'Data Sheet'!C45</f>
        <v>9.94</v>
      </c>
      <c r="D45">
        <f>'Data Sheet'!D45</f>
        <v>9.73</v>
      </c>
      <c r="E45">
        <f>'Data Sheet'!E45</f>
        <v>9.85</v>
      </c>
      <c r="F45">
        <f>'Data Sheet'!F45</f>
        <v>9.9700000000000006</v>
      </c>
      <c r="G45">
        <f>'Data Sheet'!G45</f>
        <v>9.9700000000000006</v>
      </c>
      <c r="H45">
        <f>'Data Sheet'!H45</f>
        <v>11.87</v>
      </c>
      <c r="I45">
        <f>'Data Sheet'!I45</f>
        <v>14.13</v>
      </c>
      <c r="J45">
        <f>'Data Sheet'!J45</f>
        <v>14.24</v>
      </c>
      <c r="K45">
        <f>'Data Sheet'!K45</f>
        <v>14.25</v>
      </c>
      <c r="L45">
        <f t="shared" si="1"/>
        <v>29.79</v>
      </c>
      <c r="M45">
        <f t="shared" si="2"/>
        <v>42.620000000000005</v>
      </c>
    </row>
    <row r="46" spans="1:13" x14ac:dyDescent="0.25">
      <c r="A46" t="str">
        <f>'Data Sheet'!A46</f>
        <v>Interest</v>
      </c>
      <c r="B46">
        <f>'Data Sheet'!B46</f>
        <v>8.83</v>
      </c>
      <c r="C46">
        <f>'Data Sheet'!C46</f>
        <v>8.7100000000000009</v>
      </c>
      <c r="D46">
        <f>'Data Sheet'!D46</f>
        <v>5.71</v>
      </c>
      <c r="E46">
        <f>'Data Sheet'!E46</f>
        <v>5.82</v>
      </c>
      <c r="F46">
        <f>'Data Sheet'!F46</f>
        <v>5.0199999999999996</v>
      </c>
      <c r="G46">
        <f>'Data Sheet'!G46</f>
        <v>5.0599999999999996</v>
      </c>
      <c r="H46">
        <f>'Data Sheet'!H46</f>
        <v>6.37</v>
      </c>
      <c r="I46">
        <f>'Data Sheet'!I46</f>
        <v>8.09</v>
      </c>
      <c r="J46">
        <f>'Data Sheet'!J46</f>
        <v>7.4</v>
      </c>
      <c r="K46">
        <f>'Data Sheet'!K46</f>
        <v>7.07</v>
      </c>
      <c r="L46">
        <f t="shared" si="1"/>
        <v>15.899999999999999</v>
      </c>
      <c r="M46">
        <f t="shared" si="2"/>
        <v>22.560000000000002</v>
      </c>
    </row>
    <row r="47" spans="1:13" x14ac:dyDescent="0.25">
      <c r="A47" t="str">
        <f>'Data Sheet'!A47</f>
        <v>Profit before tax</v>
      </c>
      <c r="B47">
        <f>'Data Sheet'!B47</f>
        <v>16.02</v>
      </c>
      <c r="C47">
        <f>'Data Sheet'!C47</f>
        <v>15.31</v>
      </c>
      <c r="D47">
        <f>'Data Sheet'!D47</f>
        <v>15.65</v>
      </c>
      <c r="E47">
        <f>'Data Sheet'!E47</f>
        <v>15.35</v>
      </c>
      <c r="F47">
        <f>'Data Sheet'!F47</f>
        <v>17.12</v>
      </c>
      <c r="G47">
        <f>'Data Sheet'!G47</f>
        <v>18.73</v>
      </c>
      <c r="H47">
        <f>'Data Sheet'!H47</f>
        <v>19.25</v>
      </c>
      <c r="I47">
        <f>'Data Sheet'!I47</f>
        <v>19.29</v>
      </c>
      <c r="J47">
        <f>'Data Sheet'!J47</f>
        <v>12.64</v>
      </c>
      <c r="K47">
        <f>'Data Sheet'!K47</f>
        <v>17.649999999999999</v>
      </c>
      <c r="L47">
        <f t="shared" si="1"/>
        <v>51.2</v>
      </c>
      <c r="M47">
        <f t="shared" si="2"/>
        <v>49.58</v>
      </c>
    </row>
    <row r="48" spans="1:13" x14ac:dyDescent="0.25">
      <c r="A48" t="str">
        <f>'Data Sheet'!A48</f>
        <v>Tax</v>
      </c>
      <c r="B48">
        <f>'Data Sheet'!B48</f>
        <v>5.67</v>
      </c>
      <c r="C48">
        <f>'Data Sheet'!C48</f>
        <v>4.6399999999999997</v>
      </c>
      <c r="D48">
        <f>'Data Sheet'!D48</f>
        <v>4.28</v>
      </c>
      <c r="E48">
        <f>'Data Sheet'!E48</f>
        <v>3.06</v>
      </c>
      <c r="F48">
        <f>'Data Sheet'!F48</f>
        <v>3</v>
      </c>
      <c r="G48">
        <f>'Data Sheet'!G48</f>
        <v>3.5</v>
      </c>
      <c r="H48">
        <f>'Data Sheet'!H48</f>
        <v>3.46</v>
      </c>
      <c r="I48">
        <f>'Data Sheet'!I48</f>
        <v>6.57</v>
      </c>
      <c r="J48">
        <f>'Data Sheet'!J48</f>
        <v>4.33</v>
      </c>
      <c r="K48">
        <f>'Data Sheet'!K48</f>
        <v>0.89</v>
      </c>
      <c r="L48">
        <f t="shared" si="1"/>
        <v>9.56</v>
      </c>
      <c r="M48">
        <f t="shared" si="2"/>
        <v>11.79</v>
      </c>
    </row>
    <row r="49" spans="1:13" x14ac:dyDescent="0.25">
      <c r="A49" t="str">
        <f>'Data Sheet'!A49</f>
        <v>Net profit</v>
      </c>
      <c r="B49">
        <f>'Data Sheet'!B49</f>
        <v>10.34</v>
      </c>
      <c r="C49">
        <f>'Data Sheet'!C49</f>
        <v>10.67</v>
      </c>
      <c r="D49">
        <f>'Data Sheet'!D49</f>
        <v>11.37</v>
      </c>
      <c r="E49">
        <f>'Data Sheet'!E49</f>
        <v>12.3</v>
      </c>
      <c r="F49">
        <f>'Data Sheet'!F49</f>
        <v>14.12</v>
      </c>
      <c r="G49">
        <f>'Data Sheet'!G49</f>
        <v>15.23</v>
      </c>
      <c r="H49">
        <f>'Data Sheet'!H49</f>
        <v>15.79</v>
      </c>
      <c r="I49">
        <f>'Data Sheet'!I49</f>
        <v>12.73</v>
      </c>
      <c r="J49">
        <f>'Data Sheet'!J49</f>
        <v>8.31</v>
      </c>
      <c r="K49">
        <f>'Data Sheet'!K49</f>
        <v>16.760000000000002</v>
      </c>
      <c r="L49">
        <f t="shared" si="1"/>
        <v>41.650000000000006</v>
      </c>
      <c r="M49">
        <f t="shared" si="2"/>
        <v>37.799999999999997</v>
      </c>
    </row>
    <row r="50" spans="1:13" x14ac:dyDescent="0.25">
      <c r="A50" t="str">
        <f>'Data Sheet'!A50</f>
        <v>Operating Profit</v>
      </c>
      <c r="B50">
        <f>'Data Sheet'!B50</f>
        <v>34.840000000000003</v>
      </c>
      <c r="C50">
        <f>'Data Sheet'!C50</f>
        <v>33.93</v>
      </c>
      <c r="D50">
        <f>'Data Sheet'!D50</f>
        <v>31.1</v>
      </c>
      <c r="E50">
        <f>'Data Sheet'!E50</f>
        <v>30.88</v>
      </c>
      <c r="F50">
        <f>'Data Sheet'!F50</f>
        <v>31.7</v>
      </c>
      <c r="G50">
        <f>'Data Sheet'!G50</f>
        <v>33.69</v>
      </c>
      <c r="H50">
        <f>'Data Sheet'!H50</f>
        <v>37.32</v>
      </c>
      <c r="I50">
        <f>'Data Sheet'!I50</f>
        <v>41.33</v>
      </c>
      <c r="J50">
        <f>'Data Sheet'!J50</f>
        <v>33.49</v>
      </c>
      <c r="K50">
        <f>'Data Sheet'!K50</f>
        <v>38.14</v>
      </c>
      <c r="L50">
        <f t="shared" si="1"/>
        <v>96.27</v>
      </c>
      <c r="M50">
        <f t="shared" si="2"/>
        <v>112.96</v>
      </c>
    </row>
    <row r="55" spans="1:13" x14ac:dyDescent="0.25">
      <c r="A55" t="str">
        <f>'Data Sheet'!A55</f>
        <v>BALANCE SHEET</v>
      </c>
    </row>
    <row r="56" spans="1:13" x14ac:dyDescent="0.25">
      <c r="A56" t="str">
        <f>'Data Sheet'!A56</f>
        <v>Report Date</v>
      </c>
      <c r="B56" s="16">
        <f>'Data Sheet'!B56</f>
        <v>39538</v>
      </c>
      <c r="C56" s="16">
        <f>'Data Sheet'!C56</f>
        <v>39903</v>
      </c>
      <c r="D56" s="16">
        <f>'Data Sheet'!D56</f>
        <v>40268</v>
      </c>
      <c r="E56" s="16">
        <f>'Data Sheet'!E56</f>
        <v>40633</v>
      </c>
      <c r="F56" s="16">
        <f>'Data Sheet'!F56</f>
        <v>40999</v>
      </c>
      <c r="G56" s="16">
        <f>'Data Sheet'!G56</f>
        <v>41364</v>
      </c>
      <c r="H56" s="16">
        <f>'Data Sheet'!H56</f>
        <v>41729</v>
      </c>
      <c r="I56" s="16">
        <f>'Data Sheet'!I56</f>
        <v>42094</v>
      </c>
      <c r="J56" s="16">
        <f>'Data Sheet'!J56</f>
        <v>42460</v>
      </c>
      <c r="K56" s="16">
        <f>'Data Sheet'!K56</f>
        <v>42825</v>
      </c>
    </row>
    <row r="57" spans="1:13" x14ac:dyDescent="0.25">
      <c r="A57" t="str">
        <f>'Data Sheet'!A57</f>
        <v>Equity Share Capital</v>
      </c>
      <c r="B57">
        <f>'Data Sheet'!B57</f>
        <v>40.83</v>
      </c>
      <c r="C57">
        <f>'Data Sheet'!C57</f>
        <v>40.83</v>
      </c>
      <c r="D57">
        <f>'Data Sheet'!D57</f>
        <v>45.83</v>
      </c>
      <c r="E57">
        <f>'Data Sheet'!E57</f>
        <v>45.83</v>
      </c>
      <c r="F57">
        <f>'Data Sheet'!F57</f>
        <v>45.83</v>
      </c>
      <c r="G57">
        <f>'Data Sheet'!G57</f>
        <v>45.83</v>
      </c>
      <c r="H57">
        <f>'Data Sheet'!H57</f>
        <v>45.83</v>
      </c>
      <c r="I57">
        <f>'Data Sheet'!I57</f>
        <v>45.83</v>
      </c>
      <c r="J57">
        <f>'Data Sheet'!J57</f>
        <v>45.83</v>
      </c>
      <c r="K57">
        <f>'Data Sheet'!K57</f>
        <v>45.83</v>
      </c>
    </row>
    <row r="58" spans="1:13" x14ac:dyDescent="0.25">
      <c r="A58" t="str">
        <f>'Data Sheet'!A58</f>
        <v>Reserves</v>
      </c>
      <c r="B58">
        <f>'Data Sheet'!B58</f>
        <v>47.23</v>
      </c>
      <c r="C58">
        <f>'Data Sheet'!C58</f>
        <v>33.11</v>
      </c>
      <c r="D58">
        <f>'Data Sheet'!D58</f>
        <v>33.78</v>
      </c>
      <c r="E58">
        <f>'Data Sheet'!E58</f>
        <v>40.520000000000003</v>
      </c>
      <c r="F58">
        <f>'Data Sheet'!F58</f>
        <v>40.83</v>
      </c>
      <c r="G58">
        <f>'Data Sheet'!G58</f>
        <v>54.96</v>
      </c>
      <c r="H58">
        <f>'Data Sheet'!H58</f>
        <v>85.72</v>
      </c>
      <c r="I58">
        <f>'Data Sheet'!I58</f>
        <v>121.16</v>
      </c>
      <c r="J58">
        <f>'Data Sheet'!J58</f>
        <v>159.81</v>
      </c>
      <c r="K58">
        <f>'Data Sheet'!K58</f>
        <v>210.34</v>
      </c>
    </row>
    <row r="59" spans="1:13" x14ac:dyDescent="0.25">
      <c r="A59" t="str">
        <f>'Data Sheet'!A59</f>
        <v>Borrowings</v>
      </c>
      <c r="B59">
        <f>'Data Sheet'!B59</f>
        <v>267.33999999999997</v>
      </c>
      <c r="C59">
        <f>'Data Sheet'!C59</f>
        <v>299.41000000000003</v>
      </c>
      <c r="D59">
        <f>'Data Sheet'!D59</f>
        <v>308.51</v>
      </c>
      <c r="E59">
        <f>'Data Sheet'!E59</f>
        <v>284.02999999999997</v>
      </c>
      <c r="F59">
        <f>'Data Sheet'!F59</f>
        <v>248.92</v>
      </c>
      <c r="G59">
        <f>'Data Sheet'!G59</f>
        <v>206.64</v>
      </c>
      <c r="H59">
        <f>'Data Sheet'!H59</f>
        <v>176.07</v>
      </c>
      <c r="I59">
        <f>'Data Sheet'!I59</f>
        <v>378.27</v>
      </c>
      <c r="J59">
        <f>'Data Sheet'!J59</f>
        <v>352.07</v>
      </c>
      <c r="K59">
        <f>'Data Sheet'!K59</f>
        <v>563.49</v>
      </c>
    </row>
    <row r="60" spans="1:13" x14ac:dyDescent="0.25">
      <c r="A60" t="str">
        <f>'Data Sheet'!A60</f>
        <v>Other Liabilities</v>
      </c>
      <c r="B60">
        <f>'Data Sheet'!B60</f>
        <v>16.03</v>
      </c>
      <c r="C60">
        <f>'Data Sheet'!C60</f>
        <v>55.52</v>
      </c>
      <c r="D60">
        <f>'Data Sheet'!D60</f>
        <v>42.65</v>
      </c>
      <c r="E60">
        <f>'Data Sheet'!E60</f>
        <v>38.4</v>
      </c>
      <c r="F60">
        <f>'Data Sheet'!F60</f>
        <v>11.72</v>
      </c>
      <c r="G60">
        <f>'Data Sheet'!G60</f>
        <v>56.38</v>
      </c>
      <c r="H60">
        <f>'Data Sheet'!H60</f>
        <v>47.71</v>
      </c>
      <c r="I60">
        <f>'Data Sheet'!I60</f>
        <v>66.75</v>
      </c>
      <c r="J60">
        <f>'Data Sheet'!J60</f>
        <v>79.39</v>
      </c>
      <c r="K60">
        <f>'Data Sheet'!K60</f>
        <v>106.68</v>
      </c>
    </row>
    <row r="61" spans="1:13" x14ac:dyDescent="0.25">
      <c r="A61" t="str">
        <f>'Data Sheet'!A61</f>
        <v>Total</v>
      </c>
      <c r="B61">
        <f>'Data Sheet'!B61</f>
        <v>371.43</v>
      </c>
      <c r="C61">
        <f>'Data Sheet'!C61</f>
        <v>428.87</v>
      </c>
      <c r="D61">
        <f>'Data Sheet'!D61</f>
        <v>430.77</v>
      </c>
      <c r="E61">
        <f>'Data Sheet'!E61</f>
        <v>408.78</v>
      </c>
      <c r="F61">
        <f>'Data Sheet'!F61</f>
        <v>347.3</v>
      </c>
      <c r="G61">
        <f>'Data Sheet'!G61</f>
        <v>363.81</v>
      </c>
      <c r="H61">
        <f>'Data Sheet'!H61</f>
        <v>355.33</v>
      </c>
      <c r="I61">
        <f>'Data Sheet'!I61</f>
        <v>612.01</v>
      </c>
      <c r="J61">
        <f>'Data Sheet'!J61</f>
        <v>637.1</v>
      </c>
      <c r="K61">
        <f>'Data Sheet'!K61</f>
        <v>926.34</v>
      </c>
    </row>
    <row r="62" spans="1:13" x14ac:dyDescent="0.25">
      <c r="A62" t="str">
        <f>'Data Sheet'!A62</f>
        <v>Net Block</v>
      </c>
      <c r="B62">
        <f>'Data Sheet'!B62</f>
        <v>239.51</v>
      </c>
      <c r="C62">
        <f>'Data Sheet'!C62</f>
        <v>313.16000000000003</v>
      </c>
      <c r="D62">
        <f>'Data Sheet'!D62</f>
        <v>295.08</v>
      </c>
      <c r="E62">
        <f>'Data Sheet'!E62</f>
        <v>249.28</v>
      </c>
      <c r="F62">
        <f>'Data Sheet'!F62</f>
        <v>228.09</v>
      </c>
      <c r="G62">
        <f>'Data Sheet'!G62</f>
        <v>212.99</v>
      </c>
      <c r="H62">
        <f>'Data Sheet'!H62</f>
        <v>191.21</v>
      </c>
      <c r="I62">
        <f>'Data Sheet'!I62</f>
        <v>416.74</v>
      </c>
      <c r="J62">
        <f>'Data Sheet'!J62</f>
        <v>382.07</v>
      </c>
      <c r="K62">
        <f>'Data Sheet'!K62</f>
        <v>614.29</v>
      </c>
    </row>
    <row r="63" spans="1:13" x14ac:dyDescent="0.25">
      <c r="A63" t="str">
        <f>'Data Sheet'!A63</f>
        <v>Capital Work in Progress</v>
      </c>
      <c r="B63">
        <f>'Data Sheet'!B63</f>
        <v>47.89</v>
      </c>
      <c r="C63">
        <f>'Data Sheet'!C63</f>
        <v>0.08</v>
      </c>
      <c r="D63">
        <f>'Data Sheet'!D63</f>
        <v>0</v>
      </c>
      <c r="E63">
        <f>'Data Sheet'!E63</f>
        <v>0</v>
      </c>
      <c r="F63">
        <f>'Data Sheet'!F63</f>
        <v>3.38</v>
      </c>
      <c r="G63">
        <f>'Data Sheet'!G63</f>
        <v>0</v>
      </c>
      <c r="H63">
        <f>'Data Sheet'!H63</f>
        <v>21.18</v>
      </c>
      <c r="I63">
        <f>'Data Sheet'!I63</f>
        <v>0</v>
      </c>
      <c r="J63">
        <f>'Data Sheet'!J63</f>
        <v>17.059999999999999</v>
      </c>
      <c r="K63">
        <f>'Data Sheet'!K63</f>
        <v>0</v>
      </c>
    </row>
    <row r="64" spans="1:13" x14ac:dyDescent="0.25">
      <c r="A64" t="str">
        <f>'Data Sheet'!A64</f>
        <v>Investments</v>
      </c>
      <c r="B64">
        <f>'Data Sheet'!B64</f>
        <v>0</v>
      </c>
      <c r="C64">
        <f>'Data Sheet'!C64</f>
        <v>0</v>
      </c>
      <c r="D64">
        <f>'Data Sheet'!D64</f>
        <v>0</v>
      </c>
      <c r="E64">
        <f>'Data Sheet'!E64</f>
        <v>0</v>
      </c>
      <c r="F64">
        <f>'Data Sheet'!F64</f>
        <v>0</v>
      </c>
      <c r="G64">
        <f>'Data Sheet'!G64</f>
        <v>0</v>
      </c>
      <c r="H64">
        <f>'Data Sheet'!H64</f>
        <v>0</v>
      </c>
      <c r="I64">
        <f>'Data Sheet'!I64</f>
        <v>0</v>
      </c>
      <c r="J64">
        <f>'Data Sheet'!J64</f>
        <v>0</v>
      </c>
      <c r="K64">
        <f>'Data Sheet'!K64</f>
        <v>0</v>
      </c>
    </row>
    <row r="65" spans="1:11" x14ac:dyDescent="0.25">
      <c r="A65" t="str">
        <f>'Data Sheet'!A65</f>
        <v>Other Assets</v>
      </c>
      <c r="B65">
        <f>'Data Sheet'!B65</f>
        <v>84.03</v>
      </c>
      <c r="C65">
        <f>'Data Sheet'!C65</f>
        <v>115.63</v>
      </c>
      <c r="D65">
        <f>'Data Sheet'!D65</f>
        <v>135.69</v>
      </c>
      <c r="E65">
        <f>'Data Sheet'!E65</f>
        <v>159.5</v>
      </c>
      <c r="F65">
        <f>'Data Sheet'!F65</f>
        <v>115.83</v>
      </c>
      <c r="G65">
        <f>'Data Sheet'!G65</f>
        <v>150.82</v>
      </c>
      <c r="H65">
        <f>'Data Sheet'!H65</f>
        <v>142.94</v>
      </c>
      <c r="I65">
        <f>'Data Sheet'!I65</f>
        <v>195.27</v>
      </c>
      <c r="J65">
        <f>'Data Sheet'!J65</f>
        <v>237.97</v>
      </c>
      <c r="K65">
        <f>'Data Sheet'!K65</f>
        <v>312.05</v>
      </c>
    </row>
    <row r="66" spans="1:11" x14ac:dyDescent="0.25">
      <c r="A66" t="str">
        <f>'Data Sheet'!A66</f>
        <v>Total</v>
      </c>
      <c r="B66">
        <f>'Data Sheet'!B66</f>
        <v>371.43</v>
      </c>
      <c r="C66">
        <f>'Data Sheet'!C66</f>
        <v>428.87</v>
      </c>
      <c r="D66">
        <f>'Data Sheet'!D66</f>
        <v>430.77</v>
      </c>
      <c r="E66">
        <f>'Data Sheet'!E66</f>
        <v>408.78</v>
      </c>
      <c r="F66">
        <f>'Data Sheet'!F66</f>
        <v>347.3</v>
      </c>
      <c r="G66">
        <f>'Data Sheet'!G66</f>
        <v>363.81</v>
      </c>
      <c r="H66">
        <f>'Data Sheet'!H66</f>
        <v>355.33</v>
      </c>
      <c r="I66">
        <f>'Data Sheet'!I66</f>
        <v>612.01</v>
      </c>
      <c r="J66">
        <f>'Data Sheet'!J66</f>
        <v>637.1</v>
      </c>
      <c r="K66">
        <f>'Data Sheet'!K66</f>
        <v>926.34</v>
      </c>
    </row>
    <row r="67" spans="1:11" x14ac:dyDescent="0.25">
      <c r="A67" t="str">
        <f>'Data Sheet'!A67</f>
        <v>Receivables</v>
      </c>
      <c r="B67">
        <f>'Data Sheet'!B67</f>
        <v>11.79</v>
      </c>
      <c r="C67">
        <f>'Data Sheet'!C67</f>
        <v>15.24</v>
      </c>
      <c r="D67">
        <f>'Data Sheet'!D67</f>
        <v>9.4</v>
      </c>
      <c r="E67">
        <f>'Data Sheet'!E67</f>
        <v>35.340000000000003</v>
      </c>
      <c r="F67">
        <f>'Data Sheet'!F67</f>
        <v>18.5</v>
      </c>
      <c r="G67">
        <f>'Data Sheet'!G67</f>
        <v>28.04</v>
      </c>
      <c r="H67">
        <f>'Data Sheet'!H67</f>
        <v>24.89</v>
      </c>
      <c r="I67">
        <f>'Data Sheet'!I67</f>
        <v>40.42</v>
      </c>
      <c r="J67">
        <f>'Data Sheet'!J67</f>
        <v>39.25</v>
      </c>
      <c r="K67">
        <f>'Data Sheet'!K67</f>
        <v>48.33</v>
      </c>
    </row>
    <row r="68" spans="1:11" x14ac:dyDescent="0.25">
      <c r="A68" t="str">
        <f>'Data Sheet'!A68</f>
        <v>Inventory</v>
      </c>
      <c r="B68">
        <f>'Data Sheet'!B68</f>
        <v>48.75</v>
      </c>
      <c r="C68">
        <f>'Data Sheet'!C68</f>
        <v>40.98</v>
      </c>
      <c r="D68">
        <f>'Data Sheet'!D68</f>
        <v>76.03</v>
      </c>
      <c r="E68">
        <f>'Data Sheet'!E68</f>
        <v>81.84</v>
      </c>
      <c r="F68">
        <f>'Data Sheet'!F68</f>
        <v>77.13</v>
      </c>
      <c r="G68">
        <f>'Data Sheet'!G68</f>
        <v>81.900000000000006</v>
      </c>
      <c r="H68">
        <f>'Data Sheet'!H68</f>
        <v>70.7</v>
      </c>
      <c r="I68">
        <f>'Data Sheet'!I68</f>
        <v>94.19</v>
      </c>
      <c r="J68">
        <f>'Data Sheet'!J68</f>
        <v>114.76</v>
      </c>
      <c r="K68">
        <f>'Data Sheet'!K68</f>
        <v>170.04</v>
      </c>
    </row>
    <row r="69" spans="1:11" x14ac:dyDescent="0.25">
      <c r="A69" t="str">
        <f>'Data Sheet'!A69</f>
        <v>Cash &amp; Bank</v>
      </c>
      <c r="B69">
        <f>'Data Sheet'!B69</f>
        <v>0.4</v>
      </c>
      <c r="C69">
        <f>'Data Sheet'!C69</f>
        <v>0.53</v>
      </c>
      <c r="D69">
        <f>'Data Sheet'!D69</f>
        <v>0.1</v>
      </c>
      <c r="E69">
        <f>'Data Sheet'!E69</f>
        <v>0.14000000000000001</v>
      </c>
      <c r="F69">
        <f>'Data Sheet'!F69</f>
        <v>0.08</v>
      </c>
      <c r="G69">
        <f>'Data Sheet'!G69</f>
        <v>0.28000000000000003</v>
      </c>
      <c r="H69">
        <f>'Data Sheet'!H69</f>
        <v>0.06</v>
      </c>
      <c r="I69">
        <f>'Data Sheet'!I69</f>
        <v>0.68</v>
      </c>
      <c r="J69">
        <f>'Data Sheet'!J69</f>
        <v>0.56999999999999995</v>
      </c>
      <c r="K69">
        <f>'Data Sheet'!K69</f>
        <v>1.27</v>
      </c>
    </row>
    <row r="70" spans="1:11" x14ac:dyDescent="0.25">
      <c r="A70" t="str">
        <f>'Data Sheet'!A70</f>
        <v>No. of Equity Shares</v>
      </c>
      <c r="B70">
        <f>'Data Sheet'!B70</f>
        <v>40833945</v>
      </c>
      <c r="C70">
        <f>'Data Sheet'!C70</f>
        <v>40833945</v>
      </c>
      <c r="D70">
        <f>'Data Sheet'!D70</f>
        <v>45833945</v>
      </c>
      <c r="E70">
        <f>'Data Sheet'!E70</f>
        <v>45833945</v>
      </c>
      <c r="F70">
        <f>'Data Sheet'!F70</f>
        <v>45833945</v>
      </c>
      <c r="G70">
        <f>'Data Sheet'!G70</f>
        <v>45833945</v>
      </c>
      <c r="H70">
        <f>'Data Sheet'!H70</f>
        <v>45833945</v>
      </c>
      <c r="I70">
        <f>'Data Sheet'!I70</f>
        <v>45833945</v>
      </c>
      <c r="J70">
        <f>'Data Sheet'!J70</f>
        <v>45833945</v>
      </c>
      <c r="K70">
        <f>'Data Sheet'!K70</f>
        <v>45833945</v>
      </c>
    </row>
    <row r="71" spans="1:11" x14ac:dyDescent="0.25">
      <c r="A71" t="str">
        <f>'Data Sheet'!A71</f>
        <v>New Bonus Shares</v>
      </c>
      <c r="B71">
        <f>'Data Sheet'!B71</f>
        <v>0</v>
      </c>
      <c r="C71">
        <f>'Data Sheet'!C71</f>
        <v>0</v>
      </c>
      <c r="D71">
        <f>'Data Sheet'!D71</f>
        <v>0</v>
      </c>
      <c r="E71">
        <f>'Data Sheet'!E71</f>
        <v>0</v>
      </c>
      <c r="F71">
        <f>'Data Sheet'!F71</f>
        <v>0</v>
      </c>
      <c r="G71">
        <f>'Data Sheet'!G71</f>
        <v>0</v>
      </c>
      <c r="H71">
        <f>'Data Sheet'!H71</f>
        <v>0</v>
      </c>
      <c r="I71">
        <f>'Data Sheet'!I71</f>
        <v>0</v>
      </c>
      <c r="J71">
        <f>'Data Sheet'!J71</f>
        <v>0</v>
      </c>
      <c r="K71">
        <f>'Data Sheet'!K71</f>
        <v>0</v>
      </c>
    </row>
    <row r="72" spans="1:11" x14ac:dyDescent="0.25">
      <c r="A72" t="str">
        <f>'Data Sheet'!A72</f>
        <v>Face value</v>
      </c>
      <c r="B72">
        <f>'Data Sheet'!B72</f>
        <v>10</v>
      </c>
      <c r="C72">
        <f>'Data Sheet'!C72</f>
        <v>10</v>
      </c>
      <c r="D72">
        <f>'Data Sheet'!D72</f>
        <v>10</v>
      </c>
      <c r="E72">
        <f>'Data Sheet'!E72</f>
        <v>10</v>
      </c>
      <c r="F72">
        <f>'Data Sheet'!F72</f>
        <v>10</v>
      </c>
      <c r="G72">
        <f>'Data Sheet'!G72</f>
        <v>10</v>
      </c>
      <c r="H72">
        <f>'Data Sheet'!H72</f>
        <v>10</v>
      </c>
      <c r="I72">
        <f>'Data Sheet'!I72</f>
        <v>10</v>
      </c>
      <c r="J72">
        <f>'Data Sheet'!J72</f>
        <v>10</v>
      </c>
      <c r="K72">
        <f>'Data Sheet'!K72</f>
        <v>10</v>
      </c>
    </row>
    <row r="80" spans="1:11" x14ac:dyDescent="0.25">
      <c r="A80" t="str">
        <f>'Data Sheet'!A80</f>
        <v>CASH FLOW:</v>
      </c>
    </row>
    <row r="81" spans="1:11" x14ac:dyDescent="0.25">
      <c r="A81" t="str">
        <f>'Data Sheet'!A81</f>
        <v>Report Date</v>
      </c>
      <c r="B81" s="16">
        <f>'Data Sheet'!B81</f>
        <v>39538</v>
      </c>
      <c r="C81" s="16">
        <f>'Data Sheet'!C81</f>
        <v>39903</v>
      </c>
      <c r="D81" s="16">
        <f>'Data Sheet'!D81</f>
        <v>40268</v>
      </c>
      <c r="E81" s="16">
        <f>'Data Sheet'!E81</f>
        <v>40633</v>
      </c>
      <c r="F81" s="16">
        <f>'Data Sheet'!F81</f>
        <v>40999</v>
      </c>
      <c r="G81" s="16">
        <f>'Data Sheet'!G81</f>
        <v>41364</v>
      </c>
      <c r="H81" s="16">
        <f>'Data Sheet'!H81</f>
        <v>41729</v>
      </c>
      <c r="I81" s="16">
        <f>'Data Sheet'!I81</f>
        <v>42094</v>
      </c>
      <c r="J81" s="16">
        <f>'Data Sheet'!J81</f>
        <v>42460</v>
      </c>
      <c r="K81" s="16">
        <f>'Data Sheet'!K81</f>
        <v>42825</v>
      </c>
    </row>
    <row r="82" spans="1:11" x14ac:dyDescent="0.25">
      <c r="A82" t="str">
        <f>'Data Sheet'!A82</f>
        <v>Cash from Operating Activity</v>
      </c>
      <c r="B82">
        <f>'Data Sheet'!B82</f>
        <v>17.87</v>
      </c>
      <c r="C82">
        <f>'Data Sheet'!C82</f>
        <v>14.27</v>
      </c>
      <c r="D82">
        <f>'Data Sheet'!D82</f>
        <v>0.55000000000000004</v>
      </c>
      <c r="E82">
        <f>'Data Sheet'!E82</f>
        <v>45.39</v>
      </c>
      <c r="F82">
        <f>'Data Sheet'!F82</f>
        <v>64.180000000000007</v>
      </c>
      <c r="G82">
        <f>'Data Sheet'!G82</f>
        <v>88.9</v>
      </c>
      <c r="H82">
        <f>'Data Sheet'!H82</f>
        <v>86.62</v>
      </c>
      <c r="I82">
        <f>'Data Sheet'!I82</f>
        <v>44.51</v>
      </c>
      <c r="J82">
        <f>'Data Sheet'!J82</f>
        <v>100.4</v>
      </c>
      <c r="K82">
        <f>'Data Sheet'!K82</f>
        <v>59.16</v>
      </c>
    </row>
    <row r="83" spans="1:11" x14ac:dyDescent="0.25">
      <c r="A83" t="str">
        <f>'Data Sheet'!A83</f>
        <v>Cash from Investing Activity</v>
      </c>
      <c r="B83">
        <f>'Data Sheet'!B83</f>
        <v>-62.64</v>
      </c>
      <c r="C83">
        <f>'Data Sheet'!C83</f>
        <v>-21.88</v>
      </c>
      <c r="D83">
        <f>'Data Sheet'!D83</f>
        <v>-7.0000000000000007E-2</v>
      </c>
      <c r="E83">
        <f>'Data Sheet'!E83</f>
        <v>0.2</v>
      </c>
      <c r="F83">
        <f>'Data Sheet'!F83</f>
        <v>-8.2899999999999991</v>
      </c>
      <c r="G83">
        <f>'Data Sheet'!G83</f>
        <v>-4.3899999999999997</v>
      </c>
      <c r="H83">
        <f>'Data Sheet'!H83</f>
        <v>-38.85</v>
      </c>
      <c r="I83">
        <f>'Data Sheet'!I83</f>
        <v>-219.45</v>
      </c>
      <c r="J83">
        <f>'Data Sheet'!J83</f>
        <v>-35.78</v>
      </c>
      <c r="K83">
        <f>'Data Sheet'!K83</f>
        <v>-242.12</v>
      </c>
    </row>
    <row r="84" spans="1:11" x14ac:dyDescent="0.25">
      <c r="A84" t="str">
        <f>'Data Sheet'!A84</f>
        <v>Cash from Financing Activity</v>
      </c>
      <c r="B84">
        <f>'Data Sheet'!B84</f>
        <v>45.07</v>
      </c>
      <c r="C84">
        <f>'Data Sheet'!C84</f>
        <v>7.74</v>
      </c>
      <c r="D84">
        <f>'Data Sheet'!D84</f>
        <v>-0.91</v>
      </c>
      <c r="E84">
        <f>'Data Sheet'!E84</f>
        <v>-45.6</v>
      </c>
      <c r="F84">
        <f>'Data Sheet'!F84</f>
        <v>-55.95</v>
      </c>
      <c r="G84">
        <f>'Data Sheet'!G84</f>
        <v>-84.32</v>
      </c>
      <c r="H84">
        <f>'Data Sheet'!H84</f>
        <v>-47.98</v>
      </c>
      <c r="I84">
        <f>'Data Sheet'!I84</f>
        <v>175.56</v>
      </c>
      <c r="J84">
        <f>'Data Sheet'!J84</f>
        <v>-64.73</v>
      </c>
      <c r="K84">
        <f>'Data Sheet'!K84</f>
        <v>183.66</v>
      </c>
    </row>
    <row r="85" spans="1:11" x14ac:dyDescent="0.25">
      <c r="A85" t="str">
        <f>'Data Sheet'!A85</f>
        <v>Net Cash Flow</v>
      </c>
      <c r="B85">
        <f>'Data Sheet'!B85</f>
        <v>0.3</v>
      </c>
      <c r="C85">
        <f>'Data Sheet'!C85</f>
        <v>0.13</v>
      </c>
      <c r="D85">
        <f>'Data Sheet'!D85</f>
        <v>-0.43</v>
      </c>
      <c r="E85">
        <f>'Data Sheet'!E85</f>
        <v>-0.01</v>
      </c>
      <c r="F85">
        <f>'Data Sheet'!F85</f>
        <v>-0.06</v>
      </c>
      <c r="G85">
        <f>'Data Sheet'!G85</f>
        <v>0.19</v>
      </c>
      <c r="H85">
        <f>'Data Sheet'!H85</f>
        <v>-0.21</v>
      </c>
      <c r="I85">
        <f>'Data Sheet'!I85</f>
        <v>0.62</v>
      </c>
      <c r="J85">
        <f>'Data Sheet'!J85</f>
        <v>-0.11</v>
      </c>
      <c r="K85">
        <f>'Data Sheet'!K85</f>
        <v>0.7</v>
      </c>
    </row>
    <row r="90" spans="1:11" x14ac:dyDescent="0.25">
      <c r="A90" t="str">
        <f>'Data Sheet'!A90</f>
        <v>PRICE:</v>
      </c>
      <c r="B90">
        <f>'Data Sheet'!B90</f>
        <v>11.74</v>
      </c>
      <c r="C90">
        <f>'Data Sheet'!C90</f>
        <v>4.84</v>
      </c>
      <c r="D90">
        <f>'Data Sheet'!D90</f>
        <v>8.6999999999999993</v>
      </c>
      <c r="E90">
        <f>'Data Sheet'!E90</f>
        <v>12.42</v>
      </c>
      <c r="F90">
        <f>'Data Sheet'!F90</f>
        <v>6.18</v>
      </c>
      <c r="G90">
        <f>'Data Sheet'!G90</f>
        <v>9.98</v>
      </c>
      <c r="H90">
        <f>'Data Sheet'!H90</f>
        <v>16.059999999999999</v>
      </c>
      <c r="I90">
        <f>'Data Sheet'!I90</f>
        <v>38.79</v>
      </c>
      <c r="J90">
        <f>'Data Sheet'!J90</f>
        <v>65.56</v>
      </c>
      <c r="K90">
        <f>'Data Sheet'!K90</f>
        <v>130.18</v>
      </c>
    </row>
    <row r="92" spans="1:11" x14ac:dyDescent="0.25">
      <c r="A92" t="str">
        <f>'Data Sheet'!A92</f>
        <v>DERIVED:</v>
      </c>
    </row>
    <row r="93" spans="1:11" x14ac:dyDescent="0.25">
      <c r="A93" t="str">
        <f>'Data Sheet'!A93</f>
        <v>Adjusted Equity Shares in Cr</v>
      </c>
      <c r="B93" s="403">
        <f>'Data Sheet'!B93</f>
        <v>4.0833944999999998</v>
      </c>
      <c r="C93" s="403">
        <f>'Data Sheet'!C93</f>
        <v>4.0833944999999998</v>
      </c>
      <c r="D93" s="403">
        <f>'Data Sheet'!D93</f>
        <v>4.5833944999999998</v>
      </c>
      <c r="E93" s="403">
        <f>'Data Sheet'!E93</f>
        <v>4.5833944999999998</v>
      </c>
      <c r="F93" s="403">
        <f>'Data Sheet'!F93</f>
        <v>4.5833944999999998</v>
      </c>
      <c r="G93" s="403">
        <f>'Data Sheet'!G93</f>
        <v>4.5833944999999998</v>
      </c>
      <c r="H93" s="403">
        <f>'Data Sheet'!H93</f>
        <v>4.5833944999999998</v>
      </c>
      <c r="I93" s="403">
        <f>'Data Sheet'!I93</f>
        <v>4.5833944999999998</v>
      </c>
      <c r="J93" s="403">
        <f>'Data Sheet'!J93</f>
        <v>4.5833944999999998</v>
      </c>
      <c r="K93" s="403">
        <f>'Data Sheet'!K93</f>
        <v>4.5833944999999998</v>
      </c>
    </row>
  </sheetData>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activeCell="C29" sqref="C29"/>
    </sheetView>
  </sheetViews>
  <sheetFormatPr defaultRowHeight="12" x14ac:dyDescent="0.2"/>
  <cols>
    <col min="1" max="1" width="34.7109375" style="246" customWidth="1"/>
    <col min="2" max="2" width="7.7109375" style="246" bestFit="1" customWidth="1"/>
    <col min="3" max="4" width="6.7109375" style="246" customWidth="1"/>
    <col min="5" max="9" width="6.28515625" style="246" customWidth="1"/>
    <col min="10" max="10" width="6.42578125" style="246" customWidth="1"/>
    <col min="11" max="12" width="6.28515625" style="246" customWidth="1"/>
    <col min="13" max="14" width="16.42578125" style="246" customWidth="1"/>
    <col min="15" max="15" width="17.42578125" style="246" customWidth="1"/>
    <col min="16" max="17" width="10.28515625" style="246" customWidth="1"/>
    <col min="18" max="18" width="11" style="246" customWidth="1"/>
    <col min="19" max="16384" width="9.140625" style="246"/>
  </cols>
  <sheetData>
    <row r="1" spans="1:15" x14ac:dyDescent="0.2">
      <c r="B1" s="257">
        <f>'Data Sheet'!B16</f>
        <v>39538</v>
      </c>
      <c r="C1" s="257">
        <f>'Data Sheet'!C16</f>
        <v>39903</v>
      </c>
      <c r="D1" s="257">
        <f>'Data Sheet'!D16</f>
        <v>40268</v>
      </c>
      <c r="E1" s="257">
        <f>'Data Sheet'!E16</f>
        <v>40633</v>
      </c>
      <c r="F1" s="257">
        <f>'Data Sheet'!F16</f>
        <v>40999</v>
      </c>
      <c r="G1" s="257">
        <f>'Data Sheet'!G16</f>
        <v>41364</v>
      </c>
      <c r="H1" s="257">
        <f>'Data Sheet'!H16</f>
        <v>41729</v>
      </c>
      <c r="I1" s="257">
        <f>'Data Sheet'!I16</f>
        <v>42094</v>
      </c>
      <c r="J1" s="257">
        <f>'Data Sheet'!J16</f>
        <v>42460</v>
      </c>
      <c r="K1" s="257">
        <f>'Data Sheet'!K16</f>
        <v>42825</v>
      </c>
      <c r="L1" s="257"/>
      <c r="M1" s="246" t="s">
        <v>556</v>
      </c>
      <c r="N1" s="246" t="s">
        <v>557</v>
      </c>
      <c r="O1" s="246" t="s">
        <v>558</v>
      </c>
    </row>
    <row r="2" spans="1:15" ht="15" x14ac:dyDescent="0.25">
      <c r="A2" s="1" t="s">
        <v>78</v>
      </c>
      <c r="B2" s="258">
        <f>'Data Sheet'!B90</f>
        <v>11.74</v>
      </c>
      <c r="C2" s="258">
        <f>'Data Sheet'!C90</f>
        <v>4.84</v>
      </c>
      <c r="D2" s="258">
        <f>'Data Sheet'!D90</f>
        <v>8.6999999999999993</v>
      </c>
      <c r="E2" s="258">
        <f>'Data Sheet'!E90</f>
        <v>12.42</v>
      </c>
      <c r="F2" s="258">
        <f>'Data Sheet'!F90</f>
        <v>6.18</v>
      </c>
      <c r="G2" s="258">
        <f>'Data Sheet'!G90</f>
        <v>9.98</v>
      </c>
      <c r="H2" s="258">
        <f>'Data Sheet'!H90</f>
        <v>16.059999999999999</v>
      </c>
      <c r="I2" s="258">
        <f>'Data Sheet'!I90</f>
        <v>38.79</v>
      </c>
      <c r="J2" s="258">
        <f>'Data Sheet'!J90</f>
        <v>65.56</v>
      </c>
      <c r="K2" s="258">
        <f>'Data Sheet'!K90</f>
        <v>130.18</v>
      </c>
      <c r="L2" s="257"/>
    </row>
    <row r="3" spans="1:15" ht="15" x14ac:dyDescent="0.25">
      <c r="A3" s="5" t="s">
        <v>90</v>
      </c>
      <c r="B3" s="5">
        <f>'Data Sheet'!B93</f>
        <v>4.0833944999999998</v>
      </c>
      <c r="C3" s="5">
        <f>'Data Sheet'!C93</f>
        <v>4.0833944999999998</v>
      </c>
      <c r="D3" s="5">
        <f>'Data Sheet'!D93</f>
        <v>4.5833944999999998</v>
      </c>
      <c r="E3" s="5">
        <f>'Data Sheet'!E93</f>
        <v>4.5833944999999998</v>
      </c>
      <c r="F3" s="5">
        <f>'Data Sheet'!F93</f>
        <v>4.5833944999999998</v>
      </c>
      <c r="G3" s="5">
        <f>'Data Sheet'!G93</f>
        <v>4.5833944999999998</v>
      </c>
      <c r="H3" s="5">
        <f>'Data Sheet'!H93</f>
        <v>4.5833944999999998</v>
      </c>
      <c r="I3" s="5">
        <f>'Data Sheet'!I93</f>
        <v>4.5833944999999998</v>
      </c>
      <c r="J3" s="5">
        <f>'Data Sheet'!J93</f>
        <v>4.5833944999999998</v>
      </c>
      <c r="K3" s="5">
        <f>'Data Sheet'!K93</f>
        <v>4.5833944999999998</v>
      </c>
      <c r="L3" s="5"/>
      <c r="M3" s="5"/>
    </row>
    <row r="4" spans="1:15" ht="15" x14ac:dyDescent="0.25">
      <c r="A4" s="5" t="s">
        <v>319</v>
      </c>
      <c r="B4" s="369">
        <f>Other_input_data!C41/Other_input_data!C32</f>
        <v>-2.1054181389870415E-2</v>
      </c>
      <c r="C4" s="369">
        <f>Other_input_data!D41/Other_input_data!D32</f>
        <v>-5.3799519579059818E-2</v>
      </c>
      <c r="D4" s="369">
        <f>Other_input_data!E41/Other_input_data!E32</f>
        <v>2.2520284815366956E-3</v>
      </c>
      <c r="E4" s="369">
        <f>Other_input_data!F41/Other_input_data!F32</f>
        <v>1.6402219410104214E-2</v>
      </c>
      <c r="F4" s="369">
        <f>Other_input_data!G41/Other_input_data!G32</f>
        <v>7.0044361428908458E-4</v>
      </c>
      <c r="G4" s="369">
        <f>Other_input_data!H41/Other_input_data!H32</f>
        <v>3.1700482008743432E-2</v>
      </c>
      <c r="H4" s="369">
        <f>Other_input_data!I41/Other_input_data!I32</f>
        <v>7.1241348240979649E-2</v>
      </c>
      <c r="I4" s="369">
        <f>Other_input_data!J41/Other_input_data!J32</f>
        <v>6.6459032880756622E-2</v>
      </c>
      <c r="J4" s="369">
        <f>Other_input_data!K41/Other_input_data!K32</f>
        <v>5.7558647489144195E-2</v>
      </c>
      <c r="K4" s="369">
        <f>Other_input_data!L41/Other_input_data!L32</f>
        <v>6.1229081403072733E-2</v>
      </c>
      <c r="L4" s="5"/>
      <c r="M4" s="370">
        <f>SUM(Other_input_data!J41:L41)/SUM(Other_input_data!J32:L32)</f>
        <v>6.1405780586346242E-2</v>
      </c>
      <c r="N4" s="261">
        <f>SUM(Other_input_data!H41:L41)/SUM(Other_input_data!H32:L32)</f>
        <v>5.8807607247986095E-2</v>
      </c>
      <c r="O4" s="261">
        <f>SUM(Other_input_data!D41:L41)/SUM(Other_input_data!D32:L32)</f>
        <v>3.970308622745488E-2</v>
      </c>
    </row>
    <row r="5" spans="1:15" ht="15" x14ac:dyDescent="0.25">
      <c r="A5" s="5" t="s">
        <v>874</v>
      </c>
      <c r="B5" s="371">
        <f>Other_input_data!C32/Other_input_data!C55</f>
        <v>0.54858250545190212</v>
      </c>
      <c r="C5" s="371">
        <f>Other_input_data!D32/Other_input_data!D55</f>
        <v>0.61153729568400672</v>
      </c>
      <c r="D5" s="371">
        <f>Other_input_data!E32/Other_input_data!E55</f>
        <v>0.70095410543909742</v>
      </c>
      <c r="E5" s="371">
        <f>Other_input_data!F32/Other_input_data!F55</f>
        <v>1.0052350897793436</v>
      </c>
      <c r="F5" s="371">
        <f>Other_input_data!G32/Other_input_data!G55</f>
        <v>1.2332277569824359</v>
      </c>
      <c r="G5" s="371">
        <f>Other_input_data!H32/Other_input_data!H55</f>
        <v>1.2260520601412825</v>
      </c>
      <c r="H5" s="371">
        <f>Other_input_data!I32/Other_input_data!I55</f>
        <v>1.3743280893817016</v>
      </c>
      <c r="I5" s="371">
        <f>Other_input_data!J32/Other_input_data!J55</f>
        <v>1.0072874626231598</v>
      </c>
      <c r="J5" s="371">
        <f>Other_input_data!K32/Other_input_data!K55</f>
        <v>1.2036885889185371</v>
      </c>
      <c r="K5" s="371">
        <f>Other_input_data!L32/Other_input_data!L55</f>
        <v>1.0075998013688279</v>
      </c>
      <c r="L5" s="5"/>
      <c r="M5" s="372">
        <f>AVERAGE(I5:K5)</f>
        <v>1.0728586176368415</v>
      </c>
      <c r="N5" s="373">
        <f>AVERAGE(G5:K5)</f>
        <v>1.1637912004867019</v>
      </c>
      <c r="O5" s="373">
        <f>AVERAGE(C5:K5)</f>
        <v>1.0411011389242659</v>
      </c>
    </row>
    <row r="6" spans="1:15" ht="15" x14ac:dyDescent="0.25">
      <c r="A6" s="5" t="s">
        <v>760</v>
      </c>
      <c r="B6" s="369">
        <f>B4*B5</f>
        <v>-1.1549955577093924E-2</v>
      </c>
      <c r="C6" s="369">
        <f t="shared" ref="C6:K6" si="0">C4*C5</f>
        <v>-3.2900412712477012E-2</v>
      </c>
      <c r="D6" s="369">
        <f t="shared" si="0"/>
        <v>1.5785686096989233E-3</v>
      </c>
      <c r="E6" s="369">
        <f t="shared" si="0"/>
        <v>1.64880865012966E-2</v>
      </c>
      <c r="F6" s="369">
        <f t="shared" si="0"/>
        <v>8.6380650734239829E-4</v>
      </c>
      <c r="G6" s="369">
        <f t="shared" si="0"/>
        <v>3.8866441274291549E-2</v>
      </c>
      <c r="H6" s="369">
        <f t="shared" si="0"/>
        <v>9.7908986013002006E-2</v>
      </c>
      <c r="I6" s="369">
        <f t="shared" si="0"/>
        <v>6.6943350598846485E-2</v>
      </c>
      <c r="J6" s="369">
        <f t="shared" si="0"/>
        <v>6.9282687176267482E-2</v>
      </c>
      <c r="K6" s="369">
        <f t="shared" si="0"/>
        <v>6.169441025973188E-2</v>
      </c>
      <c r="L6" s="5"/>
      <c r="M6" s="370">
        <f>M4*M5</f>
        <v>6.5879720874778627E-2</v>
      </c>
      <c r="N6" s="370">
        <f>N4*N5</f>
        <v>6.8439775836884209E-2</v>
      </c>
      <c r="O6" s="370">
        <f>O4*O5</f>
        <v>4.1334928290211612E-2</v>
      </c>
    </row>
    <row r="7" spans="1:15" ht="15" x14ac:dyDescent="0.25">
      <c r="A7" s="5" t="s">
        <v>875</v>
      </c>
      <c r="B7" s="371">
        <f>'Data Sheet'!B61/('Data Sheet'!B57+'Data Sheet'!B58)</f>
        <v>4.2179196002725412</v>
      </c>
      <c r="C7" s="371">
        <f>'Data Sheet'!C61/('Data Sheet'!C57+'Data Sheet'!C58)</f>
        <v>5.8002434406275363</v>
      </c>
      <c r="D7" s="371">
        <f>'Data Sheet'!D61/('Data Sheet'!D57+'Data Sheet'!D58)</f>
        <v>5.4110036427584474</v>
      </c>
      <c r="E7" s="371">
        <f>'Data Sheet'!E61/('Data Sheet'!E57+'Data Sheet'!E58)</f>
        <v>4.7339895773016796</v>
      </c>
      <c r="F7" s="371">
        <f>'Data Sheet'!F61/('Data Sheet'!F57+'Data Sheet'!F58)</f>
        <v>4.0076159704592662</v>
      </c>
      <c r="G7" s="371">
        <f>'Data Sheet'!G61/('Data Sheet'!G57+'Data Sheet'!G58)</f>
        <v>3.6095842841551744</v>
      </c>
      <c r="H7" s="371">
        <f>'Data Sheet'!H61/('Data Sheet'!H57+'Data Sheet'!H58)</f>
        <v>2.7011022424933482</v>
      </c>
      <c r="I7" s="371">
        <f>'Data Sheet'!I61/('Data Sheet'!I57+'Data Sheet'!I58)</f>
        <v>3.6649499970058086</v>
      </c>
      <c r="J7" s="371">
        <f>'Data Sheet'!J61/('Data Sheet'!J57+'Data Sheet'!J58)</f>
        <v>3.0981326590157559</v>
      </c>
      <c r="K7" s="371">
        <f>'Data Sheet'!K61/('Data Sheet'!K57+'Data Sheet'!K58)</f>
        <v>3.6161142990982551</v>
      </c>
      <c r="L7" s="5"/>
      <c r="M7" s="372">
        <f>AVERAGE(I7:K7)</f>
        <v>3.4597323183732733</v>
      </c>
      <c r="N7" s="373">
        <f>AVERAGE(G7:K7)</f>
        <v>3.3379766963536683</v>
      </c>
      <c r="O7" s="373">
        <f>AVERAGE(C7:K7)</f>
        <v>4.0714151236572533</v>
      </c>
    </row>
    <row r="8" spans="1:15" ht="15" x14ac:dyDescent="0.25">
      <c r="A8" s="5" t="s">
        <v>60</v>
      </c>
      <c r="B8" s="369">
        <f>B6*B7</f>
        <v>-4.8716784010901612E-2</v>
      </c>
      <c r="C8" s="369">
        <f t="shared" ref="C8:K8" si="1">C6*C7</f>
        <v>-0.19083040302948359</v>
      </c>
      <c r="D8" s="369">
        <f t="shared" si="1"/>
        <v>8.5416404974250123E-3</v>
      </c>
      <c r="E8" s="369">
        <f t="shared" si="1"/>
        <v>7.8054429646786619E-2</v>
      </c>
      <c r="F8" s="369">
        <f t="shared" si="1"/>
        <v>3.4618047542120346E-3</v>
      </c>
      <c r="G8" s="369">
        <f t="shared" si="1"/>
        <v>0.14029169560472279</v>
      </c>
      <c r="H8" s="369">
        <f t="shared" si="1"/>
        <v>0.2644621816799696</v>
      </c>
      <c r="I8" s="369">
        <f t="shared" si="1"/>
        <v>0.24534403257680121</v>
      </c>
      <c r="J8" s="369">
        <f t="shared" si="1"/>
        <v>0.21464695584516638</v>
      </c>
      <c r="K8" s="369">
        <f t="shared" si="1"/>
        <v>0.22309403911465053</v>
      </c>
      <c r="L8" s="5"/>
      <c r="M8" s="370">
        <f>AVERAGE(I8:K8)</f>
        <v>0.22769500917887273</v>
      </c>
      <c r="N8" s="368">
        <f>AVERAGE(G8:K8)</f>
        <v>0.21756778096426208</v>
      </c>
      <c r="O8" s="368">
        <f>AVERAGE(C8:K8)</f>
        <v>0.10967404185447228</v>
      </c>
    </row>
    <row r="9" spans="1:15" ht="15" x14ac:dyDescent="0.25">
      <c r="A9" s="5" t="s">
        <v>244</v>
      </c>
      <c r="B9" s="369">
        <f>Other_input_data!C80/Other_input_data!C63</f>
        <v>6.5512582459671995E-2</v>
      </c>
      <c r="C9" s="369">
        <f>Other_input_data!D80/Other_input_data!D63</f>
        <v>1.3766731467546251E-3</v>
      </c>
      <c r="D9" s="369">
        <f>Other_input_data!E80/Other_input_data!E63</f>
        <v>2.8295372565186105E-2</v>
      </c>
      <c r="E9" s="369">
        <f>Other_input_data!F80/Other_input_data!F63</f>
        <v>5.7791732161602986E-2</v>
      </c>
      <c r="F9" s="369">
        <f>Other_input_data!G80/Other_input_data!G63</f>
        <v>6.317420585255383E-2</v>
      </c>
      <c r="G9" s="369">
        <f>Other_input_data!H80/Other_input_data!H63</f>
        <v>0.10586560552880869</v>
      </c>
      <c r="H9" s="369">
        <f>Other_input_data!I80/Other_input_data!I63</f>
        <v>0.15109682126338947</v>
      </c>
      <c r="I9" s="369">
        <f>Other_input_data!J80/Other_input_data!J63</f>
        <v>0.10675364652380785</v>
      </c>
      <c r="J9" s="369">
        <f>Other_input_data!K80/Other_input_data!K63</f>
        <v>0.11922759977433471</v>
      </c>
      <c r="K9" s="369">
        <f>Other_input_data!L80/Other_input_data!L63</f>
        <v>9.1870025486145854E-2</v>
      </c>
      <c r="L9" s="5"/>
      <c r="M9" s="370">
        <f>AVERAGE(I9:K9)</f>
        <v>0.10595042392809613</v>
      </c>
      <c r="N9" s="368">
        <f>AVERAGE(G9:K9)</f>
        <v>0.11496273971529732</v>
      </c>
      <c r="O9" s="368">
        <f>AVERAGE(C9:K9)</f>
        <v>8.0605742478064901E-2</v>
      </c>
    </row>
    <row r="10" spans="1:15" ht="15" x14ac:dyDescent="0.25">
      <c r="A10" s="5" t="s">
        <v>876</v>
      </c>
      <c r="B10" s="369"/>
      <c r="C10" s="369">
        <f>Other_input_data!D80/Other_input_data!D64</f>
        <v>1.4105822829251166E-3</v>
      </c>
      <c r="D10" s="369">
        <f>Other_input_data!E80/Other_input_data!E64</f>
        <v>2.8844209226890176E-2</v>
      </c>
      <c r="E10" s="369">
        <f>Other_input_data!F80/Other_input_data!F64</f>
        <v>5.6440083738996741E-2</v>
      </c>
      <c r="F10" s="369">
        <f>Other_input_data!G80/Other_input_data!G64</f>
        <v>6.0060060060060094E-2</v>
      </c>
      <c r="G10" s="369">
        <f>Other_input_data!H80/Other_input_data!H64</f>
        <v>0.10123097030441719</v>
      </c>
      <c r="H10" s="369">
        <f>Other_input_data!I80/Other_input_data!I64</f>
        <v>0.15114349778731445</v>
      </c>
      <c r="I10" s="369">
        <f>Other_input_data!J80/Other_input_data!J64</f>
        <v>0.13649867109926711</v>
      </c>
      <c r="J10" s="369">
        <f>Other_input_data!K80/Other_input_data!K64</f>
        <v>0.12057340575019124</v>
      </c>
      <c r="K10" s="369">
        <f>Other_input_data!L80/Other_input_data!L64</f>
        <v>0.1093419852181684</v>
      </c>
      <c r="L10" s="5"/>
      <c r="M10" s="370">
        <f t="shared" ref="M10:M24" si="2">AVERAGE(I10:K10)</f>
        <v>0.12213802068920891</v>
      </c>
      <c r="N10" s="368">
        <f t="shared" ref="N10:N24" si="3">AVERAGE(G10:K10)</f>
        <v>0.12375770603187168</v>
      </c>
      <c r="O10" s="368">
        <f t="shared" ref="O10:O24" si="4">AVERAGE(C10:K10)</f>
        <v>8.5060385052025622E-2</v>
      </c>
    </row>
    <row r="11" spans="1:15" ht="15" x14ac:dyDescent="0.25">
      <c r="A11" s="5" t="s">
        <v>877</v>
      </c>
      <c r="B11" s="369">
        <f>Other_input_data!C37/Other_input_data!C65</f>
        <v>3.4665166010129443E-2</v>
      </c>
      <c r="C11" s="369">
        <f>Other_input_data!D37/Other_input_data!D65</f>
        <v>2.2498995580553958E-3</v>
      </c>
      <c r="D11" s="369">
        <f>Other_input_data!E37/Other_input_data!E65</f>
        <v>4.161084200762652E-2</v>
      </c>
      <c r="E11" s="369">
        <f>Other_input_data!F37/Other_input_data!F65</f>
        <v>8.2914844214050501E-2</v>
      </c>
      <c r="F11" s="369">
        <f>Other_input_data!G37/Other_input_data!G65</f>
        <v>6.317420585255383E-2</v>
      </c>
      <c r="G11" s="369">
        <f>Other_input_data!H37/Other_input_data!H65</f>
        <v>0.15707640763751099</v>
      </c>
      <c r="H11" s="369">
        <f>Other_input_data!I37/Other_input_data!I65</f>
        <v>0.22566803198751706</v>
      </c>
      <c r="I11" s="369">
        <f>Other_input_data!J37/Other_input_data!J65</f>
        <v>0.14007996185306099</v>
      </c>
      <c r="J11" s="369">
        <f>Other_input_data!K37/Other_input_data!K65</f>
        <v>0.17605924225852143</v>
      </c>
      <c r="K11" s="369">
        <f>Other_input_data!L37/Other_input_data!L65</f>
        <v>0.1125588658712149</v>
      </c>
      <c r="L11" s="5"/>
      <c r="M11" s="370">
        <f t="shared" si="2"/>
        <v>0.14289935666093243</v>
      </c>
      <c r="N11" s="368">
        <f t="shared" si="3"/>
        <v>0.16228850192156505</v>
      </c>
      <c r="O11" s="368">
        <f t="shared" si="4"/>
        <v>0.11126581124890128</v>
      </c>
    </row>
    <row r="12" spans="1:15" ht="15" x14ac:dyDescent="0.25">
      <c r="A12" s="5" t="s">
        <v>878</v>
      </c>
      <c r="B12" s="369">
        <f>Other_input_data!C37/Other_input_data!C66</f>
        <v>4.0063737764625552E-2</v>
      </c>
      <c r="C12" s="369">
        <f>Other_input_data!D37/Other_input_data!D66</f>
        <v>2.2503817611915825E-3</v>
      </c>
      <c r="D12" s="369">
        <f>Other_input_data!E37/Other_input_data!E66</f>
        <v>4.161084200762652E-2</v>
      </c>
      <c r="E12" s="369">
        <f>Other_input_data!F37/Other_input_data!F66</f>
        <v>8.2914844214050501E-2</v>
      </c>
      <c r="F12" s="369">
        <f>Other_input_data!G37/Other_input_data!G66</f>
        <v>6.3816977724262536E-2</v>
      </c>
      <c r="G12" s="369">
        <f>Other_input_data!H37/Other_input_data!H66</f>
        <v>0.15707640763751099</v>
      </c>
      <c r="H12" s="369">
        <f>Other_input_data!I37/Other_input_data!I66</f>
        <v>0.24235441977377462</v>
      </c>
      <c r="I12" s="369">
        <f>Other_input_data!J37/Other_input_data!J66</f>
        <v>0.14007996185306099</v>
      </c>
      <c r="J12" s="369">
        <f>Other_input_data!K37/Other_input_data!K66</f>
        <v>0.18161472301858869</v>
      </c>
      <c r="K12" s="369">
        <f>Other_input_data!L37/Other_input_data!L66</f>
        <v>0.1125588658712149</v>
      </c>
      <c r="L12" s="5"/>
      <c r="M12" s="370">
        <f t="shared" si="2"/>
        <v>0.14475118358095485</v>
      </c>
      <c r="N12" s="368">
        <f t="shared" si="3"/>
        <v>0.16673687563083003</v>
      </c>
      <c r="O12" s="368">
        <f t="shared" si="4"/>
        <v>0.11380860265125348</v>
      </c>
    </row>
    <row r="13" spans="1:15" ht="15" x14ac:dyDescent="0.25">
      <c r="A13" s="5" t="s">
        <v>879</v>
      </c>
      <c r="B13" s="369">
        <f>Other_input_data!C37/Other_input_data!C67</f>
        <v>3.807875378623974E-2</v>
      </c>
      <c r="C13" s="369">
        <f>Other_input_data!D37/Other_input_data!D67</f>
        <v>1.9590009095360947E-3</v>
      </c>
      <c r="D13" s="369">
        <f>Other_input_data!E37/Other_input_data!E67</f>
        <v>3.7491004480349158E-2</v>
      </c>
      <c r="E13" s="369">
        <f>Other_input_data!F37/Other_input_data!F67</f>
        <v>7.5125984637213233E-2</v>
      </c>
      <c r="F13" s="369">
        <f>Other_input_data!G37/Other_input_data!G67</f>
        <v>6.1642242381949326E-2</v>
      </c>
      <c r="G13" s="369">
        <f>Other_input_data!H37/Other_input_data!H67</f>
        <v>0.13273411945795885</v>
      </c>
      <c r="H13" s="369">
        <f>Other_input_data!I37/Other_input_data!I67</f>
        <v>0.20775101002543769</v>
      </c>
      <c r="I13" s="369">
        <f>Other_input_data!J37/Other_input_data!J67</f>
        <v>0.12480188232218434</v>
      </c>
      <c r="J13" s="369">
        <f>Other_input_data!K37/Other_input_data!K67</f>
        <v>0.15836075091929552</v>
      </c>
      <c r="K13" s="369">
        <f>Other_input_data!L37/Other_input_data!L67</f>
        <v>9.9596260552281046E-2</v>
      </c>
      <c r="L13" s="5"/>
      <c r="M13" s="370">
        <f t="shared" si="2"/>
        <v>0.12758629793125362</v>
      </c>
      <c r="N13" s="368">
        <f t="shared" si="3"/>
        <v>0.14464880465543151</v>
      </c>
      <c r="O13" s="368">
        <f t="shared" si="4"/>
        <v>9.9940250631800592E-2</v>
      </c>
    </row>
    <row r="14" spans="1:15" ht="15" x14ac:dyDescent="0.25">
      <c r="A14" s="5" t="s">
        <v>880</v>
      </c>
      <c r="B14" s="369"/>
      <c r="C14" s="369">
        <f>Other_input_data!D37/Other_input_data!D68</f>
        <v>2.3053173241851994E-3</v>
      </c>
      <c r="D14" s="369">
        <f>Other_input_data!E37/Other_input_data!E68</f>
        <v>4.2417954745426624E-2</v>
      </c>
      <c r="E14" s="369">
        <f>Other_input_data!F37/Other_input_data!F68</f>
        <v>8.0975609756097619E-2</v>
      </c>
      <c r="F14" s="369">
        <f>Other_input_data!G37/Other_input_data!G68</f>
        <v>6.0060060060060108E-2</v>
      </c>
      <c r="G14" s="369">
        <f>Other_input_data!H37/Other_input_data!H68</f>
        <v>0.1501998413710518</v>
      </c>
      <c r="H14" s="369">
        <f>Other_input_data!I37/Other_input_data!I68</f>
        <v>0.22573774489878873</v>
      </c>
      <c r="I14" s="369">
        <f>Other_input_data!J37/Other_input_data!J68</f>
        <v>0.17911077760060043</v>
      </c>
      <c r="J14" s="369">
        <f>Other_input_data!K37/Other_input_data!K68</f>
        <v>0.17804654705023704</v>
      </c>
      <c r="K14" s="369">
        <f>Other_input_data!L37/Other_input_data!L68</f>
        <v>0.13396545590509451</v>
      </c>
      <c r="L14" s="5"/>
      <c r="M14" s="370">
        <f t="shared" si="2"/>
        <v>0.163707593518644</v>
      </c>
      <c r="N14" s="368">
        <f t="shared" si="3"/>
        <v>0.17341207336515452</v>
      </c>
      <c r="O14" s="368">
        <f t="shared" si="4"/>
        <v>0.11697992319017134</v>
      </c>
    </row>
    <row r="15" spans="1:15" ht="15" x14ac:dyDescent="0.25">
      <c r="A15" s="5" t="s">
        <v>881</v>
      </c>
      <c r="B15" s="369"/>
      <c r="C15" s="369">
        <f>Other_input_data!D37/Other_input_data!D69</f>
        <v>2.4677575721965455E-3</v>
      </c>
      <c r="D15" s="369">
        <f>Other_input_data!E37/Other_input_data!E69</f>
        <v>4.2422411641865547E-2</v>
      </c>
      <c r="E15" s="369">
        <f>Other_input_data!F37/Other_input_data!F69</f>
        <v>8.0975609756097619E-2</v>
      </c>
      <c r="F15" s="369">
        <f>Other_input_data!G37/Other_input_data!G69</f>
        <v>6.0348999402203354E-2</v>
      </c>
      <c r="G15" s="369">
        <f>Other_input_data!H37/Other_input_data!H69</f>
        <v>0.15099354314212907</v>
      </c>
      <c r="H15" s="369">
        <f>Other_input_data!I37/Other_input_data!I69</f>
        <v>0.23378853957936924</v>
      </c>
      <c r="I15" s="369">
        <f>Other_input_data!J37/Other_input_data!J69</f>
        <v>0.1836719971143442</v>
      </c>
      <c r="J15" s="369">
        <f>Other_input_data!K37/Other_input_data!K69</f>
        <v>0.18084371633008259</v>
      </c>
      <c r="K15" s="369">
        <f>Other_input_data!L37/Other_input_data!L69</f>
        <v>0.13564555138167037</v>
      </c>
      <c r="L15" s="5"/>
      <c r="M15" s="370">
        <f t="shared" si="2"/>
        <v>0.16672042160869904</v>
      </c>
      <c r="N15" s="368">
        <f t="shared" si="3"/>
        <v>0.17698866950951908</v>
      </c>
      <c r="O15" s="368">
        <f t="shared" si="4"/>
        <v>0.11901756954666205</v>
      </c>
    </row>
    <row r="16" spans="1:15" ht="15" x14ac:dyDescent="0.25">
      <c r="A16" s="5" t="s">
        <v>882</v>
      </c>
      <c r="B16" s="369"/>
      <c r="C16" s="369">
        <f>Other_input_data!D37/Other_input_data!D70</f>
        <v>2.2330626187975549E-3</v>
      </c>
      <c r="D16" s="369">
        <f>Other_input_data!E37/Other_input_data!E70</f>
        <v>3.7577365163572074E-2</v>
      </c>
      <c r="E16" s="369">
        <f>Other_input_data!F37/Other_input_data!F70</f>
        <v>7.3158239533083258E-2</v>
      </c>
      <c r="F16" s="369">
        <f>Other_input_data!G37/Other_input_data!G70</f>
        <v>5.6330543377175531E-2</v>
      </c>
      <c r="G16" s="369">
        <f>Other_input_data!H37/Other_input_data!H70</f>
        <v>0.13646447091404915</v>
      </c>
      <c r="H16" s="369">
        <f>Other_input_data!I37/Other_input_data!I70</f>
        <v>0.19892257435956215</v>
      </c>
      <c r="I16" s="369">
        <f>Other_input_data!J37/Other_input_data!J70</f>
        <v>0.16145260843831918</v>
      </c>
      <c r="J16" s="369">
        <f>Other_input_data!K37/Other_input_data!K70</f>
        <v>0.15939288178239519</v>
      </c>
      <c r="K16" s="369">
        <f>Other_input_data!L37/Other_input_data!L70</f>
        <v>0.11932384019451885</v>
      </c>
      <c r="L16" s="5"/>
      <c r="M16" s="370">
        <f t="shared" si="2"/>
        <v>0.14672311013841108</v>
      </c>
      <c r="N16" s="368">
        <f t="shared" si="3"/>
        <v>0.1551112751377689</v>
      </c>
      <c r="O16" s="368">
        <f t="shared" si="4"/>
        <v>0.10498395404238588</v>
      </c>
    </row>
    <row r="17" spans="1:15" ht="15" x14ac:dyDescent="0.25">
      <c r="A17" s="5" t="s">
        <v>883</v>
      </c>
      <c r="B17" s="369"/>
      <c r="C17" s="369">
        <f>Other_input_data!D77/Other_input_data!D64</f>
        <v>3.9162950257289879E-2</v>
      </c>
      <c r="D17" s="369">
        <f>Other_input_data!E77/Other_input_data!E64</f>
        <v>1.444574310215767E-3</v>
      </c>
      <c r="E17" s="369">
        <f>Other_input_data!F77/Other_input_data!F64</f>
        <v>0.11968358602504944</v>
      </c>
      <c r="F17" s="369">
        <f>Other_input_data!G77/Other_input_data!G64</f>
        <v>0.18182333276672899</v>
      </c>
      <c r="G17" s="369">
        <f>Other_input_data!H77/Other_input_data!H64</f>
        <v>0.27651202936190727</v>
      </c>
      <c r="H17" s="369">
        <f>Other_input_data!I77/Other_input_data!I64</f>
        <v>0.2816681570604016</v>
      </c>
      <c r="I17" s="369">
        <f>Other_input_data!J77/Other_input_data!J64</f>
        <v>0.10437576212362817</v>
      </c>
      <c r="J17" s="369">
        <f>Other_input_data!K77/Other_input_data!K64</f>
        <v>0.18205390899117838</v>
      </c>
      <c r="K17" s="369">
        <f>Other_input_data!L77/Other_input_data!L64</f>
        <v>8.5902843825551578E-2</v>
      </c>
      <c r="L17" s="5"/>
      <c r="M17" s="370">
        <f t="shared" si="2"/>
        <v>0.12411083831345271</v>
      </c>
      <c r="N17" s="368">
        <f t="shared" si="3"/>
        <v>0.1861025402725334</v>
      </c>
      <c r="O17" s="368">
        <f t="shared" si="4"/>
        <v>0.14140301608021677</v>
      </c>
    </row>
    <row r="18" spans="1:15" ht="15" x14ac:dyDescent="0.25">
      <c r="A18" s="5" t="s">
        <v>884</v>
      </c>
      <c r="B18" s="369"/>
      <c r="C18" s="369">
        <f>Other_input_data!D78/Other_input_data!D64</f>
        <v>-2.3327615780446058E-2</v>
      </c>
      <c r="D18" s="369">
        <f>Other_input_data!E78/Other_input_data!E64</f>
        <v>1.5758992475091779E-4</v>
      </c>
      <c r="E18" s="369">
        <f>Other_input_data!F78/Other_input_data!F64</f>
        <v>0.12092287409360576</v>
      </c>
      <c r="F18" s="369">
        <f>Other_input_data!G78/Other_input_data!G64</f>
        <v>0.16434358887189077</v>
      </c>
      <c r="G18" s="369">
        <f>Other_input_data!H78/Other_input_data!H64</f>
        <v>0.25778759272795132</v>
      </c>
      <c r="H18" s="369">
        <f>Other_input_data!I78/Other_input_data!I64</f>
        <v>0.20274774408584673</v>
      </c>
      <c r="I18" s="369">
        <f>Other_input_data!J78/Other_input_data!J64</f>
        <v>-0.44034330738204674</v>
      </c>
      <c r="J18" s="369">
        <f>Other_input_data!K78/Other_input_data!K64</f>
        <v>0.14225228247368471</v>
      </c>
      <c r="K18" s="369">
        <f>Other_input_data!L78/Other_input_data!L64</f>
        <v>-0.28699623194929458</v>
      </c>
      <c r="L18" s="5"/>
      <c r="M18" s="370">
        <f t="shared" si="2"/>
        <v>-0.19502908561921886</v>
      </c>
      <c r="N18" s="368">
        <f t="shared" si="3"/>
        <v>-2.4910384008771713E-2</v>
      </c>
      <c r="O18" s="368">
        <f t="shared" si="4"/>
        <v>1.5282724118438094E-2</v>
      </c>
    </row>
    <row r="19" spans="1:15" ht="15" x14ac:dyDescent="0.25">
      <c r="A19" s="5" t="s">
        <v>885</v>
      </c>
      <c r="B19" s="369"/>
      <c r="C19" s="369">
        <f>Other_input_data!D77/Other_input_data!D68</f>
        <v>3.9162950257289879E-2</v>
      </c>
      <c r="D19" s="369">
        <f>Other_input_data!E77/Other_input_data!E68</f>
        <v>1.444574310215767E-3</v>
      </c>
      <c r="E19" s="369">
        <f>Other_input_data!F77/Other_input_data!F68</f>
        <v>0.11968358602504944</v>
      </c>
      <c r="F19" s="369">
        <f>Other_input_data!G77/Other_input_data!G68</f>
        <v>0.18182333276672905</v>
      </c>
      <c r="G19" s="369">
        <f>Other_input_data!H77/Other_input_data!H68</f>
        <v>0.27651202936190727</v>
      </c>
      <c r="H19" s="369">
        <f>Other_input_data!I77/Other_input_data!I68</f>
        <v>0.2816681570604016</v>
      </c>
      <c r="I19" s="369">
        <f>Other_input_data!J77/Other_input_data!J68</f>
        <v>0.10437576212362819</v>
      </c>
      <c r="J19" s="369">
        <f>Other_input_data!K77/Other_input_data!K68</f>
        <v>0.18205390899117832</v>
      </c>
      <c r="K19" s="369">
        <f>Other_input_data!L77/Other_input_data!L68</f>
        <v>8.5902843825551578E-2</v>
      </c>
      <c r="L19" s="5"/>
      <c r="M19" s="370">
        <f t="shared" si="2"/>
        <v>0.1241108383134527</v>
      </c>
      <c r="N19" s="368">
        <f t="shared" si="3"/>
        <v>0.1861025402725334</v>
      </c>
      <c r="O19" s="368">
        <f t="shared" si="4"/>
        <v>0.14140301608021677</v>
      </c>
    </row>
    <row r="20" spans="1:15" ht="15" x14ac:dyDescent="0.25">
      <c r="A20" s="5" t="s">
        <v>886</v>
      </c>
      <c r="B20" s="369"/>
      <c r="C20" s="369">
        <f>Other_input_data!D77/Other_input_data!D69</f>
        <v>4.1922500661006494E-2</v>
      </c>
      <c r="D20" s="369">
        <f>Other_input_data!E77/Other_input_data!E69</f>
        <v>1.4447260930666281E-3</v>
      </c>
      <c r="E20" s="369">
        <f>Other_input_data!F77/Other_input_data!F69</f>
        <v>0.11968358602504944</v>
      </c>
      <c r="F20" s="369">
        <f>Other_input_data!G77/Other_input_data!G69</f>
        <v>0.18269805573742495</v>
      </c>
      <c r="G20" s="369">
        <f>Other_input_data!H77/Other_input_data!H69</f>
        <v>0.27797320325813363</v>
      </c>
      <c r="H20" s="369">
        <f>Other_input_data!I77/Other_input_data!I69</f>
        <v>0.29171367470995335</v>
      </c>
      <c r="I20" s="369">
        <f>Other_input_data!J77/Other_input_data!J69</f>
        <v>0.10703378622099313</v>
      </c>
      <c r="J20" s="369">
        <f>Other_input_data!K77/Other_input_data!K69</f>
        <v>0.18491403523312244</v>
      </c>
      <c r="K20" s="369">
        <f>Other_input_data!L77/Other_input_data!L69</f>
        <v>8.6980173636891575E-2</v>
      </c>
      <c r="L20" s="5"/>
      <c r="M20" s="370">
        <f t="shared" si="2"/>
        <v>0.1263093316970024</v>
      </c>
      <c r="N20" s="368">
        <f t="shared" si="3"/>
        <v>0.18972297461181883</v>
      </c>
      <c r="O20" s="368">
        <f t="shared" si="4"/>
        <v>0.14381819350840463</v>
      </c>
    </row>
    <row r="21" spans="1:15" ht="15" x14ac:dyDescent="0.25">
      <c r="A21" s="5" t="s">
        <v>887</v>
      </c>
      <c r="B21" s="369"/>
      <c r="C21" s="369">
        <f>Other_input_data!D77/Other_input_data!D70</f>
        <v>3.793548044076403E-2</v>
      </c>
      <c r="D21" s="369">
        <f>Other_input_data!E77/Other_input_data!E70</f>
        <v>1.2797245102145285E-3</v>
      </c>
      <c r="E21" s="369">
        <f>Other_input_data!F77/Other_input_data!F70</f>
        <v>0.10812935501161337</v>
      </c>
      <c r="F21" s="369">
        <f>Other_input_data!G77/Other_input_data!G70</f>
        <v>0.17053274877109076</v>
      </c>
      <c r="G21" s="369">
        <f>Other_input_data!H77/Other_input_data!H70</f>
        <v>0.25122574993288405</v>
      </c>
      <c r="H21" s="369">
        <f>Other_input_data!I77/Other_input_data!I70</f>
        <v>0.24820906642214455</v>
      </c>
      <c r="I21" s="369">
        <f>Other_input_data!J77/Other_input_data!J70</f>
        <v>9.4085566923141961E-2</v>
      </c>
      <c r="J21" s="369">
        <f>Other_input_data!K77/Other_input_data!K70</f>
        <v>0.16298039852278723</v>
      </c>
      <c r="K21" s="369">
        <f>Other_input_data!L77/Other_input_data!L70</f>
        <v>7.6514181507779458E-2</v>
      </c>
      <c r="L21" s="5"/>
      <c r="M21" s="370">
        <f t="shared" si="2"/>
        <v>0.11119338231790288</v>
      </c>
      <c r="N21" s="368">
        <f t="shared" si="3"/>
        <v>0.16660299266174744</v>
      </c>
      <c r="O21" s="368">
        <f t="shared" si="4"/>
        <v>0.12787691911582444</v>
      </c>
    </row>
    <row r="22" spans="1:15" ht="15" x14ac:dyDescent="0.25">
      <c r="A22" s="5" t="s">
        <v>888</v>
      </c>
      <c r="B22" s="369"/>
      <c r="C22" s="369">
        <f>Other_input_data!D78/Other_input_data!D68</f>
        <v>-2.3327615780446058E-2</v>
      </c>
      <c r="D22" s="369">
        <f>Other_input_data!E78/Other_input_data!E68</f>
        <v>1.5758992475091779E-4</v>
      </c>
      <c r="E22" s="369">
        <f>Other_input_data!F78/Other_input_data!F68</f>
        <v>0.12092287409360576</v>
      </c>
      <c r="F22" s="369">
        <f>Other_input_data!G78/Other_input_data!G68</f>
        <v>0.16434358887189079</v>
      </c>
      <c r="G22" s="369">
        <f>Other_input_data!H78/Other_input_data!H68</f>
        <v>0.25778759272795132</v>
      </c>
      <c r="H22" s="369">
        <f>Other_input_data!I78/Other_input_data!I68</f>
        <v>0.20274774408584673</v>
      </c>
      <c r="I22" s="369">
        <f>Other_input_data!J78/Other_input_data!J68</f>
        <v>-0.4403433073820468</v>
      </c>
      <c r="J22" s="369">
        <f>Other_input_data!K78/Other_input_data!K68</f>
        <v>0.14225228247368468</v>
      </c>
      <c r="K22" s="369">
        <f>Other_input_data!L78/Other_input_data!L68</f>
        <v>-0.28699623194929458</v>
      </c>
      <c r="L22" s="5"/>
      <c r="M22" s="370">
        <f t="shared" si="2"/>
        <v>-0.19502908561921892</v>
      </c>
      <c r="N22" s="368">
        <f t="shared" si="3"/>
        <v>-2.4910384008771731E-2</v>
      </c>
      <c r="O22" s="368">
        <f t="shared" si="4"/>
        <v>1.5282724118438082E-2</v>
      </c>
    </row>
    <row r="23" spans="1:15" ht="15" x14ac:dyDescent="0.25">
      <c r="A23" s="5" t="s">
        <v>889</v>
      </c>
      <c r="B23" s="369"/>
      <c r="C23" s="369">
        <f>Other_input_data!D78/Other_input_data!D69</f>
        <v>-2.4971356385322812E-2</v>
      </c>
      <c r="D23" s="369">
        <f>Other_input_data!E78/Other_input_data!E69</f>
        <v>1.5760648288010265E-4</v>
      </c>
      <c r="E23" s="369">
        <f>Other_input_data!F78/Other_input_data!F69</f>
        <v>0.12092287409360576</v>
      </c>
      <c r="F23" s="369">
        <f>Other_input_data!G78/Other_input_data!G69</f>
        <v>0.16513421959065164</v>
      </c>
      <c r="G23" s="369">
        <f>Other_input_data!H78/Other_input_data!H69</f>
        <v>0.25914982099025996</v>
      </c>
      <c r="H23" s="369">
        <f>Other_input_data!I78/Other_input_data!I69</f>
        <v>0.20997861484836752</v>
      </c>
      <c r="I23" s="369">
        <f>Other_input_data!J78/Other_input_data!J69</f>
        <v>-0.45155705182157024</v>
      </c>
      <c r="J23" s="369">
        <f>Other_input_data!K78/Other_input_data!K69</f>
        <v>0.14448711219161811</v>
      </c>
      <c r="K23" s="369">
        <f>Other_input_data!L78/Other_input_data!L69</f>
        <v>-0.29059552601980421</v>
      </c>
      <c r="L23" s="5"/>
      <c r="M23" s="370">
        <f t="shared" si="2"/>
        <v>-0.1992218218832521</v>
      </c>
      <c r="N23" s="368">
        <f t="shared" si="3"/>
        <v>-2.5707405962225767E-2</v>
      </c>
      <c r="O23" s="368">
        <f t="shared" si="4"/>
        <v>1.4745145996742877E-2</v>
      </c>
    </row>
    <row r="24" spans="1:15" ht="15" x14ac:dyDescent="0.25">
      <c r="A24" s="5" t="s">
        <v>890</v>
      </c>
      <c r="B24" s="369"/>
      <c r="C24" s="369">
        <f>Other_input_data!D78/Other_input_data!D70</f>
        <v>-2.2596466975928205E-2</v>
      </c>
      <c r="D24" s="369">
        <f>Other_input_data!E78/Other_input_data!E70</f>
        <v>1.3960631020531596E-4</v>
      </c>
      <c r="E24" s="369">
        <f>Other_input_data!F78/Other_input_data!F70</f>
        <v>0.10924900244178426</v>
      </c>
      <c r="F24" s="369">
        <f>Other_input_data!G78/Other_input_data!G70</f>
        <v>0.15413843496745053</v>
      </c>
      <c r="G24" s="369">
        <f>Other_input_data!H78/Other_input_data!H70</f>
        <v>0.23421361253585404</v>
      </c>
      <c r="H24" s="369">
        <f>Other_input_data!I78/Other_input_data!I70</f>
        <v>0.17866353372686114</v>
      </c>
      <c r="I24" s="369">
        <f>Other_input_data!J78/Other_input_data!J70</f>
        <v>-0.39693075166990788</v>
      </c>
      <c r="J24" s="369">
        <f>Other_input_data!K78/Other_input_data!K70</f>
        <v>0.12734872773020578</v>
      </c>
      <c r="K24" s="369">
        <f>Other_input_data!L78/Other_input_data!L70</f>
        <v>-0.25562927611583175</v>
      </c>
      <c r="L24" s="5"/>
      <c r="M24" s="370">
        <f t="shared" si="2"/>
        <v>-0.17507043335184461</v>
      </c>
      <c r="N24" s="368">
        <f t="shared" si="3"/>
        <v>-2.2466830758563726E-2</v>
      </c>
      <c r="O24" s="368">
        <f t="shared" si="4"/>
        <v>1.4288491438965921E-2</v>
      </c>
    </row>
    <row r="25" spans="1:15" ht="15" x14ac:dyDescent="0.25">
      <c r="A25" s="5" t="s">
        <v>188</v>
      </c>
      <c r="B25" s="374">
        <f>Other_input_data!C91</f>
        <v>9.4246947449865299</v>
      </c>
      <c r="C25" s="374">
        <f>Other_input_data!D91</f>
        <v>-142.88951990134419</v>
      </c>
      <c r="D25" s="374">
        <f>Other_input_data!E91</f>
        <v>10.008204946839079</v>
      </c>
      <c r="E25" s="374">
        <f>Other_input_data!F91</f>
        <v>4.4820589122830077</v>
      </c>
      <c r="F25" s="374">
        <f>Other_input_data!G91</f>
        <v>6.1346918550243448</v>
      </c>
      <c r="G25" s="374">
        <f>Other_input_data!H91</f>
        <v>3.4634191112790216</v>
      </c>
      <c r="H25" s="374">
        <f>Other_input_data!I91</f>
        <v>2.6473572560186653</v>
      </c>
      <c r="I25" s="374">
        <f>Other_input_data!J91</f>
        <v>5.3238101289781419</v>
      </c>
      <c r="J25" s="374">
        <f>Other_input_data!K91</f>
        <v>4.7331204603992738</v>
      </c>
      <c r="K25" s="374">
        <f>Other_input_data!L91</f>
        <v>8.6542177283996704</v>
      </c>
      <c r="L25" s="5"/>
      <c r="M25" s="375">
        <f>AVERAGE(I25:K25)</f>
        <v>6.237049439259029</v>
      </c>
      <c r="N25" s="376">
        <f>AVERAGE(G25:K25)</f>
        <v>4.9643849370149553</v>
      </c>
      <c r="O25" s="376">
        <f>AVERAGE(C25:K25)</f>
        <v>-10.826959944680333</v>
      </c>
    </row>
    <row r="26" spans="1:15" ht="15" x14ac:dyDescent="0.25">
      <c r="A26" s="5" t="s">
        <v>891</v>
      </c>
      <c r="B26" s="374">
        <f>Other_input_data!C93/Other_input_data!C77</f>
        <v>17.620540091214323</v>
      </c>
      <c r="C26" s="374">
        <f>Other_input_data!D93/Other_input_data!D77</f>
        <v>22.32961663489839</v>
      </c>
      <c r="D26" s="374">
        <f>Other_input_data!E93/Other_input_data!E77</f>
        <v>633.24642209090905</v>
      </c>
      <c r="E26" s="374">
        <f>Other_input_data!F93/Other_input_data!F77</f>
        <v>7.5086089378717773</v>
      </c>
      <c r="F26" s="374">
        <f>Other_input_data!G93/Other_input_data!G77</f>
        <v>4.3185630727641007</v>
      </c>
      <c r="G26" s="374">
        <f>Other_input_data!H93/Other_input_data!H77</f>
        <v>2.8357961429696283</v>
      </c>
      <c r="H26" s="374">
        <f>Other_input_data!I93/Other_input_data!I77</f>
        <v>2.8817745978988683</v>
      </c>
      <c r="I26" s="374">
        <f>Other_input_data!J93/Other_input_data!J77</f>
        <v>12.477642611884971</v>
      </c>
      <c r="J26" s="374">
        <f>Other_input_data!K93/Other_input_data!K77</f>
        <v>6.4938978428286847</v>
      </c>
      <c r="K26" s="374">
        <f>Other_input_data!L93/Other_input_data!L77</f>
        <v>19.589017850067616</v>
      </c>
      <c r="L26" s="5"/>
      <c r="M26" s="375">
        <f t="shared" ref="M26:M49" si="5">AVERAGE(I26:K26)</f>
        <v>12.853519434927088</v>
      </c>
      <c r="N26" s="376">
        <f t="shared" ref="N26:N49" si="6">AVERAGE(G26:K26)</f>
        <v>8.8556258091299522</v>
      </c>
      <c r="O26" s="376">
        <f t="shared" ref="O26:O32" si="7">AVERAGE(C26:K26)</f>
        <v>79.075704420232569</v>
      </c>
    </row>
    <row r="27" spans="1:15" ht="15" x14ac:dyDescent="0.25">
      <c r="A27" s="5" t="s">
        <v>892</v>
      </c>
      <c r="B27" s="374">
        <f>Other_input_data!C93/Other_input_data!C78</f>
        <v>17.620540091214323</v>
      </c>
      <c r="C27" s="374">
        <f>Other_input_data!D93/Other_input_data!D78</f>
        <v>-37.487485809411623</v>
      </c>
      <c r="D27" s="374">
        <f>Other_input_data!E93/Other_input_data!E78</f>
        <v>5804.7588691627307</v>
      </c>
      <c r="E27" s="374">
        <f>Other_input_data!F93/Other_input_data!F78</f>
        <v>7.4316563386393391</v>
      </c>
      <c r="F27" s="374">
        <f>Other_input_data!G93/Other_input_data!G78</f>
        <v>4.7778896398896737</v>
      </c>
      <c r="G27" s="374">
        <f>Other_input_data!H93/Other_input_data!H78</f>
        <v>3.0417745790299229</v>
      </c>
      <c r="H27" s="374">
        <f>Other_input_data!I93/Other_input_data!I78</f>
        <v>4.0035174927024855</v>
      </c>
      <c r="I27" s="374">
        <f>Other_input_data!J93/Other_input_data!J78</f>
        <v>-2.9576092909521781</v>
      </c>
      <c r="J27" s="374">
        <f>Other_input_data!K93/Other_input_data!K78</f>
        <v>8.3108647982154213</v>
      </c>
      <c r="K27" s="374">
        <f>Other_input_data!L93/Other_input_data!L78</f>
        <v>-5.8633255553250709</v>
      </c>
      <c r="L27" s="5"/>
      <c r="M27" s="375">
        <f t="shared" si="5"/>
        <v>-0.17002334935394239</v>
      </c>
      <c r="N27" s="376">
        <f t="shared" si="6"/>
        <v>1.3070444047341163</v>
      </c>
      <c r="O27" s="376">
        <f t="shared" si="7"/>
        <v>642.89068348394653</v>
      </c>
    </row>
    <row r="28" spans="1:15" ht="15" x14ac:dyDescent="0.25">
      <c r="A28" s="5" t="s">
        <v>521</v>
      </c>
      <c r="B28" s="369">
        <f>Other_input_data!C77/Other_input_data!C32</f>
        <v>8.7701217118178257E-2</v>
      </c>
      <c r="C28" s="369">
        <f>Other_input_data!D77/Other_input_data!D32</f>
        <v>5.4409577915888206E-2</v>
      </c>
      <c r="D28" s="369">
        <f>Other_input_data!E77/Other_input_data!E32</f>
        <v>1.8214936247723135E-3</v>
      </c>
      <c r="E28" s="369">
        <f>Other_input_data!F77/Other_input_data!F32</f>
        <v>0.11045945682857977</v>
      </c>
      <c r="F28" s="369">
        <f>Other_input_data!G77/Other_input_data!G32</f>
        <v>0.14984823721690405</v>
      </c>
      <c r="G28" s="369">
        <f>Other_input_data!H77/Other_input_data!H32</f>
        <v>0.19930501064903039</v>
      </c>
      <c r="H28" s="369">
        <f>Other_input_data!I77/Other_input_data!I32</f>
        <v>0.1773764180693779</v>
      </c>
      <c r="I28" s="369">
        <f>Other_input_data!J77/Other_input_data!J32</f>
        <v>7.2201404772332792E-2</v>
      </c>
      <c r="J28" s="369">
        <f>Other_input_data!K77/Other_input_data!K32</f>
        <v>0.13092179900113449</v>
      </c>
      <c r="K28" s="369">
        <f>Other_input_data!L77/Other_input_data!L32</f>
        <v>6.3382545158456358E-2</v>
      </c>
      <c r="L28" s="5"/>
      <c r="M28" s="375">
        <f t="shared" si="5"/>
        <v>8.8835249643974545E-2</v>
      </c>
      <c r="N28" s="376">
        <f t="shared" si="6"/>
        <v>0.12863743553006637</v>
      </c>
      <c r="O28" s="376">
        <f t="shared" si="7"/>
        <v>0.10663621591516403</v>
      </c>
    </row>
    <row r="29" spans="1:15" ht="15" x14ac:dyDescent="0.25">
      <c r="A29" s="5" t="s">
        <v>524</v>
      </c>
      <c r="B29" s="369">
        <f>Other_input_data!C78/Other_input_data!C32</f>
        <v>8.7701217118178257E-2</v>
      </c>
      <c r="C29" s="369">
        <f>Other_input_data!D78/Other_input_data!D32</f>
        <v>-3.2409349144012022E-2</v>
      </c>
      <c r="D29" s="369">
        <f>Other_input_data!E78/Other_input_data!E32</f>
        <v>1.9870839542984167E-4</v>
      </c>
      <c r="E29" s="369">
        <f>Other_input_data!F78/Other_input_data!F32</f>
        <v>0.11160323177260777</v>
      </c>
      <c r="F29" s="369">
        <f>Other_input_data!G78/Other_input_data!G32</f>
        <v>0.13544244688302592</v>
      </c>
      <c r="G29" s="369">
        <f>Other_input_data!H78/Other_input_data!H32</f>
        <v>0.18580876583342673</v>
      </c>
      <c r="H29" s="369">
        <f>Other_input_data!I78/Other_input_data!I32</f>
        <v>0.12767743785067784</v>
      </c>
      <c r="I29" s="369">
        <f>Other_input_data!J78/Other_input_data!J32</f>
        <v>-0.30460525248592796</v>
      </c>
      <c r="J29" s="369">
        <f>Other_input_data!K78/Other_input_data!K32</f>
        <v>0.10229895549441237</v>
      </c>
      <c r="K29" s="369">
        <f>Other_input_data!L78/Other_input_data!L32</f>
        <v>-0.21175726927939312</v>
      </c>
      <c r="L29" s="5"/>
      <c r="M29" s="375">
        <f t="shared" si="5"/>
        <v>-0.13802118875696956</v>
      </c>
      <c r="N29" s="376">
        <f t="shared" si="6"/>
        <v>-2.0115472517360827E-2</v>
      </c>
      <c r="O29" s="376">
        <f t="shared" si="7"/>
        <v>1.2695297257805268E-2</v>
      </c>
    </row>
    <row r="30" spans="1:15" ht="15" x14ac:dyDescent="0.25">
      <c r="A30" s="5" t="s">
        <v>229</v>
      </c>
      <c r="B30" s="375">
        <f>Other_input_data!C77/Other_input_data!C41</f>
        <v>-4.16550116550117</v>
      </c>
      <c r="C30" s="375">
        <f>Other_input_data!D77/Other_input_data!D41</f>
        <v>-1.0113394755492546</v>
      </c>
      <c r="D30" s="375">
        <f>Other_input_data!E77/Other_input_data!E41</f>
        <v>0.8088235294117585</v>
      </c>
      <c r="E30" s="375">
        <f>Other_input_data!F77/Other_input_data!F41</f>
        <v>6.7344213649851401</v>
      </c>
      <c r="F30" s="375">
        <f>Other_input_data!G77/Other_input_data!G41</f>
        <v>213.93333333332271</v>
      </c>
      <c r="G30" s="375">
        <f>Other_input_data!H77/Other_input_data!H41</f>
        <v>6.2871287128712838</v>
      </c>
      <c r="H30" s="375">
        <f>Other_input_data!I77/Other_input_data!I41</f>
        <v>2.489795918367347</v>
      </c>
      <c r="I30" s="375">
        <f>Other_input_data!J77/Other_input_data!J41</f>
        <v>1.0864046863558692</v>
      </c>
      <c r="J30" s="375">
        <f>Other_input_data!K77/Other_input_data!K41</f>
        <v>2.2745808790212956</v>
      </c>
      <c r="K30" s="375">
        <f>Other_input_data!L77/Other_input_data!L41</f>
        <v>1.0351706036745401</v>
      </c>
      <c r="L30" s="5"/>
      <c r="M30" s="375">
        <f t="shared" si="5"/>
        <v>1.4653853896839018</v>
      </c>
      <c r="N30" s="376">
        <f t="shared" si="6"/>
        <v>2.6346161600580671</v>
      </c>
      <c r="O30" s="376">
        <f t="shared" si="7"/>
        <v>25.959813283606749</v>
      </c>
    </row>
    <row r="31" spans="1:15" ht="15" x14ac:dyDescent="0.25">
      <c r="A31" s="5" t="s">
        <v>316</v>
      </c>
      <c r="B31" s="375">
        <f>Other_input_data!C78/Other_input_data!C41</f>
        <v>-4.16550116550117</v>
      </c>
      <c r="C31" s="375">
        <f>Other_input_data!D78/Other_input_data!D41</f>
        <v>0.60240963855421836</v>
      </c>
      <c r="D31" s="375">
        <f>Other_input_data!E78/Other_input_data!E41</f>
        <v>8.8235294117706212E-2</v>
      </c>
      <c r="E31" s="375">
        <f>Other_input_data!F78/Other_input_data!F41</f>
        <v>6.8041543026705975</v>
      </c>
      <c r="F31" s="375">
        <f>Other_input_data!G78/Other_input_data!G41</f>
        <v>193.36666666665707</v>
      </c>
      <c r="G31" s="375">
        <f>Other_input_data!H78/Other_input_data!H41</f>
        <v>5.8613861386138577</v>
      </c>
      <c r="H31" s="375">
        <f>Other_input_data!I78/Other_input_data!I41</f>
        <v>1.7921816613969535</v>
      </c>
      <c r="I31" s="375">
        <f>Other_input_data!J78/Other_input_data!J41</f>
        <v>-4.5833536734195715</v>
      </c>
      <c r="J31" s="375">
        <f>Other_input_data!K78/Other_input_data!K41</f>
        <v>1.7772995015858633</v>
      </c>
      <c r="K31" s="375">
        <f>Other_input_data!L78/Other_input_data!L41</f>
        <v>-3.4584426946631646</v>
      </c>
      <c r="L31" s="5"/>
      <c r="M31" s="375">
        <f t="shared" si="5"/>
        <v>-2.0881656221656244</v>
      </c>
      <c r="N31" s="376">
        <f t="shared" si="6"/>
        <v>0.27781418670278757</v>
      </c>
      <c r="O31" s="376">
        <f t="shared" si="7"/>
        <v>22.472281870612616</v>
      </c>
    </row>
    <row r="32" spans="1:15" ht="15" x14ac:dyDescent="0.25">
      <c r="A32" s="246" t="s">
        <v>231</v>
      </c>
      <c r="B32" s="375">
        <f>Other_input_data!C78/Other_input_data!C77</f>
        <v>1</v>
      </c>
      <c r="C32" s="375">
        <f>Other_input_data!D78/Other_input_data!D77</f>
        <v>-0.5956552207428194</v>
      </c>
      <c r="D32" s="375">
        <f>Other_input_data!E78/Other_input_data!E77</f>
        <v>0.10909090909098305</v>
      </c>
      <c r="E32" s="375">
        <f>Other_input_data!F78/Other_input_data!F77</f>
        <v>1.0103547036792242</v>
      </c>
      <c r="F32" s="375">
        <f>Other_input_data!G78/Other_input_data!G77</f>
        <v>0.9038641321283889</v>
      </c>
      <c r="G32" s="375">
        <f>Other_input_data!H78/Other_input_data!H77</f>
        <v>0.93228346456692901</v>
      </c>
      <c r="H32" s="375">
        <f>Other_input_data!I78/Other_input_data!I77</f>
        <v>0.71981066728238285</v>
      </c>
      <c r="I32" s="375">
        <f>Other_input_data!J78/Other_input_data!J77</f>
        <v>-4.2188272298359921</v>
      </c>
      <c r="J32" s="375">
        <f>Other_input_data!K78/Other_input_data!K77</f>
        <v>0.78137450199203196</v>
      </c>
      <c r="K32" s="375">
        <f>Other_input_data!L78/Other_input_data!L77</f>
        <v>-3.3409398242055435</v>
      </c>
      <c r="L32" s="5"/>
      <c r="M32" s="375">
        <f t="shared" si="5"/>
        <v>-2.2594641840165011</v>
      </c>
      <c r="N32" s="376">
        <f t="shared" si="6"/>
        <v>-1.0252596840400383</v>
      </c>
      <c r="O32" s="376">
        <f t="shared" si="7"/>
        <v>-0.41096043289382389</v>
      </c>
    </row>
    <row r="33" spans="1:15" x14ac:dyDescent="0.2">
      <c r="A33" s="377" t="s">
        <v>528</v>
      </c>
      <c r="B33" s="276">
        <f>Other_input_data!C$32/Other_input_data!C63</f>
        <v>0.57332583005064719</v>
      </c>
      <c r="C33" s="276">
        <f>Other_input_data!D$32/Other_input_data!D63</f>
        <v>0.7024775679657157</v>
      </c>
      <c r="D33" s="276">
        <f>Other_input_data!E$32/Other_input_data!E63</f>
        <v>0.77798103679274444</v>
      </c>
      <c r="E33" s="276">
        <f>Other_input_data!F$32/Other_input_data!F63</f>
        <v>1.1094551541659918</v>
      </c>
      <c r="F33" s="276">
        <f>Other_input_data!G$32/Other_input_data!G63</f>
        <v>1.2762977531438109</v>
      </c>
      <c r="G33" s="276">
        <f>Other_input_data!H$32/Other_input_data!H63</f>
        <v>1.4508993917314514</v>
      </c>
      <c r="H33" s="276">
        <f>Other_input_data!I$32/Other_input_data!I63</f>
        <v>1.5874780573434757</v>
      </c>
      <c r="I33" s="276">
        <f>Other_input_data!J$32/Other_input_data!J63</f>
        <v>1.1305982467079927</v>
      </c>
      <c r="J33" s="276">
        <f>Other_input_data!K$32/Other_input_data!K63</f>
        <v>1.3750336196231014</v>
      </c>
      <c r="K33" s="276">
        <f>Other_input_data!L$32/Other_input_data!L63</f>
        <v>1.1387404533587095</v>
      </c>
      <c r="L33" s="277"/>
      <c r="M33" s="260">
        <f t="shared" si="5"/>
        <v>1.2147907732299346</v>
      </c>
      <c r="N33" s="260">
        <f t="shared" si="6"/>
        <v>1.3365499537529462</v>
      </c>
      <c r="O33" s="260">
        <f t="shared" ref="O33:O40" si="8">AVERAGE(C33:K33)</f>
        <v>1.1721068089814439</v>
      </c>
    </row>
    <row r="34" spans="1:15" x14ac:dyDescent="0.2">
      <c r="A34" s="377" t="s">
        <v>893</v>
      </c>
      <c r="B34" s="276"/>
      <c r="C34" s="276">
        <f>Other_input_data!D$32/Other_input_data!D64</f>
        <v>0.71978044596912516</v>
      </c>
      <c r="D34" s="276">
        <f>Other_input_data!E$32/Other_input_data!E64</f>
        <v>0.79307129630845596</v>
      </c>
      <c r="E34" s="276">
        <f>Other_input_data!F$32/Other_input_data!F64</f>
        <v>1.0835069215557021</v>
      </c>
      <c r="F34" s="276">
        <f>Other_input_data!G$32/Other_input_data!G64</f>
        <v>1.21338319451527</v>
      </c>
      <c r="G34" s="276">
        <f>Other_input_data!H$32/Other_input_data!H64</f>
        <v>1.3873812226870501</v>
      </c>
      <c r="H34" s="276">
        <f>Other_input_data!I$32/Other_input_data!I64</f>
        <v>1.5879684578489555</v>
      </c>
      <c r="I34" s="276">
        <f>Other_input_data!J$32/Other_input_data!J64</f>
        <v>1.4456195478848139</v>
      </c>
      <c r="J34" s="276">
        <f>Other_input_data!K$32/Other_input_data!K64</f>
        <v>1.390554593506623</v>
      </c>
      <c r="K34" s="276">
        <f>Other_input_data!L$32/Other_input_data!L64</f>
        <v>1.3553075789366691</v>
      </c>
      <c r="L34" s="264"/>
      <c r="M34" s="260">
        <f t="shared" si="5"/>
        <v>1.3971605734427019</v>
      </c>
      <c r="N34" s="260">
        <f t="shared" si="6"/>
        <v>1.4333662801728224</v>
      </c>
      <c r="O34" s="260">
        <f t="shared" si="8"/>
        <v>1.2196192510236292</v>
      </c>
    </row>
    <row r="35" spans="1:15" x14ac:dyDescent="0.2">
      <c r="A35" s="377" t="s">
        <v>529</v>
      </c>
      <c r="B35" s="261">
        <f>Other_input_data!C$41/Other_input_data!C63</f>
        <v>-1.2070906021384343E-2</v>
      </c>
      <c r="C35" s="261">
        <f>Other_input_data!D$41/Other_input_data!D63</f>
        <v>-3.7792955671621845E-2</v>
      </c>
      <c r="D35" s="261">
        <f>Other_input_data!E$41/Other_input_data!E63</f>
        <v>1.7520354529527086E-3</v>
      </c>
      <c r="E35" s="261">
        <f>Other_input_data!F$41/Other_input_data!F63</f>
        <v>1.8197526864301591E-2</v>
      </c>
      <c r="F35" s="261">
        <f>Other_input_data!G$41/Other_input_data!G63</f>
        <v>8.939746111210887E-4</v>
      </c>
      <c r="G35" s="261">
        <f>Other_input_data!H$41/Other_input_data!H63</f>
        <v>4.5994210064079659E-2</v>
      </c>
      <c r="H35" s="261">
        <f>Other_input_data!I$41/Other_input_data!I63</f>
        <v>0.1130940771081204</v>
      </c>
      <c r="I35" s="261">
        <f>Other_input_data!J$41/Other_input_data!J63</f>
        <v>7.5138466052892261E-2</v>
      </c>
      <c r="J35" s="261">
        <f>Other_input_data!K$41/Other_input_data!K63</f>
        <v>7.9145075397608081E-2</v>
      </c>
      <c r="K35" s="261">
        <f>Other_input_data!L$41/Other_input_data!L63</f>
        <v>6.9724031915672377E-2</v>
      </c>
      <c r="L35" s="265"/>
      <c r="M35" s="261">
        <f t="shared" si="5"/>
        <v>7.4669191122057568E-2</v>
      </c>
      <c r="N35" s="261">
        <f t="shared" si="6"/>
        <v>7.6619172107674563E-2</v>
      </c>
      <c r="O35" s="261">
        <f t="shared" si="8"/>
        <v>4.068293797723626E-2</v>
      </c>
    </row>
    <row r="36" spans="1:15" x14ac:dyDescent="0.2">
      <c r="A36" s="377" t="s">
        <v>894</v>
      </c>
      <c r="B36" s="261"/>
      <c r="C36" s="261">
        <f>Other_input_data!D$41/Other_input_data!D64</f>
        <v>-3.8723842195540356E-2</v>
      </c>
      <c r="D36" s="261">
        <f>Other_input_data!E$41/Other_input_data!E64</f>
        <v>1.7860191471758709E-3</v>
      </c>
      <c r="E36" s="261">
        <f>Other_input_data!F$41/Other_input_data!F64</f>
        <v>1.7771918259723199E-2</v>
      </c>
      <c r="F36" s="261">
        <f>Other_input_data!G$41/Other_input_data!G64</f>
        <v>8.4990651028391104E-4</v>
      </c>
      <c r="G36" s="261">
        <f>Other_input_data!H$41/Other_input_data!H64</f>
        <v>4.3980653489059295E-2</v>
      </c>
      <c r="H36" s="261">
        <f>Other_input_data!I$41/Other_input_data!I64</f>
        <v>0.11312901390130885</v>
      </c>
      <c r="I36" s="261">
        <f>Other_input_data!J$41/Other_input_data!J64</f>
        <v>9.6074477065941369E-2</v>
      </c>
      <c r="J36" s="261">
        <f>Other_input_data!K$41/Other_input_data!K64</f>
        <v>8.003844166205791E-2</v>
      </c>
      <c r="K36" s="261">
        <f>Other_input_data!L$41/Other_input_data!L64</f>
        <v>8.2984238076914726E-2</v>
      </c>
      <c r="L36" s="265"/>
      <c r="M36" s="261">
        <f t="shared" si="5"/>
        <v>8.6365718934971344E-2</v>
      </c>
      <c r="N36" s="261">
        <f t="shared" si="6"/>
        <v>8.3241364839056434E-2</v>
      </c>
      <c r="O36" s="261">
        <f t="shared" si="8"/>
        <v>4.4210091768547205E-2</v>
      </c>
    </row>
    <row r="37" spans="1:15" x14ac:dyDescent="0.2">
      <c r="A37" s="377" t="s">
        <v>530</v>
      </c>
      <c r="B37" s="261">
        <f>Other_input_data!C$77/Other_input_data!C63</f>
        <v>5.0281373100731573E-2</v>
      </c>
      <c r="C37" s="261">
        <f>Other_input_data!D$77/Other_input_data!D63</f>
        <v>3.8221507968394262E-2</v>
      </c>
      <c r="D37" s="261">
        <f>Other_input_data!E$77/Other_input_data!E63</f>
        <v>1.4170874987117388E-3</v>
      </c>
      <c r="E37" s="261">
        <f>Other_input_data!F$77/Other_input_data!F63</f>
        <v>0.12254981370484368</v>
      </c>
      <c r="F37" s="261">
        <f>Other_input_data!G$77/Other_input_data!G63</f>
        <v>0.1912509684724954</v>
      </c>
      <c r="G37" s="261">
        <f>Other_input_data!H$77/Other_input_data!H63</f>
        <v>0.28917151871970864</v>
      </c>
      <c r="H37" s="261">
        <f>Other_input_data!I$77/Other_input_data!I63</f>
        <v>0.2815811715753202</v>
      </c>
      <c r="I37" s="261">
        <f>Other_input_data!J$77/Other_input_data!J63</f>
        <v>8.1630781645453537E-2</v>
      </c>
      <c r="J37" s="261">
        <f>Other_input_data!K$77/Other_input_data!K63</f>
        <v>0.18002187516809812</v>
      </c>
      <c r="K37" s="261">
        <f>Other_input_data!L$77/Other_input_data!L63</f>
        <v>7.2176268208769476E-2</v>
      </c>
      <c r="L37" s="265"/>
      <c r="M37" s="261">
        <f t="shared" si="5"/>
        <v>0.11127630834077372</v>
      </c>
      <c r="N37" s="261">
        <f t="shared" si="6"/>
        <v>0.18091632306347</v>
      </c>
      <c r="O37" s="261">
        <f t="shared" si="8"/>
        <v>0.13978011032908835</v>
      </c>
    </row>
    <row r="38" spans="1:15" x14ac:dyDescent="0.2">
      <c r="A38" s="377" t="s">
        <v>895</v>
      </c>
      <c r="B38" s="261"/>
      <c r="C38" s="261">
        <f>Other_input_data!D$77/Other_input_data!D64</f>
        <v>3.9162950257289879E-2</v>
      </c>
      <c r="D38" s="261">
        <f>Other_input_data!E$77/Other_input_data!E64</f>
        <v>1.444574310215767E-3</v>
      </c>
      <c r="E38" s="261">
        <f>Other_input_data!F$77/Other_input_data!F64</f>
        <v>0.11968358602504944</v>
      </c>
      <c r="F38" s="261">
        <f>Other_input_data!G$77/Other_input_data!G64</f>
        <v>0.18182333276672899</v>
      </c>
      <c r="G38" s="261">
        <f>Other_input_data!H$77/Other_input_data!H64</f>
        <v>0.27651202936190727</v>
      </c>
      <c r="H38" s="261">
        <f>Other_input_data!I$77/Other_input_data!I64</f>
        <v>0.2816681570604016</v>
      </c>
      <c r="I38" s="261">
        <f>Other_input_data!J$77/Other_input_data!J64</f>
        <v>0.10437576212362817</v>
      </c>
      <c r="J38" s="261">
        <f>Other_input_data!K$77/Other_input_data!K64</f>
        <v>0.18205390899117838</v>
      </c>
      <c r="K38" s="261">
        <f>Other_input_data!L$77/Other_input_data!L64</f>
        <v>8.5902843825551578E-2</v>
      </c>
      <c r="L38" s="265"/>
      <c r="M38" s="261">
        <f t="shared" si="5"/>
        <v>0.12411083831345271</v>
      </c>
      <c r="N38" s="261">
        <f t="shared" si="6"/>
        <v>0.1861025402725334</v>
      </c>
      <c r="O38" s="261">
        <f t="shared" si="8"/>
        <v>0.14140301608021677</v>
      </c>
    </row>
    <row r="39" spans="1:15" x14ac:dyDescent="0.2">
      <c r="A39" s="377" t="s">
        <v>531</v>
      </c>
      <c r="B39" s="261">
        <f>Other_input_data!C$78/Other_input_data!C63</f>
        <v>5.0281373100731573E-2</v>
      </c>
      <c r="C39" s="261">
        <f>Other_input_data!D$78/Other_input_data!D63</f>
        <v>-2.2766840766037313E-2</v>
      </c>
      <c r="D39" s="261">
        <f>Other_input_data!E$78/Other_input_data!E63</f>
        <v>1.5459136349593088E-4</v>
      </c>
      <c r="E39" s="261">
        <f>Other_input_data!F$78/Other_input_data!F63</f>
        <v>0.12381878071170145</v>
      </c>
      <c r="F39" s="261">
        <f>Other_input_data!G$78/Other_input_data!G63</f>
        <v>0.17286489063710592</v>
      </c>
      <c r="G39" s="261">
        <f>Other_input_data!H$78/Other_input_data!H63</f>
        <v>0.26958982532609055</v>
      </c>
      <c r="H39" s="261">
        <f>Other_input_data!I$78/Other_input_data!I63</f>
        <v>0.20268513100578639</v>
      </c>
      <c r="I39" s="261">
        <f>Other_input_data!J$78/Other_input_data!J63</f>
        <v>-0.34438616439863551</v>
      </c>
      <c r="J39" s="261">
        <f>Other_input_data!K$78/Other_input_data!K63</f>
        <v>0.14066450305714442</v>
      </c>
      <c r="K39" s="261">
        <f>Other_input_data!L$78/Other_input_data!L63</f>
        <v>-0.24113656882121848</v>
      </c>
      <c r="L39" s="265"/>
      <c r="M39" s="261">
        <f t="shared" si="5"/>
        <v>-0.14828607672090319</v>
      </c>
      <c r="N39" s="261">
        <f t="shared" si="6"/>
        <v>5.4833452338334697E-3</v>
      </c>
      <c r="O39" s="261">
        <f t="shared" si="8"/>
        <v>3.3498683123937049E-2</v>
      </c>
    </row>
    <row r="40" spans="1:15" x14ac:dyDescent="0.2">
      <c r="A40" s="377" t="s">
        <v>896</v>
      </c>
      <c r="B40" s="261"/>
      <c r="C40" s="261">
        <f>Other_input_data!D$78/Other_input_data!D64</f>
        <v>-2.3327615780446058E-2</v>
      </c>
      <c r="D40" s="261">
        <f>Other_input_data!E$78/Other_input_data!E64</f>
        <v>1.5758992475091779E-4</v>
      </c>
      <c r="E40" s="261">
        <f>Other_input_data!F$78/Other_input_data!F64</f>
        <v>0.12092287409360576</v>
      </c>
      <c r="F40" s="261">
        <f>Other_input_data!G$78/Other_input_data!G64</f>
        <v>0.16434358887189077</v>
      </c>
      <c r="G40" s="261">
        <f>Other_input_data!H$78/Other_input_data!H64</f>
        <v>0.25778759272795132</v>
      </c>
      <c r="H40" s="261">
        <f>Other_input_data!I$78/Other_input_data!I64</f>
        <v>0.20274774408584673</v>
      </c>
      <c r="I40" s="261">
        <f>Other_input_data!J$78/Other_input_data!J64</f>
        <v>-0.44034330738204674</v>
      </c>
      <c r="J40" s="261">
        <f>Other_input_data!K$78/Other_input_data!K64</f>
        <v>0.14225228247368471</v>
      </c>
      <c r="K40" s="261">
        <f>Other_input_data!L$78/Other_input_data!L64</f>
        <v>-0.28699623194929458</v>
      </c>
      <c r="L40" s="265"/>
      <c r="M40" s="261">
        <f t="shared" si="5"/>
        <v>-0.19502908561921886</v>
      </c>
      <c r="N40" s="261">
        <f t="shared" si="6"/>
        <v>-2.4910384008771713E-2</v>
      </c>
      <c r="O40" s="261">
        <f t="shared" si="8"/>
        <v>1.5282724118438094E-2</v>
      </c>
    </row>
    <row r="41" spans="1:15" x14ac:dyDescent="0.2">
      <c r="A41" s="377" t="s">
        <v>897</v>
      </c>
      <c r="C41" s="260"/>
      <c r="D41" s="260">
        <f>((Other_input_data!E32-Other_input_data!D32)/Other_input_data!D32)/((Other_input_data!E64-Other_input_data!D64)/Other_input_data!D64)</f>
        <v>3.3696773598718637</v>
      </c>
      <c r="E41" s="260">
        <f>((Other_input_data!F32-Other_input_data!E32)/Other_input_data!E32)/((Other_input_data!F64-Other_input_data!E64)/Other_input_data!E64)</f>
        <v>-92.526954035580459</v>
      </c>
      <c r="F41" s="260">
        <f>((Other_input_data!G32-Other_input_data!F32)/Other_input_data!F32)/((Other_input_data!G64-Other_input_data!F64)/Other_input_data!F64)</f>
        <v>-0.6106017003412475</v>
      </c>
      <c r="G41" s="260">
        <f>((Other_input_data!H32-Other_input_data!G32)/Other_input_data!G32)/((Other_input_data!H64-Other_input_data!G64)/Other_input_data!G64)</f>
        <v>-0.46476631387328965</v>
      </c>
      <c r="H41" s="260">
        <f>((Other_input_data!I32-Other_input_data!H32)/Other_input_data!H32)/((Other_input_data!I64-Other_input_data!H64)/Other_input_data!H64)</f>
        <v>-2.1803926101293793</v>
      </c>
      <c r="I41" s="260">
        <f>((Other_input_data!J32-Other_input_data!I32)/Other_input_data!I32)/((Other_input_data!J64-Other_input_data!I64)/Other_input_data!I64)</f>
        <v>0.67853509377083399</v>
      </c>
      <c r="J41" s="260">
        <f>((Other_input_data!K32-Other_input_data!J32)/Other_input_data!J32)/((Other_input_data!K64-Other_input_data!J64)/Other_input_data!J64)</f>
        <v>0.83200798276313781</v>
      </c>
      <c r="K41" s="260">
        <f>((Other_input_data!L32-Other_input_data!K32)/Other_input_data!K32)/((Other_input_data!L64-Other_input_data!K64)/Other_input_data!K64)</f>
        <v>0.87276669558788433</v>
      </c>
      <c r="L41" s="275"/>
      <c r="M41" s="260">
        <f t="shared" si="5"/>
        <v>0.79443659070728534</v>
      </c>
      <c r="N41" s="260">
        <f t="shared" si="6"/>
        <v>-5.2369830376162566E-2</v>
      </c>
      <c r="O41" s="260">
        <f t="shared" ref="O41:O49" si="9">AVERAGE(B41:K41)</f>
        <v>-11.253715940991331</v>
      </c>
    </row>
    <row r="42" spans="1:15" x14ac:dyDescent="0.2">
      <c r="A42" s="377" t="s">
        <v>898</v>
      </c>
      <c r="C42" s="261"/>
      <c r="D42" s="276">
        <f>((Other_input_data!E41-Other_input_data!D41)/Other_input_data!D41)/((Other_input_data!E64-Other_input_data!D64)/Other_input_data!D64)</f>
        <v>-23.345674875541274</v>
      </c>
      <c r="E42" s="276">
        <f>((Other_input_data!F41-Other_input_data!E41)/Other_input_data!E41)/((Other_input_data!F64-Other_input_data!E64)/Other_input_data!E64)</f>
        <v>-2284.862448009475</v>
      </c>
      <c r="F42" s="276">
        <f>((Other_input_data!G41-Other_input_data!F41)/Other_input_data!F41)/((Other_input_data!G64-Other_input_data!F64)/Other_input_data!F64)</f>
        <v>13.794040205625423</v>
      </c>
      <c r="G42" s="276">
        <f>((Other_input_data!H41-Other_input_data!G41)/Other_input_data!G41)/((Other_input_data!H64-Other_input_data!G64)/Other_input_data!G64)</f>
        <v>-517.36756155676483</v>
      </c>
      <c r="H42" s="276">
        <f>((Other_input_data!I41-Other_input_data!H41)/Other_input_data!H41)/((Other_input_data!I64-Other_input_data!H64)/Other_input_data!H64)</f>
        <v>-33.585452697630203</v>
      </c>
      <c r="I42" s="276">
        <f>((Other_input_data!J41-Other_input_data!I41)/Other_input_data!I41)/((Other_input_data!J64-Other_input_data!I64)/Other_input_data!I64)</f>
        <v>0.45938608205114195</v>
      </c>
      <c r="J42" s="276">
        <f>((Other_input_data!K41-Other_input_data!J41)/Other_input_data!J41)/((Other_input_data!K64-Other_input_data!J64)/Other_input_data!J64)</f>
        <v>0.2638668922243862</v>
      </c>
      <c r="K42" s="276">
        <f>((Other_input_data!L41-Other_input_data!K41)/Other_input_data!K41)/((Other_input_data!L64-Other_input_data!K64)/Other_input_data!K64)</f>
        <v>1.1847441169166235</v>
      </c>
      <c r="L42" s="264"/>
      <c r="M42" s="261">
        <f t="shared" si="5"/>
        <v>0.63599903039738381</v>
      </c>
      <c r="N42" s="261">
        <f t="shared" si="6"/>
        <v>-109.80900343264057</v>
      </c>
      <c r="O42" s="261">
        <f t="shared" si="9"/>
        <v>-355.43238748032417</v>
      </c>
    </row>
    <row r="43" spans="1:15" x14ac:dyDescent="0.2">
      <c r="A43" s="377" t="s">
        <v>899</v>
      </c>
      <c r="C43" s="261"/>
      <c r="D43" s="276">
        <f>((Other_input_data!E77-Other_input_data!D77)/Other_input_data!D77)/((Other_input_data!E64-Other_input_data!D64)/Other_input_data!D64)</f>
        <v>-21.413882287631289</v>
      </c>
      <c r="E43" s="276">
        <f>((Other_input_data!F77-Other_input_data!E77)/Other_input_data!E77)/((Other_input_data!F64-Other_input_data!E64)/Other_input_data!E64)</f>
        <v>-20902.54961738579</v>
      </c>
      <c r="F43" s="276">
        <f>((Other_input_data!G77-Other_input_data!F77)/Other_input_data!F77)/((Other_input_data!G64-Other_input_data!F64)/Other_input_data!F64)</f>
        <v>-5.9762961997585933</v>
      </c>
      <c r="G43" s="276">
        <f>((Other_input_data!H77-Other_input_data!G77)/Other_input_data!G77)/((Other_input_data!H64-Other_input_data!G64)/Other_input_data!G64)</f>
        <v>-4.3194963727661264</v>
      </c>
      <c r="H43" s="276">
        <f>((Other_input_data!I77-Other_input_data!H77)/Other_input_data!H77)/((Other_input_data!I64-Other_input_data!H64)/Other_input_data!H64)</f>
        <v>0.58981205675470771</v>
      </c>
      <c r="I43" s="276">
        <f>((Other_input_data!J77-Other_input_data!I77)/Other_input_data!I77)/((Other_input_data!J64-Other_input_data!I64)/Other_input_data!I64)</f>
        <v>-1.257218748797682</v>
      </c>
      <c r="J43" s="276">
        <f>((Other_input_data!K77-Other_input_data!J77)/Other_input_data!J77)/((Other_input_data!K64-Other_input_data!J64)/Other_input_data!J64)</f>
        <v>4.2822115559405125</v>
      </c>
      <c r="K43" s="276">
        <f>((Other_input_data!L77-Other_input_data!K77)/Other_input_data!K77)/((Other_input_data!L64-Other_input_data!K64)/Other_input_data!K64)</f>
        <v>-1.6510663904150162</v>
      </c>
      <c r="L43" s="265"/>
      <c r="M43" s="261">
        <f t="shared" si="5"/>
        <v>0.45797547224260476</v>
      </c>
      <c r="N43" s="261">
        <f t="shared" si="6"/>
        <v>-0.47115157985672074</v>
      </c>
      <c r="O43" s="261">
        <f t="shared" si="9"/>
        <v>-2616.5369442215579</v>
      </c>
    </row>
    <row r="44" spans="1:15" x14ac:dyDescent="0.2">
      <c r="A44" s="377" t="s">
        <v>900</v>
      </c>
      <c r="C44" s="261"/>
      <c r="D44" s="276">
        <f>((Other_input_data!E78-Other_input_data!D78)/Other_input_data!D78)/((Other_input_data!E64-Other_input_data!D64)/Other_input_data!D64)</f>
        <v>-22.429526822954209</v>
      </c>
      <c r="E44" s="276">
        <f>((Other_input_data!F78-Other_input_data!E78)/Other_input_data!E78)/((Other_input_data!F64-Other_input_data!E64)/Other_input_data!E64)</f>
        <v>-195708.90011209872</v>
      </c>
      <c r="F44" s="276">
        <f>((Other_input_data!G78-Other_input_data!F78)/Other_input_data!F78)/((Other_input_data!G64-Other_input_data!F64)/Other_input_data!F64)</f>
        <v>-3.8247913121994173</v>
      </c>
      <c r="G44" s="276">
        <f>((Other_input_data!H78-Other_input_data!G78)/Other_input_data!G78)/((Other_input_data!H64-Other_input_data!G64)/Other_input_data!G64)</f>
        <v>-4.8079205209476719</v>
      </c>
      <c r="H44" s="276">
        <f>((Other_input_data!I78-Other_input_data!H78)/Other_input_data!H78)/((Other_input_data!I64-Other_input_data!H64)/Other_input_data!H64)</f>
        <v>5.6966530112653935</v>
      </c>
      <c r="I44" s="276">
        <f>((Other_input_data!J78-Other_input_data!I78)/Other_input_data!I78)/((Other_input_data!J64-Other_input_data!I64)/Other_input_data!I64)</f>
        <v>-10.374641830550152</v>
      </c>
      <c r="J44" s="276">
        <f>((Other_input_data!K78-Other_input_data!J78)/Other_input_data!J78)/((Other_input_data!K64-Other_input_data!J64)/Other_input_data!J64)</f>
        <v>-4.8350309811356391</v>
      </c>
      <c r="K44" s="276">
        <f>((Other_input_data!L78-Other_input_data!K78)/Other_input_data!K78)/((Other_input_data!L64-Other_input_data!K64)/Other_input_data!K64)</f>
        <v>-14.14663185405273</v>
      </c>
      <c r="L44" s="261"/>
      <c r="M44" s="261">
        <f t="shared" si="5"/>
        <v>-9.7854348885795073</v>
      </c>
      <c r="N44" s="261">
        <f t="shared" si="6"/>
        <v>-5.6935144350841593</v>
      </c>
      <c r="O44" s="261">
        <f t="shared" si="9"/>
        <v>-24470.452750301163</v>
      </c>
    </row>
    <row r="45" spans="1:15" x14ac:dyDescent="0.2">
      <c r="A45" s="246" t="s">
        <v>247</v>
      </c>
      <c r="M45" s="260"/>
      <c r="N45" s="260"/>
      <c r="O45" s="260"/>
    </row>
    <row r="46" spans="1:15" x14ac:dyDescent="0.2">
      <c r="A46" s="246" t="s">
        <v>192</v>
      </c>
      <c r="B46" s="261"/>
      <c r="C46" s="261"/>
      <c r="D46" s="261">
        <f>'Financial Analysis'!D61</f>
        <v>-6.1031785158751073E-2</v>
      </c>
      <c r="E46" s="261">
        <f>'Financial Analysis'!E61</f>
        <v>-0.15900244649826689</v>
      </c>
      <c r="F46" s="261">
        <f>'Financial Analysis'!F61</f>
        <v>-0.10393047237563757</v>
      </c>
      <c r="G46" s="261">
        <f>'Financial Analysis'!G61</f>
        <v>-5.303580168523514E-2</v>
      </c>
      <c r="H46" s="261">
        <f>'Financial Analysis'!H61</f>
        <v>1.7076639239208546E-2</v>
      </c>
      <c r="I46" s="261">
        <f>'Financial Analysis'!I61</f>
        <v>0.12321781536419785</v>
      </c>
      <c r="J46" s="261">
        <f>'Financial Analysis'!J61</f>
        <v>-8.5659515492263472E-3</v>
      </c>
      <c r="K46" s="261">
        <f>'Financial Analysis'!K61</f>
        <v>6.7382799481900735E-2</v>
      </c>
      <c r="L46" s="261"/>
      <c r="M46" s="261">
        <f t="shared" si="5"/>
        <v>6.0678221098957409E-2</v>
      </c>
      <c r="N46" s="261">
        <f t="shared" si="6"/>
        <v>2.921510017016913E-2</v>
      </c>
      <c r="O46" s="261">
        <f>AVERAGE(D46:K46)</f>
        <v>-2.2236150397726237E-2</v>
      </c>
    </row>
    <row r="47" spans="1:15" x14ac:dyDescent="0.2">
      <c r="A47" s="246" t="s">
        <v>901</v>
      </c>
      <c r="B47" s="261"/>
      <c r="C47" s="261"/>
      <c r="D47" s="261"/>
      <c r="E47" s="261"/>
      <c r="F47" s="261"/>
      <c r="G47" s="261"/>
      <c r="H47" s="261"/>
      <c r="I47" s="261"/>
      <c r="J47" s="261"/>
      <c r="K47" s="261"/>
      <c r="L47" s="261"/>
      <c r="M47" s="261"/>
      <c r="N47" s="261"/>
      <c r="O47" s="261"/>
    </row>
    <row r="48" spans="1:15" x14ac:dyDescent="0.2">
      <c r="A48" s="246" t="s">
        <v>537</v>
      </c>
      <c r="B48" s="266">
        <f>IFERROR(('Data Sheet'!B31*10000000/'Data Sheet'!B70)/'Data Sheet'!B90,0)</f>
        <v>0</v>
      </c>
      <c r="C48" s="266">
        <f>IFERROR(('Data Sheet'!C31*10000000/'Data Sheet'!C70)/'Data Sheet'!C90,0)</f>
        <v>0</v>
      </c>
      <c r="D48" s="266">
        <f>IFERROR(('Data Sheet'!D31*10000000/'Data Sheet'!D70)/'Data Sheet'!D90,0)</f>
        <v>0</v>
      </c>
      <c r="E48" s="266">
        <f>IFERROR(('Data Sheet'!E31*10000000/'Data Sheet'!E70)/'Data Sheet'!E90,0)</f>
        <v>0</v>
      </c>
      <c r="F48" s="266">
        <f>IFERROR(('Data Sheet'!F31*10000000/'Data Sheet'!F70)/'Data Sheet'!F90,0)</f>
        <v>0</v>
      </c>
      <c r="G48" s="266">
        <f>IFERROR(('Data Sheet'!G31*10000000/'Data Sheet'!G70)/'Data Sheet'!G90,0)</f>
        <v>0</v>
      </c>
      <c r="H48" s="266">
        <f>IFERROR(('Data Sheet'!H31*10000000/'Data Sheet'!H70)/'Data Sheet'!H90,0)</f>
        <v>4.6733215336791895E-2</v>
      </c>
      <c r="I48" s="266">
        <f>IFERROR(('Data Sheet'!I31*10000000/'Data Sheet'!I70)/'Data Sheet'!I90,0)</f>
        <v>2.5760747401442026E-2</v>
      </c>
      <c r="J48" s="266">
        <f>IFERROR(('Data Sheet'!J31*10000000/'Data Sheet'!J70)/'Data Sheet'!J90,0)</f>
        <v>1.524190652382453E-2</v>
      </c>
      <c r="K48" s="266">
        <f>IFERROR(('Data Sheet'!K31*10000000/'Data Sheet'!K70)/'Data Sheet'!K90,0)</f>
        <v>9.2178828212341676E-3</v>
      </c>
      <c r="L48" s="266"/>
      <c r="M48" s="261">
        <f t="shared" si="5"/>
        <v>1.6740178915500243E-2</v>
      </c>
      <c r="N48" s="261">
        <f t="shared" si="6"/>
        <v>1.9390750416658518E-2</v>
      </c>
      <c r="O48" s="261">
        <f t="shared" si="9"/>
        <v>9.6953752083292592E-3</v>
      </c>
    </row>
    <row r="49" spans="1:15" x14ac:dyDescent="0.2">
      <c r="A49" s="246" t="s">
        <v>17</v>
      </c>
      <c r="B49" s="261">
        <f>'Data Sheet'!B31/'Data Sheet'!B30</f>
        <v>0</v>
      </c>
      <c r="C49" s="261">
        <f>'Data Sheet'!C31/'Data Sheet'!C30</f>
        <v>0</v>
      </c>
      <c r="D49" s="261">
        <f>'Data Sheet'!D31/'Data Sheet'!D30</f>
        <v>0</v>
      </c>
      <c r="E49" s="261">
        <f>'Data Sheet'!E31/'Data Sheet'!E30</f>
        <v>0</v>
      </c>
      <c r="F49" s="261">
        <f>'Data Sheet'!F31/'Data Sheet'!F30</f>
        <v>0</v>
      </c>
      <c r="G49" s="261">
        <f>'Data Sheet'!G31/'Data Sheet'!G30</f>
        <v>0</v>
      </c>
      <c r="H49" s="261">
        <f>'Data Sheet'!H31/'Data Sheet'!H30</f>
        <v>9.8907418056354224E-2</v>
      </c>
      <c r="I49" s="261">
        <f>'Data Sheet'!I31/'Data Sheet'!I30</f>
        <v>0.11181640625</v>
      </c>
      <c r="J49" s="261">
        <f>'Data Sheet'!J31/'Data Sheet'!J30</f>
        <v>0.10371376811594205</v>
      </c>
      <c r="K49" s="261">
        <f>'Data Sheet'!K31/'Data Sheet'!K30</f>
        <v>9.6237970253718289E-2</v>
      </c>
      <c r="L49" s="261"/>
      <c r="M49" s="261">
        <f t="shared" si="5"/>
        <v>0.10392271487322012</v>
      </c>
      <c r="N49" s="261">
        <f t="shared" si="6"/>
        <v>8.213511253520292E-2</v>
      </c>
      <c r="O49" s="261">
        <f t="shared" si="9"/>
        <v>4.106755626760146E-2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selection activeCell="D25" sqref="D25"/>
    </sheetView>
  </sheetViews>
  <sheetFormatPr defaultRowHeight="12" x14ac:dyDescent="0.2"/>
  <cols>
    <col min="1" max="1" width="53.42578125" style="246" bestFit="1" customWidth="1"/>
    <col min="2" max="2" width="6.85546875" style="246" customWidth="1"/>
    <col min="3" max="4" width="6.7109375" style="246" customWidth="1"/>
    <col min="5" max="9" width="6.28515625" style="246" customWidth="1"/>
    <col min="10" max="10" width="6.42578125" style="246" customWidth="1"/>
    <col min="11" max="12" width="6.28515625" style="246" customWidth="1"/>
    <col min="13" max="14" width="16.42578125" style="246" customWidth="1"/>
    <col min="15" max="15" width="17.42578125" style="246" customWidth="1"/>
    <col min="16" max="17" width="10.28515625" style="246" customWidth="1"/>
    <col min="18" max="18" width="11" style="246" customWidth="1"/>
    <col min="19" max="16384" width="9.140625" style="246"/>
  </cols>
  <sheetData>
    <row r="1" spans="1:18" x14ac:dyDescent="0.2">
      <c r="B1" s="257">
        <f>'Data Sheet'!B16</f>
        <v>39538</v>
      </c>
      <c r="C1" s="257">
        <f>'Data Sheet'!C16</f>
        <v>39903</v>
      </c>
      <c r="D1" s="257">
        <f>'Data Sheet'!D16</f>
        <v>40268</v>
      </c>
      <c r="E1" s="257">
        <f>'Data Sheet'!E16</f>
        <v>40633</v>
      </c>
      <c r="F1" s="257">
        <f>'Data Sheet'!F16</f>
        <v>40999</v>
      </c>
      <c r="G1" s="257">
        <f>'Data Sheet'!G16</f>
        <v>41364</v>
      </c>
      <c r="H1" s="257">
        <f>'Data Sheet'!H16</f>
        <v>41729</v>
      </c>
      <c r="I1" s="257">
        <f>'Data Sheet'!I16</f>
        <v>42094</v>
      </c>
      <c r="J1" s="257">
        <f>'Data Sheet'!J16</f>
        <v>42460</v>
      </c>
      <c r="K1" s="257">
        <f>'Data Sheet'!K16</f>
        <v>42825</v>
      </c>
      <c r="L1" s="257"/>
      <c r="M1" s="246" t="s">
        <v>556</v>
      </c>
      <c r="N1" s="246" t="s">
        <v>557</v>
      </c>
      <c r="O1" s="246" t="s">
        <v>558</v>
      </c>
      <c r="P1" s="246" t="s">
        <v>559</v>
      </c>
      <c r="Q1" s="246" t="s">
        <v>560</v>
      </c>
      <c r="R1" s="246" t="s">
        <v>561</v>
      </c>
    </row>
    <row r="2" spans="1:18" ht="15" x14ac:dyDescent="0.25">
      <c r="A2" s="1" t="s">
        <v>78</v>
      </c>
      <c r="B2" s="258">
        <f>'Data Sheet'!B90</f>
        <v>11.74</v>
      </c>
      <c r="C2" s="258">
        <f>'Data Sheet'!C90</f>
        <v>4.84</v>
      </c>
      <c r="D2" s="258">
        <f>'Data Sheet'!D90</f>
        <v>8.6999999999999993</v>
      </c>
      <c r="E2" s="258">
        <f>'Data Sheet'!E90</f>
        <v>12.42</v>
      </c>
      <c r="F2" s="258">
        <f>'Data Sheet'!F90</f>
        <v>6.18</v>
      </c>
      <c r="G2" s="258">
        <f>'Data Sheet'!G90</f>
        <v>9.98</v>
      </c>
      <c r="H2" s="258">
        <f>'Data Sheet'!H90</f>
        <v>16.059999999999999</v>
      </c>
      <c r="I2" s="258">
        <f>'Data Sheet'!I90</f>
        <v>38.79</v>
      </c>
      <c r="J2" s="258">
        <f>'Data Sheet'!J90</f>
        <v>65.56</v>
      </c>
      <c r="K2" s="258">
        <f>'Data Sheet'!K90</f>
        <v>130.18</v>
      </c>
      <c r="L2" s="257"/>
    </row>
    <row r="3" spans="1:18" x14ac:dyDescent="0.2">
      <c r="A3" s="253" t="s">
        <v>496</v>
      </c>
      <c r="B3" s="266">
        <f>'Data Sheet'!B26/'Data Sheet'!B$17</f>
        <v>0.10350412249705536</v>
      </c>
      <c r="C3" s="266">
        <f>'Data Sheet'!C26/'Data Sheet'!C$17</f>
        <v>-1.1705494337896062E-2</v>
      </c>
      <c r="D3" s="266">
        <f>'Data Sheet'!D26/'Data Sheet'!D$17</f>
        <v>6.1765192912733892E-2</v>
      </c>
      <c r="E3" s="266">
        <f>'Data Sheet'!E26/'Data Sheet'!E$17</f>
        <v>0.11031344300593789</v>
      </c>
      <c r="F3" s="266">
        <f>'Data Sheet'!F26/'Data Sheet'!F$17</f>
        <v>5.5988792902171375E-2</v>
      </c>
      <c r="G3" s="266">
        <f>'Data Sheet'!G26/'Data Sheet'!G$17</f>
        <v>5.4926577737921756E-2</v>
      </c>
      <c r="H3" s="266">
        <f>'Data Sheet'!H26/'Data Sheet'!H$17</f>
        <v>5.0927632387271167E-2</v>
      </c>
      <c r="I3" s="266">
        <f>'Data Sheet'!I26/'Data Sheet'!I$17</f>
        <v>4.5322562330689244E-2</v>
      </c>
      <c r="J3" s="266">
        <f>'Data Sheet'!J26/'Data Sheet'!J$17</f>
        <v>5.1586318411203987E-2</v>
      </c>
      <c r="K3" s="268">
        <f>'Data Sheet'!K26/'Data Sheet'!K$17</f>
        <v>4.4622768861556923E-2</v>
      </c>
      <c r="L3" s="268"/>
      <c r="M3" s="261">
        <f>SUM('Data Sheet'!I26:K26)/SUM('Data Sheet'!$I$17:$K$17)</f>
        <v>4.7114023274284329E-2</v>
      </c>
      <c r="N3" s="261">
        <f>SUM('Data Sheet'!F26:I26)/SUM('Data Sheet'!$F$17:$I$17)</f>
        <v>5.1178277653145782E-2</v>
      </c>
      <c r="O3" s="261">
        <f>SUM('Data Sheet'!B26:I26)/SUM('Data Sheet'!$B$17:$I$17)</f>
        <v>5.8038795969677585E-2</v>
      </c>
    </row>
    <row r="4" spans="1:18" x14ac:dyDescent="0.2">
      <c r="A4" s="246" t="s">
        <v>499</v>
      </c>
      <c r="B4" s="261">
        <f>('Data Sheet'!B62+'Data Sheet'!B45)/'Data Sheet'!B17</f>
        <v>1.2245288574793876</v>
      </c>
      <c r="C4" s="261">
        <f>('Data Sheet'!C62+'Data Sheet'!C45)/'Data Sheet'!C17</f>
        <v>1.2319365539329701</v>
      </c>
      <c r="D4" s="261">
        <f>('Data Sheet'!D62+'Data Sheet'!D45)/'Data Sheet'!D17</f>
        <v>1.009471766848816</v>
      </c>
      <c r="E4" s="261">
        <f>('Data Sheet'!E62+'Data Sheet'!E45)/'Data Sheet'!E17</f>
        <v>0.63060936435315873</v>
      </c>
      <c r="F4" s="261">
        <f>('Data Sheet'!F62+'Data Sheet'!F45)/'Data Sheet'!F17</f>
        <v>0.55582535605883721</v>
      </c>
      <c r="G4" s="261">
        <f>('Data Sheet'!G62+'Data Sheet'!G45)/'Data Sheet'!G17</f>
        <v>0.49985427642640962</v>
      </c>
      <c r="H4" s="261">
        <f>('Data Sheet'!H62+'Data Sheet'!H45)/'Data Sheet'!H17</f>
        <v>0.41585780398902411</v>
      </c>
      <c r="I4" s="261">
        <f>('Data Sheet'!I62+'Data Sheet'!I45)/'Data Sheet'!I17</f>
        <v>0.69893101043035344</v>
      </c>
      <c r="J4" s="261">
        <f>('Data Sheet'!J62+'Data Sheet'!J45)/'Data Sheet'!J17</f>
        <v>0.51678902551931882</v>
      </c>
      <c r="K4" s="261">
        <f>('Data Sheet'!K62+'Data Sheet'!K45)/'Data Sheet'!K17</f>
        <v>0.67340204418350502</v>
      </c>
      <c r="L4" s="261"/>
      <c r="M4" s="269">
        <f t="shared" ref="M4:M23" si="0">AVERAGE(I4:K4)</f>
        <v>0.62970736004439243</v>
      </c>
      <c r="N4" s="269">
        <f t="shared" ref="N4:N23" si="1">AVERAGE(G4:K4)</f>
        <v>0.56096683210972231</v>
      </c>
      <c r="O4" s="269">
        <f t="shared" ref="O4:O23" si="2">AVERAGE(B4:K4)</f>
        <v>0.74572060592217793</v>
      </c>
    </row>
    <row r="5" spans="1:18" x14ac:dyDescent="0.2">
      <c r="A5" s="246" t="s">
        <v>500</v>
      </c>
      <c r="B5" s="261">
        <f>('Data Sheet'!B62)/'Data Sheet'!B17</f>
        <v>1.1754515115822537</v>
      </c>
      <c r="C5" s="261">
        <f>('Data Sheet'!C62)/'Data Sheet'!C17</f>
        <v>1.1940366797575019</v>
      </c>
      <c r="D5" s="261">
        <f>('Data Sheet'!D62)/'Data Sheet'!D17</f>
        <v>0.9772478887232986</v>
      </c>
      <c r="E5" s="261">
        <f>('Data Sheet'!E62)/'Data Sheet'!E17</f>
        <v>0.60663876180278398</v>
      </c>
      <c r="F5" s="261">
        <f>('Data Sheet'!F62)/'Data Sheet'!F17</f>
        <v>0.53254727994396456</v>
      </c>
      <c r="G5" s="261">
        <f>('Data Sheet'!G62)/'Data Sheet'!G17</f>
        <v>0.4775025221387737</v>
      </c>
      <c r="H5" s="261">
        <f>('Data Sheet'!H62)/'Data Sheet'!H17</f>
        <v>0.39155096858745958</v>
      </c>
      <c r="I5" s="261">
        <f>('Data Sheet'!I62)/'Data Sheet'!I17</f>
        <v>0.67601018703262117</v>
      </c>
      <c r="J5" s="261">
        <f>('Data Sheet'!J62)/'Data Sheet'!J17</f>
        <v>0.49822003729445669</v>
      </c>
      <c r="K5" s="261">
        <f>('Data Sheet'!K62)/'Data Sheet'!K17</f>
        <v>0.65813495039533731</v>
      </c>
      <c r="L5" s="261"/>
      <c r="M5" s="269">
        <f t="shared" si="0"/>
        <v>0.61078839157413845</v>
      </c>
      <c r="N5" s="269">
        <f t="shared" si="1"/>
        <v>0.54028373308972966</v>
      </c>
      <c r="O5" s="269">
        <f t="shared" si="2"/>
        <v>0.71873407872584516</v>
      </c>
    </row>
    <row r="6" spans="1:18" x14ac:dyDescent="0.2">
      <c r="A6" s="252" t="s">
        <v>501</v>
      </c>
      <c r="C6" s="261">
        <f>Other_input_data!D30/('Data Sheet'!C62+'Data Sheet'!C45)</f>
        <v>7.0473537604456918E-2</v>
      </c>
      <c r="D6" s="261">
        <f>Other_input_data!E30/('Data Sheet'!D62+'Data Sheet'!D45)</f>
        <v>1.607558807125617E-3</v>
      </c>
      <c r="E6" s="261">
        <f>Other_input_data!F30/('Data Sheet'!E62+'Data Sheet'!E45)</f>
        <v>-1.8137614324855657E-3</v>
      </c>
      <c r="F6" s="261">
        <f>Other_input_data!G30/('Data Sheet'!F62+'Data Sheet'!F45)</f>
        <v>2.5917835839704282E-2</v>
      </c>
      <c r="G6" s="261">
        <f>Other_input_data!H30/('Data Sheet'!G62+'Data Sheet'!G45)</f>
        <v>2.7000358808754961E-2</v>
      </c>
      <c r="H6" s="261">
        <f>Other_input_data!I30/('Data Sheet'!H62+'Data Sheet'!H45)</f>
        <v>0.11950955288556234</v>
      </c>
      <c r="I6" s="261">
        <f>Other_input_data!J30/('Data Sheet'!I62+'Data Sheet'!I45)</f>
        <v>0.53911852763014367</v>
      </c>
      <c r="J6" s="261">
        <f>Other_input_data!K30/('Data Sheet'!J62+'Data Sheet'!J45)</f>
        <v>5.538593525270618E-2</v>
      </c>
      <c r="K6" s="261">
        <f>Other_input_data!L30/('Data Sheet'!K62+'Data Sheet'!K45)</f>
        <v>0.40858179272599987</v>
      </c>
      <c r="L6" s="261"/>
      <c r="M6" s="269">
        <f t="shared" si="0"/>
        <v>0.33436208520294991</v>
      </c>
      <c r="N6" s="269">
        <f t="shared" si="1"/>
        <v>0.22991923346063339</v>
      </c>
      <c r="O6" s="269">
        <f t="shared" si="2"/>
        <v>0.13842014868021868</v>
      </c>
    </row>
    <row r="7" spans="1:18" x14ac:dyDescent="0.2">
      <c r="A7" s="252" t="s">
        <v>502</v>
      </c>
      <c r="C7" s="265">
        <f>Other_input_data!D30/'Data Sheet'!C62</f>
        <v>7.2710435560097167E-2</v>
      </c>
      <c r="D7" s="265">
        <f>Other_input_data!E30/'Data Sheet'!D62</f>
        <v>1.6605666259995912E-3</v>
      </c>
      <c r="E7" s="265">
        <f>Other_input_data!F30/'Data Sheet'!E62</f>
        <v>-1.8854300385108499E-3</v>
      </c>
      <c r="F7" s="265">
        <f>Other_input_data!G30/'Data Sheet'!F62</f>
        <v>2.7050725590775579E-2</v>
      </c>
      <c r="G7" s="265">
        <f>Other_input_data!H30/'Data Sheet'!G62</f>
        <v>2.8264237757641236E-2</v>
      </c>
      <c r="H7" s="265">
        <f>Other_input_data!I30/'Data Sheet'!H62</f>
        <v>0.12692850792322577</v>
      </c>
      <c r="I7" s="265">
        <f>Other_input_data!J30/'Data Sheet'!I62</f>
        <v>0.5573978979699572</v>
      </c>
      <c r="J7" s="265">
        <f>Other_input_data!K30/'Data Sheet'!J62</f>
        <v>5.7450205459732472E-2</v>
      </c>
      <c r="K7" s="265">
        <f>Other_input_data!L30/'Data Sheet'!K62</f>
        <v>0.41805987400087902</v>
      </c>
      <c r="L7" s="265"/>
      <c r="M7" s="269">
        <f t="shared" si="0"/>
        <v>0.34430265914352293</v>
      </c>
      <c r="N7" s="269">
        <f t="shared" si="1"/>
        <v>0.23762014462228714</v>
      </c>
      <c r="O7" s="269">
        <f t="shared" si="2"/>
        <v>0.1430707800944219</v>
      </c>
    </row>
    <row r="8" spans="1:18" x14ac:dyDescent="0.2">
      <c r="A8" s="252" t="s">
        <v>545</v>
      </c>
      <c r="B8" s="261">
        <f>('Data Sheet'!B62+'Data Sheet'!B45)/'Data Sheet'!B66</f>
        <v>0.67175510863419752</v>
      </c>
      <c r="C8" s="261">
        <f>('Data Sheet'!C62+'Data Sheet'!C45)/'Data Sheet'!C66</f>
        <v>0.75337514864644306</v>
      </c>
      <c r="D8" s="261">
        <f>('Data Sheet'!D62+'Data Sheet'!D45)/'Data Sheet'!D66</f>
        <v>0.70759337929753696</v>
      </c>
      <c r="E8" s="261">
        <f>('Data Sheet'!E62+'Data Sheet'!E45)/'Data Sheet'!E66</f>
        <v>0.63391066099124227</v>
      </c>
      <c r="F8" s="261">
        <f>('Data Sheet'!F62+'Data Sheet'!F45)/'Data Sheet'!F66</f>
        <v>0.68545925712640365</v>
      </c>
      <c r="G8" s="261">
        <f>('Data Sheet'!G62+'Data Sheet'!G45)/'Data Sheet'!G66</f>
        <v>0.61284736538302964</v>
      </c>
      <c r="H8" s="261">
        <f>('Data Sheet'!H62+'Data Sheet'!H45)/'Data Sheet'!H66</f>
        <v>0.57152506121070556</v>
      </c>
      <c r="I8" s="261">
        <f>('Data Sheet'!I62+'Data Sheet'!I45)/'Data Sheet'!I66</f>
        <v>0.70402444404503195</v>
      </c>
      <c r="J8" s="261">
        <f>('Data Sheet'!J62+'Data Sheet'!J45)/'Data Sheet'!J66</f>
        <v>0.62205305289593471</v>
      </c>
      <c r="K8" s="261">
        <f>('Data Sheet'!K62+'Data Sheet'!K45)/'Data Sheet'!K66</f>
        <v>0.67851976596066232</v>
      </c>
      <c r="L8" s="261"/>
      <c r="M8" s="269">
        <f t="shared" si="0"/>
        <v>0.66819908763387625</v>
      </c>
      <c r="N8" s="269">
        <f t="shared" si="1"/>
        <v>0.63779393789907279</v>
      </c>
      <c r="O8" s="269">
        <f t="shared" si="2"/>
        <v>0.66410632441911877</v>
      </c>
    </row>
    <row r="9" spans="1:18" x14ac:dyDescent="0.2">
      <c r="A9" s="252" t="s">
        <v>546</v>
      </c>
      <c r="B9" s="261">
        <f>'Data Sheet'!B62/'Data Sheet'!B66</f>
        <v>0.64483213526101824</v>
      </c>
      <c r="C9" s="261">
        <f>'Data Sheet'!C62/'Data Sheet'!C66</f>
        <v>0.73019796208641319</v>
      </c>
      <c r="D9" s="261">
        <f>'Data Sheet'!D62/'Data Sheet'!D66</f>
        <v>0.68500591963228641</v>
      </c>
      <c r="E9" s="261">
        <f>'Data Sheet'!E62/'Data Sheet'!E66</f>
        <v>0.60981457018445129</v>
      </c>
      <c r="F9" s="261">
        <f>'Data Sheet'!F62/'Data Sheet'!F66</f>
        <v>0.65675208753239278</v>
      </c>
      <c r="G9" s="261">
        <f>'Data Sheet'!G62/'Data Sheet'!G66</f>
        <v>0.58544295099090182</v>
      </c>
      <c r="H9" s="261">
        <f>'Data Sheet'!H62/'Data Sheet'!H66</f>
        <v>0.53811949455435792</v>
      </c>
      <c r="I9" s="261">
        <f>'Data Sheet'!I62/'Data Sheet'!I66</f>
        <v>0.68093658600349671</v>
      </c>
      <c r="J9" s="261">
        <f>'Data Sheet'!J62/'Data Sheet'!J66</f>
        <v>0.59970177366190547</v>
      </c>
      <c r="K9" s="261">
        <f>'Data Sheet'!K62/'Data Sheet'!K66</f>
        <v>0.66313664529222527</v>
      </c>
      <c r="L9" s="261"/>
      <c r="M9" s="269">
        <f t="shared" si="0"/>
        <v>0.64792500165254241</v>
      </c>
      <c r="N9" s="269">
        <f t="shared" si="1"/>
        <v>0.61346749010057744</v>
      </c>
      <c r="O9" s="269">
        <f t="shared" si="2"/>
        <v>0.63939401251994499</v>
      </c>
    </row>
    <row r="10" spans="1:18" x14ac:dyDescent="0.2">
      <c r="A10" s="246" t="s">
        <v>547</v>
      </c>
      <c r="B10" s="261">
        <f>'Data Sheet'!B64/'Data Sheet'!B66</f>
        <v>0</v>
      </c>
      <c r="C10" s="261">
        <f>'Data Sheet'!C64/'Data Sheet'!C66</f>
        <v>0</v>
      </c>
      <c r="D10" s="261">
        <f>'Data Sheet'!D64/'Data Sheet'!D66</f>
        <v>0</v>
      </c>
      <c r="E10" s="261">
        <f>'Data Sheet'!E64/'Data Sheet'!E66</f>
        <v>0</v>
      </c>
      <c r="F10" s="261">
        <f>'Data Sheet'!F64/'Data Sheet'!F66</f>
        <v>0</v>
      </c>
      <c r="G10" s="261">
        <f>'Data Sheet'!G64/'Data Sheet'!G66</f>
        <v>0</v>
      </c>
      <c r="H10" s="261">
        <f>'Data Sheet'!H64/'Data Sheet'!H66</f>
        <v>0</v>
      </c>
      <c r="I10" s="261">
        <f>'Data Sheet'!I64/'Data Sheet'!I66</f>
        <v>0</v>
      </c>
      <c r="J10" s="261">
        <f>'Data Sheet'!J64/'Data Sheet'!J66</f>
        <v>0</v>
      </c>
      <c r="K10" s="261">
        <f>'Data Sheet'!K64/'Data Sheet'!K66</f>
        <v>0</v>
      </c>
      <c r="L10" s="261"/>
      <c r="M10" s="269">
        <f t="shared" si="0"/>
        <v>0</v>
      </c>
      <c r="N10" s="269">
        <f t="shared" si="1"/>
        <v>0</v>
      </c>
      <c r="O10" s="269">
        <f t="shared" si="2"/>
        <v>0</v>
      </c>
    </row>
    <row r="11" spans="1:18" x14ac:dyDescent="0.2">
      <c r="A11" s="246" t="s">
        <v>548</v>
      </c>
      <c r="B11" s="261">
        <f>'Data Sheet'!B65/'Data Sheet'!B66</f>
        <v>0.22623374525482595</v>
      </c>
      <c r="C11" s="261">
        <f>'Data Sheet'!C65/'Data Sheet'!C66</f>
        <v>0.26961550120083005</v>
      </c>
      <c r="D11" s="261">
        <f>'Data Sheet'!D65/'Data Sheet'!D66</f>
        <v>0.31499408036771365</v>
      </c>
      <c r="E11" s="261">
        <f>'Data Sheet'!E65/'Data Sheet'!E66</f>
        <v>0.39018542981554871</v>
      </c>
      <c r="F11" s="261">
        <f>'Data Sheet'!F65/'Data Sheet'!F66</f>
        <v>0.33351569248488339</v>
      </c>
      <c r="G11" s="261">
        <f>'Data Sheet'!G65/'Data Sheet'!G66</f>
        <v>0.41455704900909812</v>
      </c>
      <c r="H11" s="261">
        <f>'Data Sheet'!H65/'Data Sheet'!H66</f>
        <v>0.40227394253229393</v>
      </c>
      <c r="I11" s="261">
        <f>'Data Sheet'!I65/'Data Sheet'!I66</f>
        <v>0.31906341399650334</v>
      </c>
      <c r="J11" s="261">
        <f>'Data Sheet'!J65/'Data Sheet'!J66</f>
        <v>0.37352064040182076</v>
      </c>
      <c r="K11" s="261">
        <f>'Data Sheet'!K65/'Data Sheet'!K66</f>
        <v>0.33686335470777468</v>
      </c>
      <c r="L11" s="261"/>
      <c r="M11" s="269">
        <f t="shared" si="0"/>
        <v>0.34314913636869959</v>
      </c>
      <c r="N11" s="269">
        <f t="shared" si="1"/>
        <v>0.36925568012949816</v>
      </c>
      <c r="O11" s="269">
        <f t="shared" si="2"/>
        <v>0.33808228497712933</v>
      </c>
    </row>
    <row r="12" spans="1:18" x14ac:dyDescent="0.2">
      <c r="A12" s="246" t="s">
        <v>549</v>
      </c>
      <c r="B12" s="261">
        <f>'Data Sheet'!B63/'Data Sheet'!B66</f>
        <v>0.12893411948415584</v>
      </c>
      <c r="C12" s="261">
        <f>'Data Sheet'!C63/'Data Sheet'!C66</f>
        <v>1.8653671275677944E-4</v>
      </c>
      <c r="D12" s="261">
        <f>'Data Sheet'!D63/'Data Sheet'!D66</f>
        <v>0</v>
      </c>
      <c r="E12" s="261">
        <f>'Data Sheet'!E63/'Data Sheet'!E66</f>
        <v>0</v>
      </c>
      <c r="F12" s="261">
        <f>'Data Sheet'!F63/'Data Sheet'!F66</f>
        <v>9.7322199827238696E-3</v>
      </c>
      <c r="G12" s="261">
        <f>'Data Sheet'!G63/'Data Sheet'!G66</f>
        <v>0</v>
      </c>
      <c r="H12" s="261">
        <f>'Data Sheet'!H63/'Data Sheet'!H66</f>
        <v>5.9606562913348156E-2</v>
      </c>
      <c r="I12" s="261">
        <f>'Data Sheet'!I63/'Data Sheet'!I66</f>
        <v>0</v>
      </c>
      <c r="J12" s="261">
        <f>'Data Sheet'!J63/'Data Sheet'!J66</f>
        <v>2.6777585936273739E-2</v>
      </c>
      <c r="K12" s="261">
        <f>'Data Sheet'!K63/'Data Sheet'!K66</f>
        <v>0</v>
      </c>
      <c r="L12" s="261"/>
      <c r="M12" s="269">
        <f t="shared" si="0"/>
        <v>8.9258619787579135E-3</v>
      </c>
      <c r="N12" s="269">
        <f t="shared" si="1"/>
        <v>1.7276829769924378E-2</v>
      </c>
      <c r="O12" s="269">
        <f t="shared" si="2"/>
        <v>2.2523702502925839E-2</v>
      </c>
    </row>
    <row r="13" spans="1:18" x14ac:dyDescent="0.2">
      <c r="A13" s="252" t="s">
        <v>503</v>
      </c>
      <c r="B13" s="261">
        <f>'Data Sheet'!B63/('Data Sheet'!B62+'Data Sheet'!B45)</f>
        <v>0.1919361949420865</v>
      </c>
      <c r="C13" s="261">
        <f>'Data Sheet'!C63/('Data Sheet'!C62+'Data Sheet'!C45)</f>
        <v>2.4760136180748991E-4</v>
      </c>
      <c r="D13" s="261">
        <f>'Data Sheet'!D63/('Data Sheet'!D62+'Data Sheet'!D45)</f>
        <v>0</v>
      </c>
      <c r="E13" s="261">
        <f>'Data Sheet'!E63/('Data Sheet'!E62+'Data Sheet'!E45)</f>
        <v>0</v>
      </c>
      <c r="F13" s="261">
        <f>'Data Sheet'!F63/('Data Sheet'!F62+'Data Sheet'!F45)</f>
        <v>1.419810131899521E-2</v>
      </c>
      <c r="G13" s="261">
        <f>'Data Sheet'!G63/('Data Sheet'!G62+'Data Sheet'!G45)</f>
        <v>0</v>
      </c>
      <c r="H13" s="261">
        <f>'Data Sheet'!H63/('Data Sheet'!H62+'Data Sheet'!H45)</f>
        <v>0.10429387433523733</v>
      </c>
      <c r="I13" s="261">
        <f>'Data Sheet'!I63/('Data Sheet'!I62+'Data Sheet'!I45)</f>
        <v>0</v>
      </c>
      <c r="J13" s="261">
        <f>'Data Sheet'!J63/('Data Sheet'!J62+'Data Sheet'!J45)</f>
        <v>4.30471095859302E-2</v>
      </c>
      <c r="K13" s="261">
        <f>'Data Sheet'!K63/('Data Sheet'!K62+'Data Sheet'!K45)</f>
        <v>0</v>
      </c>
      <c r="L13" s="261"/>
      <c r="M13" s="269">
        <f t="shared" si="0"/>
        <v>1.4349036528643401E-2</v>
      </c>
      <c r="N13" s="269">
        <f t="shared" si="1"/>
        <v>2.9468196784233507E-2</v>
      </c>
      <c r="O13" s="269">
        <f t="shared" si="2"/>
        <v>3.5372288154405671E-2</v>
      </c>
    </row>
    <row r="14" spans="1:18" x14ac:dyDescent="0.2">
      <c r="A14" s="252" t="s">
        <v>504</v>
      </c>
      <c r="B14" s="265">
        <f>'Data Sheet'!B63/'Data Sheet'!B62</f>
        <v>0.19994989770782015</v>
      </c>
      <c r="C14" s="265">
        <f>'Data Sheet'!C63/'Data Sheet'!C62</f>
        <v>2.5546046749265548E-4</v>
      </c>
      <c r="D14" s="261">
        <f>'Data Sheet'!D63/'Data Sheet'!D62</f>
        <v>0</v>
      </c>
      <c r="E14" s="261">
        <f>'Data Sheet'!E63/'Data Sheet'!E62</f>
        <v>0</v>
      </c>
      <c r="F14" s="261">
        <f>'Data Sheet'!F63/'Data Sheet'!F62</f>
        <v>1.4818711911964575E-2</v>
      </c>
      <c r="G14" s="261">
        <f>'Data Sheet'!G63/'Data Sheet'!G62</f>
        <v>0</v>
      </c>
      <c r="H14" s="265">
        <f>'Data Sheet'!H63/'Data Sheet'!H62</f>
        <v>0.11076826525809319</v>
      </c>
      <c r="I14" s="265">
        <f>'Data Sheet'!I63/'Data Sheet'!I62</f>
        <v>0</v>
      </c>
      <c r="J14" s="261">
        <f>'Data Sheet'!J63/'Data Sheet'!J62</f>
        <v>4.4651503651163396E-2</v>
      </c>
      <c r="K14" s="261">
        <f>'Data Sheet'!K63/'Data Sheet'!K62</f>
        <v>0</v>
      </c>
      <c r="L14" s="261"/>
      <c r="M14" s="269">
        <f t="shared" si="0"/>
        <v>1.4883834550387798E-2</v>
      </c>
      <c r="N14" s="269">
        <f t="shared" si="1"/>
        <v>3.1083953781851314E-2</v>
      </c>
      <c r="O14" s="269">
        <f t="shared" si="2"/>
        <v>3.7044383899653394E-2</v>
      </c>
    </row>
    <row r="15" spans="1:18" x14ac:dyDescent="0.2">
      <c r="A15" s="252" t="s">
        <v>512</v>
      </c>
      <c r="B15" s="261">
        <f>'Data Sheet'!B26/('Data Sheet'!B62+'Data Sheet'!B26)</f>
        <v>8.0928626247122035E-2</v>
      </c>
      <c r="C15" s="261">
        <f>'Data Sheet'!C26/('Data Sheet'!C62+'Data Sheet'!C26)</f>
        <v>-9.9003515108516873E-3</v>
      </c>
      <c r="D15" s="261">
        <f>'Data Sheet'!D26/('Data Sheet'!D62+'Data Sheet'!D26)</f>
        <v>5.9446020463455838E-2</v>
      </c>
      <c r="E15" s="261">
        <f>'Data Sheet'!E26/('Data Sheet'!E62+'Data Sheet'!E26)</f>
        <v>0.15386443094260208</v>
      </c>
      <c r="F15" s="261">
        <f>'Data Sheet'!F26/('Data Sheet'!F62+'Data Sheet'!F26)</f>
        <v>9.5132304518586105E-2</v>
      </c>
      <c r="G15" s="261">
        <f>'Data Sheet'!G26/('Data Sheet'!G62+'Data Sheet'!G26)</f>
        <v>0.10316223841003831</v>
      </c>
      <c r="H15" s="261">
        <f>'Data Sheet'!H26/('Data Sheet'!H62+'Data Sheet'!H26)</f>
        <v>0.11509626064420585</v>
      </c>
      <c r="I15" s="261">
        <f>'Data Sheet'!I26/('Data Sheet'!I62+'Data Sheet'!I26)</f>
        <v>6.2831699199424301E-2</v>
      </c>
      <c r="J15" s="261">
        <f>'Data Sheet'!J26/('Data Sheet'!J62+'Data Sheet'!J26)</f>
        <v>9.3826340630410551E-2</v>
      </c>
      <c r="K15" s="261">
        <f>'Data Sheet'!K26/('Data Sheet'!K62+'Data Sheet'!K26)</f>
        <v>6.349666127999512E-2</v>
      </c>
      <c r="L15" s="261"/>
      <c r="M15" s="261">
        <f t="shared" si="0"/>
        <v>7.3384900369943315E-2</v>
      </c>
      <c r="N15" s="261">
        <f t="shared" si="1"/>
        <v>8.7682640032814826E-2</v>
      </c>
      <c r="O15" s="261">
        <f t="shared" si="2"/>
        <v>8.178842308249884E-2</v>
      </c>
    </row>
    <row r="16" spans="1:18" x14ac:dyDescent="0.2">
      <c r="A16" s="252" t="s">
        <v>513</v>
      </c>
      <c r="B16" s="261">
        <f>'Data Sheet'!B26/'Data Sheet'!B62</f>
        <v>8.8054778506116663E-2</v>
      </c>
      <c r="C16" s="261">
        <f>'Data Sheet'!C26/'Data Sheet'!C62</f>
        <v>-9.8032954400306543E-3</v>
      </c>
      <c r="D16" s="261">
        <f>'Data Sheet'!D26/'Data Sheet'!D62</f>
        <v>6.3203199132438659E-2</v>
      </c>
      <c r="E16" s="261">
        <f>'Data Sheet'!E26/'Data Sheet'!E62</f>
        <v>0.18184370988446727</v>
      </c>
      <c r="F16" s="261">
        <f>'Data Sheet'!F26/'Data Sheet'!F62</f>
        <v>0.10513393835766584</v>
      </c>
      <c r="G16" s="261">
        <f>'Data Sheet'!G26/'Data Sheet'!G62</f>
        <v>0.1150288745950514</v>
      </c>
      <c r="H16" s="261">
        <f>'Data Sheet'!H26/'Data Sheet'!H62</f>
        <v>0.13006641912033889</v>
      </c>
      <c r="I16" s="261">
        <f>'Data Sheet'!I26/'Data Sheet'!I62</f>
        <v>6.7044200220761144E-2</v>
      </c>
      <c r="J16" s="265">
        <f>'Data Sheet'!J26/'Data Sheet'!J62</f>
        <v>0.10354123589918078</v>
      </c>
      <c r="K16" s="265">
        <f>'Data Sheet'!K26/'Data Sheet'!K62</f>
        <v>6.78018525452148E-2</v>
      </c>
      <c r="L16" s="265"/>
      <c r="M16" s="261">
        <f t="shared" si="0"/>
        <v>7.9462429555052241E-2</v>
      </c>
      <c r="N16" s="261">
        <f t="shared" si="1"/>
        <v>9.6696516476109412E-2</v>
      </c>
      <c r="O16" s="261">
        <f t="shared" si="2"/>
        <v>9.1191491282120479E-2</v>
      </c>
    </row>
    <row r="17" spans="1:15" x14ac:dyDescent="0.2">
      <c r="A17" s="252" t="s">
        <v>553</v>
      </c>
      <c r="B17" s="368">
        <f>IFERROR('Data Sheet'!B69/('Data Sheet'!B90*'Data Sheet'!B93),0)</f>
        <v>8.3439281351671089E-3</v>
      </c>
      <c r="C17" s="368">
        <f>IFERROR('Data Sheet'!C69/('Data Sheet'!C90*'Data Sheet'!C93),0)</f>
        <v>2.681693679888264E-2</v>
      </c>
      <c r="D17" s="368">
        <f>IFERROR('Data Sheet'!D69/('Data Sheet'!D90*'Data Sheet'!D93),0)</f>
        <v>2.5078035228176887E-3</v>
      </c>
      <c r="E17" s="368">
        <f>IFERROR('Data Sheet'!E69/('Data Sheet'!E90*'Data Sheet'!E93),0)</f>
        <v>2.4593435513622745E-3</v>
      </c>
      <c r="F17" s="368">
        <f>IFERROR('Data Sheet'!F69/('Data Sheet'!F90*'Data Sheet'!F93),0)</f>
        <v>2.8243224140471058E-3</v>
      </c>
      <c r="G17" s="368">
        <f>IFERROR('Data Sheet'!G69/('Data Sheet'!G90*'Data Sheet'!G93),0)</f>
        <v>6.121251885354599E-3</v>
      </c>
      <c r="H17" s="368">
        <f>IFERROR('Data Sheet'!H69/('Data Sheet'!H90*'Data Sheet'!H93),0)</f>
        <v>8.151142209905564E-4</v>
      </c>
      <c r="I17" s="368">
        <f>IFERROR('Data Sheet'!I69/('Data Sheet'!I90*'Data Sheet'!I93),0)</f>
        <v>3.8247397888603886E-3</v>
      </c>
      <c r="J17" s="368">
        <f>IFERROR('Data Sheet'!J69/('Data Sheet'!J90*'Data Sheet'!J93),0)</f>
        <v>1.8969184975065462E-3</v>
      </c>
      <c r="K17" s="368">
        <f>IFERROR('Data Sheet'!K69/('Data Sheet'!K90*'Data Sheet'!K93),0)</f>
        <v>2.128492942357708E-3</v>
      </c>
      <c r="L17" s="263"/>
      <c r="M17" s="261">
        <f t="shared" si="0"/>
        <v>2.6167170762415475E-3</v>
      </c>
      <c r="N17" s="261">
        <f t="shared" si="1"/>
        <v>2.9573034670139593E-3</v>
      </c>
      <c r="O17" s="261">
        <f t="shared" si="2"/>
        <v>5.7738851757346615E-3</v>
      </c>
    </row>
    <row r="18" spans="1:15" x14ac:dyDescent="0.2">
      <c r="A18" s="252" t="s">
        <v>554</v>
      </c>
      <c r="B18" s="261">
        <f>IFERROR('Data Sheet'!B64/('Data Sheet'!B90*'Data Sheet'!B93),0)</f>
        <v>0</v>
      </c>
      <c r="C18" s="261">
        <f>IFERROR('Data Sheet'!C64/('Data Sheet'!C90*'Data Sheet'!C93),0)</f>
        <v>0</v>
      </c>
      <c r="D18" s="261">
        <f>IFERROR('Data Sheet'!D64/('Data Sheet'!D90*'Data Sheet'!D93),0)</f>
        <v>0</v>
      </c>
      <c r="E18" s="261">
        <f>IFERROR('Data Sheet'!E64/('Data Sheet'!E90*'Data Sheet'!E93),0)</f>
        <v>0</v>
      </c>
      <c r="F18" s="261">
        <f>IFERROR('Data Sheet'!F64/('Data Sheet'!F90*'Data Sheet'!F93),0)</f>
        <v>0</v>
      </c>
      <c r="G18" s="261">
        <f>IFERROR('Data Sheet'!G64/('Data Sheet'!G90*'Data Sheet'!G93),0)</f>
        <v>0</v>
      </c>
      <c r="H18" s="261">
        <f>IFERROR('Data Sheet'!H64/('Data Sheet'!H90*'Data Sheet'!H93),0)</f>
        <v>0</v>
      </c>
      <c r="I18" s="261">
        <f>IFERROR('Data Sheet'!I64/('Data Sheet'!I90*'Data Sheet'!I93),0)</f>
        <v>0</v>
      </c>
      <c r="J18" s="261">
        <f>IFERROR('Data Sheet'!J64/('Data Sheet'!J90*'Data Sheet'!J93),0)</f>
        <v>0</v>
      </c>
      <c r="K18" s="261">
        <f>IFERROR('Data Sheet'!K64/('Data Sheet'!K90*'Data Sheet'!K93),0)</f>
        <v>0</v>
      </c>
      <c r="L18" s="263"/>
      <c r="M18" s="261">
        <f t="shared" si="0"/>
        <v>0</v>
      </c>
      <c r="N18" s="261">
        <f t="shared" si="1"/>
        <v>0</v>
      </c>
      <c r="O18" s="261">
        <f t="shared" si="2"/>
        <v>0</v>
      </c>
    </row>
    <row r="19" spans="1:15" x14ac:dyDescent="0.2">
      <c r="A19" s="252" t="s">
        <v>515</v>
      </c>
      <c r="B19" s="261">
        <f>('Data Sheet'!B65-'Data Sheet'!B60)/'Data Sheet'!B17</f>
        <v>0.33372595210051043</v>
      </c>
      <c r="C19" s="261">
        <f>('Data Sheet'!C65-'Data Sheet'!C60)/'Data Sheet'!C17</f>
        <v>0.22919129141724176</v>
      </c>
      <c r="D19" s="261">
        <f>('Data Sheet'!D65-'Data Sheet'!D60)/'Data Sheet'!D17</f>
        <v>0.30813048517966551</v>
      </c>
      <c r="E19" s="261">
        <f>('Data Sheet'!E65-'Data Sheet'!E60)/'Data Sheet'!E17</f>
        <v>0.29470456536552125</v>
      </c>
      <c r="F19" s="261">
        <f>('Data Sheet'!F65-'Data Sheet'!F60)/'Data Sheet'!F17</f>
        <v>0.24307728227877656</v>
      </c>
      <c r="G19" s="261">
        <f>('Data Sheet'!G65-'Data Sheet'!G60)/'Data Sheet'!G17</f>
        <v>0.21172514292119715</v>
      </c>
      <c r="H19" s="261">
        <f>('Data Sheet'!H65-'Data Sheet'!H60)/'Data Sheet'!H17</f>
        <v>0.19500757668837285</v>
      </c>
      <c r="I19" s="261">
        <f>('Data Sheet'!I65-'Data Sheet'!I60)/'Data Sheet'!I17</f>
        <v>0.20847729816536084</v>
      </c>
      <c r="J19" s="261">
        <f>('Data Sheet'!J65-'Data Sheet'!J60)/'Data Sheet'!J17</f>
        <v>0.20678863431872413</v>
      </c>
      <c r="K19" s="261">
        <f>('Data Sheet'!K65-'Data Sheet'!K60)/'Data Sheet'!K17</f>
        <v>0.22002828430007071</v>
      </c>
      <c r="L19" s="261"/>
      <c r="M19" s="261">
        <f t="shared" si="0"/>
        <v>0.21176473892805189</v>
      </c>
      <c r="N19" s="261">
        <f t="shared" si="1"/>
        <v>0.20840538727874516</v>
      </c>
      <c r="O19" s="261">
        <f t="shared" si="2"/>
        <v>0.24508565127354412</v>
      </c>
    </row>
    <row r="20" spans="1:15" x14ac:dyDescent="0.2">
      <c r="A20" s="252" t="s">
        <v>46</v>
      </c>
      <c r="B20" s="259">
        <f>IFERROR(('Data Sheet'!B67/'Data Sheet'!B17)*365,"NA")</f>
        <v>21.11969964664311</v>
      </c>
      <c r="C20" s="259">
        <f>IFERROR(('Data Sheet'!C67/'Data Sheet'!C17)*365,"NA")</f>
        <v>21.209440652762421</v>
      </c>
      <c r="D20" s="259">
        <f>IFERROR(('Data Sheet'!D67/'Data Sheet'!D17)*365,"NA")</f>
        <v>11.362808411988741</v>
      </c>
      <c r="E20" s="259">
        <f>IFERROR(('Data Sheet'!E67/'Data Sheet'!E17)*365,"NA")</f>
        <v>31.390781660663876</v>
      </c>
      <c r="F20" s="259">
        <f>IFERROR(('Data Sheet'!F67/'Data Sheet'!F17)*365,"NA")</f>
        <v>15.765818351622695</v>
      </c>
      <c r="G20" s="259">
        <f>IFERROR(('Data Sheet'!G67/'Data Sheet'!G17)*365,"NA")</f>
        <v>22.944961327205473</v>
      </c>
      <c r="H20" s="259">
        <f>IFERROR(('Data Sheet'!H67/'Data Sheet'!H17)*365,"NA")</f>
        <v>18.603534422738257</v>
      </c>
      <c r="I20" s="259">
        <f>IFERROR(('Data Sheet'!I67/'Data Sheet'!I17)*365,"NA")</f>
        <v>23.931902606777296</v>
      </c>
      <c r="J20" s="271">
        <f>IFERROR(('Data Sheet'!J67/'Data Sheet'!J17)*365,"NA")</f>
        <v>18.681458395816762</v>
      </c>
      <c r="K20" s="271">
        <f>IFERROR(('Data Sheet'!K67/'Data Sheet'!K17)*365,"NA")</f>
        <v>18.89953716599884</v>
      </c>
      <c r="L20" s="271"/>
      <c r="M20" s="260">
        <f t="shared" si="0"/>
        <v>20.504299389530967</v>
      </c>
      <c r="N20" s="260">
        <f t="shared" si="1"/>
        <v>20.612278783707325</v>
      </c>
      <c r="O20" s="260">
        <f t="shared" si="2"/>
        <v>20.390994264221749</v>
      </c>
    </row>
    <row r="21" spans="1:15" x14ac:dyDescent="0.2">
      <c r="A21" s="252" t="s">
        <v>516</v>
      </c>
      <c r="B21" s="260">
        <f t="shared" ref="B21:K21" si="3">365/B20</f>
        <v>17.282442748091604</v>
      </c>
      <c r="C21" s="260">
        <f t="shared" si="3"/>
        <v>17.209317585301836</v>
      </c>
      <c r="D21" s="260">
        <f t="shared" si="3"/>
        <v>32.12234042553191</v>
      </c>
      <c r="E21" s="260">
        <f t="shared" si="3"/>
        <v>11.627617430673459</v>
      </c>
      <c r="F21" s="260">
        <f t="shared" si="3"/>
        <v>23.151351351351352</v>
      </c>
      <c r="G21" s="260">
        <f t="shared" si="3"/>
        <v>15.907631954350926</v>
      </c>
      <c r="H21" s="260">
        <f t="shared" si="3"/>
        <v>19.619927681799918</v>
      </c>
      <c r="I21" s="260">
        <f t="shared" si="3"/>
        <v>15.251608114794657</v>
      </c>
      <c r="J21" s="260">
        <f t="shared" si="3"/>
        <v>19.538089171974523</v>
      </c>
      <c r="K21" s="260">
        <f t="shared" si="3"/>
        <v>19.31264225118974</v>
      </c>
      <c r="L21" s="260"/>
      <c r="M21" s="260">
        <f t="shared" si="0"/>
        <v>18.034113179319643</v>
      </c>
      <c r="N21" s="260">
        <f t="shared" si="1"/>
        <v>17.925979834821952</v>
      </c>
      <c r="O21" s="260">
        <f t="shared" si="2"/>
        <v>19.102296871505992</v>
      </c>
    </row>
    <row r="22" spans="1:15" x14ac:dyDescent="0.2">
      <c r="A22" s="252" t="s">
        <v>312</v>
      </c>
      <c r="B22" s="259">
        <f>IFERROR(('Data Sheet'!B68/'Data Sheet'!B17)*365,"NA")</f>
        <v>87.327002355712608</v>
      </c>
      <c r="C22" s="259">
        <f>IFERROR(('Data Sheet'!C68/'Data Sheet'!C17)*365,"NA")</f>
        <v>57.031684904869032</v>
      </c>
      <c r="D22" s="259">
        <f>IFERROR(('Data Sheet'!D68/'Data Sheet'!D17)*365,"NA")</f>
        <v>91.905779102500418</v>
      </c>
      <c r="E22" s="259">
        <f>IFERROR(('Data Sheet'!E68/'Data Sheet'!E17)*365,"NA")</f>
        <v>72.694441740484763</v>
      </c>
      <c r="F22" s="259">
        <f>IFERROR(('Data Sheet'!F68/'Data Sheet'!F17)*365,"NA")</f>
        <v>65.730679430305855</v>
      </c>
      <c r="G22" s="259">
        <f>IFERROR(('Data Sheet'!G68/'Data Sheet'!G17)*365,"NA")</f>
        <v>67.018271494227108</v>
      </c>
      <c r="H22" s="259">
        <f>IFERROR(('Data Sheet'!H68/'Data Sheet'!H17)*365,"NA")</f>
        <v>52.843305893434902</v>
      </c>
      <c r="I22" s="272">
        <f>IFERROR(('Data Sheet'!I68/'Data Sheet'!I17)*365,"NA")</f>
        <v>55.768082793972134</v>
      </c>
      <c r="J22" s="272">
        <f>IFERROR(('Data Sheet'!J68/'Data Sheet'!J17)*365,"NA")</f>
        <v>54.621252624303992</v>
      </c>
      <c r="K22" s="272">
        <f>IFERROR(('Data Sheet'!K68/'Data Sheet'!K17)*365,"NA")</f>
        <v>66.494460991236153</v>
      </c>
      <c r="L22" s="272"/>
      <c r="M22" s="260">
        <f t="shared" si="0"/>
        <v>58.961265469837429</v>
      </c>
      <c r="N22" s="260">
        <f t="shared" si="1"/>
        <v>59.349074759434856</v>
      </c>
      <c r="O22" s="260">
        <f t="shared" si="2"/>
        <v>67.143496133104691</v>
      </c>
    </row>
    <row r="23" spans="1:15" x14ac:dyDescent="0.2">
      <c r="A23" s="252" t="s">
        <v>47</v>
      </c>
      <c r="B23" s="260">
        <f t="shared" ref="B23:K23" si="4">IFERROR(365/B22,0)</f>
        <v>4.1796923076923074</v>
      </c>
      <c r="C23" s="260">
        <f t="shared" si="4"/>
        <v>6.3999511957052215</v>
      </c>
      <c r="D23" s="260">
        <f t="shared" si="4"/>
        <v>3.9714586347494407</v>
      </c>
      <c r="E23" s="260">
        <f t="shared" si="4"/>
        <v>5.0210166177908118</v>
      </c>
      <c r="F23" s="260">
        <f t="shared" si="4"/>
        <v>5.5529625307921693</v>
      </c>
      <c r="G23" s="260">
        <f t="shared" si="4"/>
        <v>5.4462759462759465</v>
      </c>
      <c r="H23" s="260">
        <f t="shared" si="4"/>
        <v>6.9072135785007074</v>
      </c>
      <c r="I23" s="260">
        <f t="shared" si="4"/>
        <v>6.5449623102240153</v>
      </c>
      <c r="J23" s="260">
        <f t="shared" si="4"/>
        <v>6.682380620425235</v>
      </c>
      <c r="K23" s="260">
        <f t="shared" si="4"/>
        <v>5.4891790167019527</v>
      </c>
      <c r="L23" s="260"/>
      <c r="M23" s="260">
        <f t="shared" si="0"/>
        <v>6.2388406491170683</v>
      </c>
      <c r="N23" s="260">
        <f t="shared" si="1"/>
        <v>6.2140022944255717</v>
      </c>
      <c r="O23" s="260">
        <f t="shared" si="2"/>
        <v>5.6195092758857808</v>
      </c>
    </row>
    <row r="24" spans="1:15" x14ac:dyDescent="0.2">
      <c r="A24" s="252"/>
      <c r="B24" s="260"/>
      <c r="C24" s="260"/>
      <c r="D24" s="260"/>
      <c r="E24" s="260"/>
      <c r="F24" s="260"/>
      <c r="G24" s="260"/>
      <c r="H24" s="260"/>
      <c r="I24" s="260"/>
      <c r="J24" s="260"/>
      <c r="K24" s="260"/>
      <c r="L24" s="260"/>
      <c r="M24" s="260"/>
      <c r="N24" s="260"/>
      <c r="O24" s="260"/>
    </row>
    <row r="25" spans="1:15" x14ac:dyDescent="0.2">
      <c r="A25" s="252" t="s">
        <v>873</v>
      </c>
      <c r="B25" s="261">
        <f>Other_input_data!C77/Other_input_data!C72</f>
        <v>4.8111353417871469E-2</v>
      </c>
      <c r="C25" s="261">
        <f>Other_input_data!D77/Other_input_data!D72</f>
        <v>3.3273486137990534E-2</v>
      </c>
      <c r="D25" s="261">
        <f>Other_input_data!E77/Other_input_data!E72</f>
        <v>1.2767834343152961E-3</v>
      </c>
      <c r="E25" s="261">
        <f>Other_input_data!F77/Other_input_data!F72</f>
        <v>0.1110377220020549</v>
      </c>
      <c r="F25" s="261">
        <f>Other_input_data!G77/Other_input_data!G72</f>
        <v>0.18479700547077457</v>
      </c>
      <c r="G25" s="261">
        <f>Other_input_data!H77/Other_input_data!H72</f>
        <v>0.24435831890272397</v>
      </c>
      <c r="H25" s="261">
        <f>Other_input_data!I77/Other_input_data!I72</f>
        <v>0.24377339374665807</v>
      </c>
      <c r="I25" s="261">
        <f>Other_input_data!J77/Other_input_data!J72</f>
        <v>7.2727569810950798E-2</v>
      </c>
      <c r="J25" s="261">
        <f>Other_input_data!K77/Other_input_data!K72</f>
        <v>0.15758907549835191</v>
      </c>
      <c r="K25" s="261">
        <f>Other_input_data!L77/Other_input_data!L72</f>
        <v>6.3864239911911383E-2</v>
      </c>
      <c r="L25" s="260"/>
      <c r="M25" s="261">
        <f>AVERAGE(I25:K25)</f>
        <v>9.8060295073738035E-2</v>
      </c>
      <c r="N25" s="261">
        <f>AVERAGE(G25:K25)</f>
        <v>0.15646251957411922</v>
      </c>
      <c r="O25" s="261">
        <f>AVERAGE(C25:K25)</f>
        <v>0.12363306610174793</v>
      </c>
    </row>
    <row r="26" spans="1:15" x14ac:dyDescent="0.2">
      <c r="A26" s="252" t="s">
        <v>872</v>
      </c>
      <c r="B26" s="261"/>
      <c r="C26" s="261">
        <f>Other_input_data!D77/Other_input_data!D73</f>
        <v>3.5661626889916281E-2</v>
      </c>
      <c r="D26" s="261">
        <f>Other_input_data!E77/Other_input_data!E73</f>
        <v>1.2796054162207437E-3</v>
      </c>
      <c r="E26" s="261">
        <f>Other_input_data!F77/Other_input_data!F73</f>
        <v>0.10812935501161337</v>
      </c>
      <c r="F26" s="261">
        <f>Other_input_data!G77/Other_input_data!G73</f>
        <v>0.16977039466723101</v>
      </c>
      <c r="G26" s="261">
        <f>Other_input_data!H77/Other_input_data!H73</f>
        <v>0.25003164067443856</v>
      </c>
      <c r="H26" s="261">
        <f>Other_input_data!I77/Other_input_data!I73</f>
        <v>0.24089885140584588</v>
      </c>
      <c r="I26" s="261">
        <f>Other_input_data!J77/Other_input_data!J73</f>
        <v>9.2025554613682892E-2</v>
      </c>
      <c r="J26" s="261">
        <f>Other_input_data!K77/Other_input_data!K73</f>
        <v>0.16075445717350753</v>
      </c>
      <c r="K26" s="261">
        <f>Other_input_data!L77/Other_input_data!L73</f>
        <v>7.5679271350355626E-2</v>
      </c>
      <c r="L26" s="260"/>
      <c r="M26" s="261">
        <f>AVERAGE(I26:K26)</f>
        <v>0.10948642771251536</v>
      </c>
      <c r="N26" s="261">
        <f>AVERAGE(G26:K26)</f>
        <v>0.16387795504356611</v>
      </c>
      <c r="O26" s="261">
        <f>AVERAGE(C26:K26)</f>
        <v>0.12602563968920133</v>
      </c>
    </row>
    <row r="27" spans="1:15" x14ac:dyDescent="0.2">
      <c r="A27" s="252" t="s">
        <v>871</v>
      </c>
      <c r="B27" s="261">
        <f>Other_input_data!C77/Other_input_data!C74</f>
        <v>6.217814892136396E-2</v>
      </c>
      <c r="C27" s="261">
        <f>Other_input_data!D77/Other_input_data!D74</f>
        <v>4.5556123100498017E-2</v>
      </c>
      <c r="D27" s="261">
        <f>Other_input_data!E77/Other_input_data!E74</f>
        <v>1.8639013148976551E-3</v>
      </c>
      <c r="E27" s="261">
        <f>Other_input_data!F77/Other_input_data!F74</f>
        <v>0.18208440308087293</v>
      </c>
      <c r="F27" s="261">
        <f>Other_input_data!G77/Other_input_data!G74</f>
        <v>0.27727135265909192</v>
      </c>
      <c r="G27" s="261">
        <f>Other_input_data!H77/Other_input_data!H74</f>
        <v>0.41739048781632943</v>
      </c>
      <c r="H27" s="261">
        <f>Other_input_data!I77/Other_input_data!I74</f>
        <v>0.40783464381562218</v>
      </c>
      <c r="I27" s="261">
        <f>Other_input_data!J77/Other_input_data!J74</f>
        <v>0.10680520228439794</v>
      </c>
      <c r="J27" s="261">
        <f>Other_input_data!K77/Other_input_data!K74</f>
        <v>0.25154711497507082</v>
      </c>
      <c r="K27" s="261">
        <f>Other_input_data!L77/Other_input_data!L74</f>
        <v>9.6306304839733681E-2</v>
      </c>
      <c r="L27" s="260"/>
      <c r="M27" s="261">
        <f>AVERAGE(I27:K27)</f>
        <v>0.15155287403306747</v>
      </c>
      <c r="N27" s="261">
        <f>AVERAGE(G27:K27)</f>
        <v>0.25597675074623083</v>
      </c>
      <c r="O27" s="261">
        <f>AVERAGE(C27:K27)</f>
        <v>0.19851772598739051</v>
      </c>
    </row>
    <row r="28" spans="1:15" x14ac:dyDescent="0.2">
      <c r="A28" s="252" t="s">
        <v>870</v>
      </c>
      <c r="C28" s="261">
        <f>Other_input_data!D77/Other_input_data!D75</f>
        <v>4.7515982951518383E-2</v>
      </c>
      <c r="D28" s="261">
        <f>Other_input_data!E77/Other_input_data!E75</f>
        <v>1.8082588111520256E-3</v>
      </c>
      <c r="E28" s="261">
        <f>Other_input_data!F77/Other_input_data!F75</f>
        <v>0.16676464104636637</v>
      </c>
      <c r="F28" s="261">
        <f>Other_input_data!G77/Other_input_data!G75</f>
        <v>0.26699947997919921</v>
      </c>
      <c r="G28" s="261">
        <f>Other_input_data!H77/Other_input_data!H75</f>
        <v>0.40003599874004409</v>
      </c>
      <c r="H28" s="261">
        <f>Other_input_data!I77/Other_input_data!I75</f>
        <v>0.40725939160280222</v>
      </c>
      <c r="I28" s="261">
        <f>Other_input_data!J77/Other_input_data!J75</f>
        <v>0.14149698790393081</v>
      </c>
      <c r="J28" s="261">
        <f>Other_input_data!K77/Other_input_data!K75</f>
        <v>0.24611764129089195</v>
      </c>
      <c r="K28" s="261">
        <f>Other_input_data!L77/Other_input_data!L75</f>
        <v>0.11675317242604251</v>
      </c>
      <c r="M28" s="261">
        <f>AVERAGE(I28:K28)</f>
        <v>0.16812260054028841</v>
      </c>
      <c r="N28" s="261">
        <f>AVERAGE(G28:K28)</f>
        <v>0.26233263839274235</v>
      </c>
      <c r="O28" s="261">
        <f>AVERAGE(C28:K28)</f>
        <v>0.19941683941688304</v>
      </c>
    </row>
    <row r="29" spans="1:15" x14ac:dyDescent="0.2">
      <c r="A29" s="252"/>
      <c r="C29" s="261"/>
      <c r="D29" s="261"/>
      <c r="E29" s="261"/>
      <c r="F29" s="261"/>
      <c r="G29" s="261"/>
      <c r="H29" s="261"/>
      <c r="I29" s="261"/>
      <c r="J29" s="261"/>
      <c r="K29" s="261"/>
      <c r="M29" s="261"/>
      <c r="N29" s="261"/>
      <c r="O29" s="261"/>
    </row>
    <row r="30" spans="1:15" x14ac:dyDescent="0.2">
      <c r="A30" s="252" t="s">
        <v>869</v>
      </c>
      <c r="C30" s="261">
        <f>Other_input_data!D78/Other_input_data!D72</f>
        <v>-1.9819525730407891E-2</v>
      </c>
      <c r="D30" s="261">
        <f>Other_input_data!E78/Other_input_data!E72</f>
        <v>1.3928546556176311E-4</v>
      </c>
      <c r="E30" s="261">
        <f>Other_input_data!F78/Other_input_data!F72</f>
        <v>0.11218748471060225</v>
      </c>
      <c r="F30" s="261">
        <f>Other_input_data!G78/Other_input_data!G72</f>
        <v>0.16703138496976677</v>
      </c>
      <c r="G30" s="261">
        <f>Other_input_data!H78/Other_input_data!H72</f>
        <v>0.227811220142382</v>
      </c>
      <c r="H30" s="261">
        <f>Other_input_data!I78/Other_input_data!I72</f>
        <v>0.175470689218473</v>
      </c>
      <c r="I30" s="261">
        <f>Other_input_data!J78/Other_input_data!J72</f>
        <v>-0.30682505187823728</v>
      </c>
      <c r="J30" s="261">
        <f>Other_input_data!K78/Other_input_data!K72</f>
        <v>0.12313608538690946</v>
      </c>
      <c r="K30" s="261">
        <f>Other_input_data!L78/Other_input_data!L72</f>
        <v>-0.21336658246432189</v>
      </c>
      <c r="M30" s="261">
        <f>AVERAGE(I30:K30)</f>
        <v>-0.13235184965188324</v>
      </c>
      <c r="N30" s="261">
        <f>AVERAGE(G30:K30)</f>
        <v>1.2452720810410601E-3</v>
      </c>
      <c r="O30" s="261">
        <f>AVERAGE(C30:K30)</f>
        <v>2.9529443313414235E-2</v>
      </c>
    </row>
    <row r="31" spans="1:15" x14ac:dyDescent="0.2">
      <c r="A31" s="252" t="s">
        <v>868</v>
      </c>
      <c r="C31" s="261">
        <f>Other_input_data!D78/Other_input_data!D73</f>
        <v>-2.1242034237161145E-2</v>
      </c>
      <c r="D31" s="261">
        <f>Other_input_data!E78/Other_input_data!E73</f>
        <v>1.395933181332667E-4</v>
      </c>
      <c r="E31" s="261">
        <f>Other_input_data!F78/Other_input_data!F73</f>
        <v>0.10924900244178426</v>
      </c>
      <c r="F31" s="261">
        <f>Other_input_data!G78/Other_input_data!G73</f>
        <v>0.15344937043699083</v>
      </c>
      <c r="G31" s="261">
        <f>Other_input_data!H78/Other_input_data!H73</f>
        <v>0.23310036421931907</v>
      </c>
      <c r="H31" s="261">
        <f>Other_input_data!I78/Other_input_data!I73</f>
        <v>0.17340156297800152</v>
      </c>
      <c r="I31" s="261">
        <f>Other_input_data!J78/Other_input_data!J73</f>
        <v>-0.38823991564496457</v>
      </c>
      <c r="J31" s="261">
        <f>Other_input_data!K78/Other_input_data!K73</f>
        <v>0.12560943391694887</v>
      </c>
      <c r="K31" s="261">
        <f>Other_input_data!L78/Other_input_data!L73</f>
        <v>-0.25283989152126074</v>
      </c>
      <c r="M31" s="261">
        <f>AVERAGE(I31:K31)</f>
        <v>-0.17182345774975882</v>
      </c>
      <c r="N31" s="261">
        <f>AVERAGE(G31:K31)</f>
        <v>-2.1793689210391171E-2</v>
      </c>
      <c r="O31" s="261">
        <f>AVERAGE(C31:K31)</f>
        <v>1.4736387323087932E-2</v>
      </c>
    </row>
    <row r="32" spans="1:15" x14ac:dyDescent="0.2">
      <c r="A32" s="252" t="s">
        <v>867</v>
      </c>
      <c r="C32" s="261">
        <f>Other_input_data!D78/Other_input_data!D74</f>
        <v>-2.71357425616142E-2</v>
      </c>
      <c r="D32" s="261">
        <f>Other_input_data!E78/Other_input_data!E74</f>
        <v>2.0333468889806389E-4</v>
      </c>
      <c r="E32" s="261">
        <f>Other_input_data!F78/Other_input_data!F74</f>
        <v>0.18396983311938375</v>
      </c>
      <c r="F32" s="261">
        <f>Other_input_data!G78/Other_input_data!G74</f>
        <v>0.25061563053527458</v>
      </c>
      <c r="G32" s="261">
        <f>Other_input_data!H78/Other_input_data!H74</f>
        <v>0.38912625005868817</v>
      </c>
      <c r="H32" s="261">
        <f>Other_input_data!I78/Other_input_data!I74</f>
        <v>0.29356372710579598</v>
      </c>
      <c r="I32" s="261">
        <f>Other_input_data!J78/Other_input_data!J74</f>
        <v>-0.45059269568555932</v>
      </c>
      <c r="J32" s="261">
        <f>Other_input_data!K78/Other_input_data!K74</f>
        <v>0.19655250169117836</v>
      </c>
      <c r="K32" s="261">
        <f>Other_input_data!L78/Other_input_data!L74</f>
        <v>-0.32175356916114534</v>
      </c>
      <c r="M32" s="261">
        <f>AVERAGE(I32:K32)</f>
        <v>-0.19193125438517544</v>
      </c>
      <c r="N32" s="261">
        <f>AVERAGE(G32:K32)</f>
        <v>2.1379242801791563E-2</v>
      </c>
      <c r="O32" s="261">
        <f>AVERAGE(C32:K32)</f>
        <v>5.7172141087877777E-2</v>
      </c>
    </row>
    <row r="33" spans="1:15" x14ac:dyDescent="0.2">
      <c r="A33" s="252" t="s">
        <v>866</v>
      </c>
      <c r="B33" s="266"/>
      <c r="C33" s="273">
        <f>Other_input_data!D78/Other_input_data!D75</f>
        <v>-2.8303143313798722E-2</v>
      </c>
      <c r="D33" s="273">
        <f>Other_input_data!E78/Other_input_data!E75</f>
        <v>1.9726459758035472E-4</v>
      </c>
      <c r="E33" s="273">
        <f>Other_input_data!F78/Other_input_data!F75</f>
        <v>0.16849143948857367</v>
      </c>
      <c r="F33" s="273">
        <f>Other_input_data!G78/Other_input_data!G75</f>
        <v>0.24133125325013002</v>
      </c>
      <c r="G33" s="273">
        <f>Other_input_data!H78/Other_input_data!H75</f>
        <v>0.37294694685685997</v>
      </c>
      <c r="H33" s="273">
        <f>Other_input_data!I78/Other_input_data!I75</f>
        <v>0.29314965442663032</v>
      </c>
      <c r="I33" s="273">
        <f>Other_input_data!J78/Other_input_data!J75</f>
        <v>-0.5969513455088773</v>
      </c>
      <c r="J33" s="273">
        <f>Other_input_data!K78/Other_input_data!K75</f>
        <v>0.19231004939512428</v>
      </c>
      <c r="K33" s="273">
        <f>Other_input_data!L78/Other_input_data!L75</f>
        <v>-0.39006532336050198</v>
      </c>
      <c r="L33" s="268"/>
      <c r="M33" s="261">
        <f>AVERAGE(I33:K33)</f>
        <v>-0.26490220649141832</v>
      </c>
      <c r="N33" s="261">
        <f>AVERAGE(G33:K33)</f>
        <v>-2.5722003638152923E-2</v>
      </c>
      <c r="O33" s="261">
        <f>AVERAGE(C33:K33)</f>
        <v>2.8122977314635637E-2</v>
      </c>
    </row>
    <row r="34" spans="1:15" x14ac:dyDescent="0.2">
      <c r="A34" s="252"/>
      <c r="B34" s="266"/>
      <c r="C34" s="266"/>
      <c r="D34" s="266"/>
      <c r="E34" s="266"/>
      <c r="F34" s="266"/>
      <c r="G34" s="266"/>
      <c r="H34" s="268"/>
      <c r="I34" s="268"/>
      <c r="J34" s="268"/>
      <c r="K34" s="268"/>
      <c r="L34" s="268"/>
      <c r="M34" s="261"/>
      <c r="N34" s="261"/>
      <c r="O34" s="261"/>
    </row>
    <row r="35" spans="1:15" x14ac:dyDescent="0.2">
      <c r="A35" s="252" t="s">
        <v>564</v>
      </c>
      <c r="B35" s="273">
        <f>Other_input_data!C37/Other_input_data!C72</f>
        <v>3.3169103195756951E-2</v>
      </c>
      <c r="C35" s="273">
        <f>Other_input_data!D37/Other_input_data!D72</f>
        <v>1.9586354839461425E-3</v>
      </c>
      <c r="D35" s="273">
        <f>Other_input_data!E37/Other_input_data!E72</f>
        <v>3.7491004480349158E-2</v>
      </c>
      <c r="E35" s="273">
        <f>Other_input_data!F37/Other_input_data!F72</f>
        <v>7.5125984637213233E-2</v>
      </c>
      <c r="F35" s="273">
        <f>Other_input_data!G37/Other_input_data!G72</f>
        <v>6.104232651885981E-2</v>
      </c>
      <c r="G35" s="273">
        <f>Other_input_data!H37/Other_input_data!H72</f>
        <v>0.13273411945795885</v>
      </c>
      <c r="H35" s="273">
        <f>Other_input_data!I37/Other_input_data!I72</f>
        <v>0.19536768637604482</v>
      </c>
      <c r="I35" s="273">
        <f>Other_input_data!J37/Other_input_data!J72</f>
        <v>0.12480188232218434</v>
      </c>
      <c r="J35" s="273">
        <f>Other_input_data!K37/Other_input_data!K72</f>
        <v>0.15412023230262126</v>
      </c>
      <c r="K35" s="273">
        <f>Other_input_data!L37/Other_input_data!L72</f>
        <v>9.9596260552281032E-2</v>
      </c>
      <c r="L35" s="268"/>
      <c r="M35" s="261">
        <f>AVERAGE(I35:K35)</f>
        <v>0.12617279172569554</v>
      </c>
      <c r="N35" s="261">
        <f>AVERAGE(G35:K35)</f>
        <v>0.14132403620221806</v>
      </c>
      <c r="O35" s="261">
        <f>AVERAGE(C35:K35)</f>
        <v>9.8026459125717627E-2</v>
      </c>
    </row>
    <row r="36" spans="1:15" x14ac:dyDescent="0.2">
      <c r="A36" s="252" t="s">
        <v>565</v>
      </c>
      <c r="B36" s="273"/>
      <c r="C36" s="273">
        <f>Other_input_data!D37/Other_input_data!D73</f>
        <v>2.0992127952017547E-3</v>
      </c>
      <c r="D36" s="273">
        <f>Other_input_data!E37/Other_input_data!E73</f>
        <v>3.7573868130845484E-2</v>
      </c>
      <c r="E36" s="273">
        <f>Other_input_data!F37/Other_input_data!F73</f>
        <v>7.3158239533083258E-2</v>
      </c>
      <c r="F36" s="273">
        <f>Other_input_data!G37/Other_input_data!G73</f>
        <v>5.6078721828377989E-2</v>
      </c>
      <c r="G36" s="273">
        <f>Other_input_data!H37/Other_input_data!H73</f>
        <v>0.13581583721224566</v>
      </c>
      <c r="H36" s="273">
        <f>Other_input_data!I37/Other_input_data!I73</f>
        <v>0.19306393748087994</v>
      </c>
      <c r="I36" s="273">
        <f>Other_input_data!J37/Other_input_data!J73</f>
        <v>0.15791758843839818</v>
      </c>
      <c r="J36" s="273">
        <f>Other_input_data!K37/Other_input_data!K73</f>
        <v>0.15721593774767634</v>
      </c>
      <c r="K36" s="273">
        <f>Other_input_data!L37/Other_input_data!L73</f>
        <v>0.11802179808627132</v>
      </c>
      <c r="L36" s="268"/>
      <c r="M36" s="261">
        <f>AVERAGE(I36:K36)</f>
        <v>0.14438510809078195</v>
      </c>
      <c r="N36" s="261">
        <f>AVERAGE(G36:K36)</f>
        <v>0.15240701979309429</v>
      </c>
      <c r="O36" s="261">
        <f>AVERAGE(C36:K36)</f>
        <v>0.10343834902810889</v>
      </c>
    </row>
    <row r="37" spans="1:15" x14ac:dyDescent="0.2">
      <c r="A37" s="252" t="s">
        <v>566</v>
      </c>
      <c r="B37" s="273">
        <f>Other_input_data!C37/Other_input_data!C74</f>
        <v>4.2867084203201129E-2</v>
      </c>
      <c r="C37" s="273">
        <f>Other_input_data!D37/Other_input_data!D74</f>
        <v>2.6816498531476887E-3</v>
      </c>
      <c r="D37" s="273">
        <f>Other_input_data!E37/Other_input_data!E74</f>
        <v>5.4730920428358434E-2</v>
      </c>
      <c r="E37" s="273">
        <f>Other_input_data!F37/Other_input_data!F74</f>
        <v>0.12319480102695772</v>
      </c>
      <c r="F37" s="273">
        <f>Other_input_data!G37/Other_input_data!G74</f>
        <v>9.158854279172253E-2</v>
      </c>
      <c r="G37" s="273">
        <f>Other_input_data!H37/Other_input_data!H74</f>
        <v>0.22672425935489932</v>
      </c>
      <c r="H37" s="273">
        <f>Other_input_data!I37/Other_input_data!I74</f>
        <v>0.32685154668298882</v>
      </c>
      <c r="I37" s="273">
        <f>Other_input_data!J37/Other_input_data!J74</f>
        <v>0.1832797427652734</v>
      </c>
      <c r="J37" s="273">
        <f>Other_input_data!K37/Other_input_data!K74</f>
        <v>0.2460100719063964</v>
      </c>
      <c r="K37" s="273">
        <f>Other_input_data!L37/Other_input_data!L74</f>
        <v>0.15018964983965233</v>
      </c>
      <c r="L37" s="268"/>
      <c r="M37" s="261">
        <f>AVERAGE(I37:K37)</f>
        <v>0.19315982150377406</v>
      </c>
      <c r="N37" s="261">
        <f>AVERAGE(G37:K37)</f>
        <v>0.22661105410984206</v>
      </c>
      <c r="O37" s="261">
        <f>AVERAGE(C37:K37)</f>
        <v>0.15613902051659967</v>
      </c>
    </row>
    <row r="38" spans="1:15" x14ac:dyDescent="0.2">
      <c r="A38" s="252" t="s">
        <v>567</v>
      </c>
      <c r="B38" s="273"/>
      <c r="C38" s="273">
        <f>Other_input_data!D37/Other_input_data!D75</f>
        <v>2.7970165157165093E-3</v>
      </c>
      <c r="D38" s="273">
        <f>Other_input_data!E37/Other_input_data!E75</f>
        <v>5.3097054182009495E-2</v>
      </c>
      <c r="E38" s="273">
        <f>Other_input_data!F37/Other_input_data!F75</f>
        <v>0.11282974502167691</v>
      </c>
      <c r="F38" s="273">
        <f>Other_input_data!G37/Other_input_data!G75</f>
        <v>8.8195527821112896E-2</v>
      </c>
      <c r="G38" s="273">
        <f>Other_input_data!H37/Other_input_data!H75</f>
        <v>0.21729739459118932</v>
      </c>
      <c r="H38" s="273">
        <f>Other_input_data!I37/Other_input_data!I75</f>
        <v>0.32639052141614555</v>
      </c>
      <c r="I38" s="273">
        <f>Other_input_data!J37/Other_input_data!J75</f>
        <v>0.24281150159744422</v>
      </c>
      <c r="J38" s="273">
        <f>Other_input_data!K37/Other_input_data!K75</f>
        <v>0.24070011153737728</v>
      </c>
      <c r="K38" s="273">
        <f>Other_input_data!L37/Other_input_data!L75</f>
        <v>0.18207653292810488</v>
      </c>
      <c r="L38" s="268"/>
      <c r="M38" s="261">
        <f>AVERAGE(I38:K38)</f>
        <v>0.22186271535430879</v>
      </c>
      <c r="N38" s="261">
        <f>AVERAGE(G38:K38)</f>
        <v>0.24185521241405228</v>
      </c>
      <c r="O38" s="261">
        <f>AVERAGE(C38:K38)</f>
        <v>0.16291060062341967</v>
      </c>
    </row>
    <row r="39" spans="1:15" x14ac:dyDescent="0.2">
      <c r="A39" s="252"/>
      <c r="B39" s="273"/>
      <c r="C39" s="273"/>
      <c r="D39" s="273"/>
      <c r="E39" s="273"/>
      <c r="F39" s="273"/>
      <c r="G39" s="273"/>
      <c r="H39" s="273"/>
      <c r="I39" s="273"/>
      <c r="J39" s="273"/>
      <c r="K39" s="273"/>
      <c r="L39" s="268"/>
      <c r="M39" s="261"/>
      <c r="N39" s="261"/>
      <c r="O39" s="261"/>
    </row>
    <row r="40" spans="1:15" x14ac:dyDescent="0.2">
      <c r="A40" s="252" t="s">
        <v>569</v>
      </c>
      <c r="B40" s="266"/>
      <c r="C40" s="266"/>
      <c r="D40" s="276">
        <f>(Other_input_data!G32-Other_input_data!E32)/(Other_input_data!E72-Other_input_data!C72)</f>
        <v>2.1292551398719257</v>
      </c>
      <c r="E40" s="276">
        <f>(Other_input_data!H32-Other_input_data!F32)/(Other_input_data!F72-Other_input_data!D72)</f>
        <v>-1.7486311597809825</v>
      </c>
      <c r="F40" s="276">
        <f>(Other_input_data!I32-Other_input_data!G32)/(Other_input_data!G72-Other_input_data!E72)</f>
        <v>-0.71930034743021432</v>
      </c>
      <c r="G40" s="276">
        <f>(Other_input_data!J32-Other_input_data!H32)/(Other_input_data!H72-Other_input_data!F72)</f>
        <v>-3.7896375361352042</v>
      </c>
      <c r="H40" s="276">
        <f>(Other_input_data!K32-Other_input_data!I32)/(Other_input_data!I72-Other_input_data!G72)</f>
        <v>34.68617683686189</v>
      </c>
      <c r="I40" s="276">
        <f>(Other_input_data!L32-Other_input_data!J32)/(Other_input_data!J72-Other_input_data!H72)</f>
        <v>1.2768331990330377</v>
      </c>
      <c r="J40" s="278"/>
      <c r="K40" s="278"/>
      <c r="L40" s="268"/>
      <c r="M40" s="261"/>
      <c r="N40" s="261"/>
      <c r="O40" s="261"/>
    </row>
    <row r="41" spans="1:15" x14ac:dyDescent="0.2">
      <c r="A41" s="252" t="s">
        <v>573</v>
      </c>
      <c r="B41" s="266"/>
      <c r="C41" s="266"/>
      <c r="D41" s="276">
        <f>(Other_input_data!G32-Other_input_data!E32)/(Other_input_data!E74-Other_input_data!C74)</f>
        <v>16.451822916666654</v>
      </c>
      <c r="E41" s="276">
        <f>(Other_input_data!H32-Other_input_data!F32)/(Other_input_data!F74-Other_input_data!D74)</f>
        <v>-0.54924953095684792</v>
      </c>
      <c r="F41" s="276">
        <f>(Other_input_data!I32-Other_input_data!G32)/(Other_input_data!G74-Other_input_data!E74)</f>
        <v>-0.94387674893884577</v>
      </c>
      <c r="G41" s="276">
        <f>(Other_input_data!J32-Other_input_data!H32)/(Other_input_data!H74-Other_input_data!F74)</f>
        <v>-4.6960595205290732</v>
      </c>
      <c r="H41" s="276">
        <f>(Other_input_data!K32-Other_input_data!I32)/(Other_input_data!I74-Other_input_data!G74)</f>
        <v>-14.598008385744249</v>
      </c>
      <c r="I41" s="276">
        <f>(Other_input_data!L32-Other_input_data!J32)/(Other_input_data!J74-Other_input_data!H74)</f>
        <v>1.5553865030674845</v>
      </c>
      <c r="J41" s="268"/>
      <c r="K41" s="268"/>
      <c r="L41" s="268"/>
      <c r="M41" s="261"/>
      <c r="N41" s="261"/>
      <c r="O41" s="261"/>
    </row>
    <row r="42" spans="1:15" x14ac:dyDescent="0.2">
      <c r="A42" s="252"/>
      <c r="B42" s="266"/>
      <c r="C42" s="266"/>
      <c r="D42" s="276"/>
      <c r="E42" s="276"/>
      <c r="F42" s="276"/>
      <c r="G42" s="276"/>
      <c r="H42" s="276"/>
      <c r="I42" s="276"/>
      <c r="J42" s="268"/>
      <c r="K42" s="268"/>
      <c r="L42" s="268"/>
      <c r="M42" s="261"/>
      <c r="N42" s="261"/>
      <c r="O42" s="261"/>
    </row>
    <row r="43" spans="1:15" x14ac:dyDescent="0.2">
      <c r="A43" s="252" t="s">
        <v>571</v>
      </c>
      <c r="B43" s="266"/>
      <c r="C43" s="266"/>
      <c r="D43" s="276">
        <f>(Other_input_data!G37-Other_input_data!E37)/(Other_input_data!E72-Other_input_data!C72)</f>
        <v>8.5102797438490224E-2</v>
      </c>
      <c r="E43" s="276">
        <f>(Other_input_data!H37-Other_input_data!F37)/(Other_input_data!F72-Other_input_data!D72)</f>
        <v>-0.87506222000995304</v>
      </c>
      <c r="F43" s="276">
        <f>(Other_input_data!I37-Other_input_data!G37)/(Other_input_data!G72-Other_input_data!E72)</f>
        <v>-0.57769258416197433</v>
      </c>
      <c r="G43" s="276">
        <f>(Other_input_data!J37-Other_input_data!H37)/(Other_input_data!H72-Other_input_data!F72)</f>
        <v>-0.62463864798754842</v>
      </c>
      <c r="H43" s="276">
        <f>(Other_input_data!K37-Other_input_data!I37)/(Other_input_data!I72-Other_input_data!G72)</f>
        <v>3.5828144458281561</v>
      </c>
      <c r="I43" s="276">
        <f>(Other_input_data!L37-Other_input_data!J37)/(Other_input_data!J72-Other_input_data!H72)</f>
        <v>6.3980660757453595E-2</v>
      </c>
      <c r="J43" s="268"/>
      <c r="K43" s="268"/>
      <c r="L43" s="268"/>
      <c r="M43" s="261"/>
      <c r="N43" s="261"/>
      <c r="O43" s="261"/>
    </row>
    <row r="44" spans="1:15" x14ac:dyDescent="0.2">
      <c r="A44" s="252" t="s">
        <v>575</v>
      </c>
      <c r="B44" s="266"/>
      <c r="C44" s="266"/>
      <c r="D44" s="276">
        <f>(Other_input_data!G37-Other_input_data!E37)/(Other_input_data!E74-Other_input_data!C74)</f>
        <v>0.65755208333333381</v>
      </c>
      <c r="E44" s="276">
        <f>(Other_input_data!H37-Other_input_data!F37)/(Other_input_data!F74-Other_input_data!D74)</f>
        <v>-0.27485928705440871</v>
      </c>
      <c r="F44" s="276">
        <f>(Other_input_data!I37-Other_input_data!G37)/(Other_input_data!G74-Other_input_data!E74)</f>
        <v>-0.7580569092909919</v>
      </c>
      <c r="G44" s="276">
        <f>(Other_input_data!J37-Other_input_data!H37)/(Other_input_data!H74-Other_input_data!F74)</f>
        <v>-0.77404243593276489</v>
      </c>
      <c r="H44" s="276">
        <f>(Other_input_data!K37-Other_input_data!I37)/(Other_input_data!I74-Other_input_data!G74)</f>
        <v>-1.5078616352201268</v>
      </c>
      <c r="I44" s="276">
        <f>(Other_input_data!L37-Other_input_data!J37)/(Other_input_data!J74-Other_input_data!H74)</f>
        <v>7.7938650306748375E-2</v>
      </c>
      <c r="J44" s="268"/>
      <c r="K44" s="268"/>
      <c r="L44" s="268"/>
      <c r="M44" s="261"/>
      <c r="N44" s="261"/>
      <c r="O44" s="261"/>
    </row>
    <row r="45" spans="1:15" x14ac:dyDescent="0.2">
      <c r="A45" s="252"/>
      <c r="B45" s="266"/>
      <c r="C45" s="266"/>
      <c r="D45" s="266"/>
      <c r="E45" s="266"/>
      <c r="F45" s="266"/>
      <c r="G45" s="266"/>
      <c r="H45" s="268"/>
      <c r="I45" s="268"/>
      <c r="J45" s="268"/>
      <c r="K45" s="268"/>
      <c r="L45" s="268"/>
      <c r="M45" s="261"/>
      <c r="N45" s="261"/>
      <c r="O45" s="261"/>
    </row>
    <row r="46" spans="1:15" x14ac:dyDescent="0.2">
      <c r="A46" s="252" t="s">
        <v>576</v>
      </c>
      <c r="B46" s="276">
        <f>Other_input_data!C32/Other_input_data!C72</f>
        <v>0.54858250545190212</v>
      </c>
      <c r="C46" s="276">
        <f>Other_input_data!D32/Other_input_data!D72</f>
        <v>0.61153729568400672</v>
      </c>
      <c r="D46" s="276">
        <f>Other_input_data!E32/Other_input_data!E72</f>
        <v>0.70095410543909742</v>
      </c>
      <c r="E46" s="276">
        <f>Other_input_data!F32/Other_input_data!F72</f>
        <v>1.0052350897793436</v>
      </c>
      <c r="F46" s="276">
        <f>Other_input_data!G32/Other_input_data!G72</f>
        <v>1.2332277569824359</v>
      </c>
      <c r="G46" s="276">
        <f>Other_input_data!H32/Other_input_data!H72</f>
        <v>1.2260520601412825</v>
      </c>
      <c r="H46" s="276">
        <f>Other_input_data!I32/Other_input_data!I72</f>
        <v>1.3743280893817016</v>
      </c>
      <c r="I46" s="276">
        <f>Other_input_data!J32/Other_input_data!J72</f>
        <v>1.0072874626231598</v>
      </c>
      <c r="J46" s="276">
        <f>Other_input_data!K32/Other_input_data!K72</f>
        <v>1.2036885889185371</v>
      </c>
      <c r="K46" s="276">
        <f>Other_input_data!L32/Other_input_data!L72</f>
        <v>1.0075998013688279</v>
      </c>
      <c r="L46" s="268"/>
      <c r="M46" s="261"/>
      <c r="N46" s="261"/>
      <c r="O46" s="261"/>
    </row>
    <row r="47" spans="1:15" x14ac:dyDescent="0.2">
      <c r="A47" s="252" t="s">
        <v>577</v>
      </c>
      <c r="B47" s="266"/>
      <c r="C47" s="276">
        <f>Other_input_data!D32/Other_input_data!D73</f>
        <v>0.6554292140447332</v>
      </c>
      <c r="D47" s="276">
        <f>Other_input_data!E32/Other_input_data!E73</f>
        <v>0.70250337350518821</v>
      </c>
      <c r="E47" s="276">
        <f>Other_input_data!F32/Other_input_data!F73</f>
        <v>0.97890536596986488</v>
      </c>
      <c r="F47" s="276">
        <f>Other_input_data!G32/Other_input_data!G73</f>
        <v>1.1329488942968999</v>
      </c>
      <c r="G47" s="276">
        <f>Other_input_data!H32/Other_input_data!H73</f>
        <v>1.2545175851837269</v>
      </c>
      <c r="H47" s="276">
        <f>Other_input_data!I32/Other_input_data!I73</f>
        <v>1.3581222015184804</v>
      </c>
      <c r="I47" s="276">
        <f>Other_input_data!J32/Other_input_data!J73</f>
        <v>1.2745673703144709</v>
      </c>
      <c r="J47" s="276">
        <f>Other_input_data!K32/Other_input_data!K73</f>
        <v>1.2278662407634235</v>
      </c>
      <c r="K47" s="276">
        <f>Other_input_data!L32/Other_input_data!L73</f>
        <v>1.1940080847362227</v>
      </c>
      <c r="L47" s="268"/>
      <c r="M47" s="261"/>
      <c r="N47" s="261"/>
      <c r="O47" s="261"/>
    </row>
    <row r="48" spans="1:15" x14ac:dyDescent="0.2">
      <c r="A48" s="252" t="s">
        <v>578</v>
      </c>
      <c r="B48" s="276">
        <f>Other_input_data!C32/Other_input_data!C74</f>
        <v>0.70897703549060542</v>
      </c>
      <c r="C48" s="276">
        <f>Other_input_data!D32/Other_input_data!D74</f>
        <v>0.83728131783935633</v>
      </c>
      <c r="D48" s="276">
        <f>Other_input_data!E32/Other_input_data!E74</f>
        <v>1.0232818218788124</v>
      </c>
      <c r="E48" s="276">
        <f>Other_input_data!F32/Other_input_data!F74</f>
        <v>1.6484274711168165</v>
      </c>
      <c r="F48" s="276">
        <f>Other_input_data!G32/Other_input_data!G74</f>
        <v>1.8503477772497516</v>
      </c>
      <c r="G48" s="276">
        <f>Other_input_data!H32/Other_input_data!H74</f>
        <v>2.0942297760458235</v>
      </c>
      <c r="H48" s="276">
        <f>Other_input_data!I32/Other_input_data!I74</f>
        <v>2.2992607938226843</v>
      </c>
      <c r="I48" s="276">
        <f>Other_input_data!J32/Other_input_data!J74</f>
        <v>1.4792676488937948</v>
      </c>
      <c r="J48" s="276">
        <f>Other_input_data!K32/Other_input_data!K74</f>
        <v>1.9213539448300052</v>
      </c>
      <c r="K48" s="276">
        <f>Other_input_data!L32/Other_input_data!L74</f>
        <v>1.5194452131729315</v>
      </c>
      <c r="L48" s="268"/>
      <c r="M48" s="261"/>
      <c r="N48" s="261"/>
      <c r="O48" s="261"/>
    </row>
    <row r="49" spans="1:15" x14ac:dyDescent="0.2">
      <c r="A49" s="252" t="s">
        <v>579</v>
      </c>
      <c r="B49" s="266"/>
      <c r="C49" s="276">
        <f>Other_input_data!D32/Other_input_data!D75</f>
        <v>0.87330181140117202</v>
      </c>
      <c r="D49" s="276">
        <f>Other_input_data!E32/Other_input_data!E75</f>
        <v>0.99273408732246193</v>
      </c>
      <c r="E49" s="276">
        <f>Other_input_data!F32/Other_input_data!F75</f>
        <v>1.5097362039826585</v>
      </c>
      <c r="F49" s="276">
        <f>Other_input_data!G32/Other_input_data!G75</f>
        <v>1.7817992719708788</v>
      </c>
      <c r="G49" s="276">
        <f>Other_input_data!H32/Other_input_data!H75</f>
        <v>2.0071547495837643</v>
      </c>
      <c r="H49" s="276">
        <f>Other_input_data!I32/Other_input_data!I75</f>
        <v>2.296017678311157</v>
      </c>
      <c r="I49" s="276">
        <f>Other_input_data!J32/Other_input_data!J75</f>
        <v>1.9597539459253255</v>
      </c>
      <c r="J49" s="276">
        <f>Other_input_data!K32/Other_input_data!K75</f>
        <v>1.8798828244695847</v>
      </c>
      <c r="K49" s="276">
        <f>Other_input_data!L32/Other_input_data!L75</f>
        <v>1.8420398255412367</v>
      </c>
      <c r="L49" s="268"/>
      <c r="M49" s="261"/>
      <c r="N49" s="261"/>
      <c r="O49" s="261"/>
    </row>
    <row r="50" spans="1:15" x14ac:dyDescent="0.2">
      <c r="A50" s="252"/>
      <c r="B50" s="266"/>
      <c r="C50" s="276"/>
      <c r="D50" s="276"/>
      <c r="E50" s="276"/>
      <c r="F50" s="276"/>
      <c r="G50" s="276"/>
      <c r="H50" s="276"/>
      <c r="I50" s="276"/>
      <c r="J50" s="276"/>
      <c r="K50" s="276"/>
      <c r="L50" s="268"/>
      <c r="M50" s="261"/>
      <c r="N50" s="261"/>
      <c r="O50" s="261"/>
    </row>
    <row r="51" spans="1:15" x14ac:dyDescent="0.2">
      <c r="A51" s="252" t="s">
        <v>865</v>
      </c>
      <c r="B51" s="266">
        <f>'Data Sheet'!B82/'Data Sheet'!B66</f>
        <v>4.8111353417871469E-2</v>
      </c>
      <c r="C51" s="266">
        <f>'Data Sheet'!C82/'Data Sheet'!C66</f>
        <v>3.3273486137990534E-2</v>
      </c>
      <c r="D51" s="266">
        <f>'Data Sheet'!D82/'Data Sheet'!D66</f>
        <v>1.2767834343152961E-3</v>
      </c>
      <c r="E51" s="266">
        <f>'Data Sheet'!E82/'Data Sheet'!E66</f>
        <v>0.1110377220020549</v>
      </c>
      <c r="F51" s="266">
        <f>'Data Sheet'!F82/'Data Sheet'!F66</f>
        <v>0.18479700547077457</v>
      </c>
      <c r="G51" s="266">
        <f>'Data Sheet'!G82/'Data Sheet'!G66</f>
        <v>0.24435831890272397</v>
      </c>
      <c r="H51" s="268">
        <f>'Data Sheet'!H82/'Data Sheet'!H66</f>
        <v>0.24377339374665807</v>
      </c>
      <c r="I51" s="268">
        <f>'Data Sheet'!I82/'Data Sheet'!I66</f>
        <v>7.2727569810950798E-2</v>
      </c>
      <c r="J51" s="268">
        <f>'Data Sheet'!J82/'Data Sheet'!J66</f>
        <v>0.15758907549835191</v>
      </c>
      <c r="K51" s="268">
        <f>'Data Sheet'!K82/'Data Sheet'!K66</f>
        <v>6.3864239911911383E-2</v>
      </c>
      <c r="L51" s="268"/>
      <c r="M51" s="261">
        <f>AVERAGE(I51:K51)</f>
        <v>9.8060295073738035E-2</v>
      </c>
      <c r="N51" s="261">
        <f>AVERAGE(G51:K51)</f>
        <v>0.15646251957411922</v>
      </c>
      <c r="O51" s="261">
        <f>AVERAGE(B51:K51)</f>
        <v>0.1160808948333603</v>
      </c>
    </row>
    <row r="52" spans="1:15" x14ac:dyDescent="0.2">
      <c r="A52" s="252" t="s">
        <v>518</v>
      </c>
      <c r="B52" s="266">
        <f>'Data Sheet'!B30/'Data Sheet'!B66</f>
        <v>-1.1549955577093934E-2</v>
      </c>
      <c r="C52" s="266">
        <f>'Data Sheet'!C30/'Data Sheet'!C66</f>
        <v>-3.290041271247697E-2</v>
      </c>
      <c r="D52" s="266">
        <f>'Data Sheet'!D30/'Data Sheet'!D66</f>
        <v>1.5785686096989114E-3</v>
      </c>
      <c r="E52" s="266">
        <f>'Data Sheet'!E30/'Data Sheet'!E66</f>
        <v>1.6488086501296541E-2</v>
      </c>
      <c r="F52" s="266">
        <f>'Data Sheet'!F30/'Data Sheet'!F66</f>
        <v>8.6380650734235525E-4</v>
      </c>
      <c r="G52" s="266">
        <f>'Data Sheet'!G30/'Data Sheet'!G66</f>
        <v>3.8866441274291529E-2</v>
      </c>
      <c r="H52" s="266">
        <f>'Data Sheet'!H30/'Data Sheet'!H66</f>
        <v>9.7880843159879563E-2</v>
      </c>
      <c r="I52" s="274">
        <f>'Data Sheet'!I30/'Data Sheet'!I66</f>
        <v>6.692701099655235E-2</v>
      </c>
      <c r="J52" s="274">
        <f>'Data Sheet'!J30/'Data Sheet'!J66</f>
        <v>6.9314079422382657E-2</v>
      </c>
      <c r="K52" s="274">
        <f>'Data Sheet'!K30/'Data Sheet'!K66</f>
        <v>6.1694410259731845E-2</v>
      </c>
      <c r="L52" s="274"/>
      <c r="M52" s="261">
        <f>AVERAGE(I52:K52)</f>
        <v>6.5978500226222286E-2</v>
      </c>
      <c r="N52" s="261">
        <f>AVERAGE(G52:K52)</f>
        <v>6.6936557022567594E-2</v>
      </c>
      <c r="O52" s="261">
        <f>AVERAGE(B52:K52)</f>
        <v>3.0916287844160485E-2</v>
      </c>
    </row>
    <row r="53" spans="1:15" x14ac:dyDescent="0.2">
      <c r="A53" s="252" t="s">
        <v>519</v>
      </c>
      <c r="B53" s="260">
        <f>'Data Sheet'!B17/'Data Sheet'!B66</f>
        <v>0.54858250545190212</v>
      </c>
      <c r="C53" s="260">
        <f>'Data Sheet'!C17/'Data Sheet'!C66</f>
        <v>0.61153729568400672</v>
      </c>
      <c r="D53" s="260">
        <f>'Data Sheet'!D17/'Data Sheet'!D66</f>
        <v>0.70095410543909742</v>
      </c>
      <c r="E53" s="260">
        <f>'Data Sheet'!E17/'Data Sheet'!E66</f>
        <v>1.0052350897793436</v>
      </c>
      <c r="F53" s="260">
        <f>'Data Sheet'!F17/'Data Sheet'!F66</f>
        <v>1.2332277569824359</v>
      </c>
      <c r="G53" s="260">
        <f>'Data Sheet'!G17/'Data Sheet'!G66</f>
        <v>1.2260520601412825</v>
      </c>
      <c r="H53" s="275">
        <f>'Data Sheet'!H17/'Data Sheet'!H66</f>
        <v>1.3743280893817016</v>
      </c>
      <c r="I53" s="275">
        <f>'Data Sheet'!I17/'Data Sheet'!I66</f>
        <v>1.0072874626231598</v>
      </c>
      <c r="J53" s="275">
        <f>'Data Sheet'!J17/'Data Sheet'!J66</f>
        <v>1.2036885889185371</v>
      </c>
      <c r="K53" s="275">
        <f>'Data Sheet'!K17/'Data Sheet'!K66</f>
        <v>1.0075998013688279</v>
      </c>
      <c r="L53" s="275"/>
      <c r="M53" s="260">
        <f>AVERAGE(I53:K53)</f>
        <v>1.0728586176368415</v>
      </c>
      <c r="N53" s="260">
        <f>AVERAGE(G53:K53)</f>
        <v>1.1637912004867019</v>
      </c>
      <c r="O53" s="260">
        <f>AVERAGE(B53:K53)</f>
        <v>0.99184927557702951</v>
      </c>
    </row>
    <row r="54" spans="1:15" x14ac:dyDescent="0.2">
      <c r="A54" s="252" t="s">
        <v>520</v>
      </c>
      <c r="B54" s="260">
        <f>'Data Sheet'!B17/'Data Sheet'!B62</f>
        <v>0.85073692121414557</v>
      </c>
      <c r="C54" s="260">
        <f>'Data Sheet'!C17/'Data Sheet'!C62</f>
        <v>0.8374952101162344</v>
      </c>
      <c r="D54" s="260">
        <f>'Data Sheet'!D17/'Data Sheet'!D62</f>
        <v>1.0232818218788124</v>
      </c>
      <c r="E54" s="260">
        <f>'Data Sheet'!E17/'Data Sheet'!E62</f>
        <v>1.6484274711168165</v>
      </c>
      <c r="F54" s="260">
        <f>'Data Sheet'!F17/'Data Sheet'!F62</f>
        <v>1.8777675478977596</v>
      </c>
      <c r="G54" s="260">
        <f>'Data Sheet'!G17/'Data Sheet'!G62</f>
        <v>2.0942297760458235</v>
      </c>
      <c r="H54" s="275">
        <f>'Data Sheet'!H17/'Data Sheet'!H62</f>
        <v>2.5539459233303696</v>
      </c>
      <c r="I54" s="275">
        <f>'Data Sheet'!I17/'Data Sheet'!I62</f>
        <v>1.4792676488937948</v>
      </c>
      <c r="J54" s="275">
        <f>'Data Sheet'!J17/'Data Sheet'!J62</f>
        <v>2.0071452875127593</v>
      </c>
      <c r="K54" s="275">
        <f>'Data Sheet'!K17/'Data Sheet'!K62</f>
        <v>1.5194452131729315</v>
      </c>
      <c r="L54" s="275"/>
      <c r="M54" s="260">
        <f>AVERAGE(I54:K54)</f>
        <v>1.6686193831931619</v>
      </c>
      <c r="N54" s="260">
        <f>AVERAGE(G54:K54)</f>
        <v>1.9308067697911355</v>
      </c>
      <c r="O54" s="260">
        <f>AVERAGE(B54:K54)</f>
        <v>1.5891742821179446</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35"/>
  <sheetViews>
    <sheetView topLeftCell="A48" workbookViewId="0">
      <selection activeCell="B72" sqref="B72"/>
    </sheetView>
  </sheetViews>
  <sheetFormatPr defaultRowHeight="12" x14ac:dyDescent="0.2"/>
  <cols>
    <col min="1" max="1" width="30" style="283" bestFit="1" customWidth="1"/>
    <col min="2" max="2" width="42" style="283" customWidth="1"/>
    <col min="3" max="12" width="9.140625" style="283"/>
    <col min="13" max="13" width="12" style="283" bestFit="1" customWidth="1"/>
    <col min="14" max="16384" width="9.140625" style="283"/>
  </cols>
  <sheetData>
    <row r="1" spans="1:13" x14ac:dyDescent="0.2">
      <c r="A1" s="281" t="str">
        <f>'Data Sheet'!B1</f>
        <v>NITIN SPINNERS LTD</v>
      </c>
      <c r="B1" s="281"/>
      <c r="C1" s="282"/>
      <c r="D1" s="282"/>
      <c r="E1" s="282"/>
      <c r="F1" s="282"/>
      <c r="G1" s="282"/>
      <c r="H1" s="282"/>
      <c r="I1" s="282"/>
      <c r="J1" s="282"/>
      <c r="K1" s="282"/>
      <c r="L1" s="282"/>
      <c r="M1" s="282"/>
    </row>
    <row r="2" spans="1:13" x14ac:dyDescent="0.2">
      <c r="A2" s="284"/>
      <c r="B2" s="284"/>
      <c r="C2" s="282"/>
      <c r="D2" s="282"/>
      <c r="E2" s="282"/>
      <c r="F2" s="282"/>
      <c r="G2" s="282"/>
      <c r="H2" s="282"/>
      <c r="I2" s="282"/>
      <c r="J2" s="282"/>
      <c r="K2" s="282"/>
      <c r="L2" s="282"/>
      <c r="M2" s="282"/>
    </row>
    <row r="3" spans="1:13" x14ac:dyDescent="0.2">
      <c r="A3" s="413" t="s">
        <v>580</v>
      </c>
      <c r="B3" s="413"/>
      <c r="C3" s="413"/>
      <c r="D3" s="413"/>
      <c r="E3" s="413"/>
      <c r="F3" s="413"/>
      <c r="G3" s="413"/>
      <c r="H3" s="413"/>
      <c r="I3" s="413"/>
      <c r="J3" s="413"/>
      <c r="K3" s="413"/>
      <c r="L3" s="285"/>
      <c r="M3" s="286"/>
    </row>
    <row r="4" spans="1:13" x14ac:dyDescent="0.2">
      <c r="A4" s="287" t="str">
        <f>'Data Sheet'!A1</f>
        <v>COMPANY NAME</v>
      </c>
      <c r="B4" s="287"/>
      <c r="C4" s="288">
        <f>'Data Sheet'!B$16</f>
        <v>39538</v>
      </c>
      <c r="D4" s="288">
        <f>'Data Sheet'!C$16</f>
        <v>39903</v>
      </c>
      <c r="E4" s="288">
        <f>'Data Sheet'!D$16</f>
        <v>40268</v>
      </c>
      <c r="F4" s="288">
        <f>'Data Sheet'!E$16</f>
        <v>40633</v>
      </c>
      <c r="G4" s="288">
        <f>'Data Sheet'!F$16</f>
        <v>40999</v>
      </c>
      <c r="H4" s="288">
        <f>'Data Sheet'!G$16</f>
        <v>41364</v>
      </c>
      <c r="I4" s="288">
        <f>'Data Sheet'!H$16</f>
        <v>41729</v>
      </c>
      <c r="J4" s="288">
        <f>'Data Sheet'!I$16</f>
        <v>42094</v>
      </c>
      <c r="K4" s="288">
        <f>'Data Sheet'!J$16</f>
        <v>42460</v>
      </c>
      <c r="L4" s="288">
        <f>'Data Sheet'!K$16</f>
        <v>42825</v>
      </c>
      <c r="M4" s="288" t="s">
        <v>581</v>
      </c>
    </row>
    <row r="5" spans="1:13" x14ac:dyDescent="0.2">
      <c r="A5" s="289" t="s">
        <v>582</v>
      </c>
      <c r="B5" s="289"/>
      <c r="C5" s="290"/>
      <c r="D5" s="290"/>
      <c r="E5" s="290"/>
      <c r="F5" s="290"/>
      <c r="G5" s="290"/>
      <c r="H5" s="290"/>
      <c r="I5" s="290"/>
      <c r="J5" s="290"/>
      <c r="K5" s="290"/>
      <c r="L5" s="290"/>
      <c r="M5" s="286"/>
    </row>
    <row r="6" spans="1:13" x14ac:dyDescent="0.2">
      <c r="A6" s="291" t="s">
        <v>45</v>
      </c>
      <c r="B6" s="292" t="s">
        <v>583</v>
      </c>
      <c r="C6" s="293">
        <f>Other_input_data!C60</f>
        <v>48.75</v>
      </c>
      <c r="D6" s="293">
        <f>Other_input_data!D60</f>
        <v>40.98</v>
      </c>
      <c r="E6" s="293">
        <f>Other_input_data!E60</f>
        <v>76.03</v>
      </c>
      <c r="F6" s="293">
        <f>Other_input_data!F60</f>
        <v>81.84</v>
      </c>
      <c r="G6" s="293">
        <f>Other_input_data!G60</f>
        <v>77.13</v>
      </c>
      <c r="H6" s="293">
        <f>Other_input_data!H60</f>
        <v>81.900000000000006</v>
      </c>
      <c r="I6" s="293">
        <f>Other_input_data!I60</f>
        <v>70.7</v>
      </c>
      <c r="J6" s="293">
        <f>Other_input_data!J60</f>
        <v>94.19</v>
      </c>
      <c r="K6" s="293">
        <f>Other_input_data!K60</f>
        <v>114.76</v>
      </c>
      <c r="L6" s="293">
        <f>Other_input_data!L60</f>
        <v>170.04</v>
      </c>
      <c r="M6" s="293">
        <f>Other_input_data!M60</f>
        <v>0</v>
      </c>
    </row>
    <row r="7" spans="1:13" x14ac:dyDescent="0.2">
      <c r="A7" s="291" t="s">
        <v>44</v>
      </c>
      <c r="B7" s="292" t="s">
        <v>583</v>
      </c>
      <c r="C7" s="293">
        <f>C59</f>
        <v>11.79</v>
      </c>
      <c r="D7" s="293">
        <f t="shared" ref="D7:M7" si="0">D59</f>
        <v>15.24</v>
      </c>
      <c r="E7" s="293">
        <f t="shared" si="0"/>
        <v>9.4</v>
      </c>
      <c r="F7" s="293">
        <f t="shared" si="0"/>
        <v>35.340000000000003</v>
      </c>
      <c r="G7" s="293">
        <f t="shared" si="0"/>
        <v>18.5</v>
      </c>
      <c r="H7" s="293">
        <f t="shared" si="0"/>
        <v>28.04</v>
      </c>
      <c r="I7" s="293">
        <f t="shared" si="0"/>
        <v>24.89</v>
      </c>
      <c r="J7" s="293">
        <f t="shared" si="0"/>
        <v>40.42</v>
      </c>
      <c r="K7" s="293">
        <f t="shared" si="0"/>
        <v>39.25</v>
      </c>
      <c r="L7" s="293">
        <f t="shared" si="0"/>
        <v>48.33</v>
      </c>
      <c r="M7" s="293">
        <f t="shared" si="0"/>
        <v>0</v>
      </c>
    </row>
    <row r="8" spans="1:13" x14ac:dyDescent="0.2">
      <c r="A8" s="291" t="s">
        <v>584</v>
      </c>
      <c r="B8" s="292" t="s">
        <v>583</v>
      </c>
      <c r="C8" s="293">
        <f>C61</f>
        <v>0.4</v>
      </c>
      <c r="D8" s="293">
        <f t="shared" ref="D8:M8" si="1">D61</f>
        <v>0.53</v>
      </c>
      <c r="E8" s="293">
        <f t="shared" si="1"/>
        <v>0.1</v>
      </c>
      <c r="F8" s="293">
        <f t="shared" si="1"/>
        <v>0.14000000000000001</v>
      </c>
      <c r="G8" s="293">
        <f t="shared" si="1"/>
        <v>0.08</v>
      </c>
      <c r="H8" s="293">
        <f t="shared" si="1"/>
        <v>0.28000000000000003</v>
      </c>
      <c r="I8" s="293">
        <f t="shared" si="1"/>
        <v>0.06</v>
      </c>
      <c r="J8" s="293">
        <f t="shared" si="1"/>
        <v>0.68</v>
      </c>
      <c r="K8" s="293">
        <f t="shared" si="1"/>
        <v>0.56999999999999995</v>
      </c>
      <c r="L8" s="293">
        <f t="shared" si="1"/>
        <v>1.27</v>
      </c>
      <c r="M8" s="293">
        <f t="shared" si="1"/>
        <v>0</v>
      </c>
    </row>
    <row r="9" spans="1:13" x14ac:dyDescent="0.2">
      <c r="A9" s="291" t="s">
        <v>585</v>
      </c>
      <c r="B9" s="292" t="s">
        <v>583</v>
      </c>
      <c r="C9" s="293">
        <f>C53</f>
        <v>84.03</v>
      </c>
      <c r="D9" s="293">
        <f t="shared" ref="D9:M10" si="2">D53</f>
        <v>115.63</v>
      </c>
      <c r="E9" s="293">
        <f t="shared" si="2"/>
        <v>135.69</v>
      </c>
      <c r="F9" s="293">
        <f t="shared" si="2"/>
        <v>159.5</v>
      </c>
      <c r="G9" s="293">
        <f t="shared" si="2"/>
        <v>115.83</v>
      </c>
      <c r="H9" s="293">
        <f t="shared" si="2"/>
        <v>150.82</v>
      </c>
      <c r="I9" s="293">
        <f t="shared" si="2"/>
        <v>142.94</v>
      </c>
      <c r="J9" s="293">
        <f t="shared" si="2"/>
        <v>195.27</v>
      </c>
      <c r="K9" s="293">
        <f t="shared" si="2"/>
        <v>237.97</v>
      </c>
      <c r="L9" s="293">
        <f t="shared" si="2"/>
        <v>312.05</v>
      </c>
      <c r="M9" s="293">
        <f t="shared" si="2"/>
        <v>0</v>
      </c>
    </row>
    <row r="10" spans="1:13" x14ac:dyDescent="0.2">
      <c r="A10" s="291" t="s">
        <v>586</v>
      </c>
      <c r="B10" s="292" t="s">
        <v>583</v>
      </c>
      <c r="C10" s="293">
        <f>C54</f>
        <v>16.03</v>
      </c>
      <c r="D10" s="293">
        <f t="shared" si="2"/>
        <v>55.52</v>
      </c>
      <c r="E10" s="293">
        <f t="shared" si="2"/>
        <v>42.65</v>
      </c>
      <c r="F10" s="293">
        <f t="shared" si="2"/>
        <v>38.4</v>
      </c>
      <c r="G10" s="293">
        <f t="shared" si="2"/>
        <v>11.72</v>
      </c>
      <c r="H10" s="293">
        <f t="shared" si="2"/>
        <v>56.38</v>
      </c>
      <c r="I10" s="293">
        <f t="shared" si="2"/>
        <v>47.71</v>
      </c>
      <c r="J10" s="293">
        <f t="shared" si="2"/>
        <v>66.75</v>
      </c>
      <c r="K10" s="293">
        <f t="shared" si="2"/>
        <v>79.39</v>
      </c>
      <c r="L10" s="293">
        <f t="shared" si="2"/>
        <v>106.68</v>
      </c>
      <c r="M10" s="293">
        <f t="shared" si="2"/>
        <v>0</v>
      </c>
    </row>
    <row r="11" spans="1:13" x14ac:dyDescent="0.2">
      <c r="A11" s="291" t="s">
        <v>587</v>
      </c>
      <c r="B11" s="292" t="s">
        <v>588</v>
      </c>
      <c r="C11" s="293">
        <f>C9-C10</f>
        <v>68</v>
      </c>
      <c r="D11" s="293">
        <f t="shared" ref="D11:M11" si="3">D9-D10</f>
        <v>60.109999999999992</v>
      </c>
      <c r="E11" s="293">
        <f t="shared" si="3"/>
        <v>93.039999999999992</v>
      </c>
      <c r="F11" s="293">
        <f t="shared" si="3"/>
        <v>121.1</v>
      </c>
      <c r="G11" s="293">
        <f t="shared" si="3"/>
        <v>104.11</v>
      </c>
      <c r="H11" s="293">
        <f t="shared" si="3"/>
        <v>94.44</v>
      </c>
      <c r="I11" s="293">
        <f t="shared" si="3"/>
        <v>95.22999999999999</v>
      </c>
      <c r="J11" s="293">
        <f t="shared" si="3"/>
        <v>128.52000000000001</v>
      </c>
      <c r="K11" s="293">
        <f t="shared" si="3"/>
        <v>158.57999999999998</v>
      </c>
      <c r="L11" s="293">
        <f t="shared" si="3"/>
        <v>205.37</v>
      </c>
      <c r="M11" s="293">
        <f t="shared" si="3"/>
        <v>0</v>
      </c>
    </row>
    <row r="12" spans="1:13" x14ac:dyDescent="0.2">
      <c r="A12" s="414"/>
      <c r="B12" s="414"/>
      <c r="C12" s="414"/>
      <c r="D12" s="414"/>
      <c r="E12" s="414"/>
      <c r="F12" s="414"/>
      <c r="G12" s="414"/>
      <c r="H12" s="414"/>
      <c r="I12" s="414"/>
      <c r="J12" s="414"/>
      <c r="K12" s="414"/>
      <c r="L12" s="414"/>
      <c r="M12" s="286"/>
    </row>
    <row r="13" spans="1:13" x14ac:dyDescent="0.2">
      <c r="A13" s="413" t="s">
        <v>589</v>
      </c>
      <c r="B13" s="413"/>
      <c r="C13" s="413"/>
      <c r="D13" s="413"/>
      <c r="E13" s="413"/>
      <c r="F13" s="413"/>
      <c r="G13" s="413"/>
      <c r="H13" s="413"/>
      <c r="I13" s="413"/>
      <c r="J13" s="413"/>
      <c r="K13" s="413"/>
      <c r="L13" s="294"/>
      <c r="M13" s="286"/>
    </row>
    <row r="14" spans="1:13" x14ac:dyDescent="0.2">
      <c r="A14" s="295" t="s">
        <v>590</v>
      </c>
      <c r="B14" s="295"/>
      <c r="C14" s="296">
        <f>C4</f>
        <v>39538</v>
      </c>
      <c r="D14" s="296">
        <f t="shared" ref="D14:M14" si="4">D4</f>
        <v>39903</v>
      </c>
      <c r="E14" s="296">
        <f t="shared" si="4"/>
        <v>40268</v>
      </c>
      <c r="F14" s="296">
        <f t="shared" si="4"/>
        <v>40633</v>
      </c>
      <c r="G14" s="296">
        <f t="shared" si="4"/>
        <v>40999</v>
      </c>
      <c r="H14" s="296">
        <f t="shared" si="4"/>
        <v>41364</v>
      </c>
      <c r="I14" s="296">
        <f t="shared" si="4"/>
        <v>41729</v>
      </c>
      <c r="J14" s="296">
        <f t="shared" si="4"/>
        <v>42094</v>
      </c>
      <c r="K14" s="296">
        <f t="shared" si="4"/>
        <v>42460</v>
      </c>
      <c r="L14" s="296">
        <f t="shared" si="4"/>
        <v>42825</v>
      </c>
      <c r="M14" s="296" t="str">
        <f t="shared" si="4"/>
        <v>TTM</v>
      </c>
    </row>
    <row r="15" spans="1:13" x14ac:dyDescent="0.2">
      <c r="A15" s="297" t="s">
        <v>591</v>
      </c>
      <c r="B15" s="297" t="s">
        <v>583</v>
      </c>
      <c r="C15" s="298">
        <f>'Data Sheet'!B18</f>
        <v>113.49</v>
      </c>
      <c r="D15" s="298">
        <f>'Data Sheet'!C18</f>
        <v>168.56</v>
      </c>
      <c r="E15" s="298">
        <f>'Data Sheet'!D18</f>
        <v>192.7</v>
      </c>
      <c r="F15" s="298">
        <f>'Data Sheet'!E18</f>
        <v>260.94</v>
      </c>
      <c r="G15" s="298">
        <f>'Data Sheet'!F18</f>
        <v>286.3</v>
      </c>
      <c r="H15" s="298">
        <f>'Data Sheet'!G18</f>
        <v>264.19</v>
      </c>
      <c r="I15" s="298">
        <f>'Data Sheet'!H18</f>
        <v>303.77999999999997</v>
      </c>
      <c r="J15" s="298">
        <f>'Data Sheet'!I18</f>
        <v>387.09</v>
      </c>
      <c r="K15" s="298">
        <f>'Data Sheet'!J18</f>
        <v>461.52</v>
      </c>
      <c r="L15" s="298">
        <f>'Data Sheet'!K18</f>
        <v>617.14</v>
      </c>
      <c r="M15" s="298">
        <f>'Data Sheet'!L18</f>
        <v>0</v>
      </c>
    </row>
    <row r="16" spans="1:13" x14ac:dyDescent="0.2">
      <c r="A16" s="299" t="s">
        <v>82</v>
      </c>
      <c r="B16" s="299" t="s">
        <v>583</v>
      </c>
      <c r="C16" s="298">
        <f>'Data Sheet'!B19</f>
        <v>2.11</v>
      </c>
      <c r="D16" s="298">
        <f>'Data Sheet'!C19</f>
        <v>2.02</v>
      </c>
      <c r="E16" s="298">
        <f>'Data Sheet'!D19</f>
        <v>-1.1000000000000001</v>
      </c>
      <c r="F16" s="298">
        <f>'Data Sheet'!E19</f>
        <v>8.7899999999999991</v>
      </c>
      <c r="G16" s="298">
        <f>'Data Sheet'!F19</f>
        <v>-10.43</v>
      </c>
      <c r="H16" s="298">
        <f>'Data Sheet'!G19</f>
        <v>0.19</v>
      </c>
      <c r="I16" s="298">
        <f>'Data Sheet'!H19</f>
        <v>5.92</v>
      </c>
      <c r="J16" s="298">
        <f>'Data Sheet'!I19</f>
        <v>3.41</v>
      </c>
      <c r="K16" s="298">
        <f>'Data Sheet'!J19</f>
        <v>-1.71</v>
      </c>
      <c r="L16" s="298">
        <f>'Data Sheet'!K19</f>
        <v>28.12</v>
      </c>
      <c r="M16" s="298">
        <f>'Data Sheet'!L19</f>
        <v>0</v>
      </c>
    </row>
    <row r="17" spans="1:13" x14ac:dyDescent="0.2">
      <c r="A17" s="299" t="s">
        <v>83</v>
      </c>
      <c r="B17" s="299" t="s">
        <v>583</v>
      </c>
      <c r="C17" s="298">
        <f>'Data Sheet'!B20</f>
        <v>27.21</v>
      </c>
      <c r="D17" s="298">
        <f>'Data Sheet'!C20</f>
        <v>34.82</v>
      </c>
      <c r="E17" s="298">
        <f>'Data Sheet'!D20</f>
        <v>31.39</v>
      </c>
      <c r="F17" s="298">
        <f>'Data Sheet'!E20</f>
        <v>35.14</v>
      </c>
      <c r="G17" s="298">
        <f>'Data Sheet'!F20</f>
        <v>38.57</v>
      </c>
      <c r="H17" s="298">
        <f>'Data Sheet'!G20</f>
        <v>38.53</v>
      </c>
      <c r="I17" s="298">
        <f>'Data Sheet'!H20</f>
        <v>34.96</v>
      </c>
      <c r="J17" s="298">
        <f>'Data Sheet'!I20</f>
        <v>51.3</v>
      </c>
      <c r="K17" s="298">
        <f>'Data Sheet'!J20</f>
        <v>65.05</v>
      </c>
      <c r="L17" s="298">
        <f>'Data Sheet'!K20</f>
        <v>92.11</v>
      </c>
      <c r="M17" s="298">
        <f>'Data Sheet'!L20</f>
        <v>0</v>
      </c>
    </row>
    <row r="18" spans="1:13" x14ac:dyDescent="0.2">
      <c r="A18" s="299" t="s">
        <v>84</v>
      </c>
      <c r="B18" s="299" t="s">
        <v>583</v>
      </c>
      <c r="C18" s="298">
        <f>'Data Sheet'!B21</f>
        <v>8.98</v>
      </c>
      <c r="D18" s="298">
        <f>'Data Sheet'!C21</f>
        <v>11.61</v>
      </c>
      <c r="E18" s="298">
        <f>'Data Sheet'!D21</f>
        <v>16.55</v>
      </c>
      <c r="F18" s="298">
        <f>'Data Sheet'!E21</f>
        <v>16.079999999999998</v>
      </c>
      <c r="G18" s="298">
        <f>'Data Sheet'!F21</f>
        <v>15.59</v>
      </c>
      <c r="H18" s="298">
        <f>'Data Sheet'!G21</f>
        <v>18.260000000000002</v>
      </c>
      <c r="I18" s="298">
        <f>'Data Sheet'!H21</f>
        <v>20.260000000000002</v>
      </c>
      <c r="J18" s="298">
        <f>'Data Sheet'!I21</f>
        <v>25.12</v>
      </c>
      <c r="K18" s="298">
        <f>'Data Sheet'!J21</f>
        <v>30.79</v>
      </c>
      <c r="L18" s="298">
        <f>'Data Sheet'!K21</f>
        <v>34.229999999999997</v>
      </c>
      <c r="M18" s="298">
        <f>'Data Sheet'!L21</f>
        <v>0</v>
      </c>
    </row>
    <row r="19" spans="1:13" x14ac:dyDescent="0.2">
      <c r="A19" s="299" t="s">
        <v>85</v>
      </c>
      <c r="B19" s="299" t="s">
        <v>583</v>
      </c>
      <c r="C19" s="298">
        <f>'Data Sheet'!B22</f>
        <v>8.15</v>
      </c>
      <c r="D19" s="298">
        <f>'Data Sheet'!C22</f>
        <v>10.47</v>
      </c>
      <c r="E19" s="298">
        <f>'Data Sheet'!D22</f>
        <v>12.66</v>
      </c>
      <c r="F19" s="298">
        <f>'Data Sheet'!E22</f>
        <v>14.75</v>
      </c>
      <c r="G19" s="298">
        <f>'Data Sheet'!F22</f>
        <v>16.489999999999998</v>
      </c>
      <c r="H19" s="298">
        <f>'Data Sheet'!G22</f>
        <v>19.940000000000001</v>
      </c>
      <c r="I19" s="298">
        <f>'Data Sheet'!H22</f>
        <v>24.6</v>
      </c>
      <c r="J19" s="298">
        <f>'Data Sheet'!I22</f>
        <v>34.28</v>
      </c>
      <c r="K19" s="298">
        <f>'Data Sheet'!J22</f>
        <v>43.14</v>
      </c>
      <c r="L19" s="298">
        <f>'Data Sheet'!K22</f>
        <v>52.16</v>
      </c>
      <c r="M19" s="298">
        <f>'Data Sheet'!L22</f>
        <v>0</v>
      </c>
    </row>
    <row r="20" spans="1:13" x14ac:dyDescent="0.2">
      <c r="A20" s="297" t="s">
        <v>592</v>
      </c>
      <c r="B20" s="297" t="s">
        <v>583</v>
      </c>
      <c r="C20" s="298">
        <f>'Data Sheet'!B23</f>
        <v>12.4</v>
      </c>
      <c r="D20" s="298">
        <f>'Data Sheet'!C23</f>
        <v>12.71</v>
      </c>
      <c r="E20" s="298">
        <f>'Data Sheet'!D23</f>
        <v>13.2</v>
      </c>
      <c r="F20" s="298">
        <f>'Data Sheet'!E23</f>
        <v>16.79</v>
      </c>
      <c r="G20" s="298">
        <f>'Data Sheet'!F23</f>
        <v>15.72</v>
      </c>
      <c r="H20" s="298">
        <f>'Data Sheet'!G23</f>
        <v>17.3</v>
      </c>
      <c r="I20" s="298">
        <f>'Data Sheet'!H23</f>
        <v>16.510000000000002</v>
      </c>
      <c r="J20" s="298">
        <f>'Data Sheet'!I23</f>
        <v>22.02</v>
      </c>
      <c r="K20" s="298">
        <f>'Data Sheet'!J23</f>
        <v>27.57</v>
      </c>
      <c r="L20" s="298">
        <f>'Data Sheet'!K23</f>
        <v>32.67</v>
      </c>
      <c r="M20" s="298">
        <f>'Data Sheet'!L23</f>
        <v>0</v>
      </c>
    </row>
    <row r="21" spans="1:13" x14ac:dyDescent="0.2">
      <c r="A21" s="297" t="s">
        <v>593</v>
      </c>
      <c r="B21" s="297" t="s">
        <v>583</v>
      </c>
      <c r="C21" s="298">
        <f>'Data Sheet'!B24</f>
        <v>2.4</v>
      </c>
      <c r="D21" s="298">
        <f>'Data Sheet'!C24</f>
        <v>29.33</v>
      </c>
      <c r="E21" s="298">
        <f>'Data Sheet'!D24</f>
        <v>0.11</v>
      </c>
      <c r="F21" s="298">
        <f>'Data Sheet'!E24</f>
        <v>0.21</v>
      </c>
      <c r="G21" s="298">
        <f>'Data Sheet'!F24</f>
        <v>0.15</v>
      </c>
      <c r="H21" s="298">
        <f>'Data Sheet'!G24</f>
        <v>15.53</v>
      </c>
      <c r="I21" s="298">
        <f>'Data Sheet'!H24</f>
        <v>0.21</v>
      </c>
      <c r="J21" s="298">
        <f>'Data Sheet'!I24</f>
        <v>0.88</v>
      </c>
      <c r="K21" s="298">
        <f>'Data Sheet'!J24</f>
        <v>0.06</v>
      </c>
      <c r="L21" s="298">
        <f>'Data Sheet'!K24</f>
        <v>7.0000000000000007E-2</v>
      </c>
      <c r="M21" s="298">
        <f>'Data Sheet'!L24</f>
        <v>0</v>
      </c>
    </row>
    <row r="22" spans="1:13" x14ac:dyDescent="0.2">
      <c r="A22" s="299" t="s">
        <v>9</v>
      </c>
      <c r="B22" s="299" t="s">
        <v>583</v>
      </c>
      <c r="C22" s="298">
        <f>'Data Sheet'!B25</f>
        <v>0.17</v>
      </c>
      <c r="D22" s="298">
        <f>'Data Sheet'!C25</f>
        <v>0.98</v>
      </c>
      <c r="E22" s="298">
        <f>'Data Sheet'!D25</f>
        <v>0.56000000000000005</v>
      </c>
      <c r="F22" s="298">
        <f>'Data Sheet'!E25</f>
        <v>0.24</v>
      </c>
      <c r="G22" s="298">
        <f>'Data Sheet'!F25</f>
        <v>0.13</v>
      </c>
      <c r="H22" s="298">
        <f>'Data Sheet'!G25</f>
        <v>0.3</v>
      </c>
      <c r="I22" s="298">
        <f>'Data Sheet'!H25</f>
        <v>0.35</v>
      </c>
      <c r="J22" s="298">
        <f>'Data Sheet'!I25</f>
        <v>5.13</v>
      </c>
      <c r="K22" s="298">
        <f>'Data Sheet'!J25</f>
        <v>0.72</v>
      </c>
      <c r="L22" s="298">
        <f>'Data Sheet'!K25</f>
        <v>0.79</v>
      </c>
      <c r="M22" s="298">
        <f>'Data Sheet'!L25</f>
        <v>0</v>
      </c>
    </row>
    <row r="23" spans="1:13" x14ac:dyDescent="0.2">
      <c r="A23" s="299" t="s">
        <v>10</v>
      </c>
      <c r="B23" s="299" t="s">
        <v>583</v>
      </c>
      <c r="C23" s="298">
        <f>'Data Sheet'!B26</f>
        <v>21.09</v>
      </c>
      <c r="D23" s="298">
        <f>'Data Sheet'!C26</f>
        <v>-3.07</v>
      </c>
      <c r="E23" s="298">
        <f>'Data Sheet'!D26</f>
        <v>18.649999999999999</v>
      </c>
      <c r="F23" s="298">
        <f>'Data Sheet'!E26</f>
        <v>45.33</v>
      </c>
      <c r="G23" s="298">
        <f>'Data Sheet'!F26</f>
        <v>23.98</v>
      </c>
      <c r="H23" s="298">
        <f>'Data Sheet'!G26</f>
        <v>24.5</v>
      </c>
      <c r="I23" s="298">
        <f>'Data Sheet'!H26</f>
        <v>24.87</v>
      </c>
      <c r="J23" s="298">
        <f>'Data Sheet'!I26</f>
        <v>27.94</v>
      </c>
      <c r="K23" s="298">
        <f>'Data Sheet'!J26</f>
        <v>39.56</v>
      </c>
      <c r="L23" s="298">
        <f>'Data Sheet'!K26</f>
        <v>41.65</v>
      </c>
      <c r="M23" s="298">
        <f>'Data Sheet'!L26</f>
        <v>0</v>
      </c>
    </row>
    <row r="24" spans="1:13" x14ac:dyDescent="0.2">
      <c r="A24" s="299" t="s">
        <v>11</v>
      </c>
      <c r="B24" s="299" t="s">
        <v>583</v>
      </c>
      <c r="C24" s="298">
        <f>'Data Sheet'!B27</f>
        <v>14.59</v>
      </c>
      <c r="D24" s="298">
        <f>'Data Sheet'!C27</f>
        <v>23.9</v>
      </c>
      <c r="E24" s="298">
        <f>'Data Sheet'!D27</f>
        <v>15.15</v>
      </c>
      <c r="F24" s="298">
        <f>'Data Sheet'!E27</f>
        <v>21.04</v>
      </c>
      <c r="G24" s="298">
        <f>'Data Sheet'!F27</f>
        <v>20.9</v>
      </c>
      <c r="H24" s="298">
        <f>'Data Sheet'!G27</f>
        <v>27.31</v>
      </c>
      <c r="I24" s="298">
        <f>'Data Sheet'!H27</f>
        <v>17.46</v>
      </c>
      <c r="J24" s="298">
        <f>'Data Sheet'!I27</f>
        <v>22.62</v>
      </c>
      <c r="K24" s="298">
        <f>'Data Sheet'!J27</f>
        <v>33.01</v>
      </c>
      <c r="L24" s="298">
        <f>'Data Sheet'!K27</f>
        <v>22.24</v>
      </c>
      <c r="M24" s="298">
        <f>'Data Sheet'!L27</f>
        <v>0</v>
      </c>
    </row>
    <row r="25" spans="1:13" x14ac:dyDescent="0.2">
      <c r="A25" s="297" t="s">
        <v>594</v>
      </c>
      <c r="B25" s="297" t="s">
        <v>583</v>
      </c>
      <c r="C25" s="298">
        <f>'Data Sheet'!B22</f>
        <v>8.15</v>
      </c>
      <c r="D25" s="298">
        <f>'Data Sheet'!C22</f>
        <v>10.47</v>
      </c>
      <c r="E25" s="298">
        <f>'Data Sheet'!D22</f>
        <v>12.66</v>
      </c>
      <c r="F25" s="298">
        <f>'Data Sheet'!E22</f>
        <v>14.75</v>
      </c>
      <c r="G25" s="298">
        <f>'Data Sheet'!F22</f>
        <v>16.489999999999998</v>
      </c>
      <c r="H25" s="298">
        <f>'Data Sheet'!G22</f>
        <v>19.940000000000001</v>
      </c>
      <c r="I25" s="298">
        <f>'Data Sheet'!H22</f>
        <v>24.6</v>
      </c>
      <c r="J25" s="298">
        <f>'Data Sheet'!I22</f>
        <v>34.28</v>
      </c>
      <c r="K25" s="298">
        <f>'Data Sheet'!J22</f>
        <v>43.14</v>
      </c>
      <c r="L25" s="298">
        <f>'Data Sheet'!K22</f>
        <v>52.16</v>
      </c>
      <c r="M25" s="298">
        <f>'Data Sheet'!L22</f>
        <v>0</v>
      </c>
    </row>
    <row r="26" spans="1:13" x14ac:dyDescent="0.2">
      <c r="A26" s="297" t="s">
        <v>592</v>
      </c>
      <c r="B26" s="297" t="s">
        <v>583</v>
      </c>
      <c r="C26" s="298">
        <f>'Data Sheet'!B23</f>
        <v>12.4</v>
      </c>
      <c r="D26" s="298">
        <f>'Data Sheet'!C23</f>
        <v>12.71</v>
      </c>
      <c r="E26" s="298">
        <f>'Data Sheet'!D23</f>
        <v>13.2</v>
      </c>
      <c r="F26" s="298">
        <f>'Data Sheet'!E23</f>
        <v>16.79</v>
      </c>
      <c r="G26" s="298">
        <f>'Data Sheet'!F23</f>
        <v>15.72</v>
      </c>
      <c r="H26" s="298">
        <f>'Data Sheet'!G23</f>
        <v>17.3</v>
      </c>
      <c r="I26" s="298">
        <f>'Data Sheet'!H23</f>
        <v>16.510000000000002</v>
      </c>
      <c r="J26" s="298">
        <f>'Data Sheet'!I23</f>
        <v>22.02</v>
      </c>
      <c r="K26" s="298">
        <f>'Data Sheet'!J23</f>
        <v>27.57</v>
      </c>
      <c r="L26" s="298">
        <f>'Data Sheet'!K23</f>
        <v>32.67</v>
      </c>
      <c r="M26" s="298">
        <f>'Data Sheet'!L23</f>
        <v>0</v>
      </c>
    </row>
    <row r="27" spans="1:13" x14ac:dyDescent="0.2">
      <c r="A27" s="297" t="s">
        <v>595</v>
      </c>
      <c r="B27" s="297"/>
      <c r="C27" s="298"/>
      <c r="D27" s="298"/>
      <c r="E27" s="298"/>
      <c r="F27" s="298"/>
      <c r="G27" s="298"/>
      <c r="H27" s="298"/>
      <c r="I27" s="298"/>
      <c r="J27" s="298"/>
      <c r="K27" s="298"/>
      <c r="L27" s="298"/>
      <c r="M27" s="298"/>
    </row>
    <row r="28" spans="1:13" x14ac:dyDescent="0.2">
      <c r="A28" s="297" t="s">
        <v>596</v>
      </c>
      <c r="B28" s="297"/>
      <c r="C28" s="298"/>
      <c r="D28" s="298"/>
      <c r="E28" s="298"/>
      <c r="F28" s="298"/>
      <c r="G28" s="298"/>
      <c r="H28" s="298"/>
      <c r="I28" s="298"/>
      <c r="J28" s="298"/>
      <c r="K28" s="298"/>
      <c r="L28" s="298"/>
      <c r="M28" s="298"/>
    </row>
    <row r="29" spans="1:13" x14ac:dyDescent="0.2">
      <c r="A29" s="297" t="s">
        <v>597</v>
      </c>
      <c r="B29" s="297"/>
      <c r="C29" s="298"/>
      <c r="D29" s="298"/>
      <c r="E29" s="298"/>
      <c r="F29" s="298"/>
      <c r="G29" s="298"/>
      <c r="H29" s="300"/>
      <c r="I29" s="300"/>
      <c r="J29" s="300"/>
      <c r="K29" s="300"/>
      <c r="L29" s="297"/>
      <c r="M29" s="297"/>
    </row>
    <row r="30" spans="1:13" x14ac:dyDescent="0.2">
      <c r="A30" s="301" t="s">
        <v>598</v>
      </c>
      <c r="B30" s="301" t="s">
        <v>599</v>
      </c>
      <c r="C30" s="298"/>
      <c r="D30" s="298">
        <f>(D56-C56)+(D57-C57)+D36</f>
        <v>22.770000000000032</v>
      </c>
      <c r="E30" s="298">
        <f t="shared" ref="E30:M30" si="5">(E56-D56)+(E57-D57)+E36</f>
        <v>0.48999999999995936</v>
      </c>
      <c r="F30" s="298">
        <f t="shared" si="5"/>
        <v>-0.46999999999998465</v>
      </c>
      <c r="G30" s="298">
        <f t="shared" si="5"/>
        <v>6.1700000000000017</v>
      </c>
      <c r="H30" s="298">
        <f t="shared" si="5"/>
        <v>6.0200000000000067</v>
      </c>
      <c r="I30" s="298">
        <f t="shared" si="5"/>
        <v>24.27</v>
      </c>
      <c r="J30" s="298">
        <f t="shared" si="5"/>
        <v>232.29</v>
      </c>
      <c r="K30" s="298">
        <f t="shared" si="5"/>
        <v>21.949999999999985</v>
      </c>
      <c r="L30" s="298">
        <f t="shared" si="5"/>
        <v>256.80999999999995</v>
      </c>
      <c r="M30" s="298">
        <f t="shared" si="5"/>
        <v>-614.29</v>
      </c>
    </row>
    <row r="31" spans="1:13" x14ac:dyDescent="0.2">
      <c r="A31" s="302" t="str">
        <f>'Data Sheet'!A1</f>
        <v>COMPANY NAME</v>
      </c>
      <c r="B31" s="302"/>
      <c r="C31" s="303">
        <f t="shared" ref="C31:M31" si="6">C14</f>
        <v>39538</v>
      </c>
      <c r="D31" s="303">
        <f t="shared" si="6"/>
        <v>39903</v>
      </c>
      <c r="E31" s="303">
        <f t="shared" si="6"/>
        <v>40268</v>
      </c>
      <c r="F31" s="303">
        <f t="shared" si="6"/>
        <v>40633</v>
      </c>
      <c r="G31" s="303">
        <f t="shared" si="6"/>
        <v>40999</v>
      </c>
      <c r="H31" s="303">
        <f t="shared" si="6"/>
        <v>41364</v>
      </c>
      <c r="I31" s="303">
        <f t="shared" si="6"/>
        <v>41729</v>
      </c>
      <c r="J31" s="303">
        <f t="shared" si="6"/>
        <v>42094</v>
      </c>
      <c r="K31" s="303">
        <f t="shared" si="6"/>
        <v>42460</v>
      </c>
      <c r="L31" s="303">
        <f t="shared" si="6"/>
        <v>42825</v>
      </c>
      <c r="M31" s="303" t="str">
        <f t="shared" si="6"/>
        <v>TTM</v>
      </c>
    </row>
    <row r="32" spans="1:13" x14ac:dyDescent="0.2">
      <c r="A32" s="304" t="s">
        <v>6</v>
      </c>
      <c r="B32" s="304" t="s">
        <v>583</v>
      </c>
      <c r="C32" s="304">
        <f>'Data Sheet'!B17</f>
        <v>203.76</v>
      </c>
      <c r="D32" s="304">
        <f>'Data Sheet'!C17</f>
        <v>262.27</v>
      </c>
      <c r="E32" s="304">
        <f>'Data Sheet'!D17</f>
        <v>301.95</v>
      </c>
      <c r="F32" s="304">
        <f>'Data Sheet'!E17</f>
        <v>410.92</v>
      </c>
      <c r="G32" s="304">
        <f>'Data Sheet'!F17</f>
        <v>428.3</v>
      </c>
      <c r="H32" s="304">
        <f>'Data Sheet'!G17</f>
        <v>446.05</v>
      </c>
      <c r="I32" s="304">
        <f>'Data Sheet'!H17</f>
        <v>488.34</v>
      </c>
      <c r="J32" s="304">
        <f>'Data Sheet'!I17</f>
        <v>616.47</v>
      </c>
      <c r="K32" s="304">
        <f>'Data Sheet'!J17</f>
        <v>766.87</v>
      </c>
      <c r="L32" s="304">
        <f>'Data Sheet'!K17</f>
        <v>933.38</v>
      </c>
      <c r="M32" s="304">
        <f>'Data Sheet'!L17</f>
        <v>0</v>
      </c>
    </row>
    <row r="33" spans="1:14" x14ac:dyDescent="0.2">
      <c r="A33" s="304" t="str">
        <f>A15</f>
        <v>Raw Materials</v>
      </c>
      <c r="B33" s="304" t="s">
        <v>583</v>
      </c>
      <c r="C33" s="304">
        <f t="shared" ref="C33:M33" si="7">C15</f>
        <v>113.49</v>
      </c>
      <c r="D33" s="304">
        <f t="shared" si="7"/>
        <v>168.56</v>
      </c>
      <c r="E33" s="304">
        <f t="shared" si="7"/>
        <v>192.7</v>
      </c>
      <c r="F33" s="304">
        <f t="shared" si="7"/>
        <v>260.94</v>
      </c>
      <c r="G33" s="304">
        <f t="shared" si="7"/>
        <v>286.3</v>
      </c>
      <c r="H33" s="304">
        <f t="shared" si="7"/>
        <v>264.19</v>
      </c>
      <c r="I33" s="304">
        <f t="shared" si="7"/>
        <v>303.77999999999997</v>
      </c>
      <c r="J33" s="304">
        <f t="shared" si="7"/>
        <v>387.09</v>
      </c>
      <c r="K33" s="304">
        <f t="shared" si="7"/>
        <v>461.52</v>
      </c>
      <c r="L33" s="304">
        <f t="shared" si="7"/>
        <v>617.14</v>
      </c>
      <c r="M33" s="304">
        <f t="shared" si="7"/>
        <v>0</v>
      </c>
    </row>
    <row r="34" spans="1:14" x14ac:dyDescent="0.2">
      <c r="A34" s="304" t="s">
        <v>600</v>
      </c>
      <c r="B34" s="304" t="s">
        <v>601</v>
      </c>
      <c r="C34" s="304">
        <f t="shared" ref="C34:M34" si="8">C32-C33</f>
        <v>90.27</v>
      </c>
      <c r="D34" s="304">
        <f t="shared" si="8"/>
        <v>93.70999999999998</v>
      </c>
      <c r="E34" s="304">
        <f t="shared" si="8"/>
        <v>109.25</v>
      </c>
      <c r="F34" s="304">
        <f t="shared" si="8"/>
        <v>149.98000000000002</v>
      </c>
      <c r="G34" s="304">
        <f t="shared" si="8"/>
        <v>142</v>
      </c>
      <c r="H34" s="304">
        <f t="shared" si="8"/>
        <v>181.86</v>
      </c>
      <c r="I34" s="304">
        <f t="shared" si="8"/>
        <v>184.56</v>
      </c>
      <c r="J34" s="304">
        <f t="shared" si="8"/>
        <v>229.38000000000005</v>
      </c>
      <c r="K34" s="304">
        <f t="shared" si="8"/>
        <v>305.35000000000002</v>
      </c>
      <c r="L34" s="304">
        <f t="shared" si="8"/>
        <v>316.24</v>
      </c>
      <c r="M34" s="304">
        <f t="shared" si="8"/>
        <v>0</v>
      </c>
    </row>
    <row r="35" spans="1:14" ht="24" x14ac:dyDescent="0.2">
      <c r="A35" s="304" t="s">
        <v>196</v>
      </c>
      <c r="B35" s="304" t="s">
        <v>602</v>
      </c>
      <c r="C35" s="305">
        <f>'Data Sheet'!B17-'Data Sheet'!B18-'Data Sheet'!B20-'Data Sheet'!B21-'Data Sheet'!B22-'Data Sheet'!B23-'Data Sheet'!B24+'Data Sheet'!B25+'Data Sheet'!B19</f>
        <v>33.410000000000004</v>
      </c>
      <c r="D35" s="305">
        <f>'Data Sheet'!C17-'Data Sheet'!C18-'Data Sheet'!C20-'Data Sheet'!C21-'Data Sheet'!C22-'Data Sheet'!C23-'Data Sheet'!C24+'Data Sheet'!C25+'Data Sheet'!C19</f>
        <v>-2.2300000000000177</v>
      </c>
      <c r="E35" s="305">
        <f>'Data Sheet'!D17-'Data Sheet'!D18-'Data Sheet'!D20-'Data Sheet'!D21-'Data Sheet'!D22-'Data Sheet'!D23-'Data Sheet'!D24+'Data Sheet'!D25+'Data Sheet'!D19</f>
        <v>34.800000000000004</v>
      </c>
      <c r="F35" s="305">
        <f>'Data Sheet'!E17-'Data Sheet'!E18-'Data Sheet'!E20-'Data Sheet'!E21-'Data Sheet'!E22-'Data Sheet'!E23-'Data Sheet'!E24+'Data Sheet'!E25+'Data Sheet'!E19</f>
        <v>76.04000000000002</v>
      </c>
      <c r="G35" s="305">
        <f>'Data Sheet'!F17-'Data Sheet'!F18-'Data Sheet'!F20-'Data Sheet'!F21-'Data Sheet'!F22-'Data Sheet'!F23-'Data Sheet'!F24+'Data Sheet'!F25+'Data Sheet'!F19</f>
        <v>45.180000000000014</v>
      </c>
      <c r="H35" s="305">
        <f>'Data Sheet'!G17-'Data Sheet'!G18-'Data Sheet'!G20-'Data Sheet'!G21-'Data Sheet'!G22-'Data Sheet'!G23-'Data Sheet'!G24+'Data Sheet'!G25+'Data Sheet'!G19</f>
        <v>72.790000000000006</v>
      </c>
      <c r="I35" s="305">
        <f>'Data Sheet'!H17-'Data Sheet'!H18-'Data Sheet'!H20-'Data Sheet'!H21-'Data Sheet'!H22-'Data Sheet'!H23-'Data Sheet'!H24+'Data Sheet'!H25+'Data Sheet'!H19</f>
        <v>94.29</v>
      </c>
      <c r="J35" s="305">
        <f>'Data Sheet'!I17-'Data Sheet'!I18-'Data Sheet'!I20-'Data Sheet'!I21-'Data Sheet'!I22-'Data Sheet'!I23-'Data Sheet'!I24+'Data Sheet'!I25+'Data Sheet'!I19</f>
        <v>104.32000000000004</v>
      </c>
      <c r="K35" s="305">
        <f>'Data Sheet'!J17-'Data Sheet'!J18-'Data Sheet'!J20-'Data Sheet'!J21-'Data Sheet'!J22-'Data Sheet'!J23-'Data Sheet'!J24+'Data Sheet'!J25+'Data Sheet'!J19</f>
        <v>137.75</v>
      </c>
      <c r="L35" s="305">
        <f>'Data Sheet'!K17-'Data Sheet'!K18-'Data Sheet'!K20-'Data Sheet'!K21-'Data Sheet'!K22-'Data Sheet'!K23-'Data Sheet'!K24+'Data Sheet'!K25+'Data Sheet'!K19</f>
        <v>133.91000000000003</v>
      </c>
      <c r="M35" s="305">
        <f>'Data Sheet'!L17-'Data Sheet'!L18-'Data Sheet'!L20-'Data Sheet'!L21-'Data Sheet'!L22-'Data Sheet'!L23-'Data Sheet'!L24+'Data Sheet'!L25+'Data Sheet'!L19</f>
        <v>0</v>
      </c>
    </row>
    <row r="36" spans="1:14" x14ac:dyDescent="0.2">
      <c r="A36" s="304" t="s">
        <v>603</v>
      </c>
      <c r="B36" s="304" t="s">
        <v>583</v>
      </c>
      <c r="C36" s="304">
        <f>'Data Sheet'!B26</f>
        <v>21.09</v>
      </c>
      <c r="D36" s="304">
        <f>'Data Sheet'!C26</f>
        <v>-3.07</v>
      </c>
      <c r="E36" s="304">
        <f>'Data Sheet'!D26</f>
        <v>18.649999999999999</v>
      </c>
      <c r="F36" s="304">
        <f>'Data Sheet'!E26</f>
        <v>45.33</v>
      </c>
      <c r="G36" s="304">
        <f>'Data Sheet'!F26</f>
        <v>23.98</v>
      </c>
      <c r="H36" s="304">
        <f>'Data Sheet'!G26</f>
        <v>24.5</v>
      </c>
      <c r="I36" s="304">
        <f>'Data Sheet'!H26</f>
        <v>24.87</v>
      </c>
      <c r="J36" s="304">
        <f>'Data Sheet'!I26</f>
        <v>27.94</v>
      </c>
      <c r="K36" s="304">
        <f>'Data Sheet'!J26</f>
        <v>39.56</v>
      </c>
      <c r="L36" s="304">
        <f>'Data Sheet'!K26</f>
        <v>41.65</v>
      </c>
      <c r="M36" s="304">
        <f>'Data Sheet'!L26</f>
        <v>0</v>
      </c>
    </row>
    <row r="37" spans="1:14" x14ac:dyDescent="0.2">
      <c r="A37" s="304" t="s">
        <v>197</v>
      </c>
      <c r="B37" s="304" t="s">
        <v>604</v>
      </c>
      <c r="C37" s="304">
        <f>C35-C36</f>
        <v>12.320000000000004</v>
      </c>
      <c r="D37" s="304">
        <f t="shared" ref="D37:M37" si="9">D35-D36</f>
        <v>0.83999999999998209</v>
      </c>
      <c r="E37" s="304">
        <f t="shared" si="9"/>
        <v>16.150000000000006</v>
      </c>
      <c r="F37" s="304">
        <f t="shared" si="9"/>
        <v>30.710000000000022</v>
      </c>
      <c r="G37" s="304">
        <f t="shared" si="9"/>
        <v>21.200000000000014</v>
      </c>
      <c r="H37" s="304">
        <f t="shared" si="9"/>
        <v>48.290000000000006</v>
      </c>
      <c r="I37" s="304">
        <f t="shared" si="9"/>
        <v>69.42</v>
      </c>
      <c r="J37" s="304">
        <f t="shared" si="9"/>
        <v>76.380000000000038</v>
      </c>
      <c r="K37" s="304">
        <f t="shared" si="9"/>
        <v>98.19</v>
      </c>
      <c r="L37" s="304">
        <f t="shared" si="9"/>
        <v>92.260000000000019</v>
      </c>
      <c r="M37" s="304">
        <f t="shared" si="9"/>
        <v>0</v>
      </c>
    </row>
    <row r="38" spans="1:14" x14ac:dyDescent="0.2">
      <c r="A38" s="304" t="s">
        <v>11</v>
      </c>
      <c r="B38" s="304" t="s">
        <v>583</v>
      </c>
      <c r="C38" s="304">
        <f>'Data Sheet'!B27</f>
        <v>14.59</v>
      </c>
      <c r="D38" s="304">
        <f>'Data Sheet'!C27</f>
        <v>23.9</v>
      </c>
      <c r="E38" s="304">
        <f>'Data Sheet'!D27</f>
        <v>15.15</v>
      </c>
      <c r="F38" s="304">
        <f>'Data Sheet'!E27</f>
        <v>21.04</v>
      </c>
      <c r="G38" s="304">
        <f>'Data Sheet'!F27</f>
        <v>20.9</v>
      </c>
      <c r="H38" s="304">
        <f>'Data Sheet'!G27</f>
        <v>27.31</v>
      </c>
      <c r="I38" s="304">
        <f>'Data Sheet'!H27</f>
        <v>17.46</v>
      </c>
      <c r="J38" s="304">
        <f>'Data Sheet'!I27</f>
        <v>22.62</v>
      </c>
      <c r="K38" s="304">
        <f>'Data Sheet'!J27</f>
        <v>33.01</v>
      </c>
      <c r="L38" s="304">
        <f>'Data Sheet'!K27</f>
        <v>22.24</v>
      </c>
      <c r="M38" s="304">
        <f>'Data Sheet'!L27</f>
        <v>0</v>
      </c>
    </row>
    <row r="39" spans="1:14" x14ac:dyDescent="0.2">
      <c r="A39" s="304" t="s">
        <v>605</v>
      </c>
      <c r="B39" s="304" t="s">
        <v>606</v>
      </c>
      <c r="C39" s="304">
        <f>C37-C38</f>
        <v>-2.269999999999996</v>
      </c>
      <c r="D39" s="304">
        <f t="shared" ref="D39:M39" si="10">D37-D38</f>
        <v>-23.060000000000016</v>
      </c>
      <c r="E39" s="304">
        <f t="shared" si="10"/>
        <v>1.0000000000000053</v>
      </c>
      <c r="F39" s="304">
        <f t="shared" si="10"/>
        <v>9.670000000000023</v>
      </c>
      <c r="G39" s="304">
        <f t="shared" si="10"/>
        <v>0.30000000000001492</v>
      </c>
      <c r="H39" s="304">
        <f t="shared" si="10"/>
        <v>20.980000000000008</v>
      </c>
      <c r="I39" s="304">
        <f t="shared" si="10"/>
        <v>51.96</v>
      </c>
      <c r="J39" s="304">
        <f t="shared" si="10"/>
        <v>53.760000000000034</v>
      </c>
      <c r="K39" s="304">
        <f t="shared" si="10"/>
        <v>65.180000000000007</v>
      </c>
      <c r="L39" s="304">
        <f t="shared" si="10"/>
        <v>70.020000000000024</v>
      </c>
      <c r="M39" s="304">
        <f t="shared" si="10"/>
        <v>0</v>
      </c>
    </row>
    <row r="40" spans="1:14" x14ac:dyDescent="0.2">
      <c r="A40" s="304" t="s">
        <v>13</v>
      </c>
      <c r="B40" s="304" t="s">
        <v>583</v>
      </c>
      <c r="C40" s="304">
        <f>'Data Sheet'!B29</f>
        <v>2.02</v>
      </c>
      <c r="D40" s="304">
        <f>'Data Sheet'!C29</f>
        <v>-8.9499999999999993</v>
      </c>
      <c r="E40" s="304">
        <f>'Data Sheet'!D29</f>
        <v>0.32</v>
      </c>
      <c r="F40" s="304">
        <f>'Data Sheet'!E29</f>
        <v>2.93</v>
      </c>
      <c r="G40" s="304">
        <f>'Data Sheet'!F29</f>
        <v>0</v>
      </c>
      <c r="H40" s="304">
        <f>'Data Sheet'!G29</f>
        <v>6.84</v>
      </c>
      <c r="I40" s="304">
        <f>'Data Sheet'!H29</f>
        <v>17.170000000000002</v>
      </c>
      <c r="J40" s="304">
        <f>'Data Sheet'!I29</f>
        <v>12.79</v>
      </c>
      <c r="K40" s="304">
        <f>'Data Sheet'!J29</f>
        <v>21.04</v>
      </c>
      <c r="L40" s="304">
        <f>'Data Sheet'!K29</f>
        <v>12.87</v>
      </c>
      <c r="M40" s="304">
        <f>'Data Sheet'!L29</f>
        <v>0</v>
      </c>
    </row>
    <row r="41" spans="1:14" x14ac:dyDescent="0.2">
      <c r="A41" s="304" t="s">
        <v>145</v>
      </c>
      <c r="B41" s="304" t="s">
        <v>607</v>
      </c>
      <c r="C41" s="304">
        <f>C39-C40</f>
        <v>-4.2899999999999956</v>
      </c>
      <c r="D41" s="304">
        <f t="shared" ref="D41:M41" si="11">D39-D40</f>
        <v>-14.110000000000017</v>
      </c>
      <c r="E41" s="304">
        <f t="shared" si="11"/>
        <v>0.68000000000000527</v>
      </c>
      <c r="F41" s="304">
        <f t="shared" si="11"/>
        <v>6.7400000000000233</v>
      </c>
      <c r="G41" s="304">
        <f t="shared" si="11"/>
        <v>0.30000000000001492</v>
      </c>
      <c r="H41" s="304">
        <f t="shared" si="11"/>
        <v>14.140000000000008</v>
      </c>
      <c r="I41" s="304">
        <f t="shared" si="11"/>
        <v>34.79</v>
      </c>
      <c r="J41" s="304">
        <f t="shared" si="11"/>
        <v>40.970000000000034</v>
      </c>
      <c r="K41" s="304">
        <f t="shared" si="11"/>
        <v>44.140000000000008</v>
      </c>
      <c r="L41" s="304">
        <f t="shared" si="11"/>
        <v>57.150000000000027</v>
      </c>
      <c r="M41" s="304">
        <f t="shared" si="11"/>
        <v>0</v>
      </c>
    </row>
    <row r="42" spans="1:14" x14ac:dyDescent="0.2">
      <c r="A42" s="304" t="s">
        <v>608</v>
      </c>
      <c r="B42" s="304" t="s">
        <v>583</v>
      </c>
      <c r="C42" s="305">
        <f>'Data Sheet'!B31</f>
        <v>0</v>
      </c>
      <c r="D42" s="305">
        <f>'Data Sheet'!C31</f>
        <v>0</v>
      </c>
      <c r="E42" s="305">
        <f>'Data Sheet'!D31</f>
        <v>0</v>
      </c>
      <c r="F42" s="305">
        <f>'Data Sheet'!E31</f>
        <v>0</v>
      </c>
      <c r="G42" s="305">
        <f>'Data Sheet'!F31</f>
        <v>0</v>
      </c>
      <c r="H42" s="305">
        <f>'Data Sheet'!G31</f>
        <v>0</v>
      </c>
      <c r="I42" s="305">
        <f>'Data Sheet'!H31</f>
        <v>3.44</v>
      </c>
      <c r="J42" s="305">
        <f>'Data Sheet'!I31</f>
        <v>4.58</v>
      </c>
      <c r="K42" s="305">
        <f>'Data Sheet'!J31</f>
        <v>4.58</v>
      </c>
      <c r="L42" s="305">
        <f>'Data Sheet'!K31</f>
        <v>5.5</v>
      </c>
      <c r="M42" s="305">
        <f>'Data Sheet'!L31</f>
        <v>0</v>
      </c>
    </row>
    <row r="43" spans="1:14" x14ac:dyDescent="0.2">
      <c r="A43" s="304" t="s">
        <v>609</v>
      </c>
      <c r="B43" s="282" t="s">
        <v>610</v>
      </c>
      <c r="C43" s="366">
        <f>'Data Sheet'!B90*'Data Sheet'!B93</f>
        <v>47.939051429999999</v>
      </c>
      <c r="D43" s="306">
        <f>'Data Sheet'!C90*'Data Sheet'!C93</f>
        <v>19.763629379999998</v>
      </c>
      <c r="E43" s="306">
        <f>'Data Sheet'!D90*'Data Sheet'!D93</f>
        <v>39.875532149999998</v>
      </c>
      <c r="F43" s="306">
        <f>'Data Sheet'!E90*'Data Sheet'!E93</f>
        <v>56.92575969</v>
      </c>
      <c r="G43" s="306">
        <f>'Data Sheet'!F90*'Data Sheet'!F93</f>
        <v>28.325378009999998</v>
      </c>
      <c r="H43" s="306">
        <f>'Data Sheet'!G90*'Data Sheet'!G93</f>
        <v>45.742277110000003</v>
      </c>
      <c r="I43" s="306">
        <f>'Data Sheet'!H90*'Data Sheet'!H93</f>
        <v>73.609315669999987</v>
      </c>
      <c r="J43" s="306">
        <f>'Data Sheet'!I90*'Data Sheet'!I93</f>
        <v>177.78987265499998</v>
      </c>
      <c r="K43" s="306">
        <f>'Data Sheet'!J90*'Data Sheet'!J93</f>
        <v>300.48734342</v>
      </c>
      <c r="L43" s="306">
        <f>'Data Sheet'!K90*'Data Sheet'!K93</f>
        <v>596.66629601</v>
      </c>
      <c r="M43" s="306">
        <f>'Data Sheet'!L90*'Data Sheet'!L93</f>
        <v>0</v>
      </c>
    </row>
    <row r="44" spans="1:14" x14ac:dyDescent="0.2">
      <c r="A44" s="307" t="s">
        <v>611</v>
      </c>
      <c r="B44" s="307"/>
      <c r="C44" s="307">
        <f>'Data Sheet'!B9</f>
        <v>565.52</v>
      </c>
      <c r="D44" s="415"/>
      <c r="E44" s="416"/>
      <c r="F44" s="416"/>
      <c r="G44" s="416"/>
      <c r="H44" s="416"/>
      <c r="I44" s="416"/>
      <c r="J44" s="416"/>
      <c r="K44" s="416"/>
      <c r="L44" s="417"/>
      <c r="M44" s="286"/>
    </row>
    <row r="45" spans="1:14" x14ac:dyDescent="0.2">
      <c r="A45" s="412"/>
      <c r="B45" s="412"/>
      <c r="C45" s="412"/>
      <c r="D45" s="412"/>
      <c r="E45" s="412"/>
      <c r="F45" s="412"/>
      <c r="G45" s="412"/>
      <c r="H45" s="412"/>
      <c r="I45" s="412"/>
      <c r="J45" s="412"/>
      <c r="K45" s="412"/>
      <c r="L45" s="412"/>
      <c r="M45" s="286"/>
    </row>
    <row r="46" spans="1:14" x14ac:dyDescent="0.2">
      <c r="A46" s="308" t="s">
        <v>612</v>
      </c>
      <c r="B46" s="308" t="s">
        <v>583</v>
      </c>
      <c r="C46" s="304">
        <f>'Data Sheet'!B57</f>
        <v>40.83</v>
      </c>
      <c r="D46" s="304">
        <f>'Data Sheet'!C57</f>
        <v>40.83</v>
      </c>
      <c r="E46" s="304">
        <f>'Data Sheet'!D57</f>
        <v>45.83</v>
      </c>
      <c r="F46" s="304">
        <f>'Data Sheet'!E57</f>
        <v>45.83</v>
      </c>
      <c r="G46" s="304">
        <f>'Data Sheet'!F57</f>
        <v>45.83</v>
      </c>
      <c r="H46" s="304">
        <f>'Data Sheet'!G57</f>
        <v>45.83</v>
      </c>
      <c r="I46" s="304">
        <f>'Data Sheet'!H57</f>
        <v>45.83</v>
      </c>
      <c r="J46" s="304">
        <f>'Data Sheet'!I57</f>
        <v>45.83</v>
      </c>
      <c r="K46" s="304">
        <f>'Data Sheet'!J57</f>
        <v>45.83</v>
      </c>
      <c r="L46" s="304">
        <f>'Data Sheet'!K57</f>
        <v>45.83</v>
      </c>
      <c r="M46" s="304">
        <f>'Data Sheet'!L57</f>
        <v>0</v>
      </c>
      <c r="N46" s="197">
        <f>(L46/D46)^(1/9)-1</f>
        <v>1.2918486695963072E-2</v>
      </c>
    </row>
    <row r="47" spans="1:14" x14ac:dyDescent="0.2">
      <c r="A47" s="308" t="s">
        <v>613</v>
      </c>
      <c r="B47" s="308" t="s">
        <v>583</v>
      </c>
      <c r="C47" s="308">
        <f>'Data Sheet'!B58</f>
        <v>47.23</v>
      </c>
      <c r="D47" s="308">
        <f>'Data Sheet'!C58</f>
        <v>33.11</v>
      </c>
      <c r="E47" s="308">
        <f>'Data Sheet'!D58</f>
        <v>33.78</v>
      </c>
      <c r="F47" s="308">
        <f>'Data Sheet'!E58</f>
        <v>40.520000000000003</v>
      </c>
      <c r="G47" s="308">
        <f>'Data Sheet'!F58</f>
        <v>40.83</v>
      </c>
      <c r="H47" s="308">
        <f>'Data Sheet'!G58</f>
        <v>54.96</v>
      </c>
      <c r="I47" s="308">
        <f>'Data Sheet'!H58</f>
        <v>85.72</v>
      </c>
      <c r="J47" s="308">
        <f>'Data Sheet'!I58</f>
        <v>121.16</v>
      </c>
      <c r="K47" s="308">
        <f>'Data Sheet'!J58</f>
        <v>159.81</v>
      </c>
      <c r="L47" s="308">
        <f>'Data Sheet'!K58</f>
        <v>210.34</v>
      </c>
      <c r="M47" s="308">
        <f>'Data Sheet'!L58</f>
        <v>0</v>
      </c>
    </row>
    <row r="48" spans="1:14" x14ac:dyDescent="0.2">
      <c r="A48" s="308" t="s">
        <v>614</v>
      </c>
      <c r="B48" s="308" t="s">
        <v>615</v>
      </c>
      <c r="C48" s="304">
        <f t="shared" ref="C48:M48" si="12">C47+C46</f>
        <v>88.06</v>
      </c>
      <c r="D48" s="304">
        <f t="shared" si="12"/>
        <v>73.94</v>
      </c>
      <c r="E48" s="304">
        <f t="shared" si="12"/>
        <v>79.61</v>
      </c>
      <c r="F48" s="304">
        <f t="shared" si="12"/>
        <v>86.35</v>
      </c>
      <c r="G48" s="304">
        <f t="shared" si="12"/>
        <v>86.66</v>
      </c>
      <c r="H48" s="304">
        <f t="shared" si="12"/>
        <v>100.78999999999999</v>
      </c>
      <c r="I48" s="304">
        <f t="shared" si="12"/>
        <v>131.55000000000001</v>
      </c>
      <c r="J48" s="304">
        <f t="shared" si="12"/>
        <v>166.99</v>
      </c>
      <c r="K48" s="304">
        <f t="shared" si="12"/>
        <v>205.64</v>
      </c>
      <c r="L48" s="304">
        <f t="shared" si="12"/>
        <v>256.17</v>
      </c>
      <c r="M48" s="304">
        <f t="shared" si="12"/>
        <v>0</v>
      </c>
    </row>
    <row r="49" spans="1:13" x14ac:dyDescent="0.2">
      <c r="A49" s="309" t="s">
        <v>616</v>
      </c>
      <c r="B49" s="309"/>
      <c r="C49" s="310"/>
      <c r="D49" s="304"/>
      <c r="E49" s="304"/>
      <c r="F49" s="304"/>
      <c r="G49" s="304"/>
      <c r="H49" s="304"/>
      <c r="I49" s="304"/>
      <c r="J49" s="304"/>
      <c r="K49" s="304"/>
      <c r="L49" s="304"/>
      <c r="M49" s="304"/>
    </row>
    <row r="50" spans="1:13" x14ac:dyDescent="0.2">
      <c r="A50" s="309" t="s">
        <v>617</v>
      </c>
      <c r="B50" s="309"/>
      <c r="C50" s="310"/>
      <c r="D50" s="304"/>
      <c r="E50" s="304"/>
      <c r="F50" s="304"/>
      <c r="G50" s="304"/>
      <c r="H50" s="304"/>
      <c r="I50" s="304"/>
      <c r="J50" s="304"/>
      <c r="K50" s="304"/>
      <c r="L50" s="304"/>
      <c r="M50" s="304"/>
    </row>
    <row r="51" spans="1:13" x14ac:dyDescent="0.2">
      <c r="A51" s="309" t="s">
        <v>72</v>
      </c>
      <c r="B51" s="309"/>
      <c r="C51" s="308">
        <f>'Data Sheet'!B59</f>
        <v>267.33999999999997</v>
      </c>
      <c r="D51" s="308">
        <f>'Data Sheet'!C59</f>
        <v>299.41000000000003</v>
      </c>
      <c r="E51" s="308">
        <f>'Data Sheet'!D59</f>
        <v>308.51</v>
      </c>
      <c r="F51" s="308">
        <f>'Data Sheet'!E59</f>
        <v>284.02999999999997</v>
      </c>
      <c r="G51" s="308">
        <f>'Data Sheet'!F59</f>
        <v>248.92</v>
      </c>
      <c r="H51" s="308">
        <f>'Data Sheet'!G59</f>
        <v>206.64</v>
      </c>
      <c r="I51" s="308">
        <f>'Data Sheet'!H59</f>
        <v>176.07</v>
      </c>
      <c r="J51" s="308">
        <f>'Data Sheet'!I59</f>
        <v>378.27</v>
      </c>
      <c r="K51" s="311">
        <f>'Data Sheet'!J59</f>
        <v>352.07</v>
      </c>
      <c r="L51" s="311">
        <f>'Data Sheet'!K59</f>
        <v>563.49</v>
      </c>
      <c r="M51" s="311">
        <f>'Data Sheet'!L59</f>
        <v>0</v>
      </c>
    </row>
    <row r="52" spans="1:13" x14ac:dyDescent="0.2">
      <c r="A52" s="309" t="s">
        <v>73</v>
      </c>
      <c r="B52" s="309" t="s">
        <v>583</v>
      </c>
      <c r="C52" s="308">
        <f>'Data Sheet'!B60</f>
        <v>16.03</v>
      </c>
      <c r="D52" s="308">
        <f>'Data Sheet'!C60</f>
        <v>55.52</v>
      </c>
      <c r="E52" s="308">
        <f>'Data Sheet'!D60</f>
        <v>42.65</v>
      </c>
      <c r="F52" s="308">
        <f>'Data Sheet'!E60</f>
        <v>38.4</v>
      </c>
      <c r="G52" s="308">
        <f>'Data Sheet'!F60</f>
        <v>11.72</v>
      </c>
      <c r="H52" s="308">
        <f>'Data Sheet'!G60</f>
        <v>56.38</v>
      </c>
      <c r="I52" s="308">
        <f>'Data Sheet'!H60</f>
        <v>47.71</v>
      </c>
      <c r="J52" s="308">
        <f>'Data Sheet'!I60</f>
        <v>66.75</v>
      </c>
      <c r="K52" s="308">
        <f>'Data Sheet'!J60</f>
        <v>79.39</v>
      </c>
      <c r="L52" s="308">
        <f>'Data Sheet'!K60</f>
        <v>106.68</v>
      </c>
      <c r="M52" s="308">
        <f>'Data Sheet'!L60</f>
        <v>0</v>
      </c>
    </row>
    <row r="53" spans="1:13" x14ac:dyDescent="0.2">
      <c r="A53" s="309" t="s">
        <v>618</v>
      </c>
      <c r="B53" s="309" t="s">
        <v>583</v>
      </c>
      <c r="C53" s="308">
        <f>'Data Sheet'!B65</f>
        <v>84.03</v>
      </c>
      <c r="D53" s="308">
        <f>'Data Sheet'!C65</f>
        <v>115.63</v>
      </c>
      <c r="E53" s="308">
        <f>'Data Sheet'!D65</f>
        <v>135.69</v>
      </c>
      <c r="F53" s="308">
        <f>'Data Sheet'!E65</f>
        <v>159.5</v>
      </c>
      <c r="G53" s="308">
        <f>'Data Sheet'!F65</f>
        <v>115.83</v>
      </c>
      <c r="H53" s="308">
        <f>'Data Sheet'!G65</f>
        <v>150.82</v>
      </c>
      <c r="I53" s="308">
        <f>'Data Sheet'!H65</f>
        <v>142.94</v>
      </c>
      <c r="J53" s="308">
        <f>'Data Sheet'!I65</f>
        <v>195.27</v>
      </c>
      <c r="K53" s="308">
        <f>'Data Sheet'!J65</f>
        <v>237.97</v>
      </c>
      <c r="L53" s="308">
        <f>'Data Sheet'!K65</f>
        <v>312.05</v>
      </c>
      <c r="M53" s="308">
        <f>'Data Sheet'!L65</f>
        <v>0</v>
      </c>
    </row>
    <row r="54" spans="1:13" x14ac:dyDescent="0.2">
      <c r="A54" s="309" t="s">
        <v>586</v>
      </c>
      <c r="B54" s="309" t="s">
        <v>583</v>
      </c>
      <c r="C54" s="308">
        <f>'Data Sheet'!B60</f>
        <v>16.03</v>
      </c>
      <c r="D54" s="308">
        <f>'Data Sheet'!C60</f>
        <v>55.52</v>
      </c>
      <c r="E54" s="308">
        <f>'Data Sheet'!D60</f>
        <v>42.65</v>
      </c>
      <c r="F54" s="308">
        <f>'Data Sheet'!E60</f>
        <v>38.4</v>
      </c>
      <c r="G54" s="308">
        <f>'Data Sheet'!F60</f>
        <v>11.72</v>
      </c>
      <c r="H54" s="308">
        <f>'Data Sheet'!G60</f>
        <v>56.38</v>
      </c>
      <c r="I54" s="308">
        <f>'Data Sheet'!H60</f>
        <v>47.71</v>
      </c>
      <c r="J54" s="308">
        <f>'Data Sheet'!I60</f>
        <v>66.75</v>
      </c>
      <c r="K54" s="308">
        <f>'Data Sheet'!J60</f>
        <v>79.39</v>
      </c>
      <c r="L54" s="308">
        <f>'Data Sheet'!K60</f>
        <v>106.68</v>
      </c>
      <c r="M54" s="308">
        <f>'Data Sheet'!L60</f>
        <v>0</v>
      </c>
    </row>
    <row r="55" spans="1:13" x14ac:dyDescent="0.2">
      <c r="A55" s="309" t="s">
        <v>619</v>
      </c>
      <c r="B55" s="309" t="s">
        <v>620</v>
      </c>
      <c r="C55" s="308">
        <f>'Data Sheet'!B66</f>
        <v>371.43</v>
      </c>
      <c r="D55" s="308">
        <f>'Data Sheet'!C66</f>
        <v>428.87</v>
      </c>
      <c r="E55" s="308">
        <f>'Data Sheet'!D66</f>
        <v>430.77</v>
      </c>
      <c r="F55" s="308">
        <f>'Data Sheet'!E66</f>
        <v>408.78</v>
      </c>
      <c r="G55" s="308">
        <f>'Data Sheet'!F66</f>
        <v>347.3</v>
      </c>
      <c r="H55" s="308">
        <f>'Data Sheet'!G66</f>
        <v>363.81</v>
      </c>
      <c r="I55" s="308">
        <f>'Data Sheet'!H66</f>
        <v>355.33</v>
      </c>
      <c r="J55" s="308">
        <f>'Data Sheet'!I66</f>
        <v>612.01</v>
      </c>
      <c r="K55" s="308">
        <f>'Data Sheet'!J66</f>
        <v>637.1</v>
      </c>
      <c r="L55" s="308">
        <f>'Data Sheet'!K66</f>
        <v>926.34</v>
      </c>
      <c r="M55" s="308">
        <f>'Data Sheet'!L66</f>
        <v>0</v>
      </c>
    </row>
    <row r="56" spans="1:13" x14ac:dyDescent="0.2">
      <c r="A56" s="304" t="s">
        <v>621</v>
      </c>
      <c r="B56" s="304" t="s">
        <v>583</v>
      </c>
      <c r="C56" s="304">
        <f>'Data Sheet'!B62</f>
        <v>239.51</v>
      </c>
      <c r="D56" s="304">
        <f>'Data Sheet'!C62</f>
        <v>313.16000000000003</v>
      </c>
      <c r="E56" s="304">
        <f>'Data Sheet'!D62</f>
        <v>295.08</v>
      </c>
      <c r="F56" s="304">
        <f>'Data Sheet'!E62</f>
        <v>249.28</v>
      </c>
      <c r="G56" s="304">
        <f>'Data Sheet'!F62</f>
        <v>228.09</v>
      </c>
      <c r="H56" s="304">
        <f>'Data Sheet'!G62</f>
        <v>212.99</v>
      </c>
      <c r="I56" s="304">
        <f>'Data Sheet'!H62</f>
        <v>191.21</v>
      </c>
      <c r="J56" s="304">
        <f>'Data Sheet'!I62</f>
        <v>416.74</v>
      </c>
      <c r="K56" s="304">
        <f>'Data Sheet'!J62</f>
        <v>382.07</v>
      </c>
      <c r="L56" s="304">
        <f>'Data Sheet'!K62</f>
        <v>614.29</v>
      </c>
      <c r="M56" s="304">
        <f>'Data Sheet'!L62</f>
        <v>0</v>
      </c>
    </row>
    <row r="57" spans="1:13" x14ac:dyDescent="0.2">
      <c r="A57" s="304" t="s">
        <v>28</v>
      </c>
      <c r="B57" s="304" t="s">
        <v>583</v>
      </c>
      <c r="C57" s="305">
        <f>'Data Sheet'!B63</f>
        <v>47.89</v>
      </c>
      <c r="D57" s="304">
        <f>'Data Sheet'!C63</f>
        <v>0.08</v>
      </c>
      <c r="E57" s="305">
        <f>'Data Sheet'!D63</f>
        <v>0</v>
      </c>
      <c r="F57" s="305">
        <f>'Data Sheet'!E63</f>
        <v>0</v>
      </c>
      <c r="G57" s="305">
        <f>'Data Sheet'!F63</f>
        <v>3.38</v>
      </c>
      <c r="H57" s="304">
        <f>'Data Sheet'!G63</f>
        <v>0</v>
      </c>
      <c r="I57" s="304">
        <f>'Data Sheet'!H63</f>
        <v>21.18</v>
      </c>
      <c r="J57" s="304">
        <f>'Data Sheet'!I63</f>
        <v>0</v>
      </c>
      <c r="K57" s="305">
        <f>'Data Sheet'!J63</f>
        <v>17.059999999999999</v>
      </c>
      <c r="L57" s="305">
        <f>'Data Sheet'!K63</f>
        <v>0</v>
      </c>
      <c r="M57" s="305">
        <f>'Data Sheet'!L63</f>
        <v>0</v>
      </c>
    </row>
    <row r="58" spans="1:13" x14ac:dyDescent="0.2">
      <c r="A58" s="309" t="s">
        <v>30</v>
      </c>
      <c r="B58" s="309" t="s">
        <v>588</v>
      </c>
      <c r="C58" s="308">
        <f>'Data Sheet'!B65-'Data Sheet'!B60</f>
        <v>68</v>
      </c>
      <c r="D58" s="308">
        <f>'Data Sheet'!C65-'Data Sheet'!C60</f>
        <v>60.109999999999992</v>
      </c>
      <c r="E58" s="308">
        <f>'Data Sheet'!D65-'Data Sheet'!D60</f>
        <v>93.039999999999992</v>
      </c>
      <c r="F58" s="308">
        <f>'Data Sheet'!E65-'Data Sheet'!E60</f>
        <v>121.1</v>
      </c>
      <c r="G58" s="308">
        <f>'Data Sheet'!F65-'Data Sheet'!F60</f>
        <v>104.11</v>
      </c>
      <c r="H58" s="308">
        <f>'Data Sheet'!G65-'Data Sheet'!G60</f>
        <v>94.44</v>
      </c>
      <c r="I58" s="308">
        <f>'Data Sheet'!H65-'Data Sheet'!H60</f>
        <v>95.22999999999999</v>
      </c>
      <c r="J58" s="308">
        <f>'Data Sheet'!I65-'Data Sheet'!I60</f>
        <v>128.52000000000001</v>
      </c>
      <c r="K58" s="308">
        <f>'Data Sheet'!J65-'Data Sheet'!J60</f>
        <v>158.57999999999998</v>
      </c>
      <c r="L58" s="308">
        <f>'Data Sheet'!K65-'Data Sheet'!K60</f>
        <v>205.37</v>
      </c>
      <c r="M58" s="308">
        <f>'Data Sheet'!L65-'Data Sheet'!L60</f>
        <v>0</v>
      </c>
    </row>
    <row r="59" spans="1:13" x14ac:dyDescent="0.2">
      <c r="A59" s="308" t="s">
        <v>44</v>
      </c>
      <c r="B59" s="308" t="s">
        <v>583</v>
      </c>
      <c r="C59" s="308">
        <f>'Data Sheet'!B67</f>
        <v>11.79</v>
      </c>
      <c r="D59" s="308">
        <f>'Data Sheet'!C67</f>
        <v>15.24</v>
      </c>
      <c r="E59" s="308">
        <f>'Data Sheet'!D67</f>
        <v>9.4</v>
      </c>
      <c r="F59" s="308">
        <f>'Data Sheet'!E67</f>
        <v>35.340000000000003</v>
      </c>
      <c r="G59" s="308">
        <f>'Data Sheet'!F67</f>
        <v>18.5</v>
      </c>
      <c r="H59" s="308">
        <f>'Data Sheet'!G67</f>
        <v>28.04</v>
      </c>
      <c r="I59" s="308">
        <f>'Data Sheet'!H67</f>
        <v>24.89</v>
      </c>
      <c r="J59" s="308">
        <f>'Data Sheet'!I67</f>
        <v>40.42</v>
      </c>
      <c r="K59" s="308">
        <f>'Data Sheet'!J67</f>
        <v>39.25</v>
      </c>
      <c r="L59" s="308">
        <f>'Data Sheet'!K67</f>
        <v>48.33</v>
      </c>
      <c r="M59" s="308">
        <f>'Data Sheet'!L67</f>
        <v>0</v>
      </c>
    </row>
    <row r="60" spans="1:13" x14ac:dyDescent="0.2">
      <c r="A60" s="308" t="s">
        <v>45</v>
      </c>
      <c r="B60" s="308" t="s">
        <v>583</v>
      </c>
      <c r="C60" s="311">
        <f>'Data Sheet'!B68</f>
        <v>48.75</v>
      </c>
      <c r="D60" s="311">
        <f>'Data Sheet'!C68</f>
        <v>40.98</v>
      </c>
      <c r="E60" s="311">
        <f>'Data Sheet'!D68</f>
        <v>76.03</v>
      </c>
      <c r="F60" s="311">
        <f>'Data Sheet'!E68</f>
        <v>81.84</v>
      </c>
      <c r="G60" s="311">
        <f>'Data Sheet'!F68</f>
        <v>77.13</v>
      </c>
      <c r="H60" s="311">
        <f>'Data Sheet'!G68</f>
        <v>81.900000000000006</v>
      </c>
      <c r="I60" s="311">
        <f>'Data Sheet'!H68</f>
        <v>70.7</v>
      </c>
      <c r="J60" s="311">
        <f>'Data Sheet'!I68</f>
        <v>94.19</v>
      </c>
      <c r="K60" s="311">
        <f>'Data Sheet'!J68</f>
        <v>114.76</v>
      </c>
      <c r="L60" s="311">
        <f>'Data Sheet'!K68</f>
        <v>170.04</v>
      </c>
      <c r="M60" s="311">
        <f>'Data Sheet'!L68</f>
        <v>0</v>
      </c>
    </row>
    <row r="61" spans="1:13" x14ac:dyDescent="0.2">
      <c r="A61" s="308" t="s">
        <v>622</v>
      </c>
      <c r="B61" s="308" t="s">
        <v>583</v>
      </c>
      <c r="C61" s="308">
        <f>'Data Sheet'!B69</f>
        <v>0.4</v>
      </c>
      <c r="D61" s="308">
        <f>'Data Sheet'!C69</f>
        <v>0.53</v>
      </c>
      <c r="E61" s="308">
        <f>'Data Sheet'!D69</f>
        <v>0.1</v>
      </c>
      <c r="F61" s="308">
        <f>'Data Sheet'!E69</f>
        <v>0.14000000000000001</v>
      </c>
      <c r="G61" s="308">
        <f>'Data Sheet'!F69</f>
        <v>0.08</v>
      </c>
      <c r="H61" s="308">
        <f>'Data Sheet'!G69</f>
        <v>0.28000000000000003</v>
      </c>
      <c r="I61" s="308">
        <f>'Data Sheet'!H69</f>
        <v>0.06</v>
      </c>
      <c r="J61" s="308">
        <f>'Data Sheet'!I69</f>
        <v>0.68</v>
      </c>
      <c r="K61" s="308">
        <f>'Data Sheet'!J69</f>
        <v>0.56999999999999995</v>
      </c>
      <c r="L61" s="308">
        <f>'Data Sheet'!K69</f>
        <v>1.27</v>
      </c>
      <c r="M61" s="308">
        <f>'Data Sheet'!L69</f>
        <v>0</v>
      </c>
    </row>
    <row r="62" spans="1:13" x14ac:dyDescent="0.2">
      <c r="A62" s="304" t="s">
        <v>623</v>
      </c>
      <c r="B62" s="304"/>
      <c r="C62" s="310"/>
      <c r="D62" s="304"/>
      <c r="E62" s="304"/>
      <c r="F62" s="304"/>
      <c r="G62" s="304"/>
      <c r="H62" s="304"/>
      <c r="I62" s="304"/>
      <c r="J62" s="304"/>
      <c r="K62" s="304"/>
      <c r="L62" s="304"/>
      <c r="M62" s="304"/>
    </row>
    <row r="63" spans="1:13" x14ac:dyDescent="0.2">
      <c r="A63" s="309" t="s">
        <v>540</v>
      </c>
      <c r="B63" s="309" t="s">
        <v>624</v>
      </c>
      <c r="C63" s="304">
        <f>C48+C51</f>
        <v>355.4</v>
      </c>
      <c r="D63" s="304">
        <f t="shared" ref="D63:M63" si="13">D48+D51</f>
        <v>373.35</v>
      </c>
      <c r="E63" s="304">
        <f t="shared" si="13"/>
        <v>388.12</v>
      </c>
      <c r="F63" s="304">
        <f t="shared" si="13"/>
        <v>370.38</v>
      </c>
      <c r="G63" s="304">
        <f t="shared" si="13"/>
        <v>335.58</v>
      </c>
      <c r="H63" s="304">
        <f t="shared" si="13"/>
        <v>307.42999999999995</v>
      </c>
      <c r="I63" s="304">
        <f t="shared" si="13"/>
        <v>307.62</v>
      </c>
      <c r="J63" s="304">
        <f t="shared" si="13"/>
        <v>545.26</v>
      </c>
      <c r="K63" s="304">
        <f t="shared" si="13"/>
        <v>557.71</v>
      </c>
      <c r="L63" s="304">
        <f t="shared" si="13"/>
        <v>819.66000000000008</v>
      </c>
      <c r="M63" s="304">
        <f t="shared" si="13"/>
        <v>0</v>
      </c>
    </row>
    <row r="64" spans="1:13" x14ac:dyDescent="0.2">
      <c r="A64" s="309" t="s">
        <v>625</v>
      </c>
      <c r="B64" s="309"/>
      <c r="C64" s="304"/>
      <c r="D64" s="312">
        <f>(C63+D63)/2</f>
        <v>364.375</v>
      </c>
      <c r="E64" s="312">
        <f t="shared" ref="E64:L64" si="14">(D63+E63)/2</f>
        <v>380.73500000000001</v>
      </c>
      <c r="F64" s="312">
        <f t="shared" si="14"/>
        <v>379.25</v>
      </c>
      <c r="G64" s="312">
        <f t="shared" si="14"/>
        <v>352.98</v>
      </c>
      <c r="H64" s="312">
        <f t="shared" si="14"/>
        <v>321.505</v>
      </c>
      <c r="I64" s="312">
        <f t="shared" si="14"/>
        <v>307.52499999999998</v>
      </c>
      <c r="J64" s="312">
        <f t="shared" si="14"/>
        <v>426.44</v>
      </c>
      <c r="K64" s="312">
        <f t="shared" si="14"/>
        <v>551.48500000000001</v>
      </c>
      <c r="L64" s="312">
        <f t="shared" si="14"/>
        <v>688.68500000000006</v>
      </c>
      <c r="M64" s="304"/>
    </row>
    <row r="65" spans="1:13" x14ac:dyDescent="0.2">
      <c r="A65" s="309" t="s">
        <v>626</v>
      </c>
      <c r="B65" s="309" t="s">
        <v>627</v>
      </c>
      <c r="C65" s="312">
        <f>C55-C54</f>
        <v>355.4</v>
      </c>
      <c r="D65" s="312">
        <f t="shared" ref="D65:M65" si="15">D55-D54</f>
        <v>373.35</v>
      </c>
      <c r="E65" s="312">
        <f t="shared" si="15"/>
        <v>388.12</v>
      </c>
      <c r="F65" s="312">
        <f t="shared" si="15"/>
        <v>370.38</v>
      </c>
      <c r="G65" s="312">
        <f t="shared" si="15"/>
        <v>335.58</v>
      </c>
      <c r="H65" s="312">
        <f t="shared" si="15"/>
        <v>307.43</v>
      </c>
      <c r="I65" s="312">
        <f t="shared" si="15"/>
        <v>307.62</v>
      </c>
      <c r="J65" s="312">
        <f t="shared" si="15"/>
        <v>545.26</v>
      </c>
      <c r="K65" s="312">
        <f t="shared" si="15"/>
        <v>557.71</v>
      </c>
      <c r="L65" s="312">
        <f t="shared" si="15"/>
        <v>819.66000000000008</v>
      </c>
      <c r="M65" s="304">
        <f t="shared" si="15"/>
        <v>0</v>
      </c>
    </row>
    <row r="66" spans="1:13" x14ac:dyDescent="0.2">
      <c r="A66" s="309" t="s">
        <v>628</v>
      </c>
      <c r="B66" s="309" t="s">
        <v>629</v>
      </c>
      <c r="C66" s="312">
        <f>C65-C57</f>
        <v>307.51</v>
      </c>
      <c r="D66" s="312">
        <f t="shared" ref="D66:L66" si="16">D65-D57</f>
        <v>373.27000000000004</v>
      </c>
      <c r="E66" s="312">
        <f t="shared" si="16"/>
        <v>388.12</v>
      </c>
      <c r="F66" s="312">
        <f t="shared" si="16"/>
        <v>370.38</v>
      </c>
      <c r="G66" s="312">
        <f t="shared" si="16"/>
        <v>332.2</v>
      </c>
      <c r="H66" s="312">
        <f t="shared" si="16"/>
        <v>307.43</v>
      </c>
      <c r="I66" s="312">
        <f t="shared" si="16"/>
        <v>286.44</v>
      </c>
      <c r="J66" s="312">
        <f t="shared" si="16"/>
        <v>545.26</v>
      </c>
      <c r="K66" s="312">
        <f t="shared" si="16"/>
        <v>540.65000000000009</v>
      </c>
      <c r="L66" s="312">
        <f t="shared" si="16"/>
        <v>819.66000000000008</v>
      </c>
      <c r="M66" s="304"/>
    </row>
    <row r="67" spans="1:13" x14ac:dyDescent="0.2">
      <c r="A67" s="309" t="s">
        <v>630</v>
      </c>
      <c r="B67" s="309" t="s">
        <v>631</v>
      </c>
      <c r="C67" s="313">
        <f>'Data Sheet'!B62+'Data Sheet'!B64+'Data Sheet'!B65</f>
        <v>323.53999999999996</v>
      </c>
      <c r="D67" s="313">
        <f>'Data Sheet'!C62+'Data Sheet'!C64+'Data Sheet'!C65</f>
        <v>428.79</v>
      </c>
      <c r="E67" s="313">
        <f>'Data Sheet'!D62+'Data Sheet'!D64+'Data Sheet'!D65</f>
        <v>430.77</v>
      </c>
      <c r="F67" s="313">
        <f>'Data Sheet'!E62+'Data Sheet'!E64+'Data Sheet'!E65</f>
        <v>408.78</v>
      </c>
      <c r="G67" s="313">
        <f>'Data Sheet'!F62+'Data Sheet'!F64+'Data Sheet'!F65</f>
        <v>343.92</v>
      </c>
      <c r="H67" s="313">
        <f>'Data Sheet'!G62+'Data Sheet'!G64+'Data Sheet'!G65</f>
        <v>363.81</v>
      </c>
      <c r="I67" s="313">
        <f>'Data Sheet'!H62+'Data Sheet'!H64+'Data Sheet'!H65</f>
        <v>334.15</v>
      </c>
      <c r="J67" s="313">
        <f>'Data Sheet'!I62+'Data Sheet'!I64+'Data Sheet'!I65</f>
        <v>612.01</v>
      </c>
      <c r="K67" s="313">
        <f>'Data Sheet'!J62+'Data Sheet'!J64+'Data Sheet'!J65</f>
        <v>620.04</v>
      </c>
      <c r="L67" s="313">
        <f>'Data Sheet'!K62+'Data Sheet'!K64+'Data Sheet'!K65</f>
        <v>926.33999999999992</v>
      </c>
      <c r="M67" s="304"/>
    </row>
    <row r="68" spans="1:13" x14ac:dyDescent="0.2">
      <c r="A68" s="309" t="s">
        <v>632</v>
      </c>
      <c r="B68" s="309" t="s">
        <v>633</v>
      </c>
      <c r="C68" s="313"/>
      <c r="D68" s="313">
        <f t="shared" ref="D68:L68" si="17">AVERAGE(C55:D55)-AVERAGE(C54:D54)</f>
        <v>364.375</v>
      </c>
      <c r="E68" s="313">
        <f t="shared" si="17"/>
        <v>380.73500000000001</v>
      </c>
      <c r="F68" s="313">
        <f t="shared" si="17"/>
        <v>379.25</v>
      </c>
      <c r="G68" s="313">
        <f t="shared" si="17"/>
        <v>352.97999999999996</v>
      </c>
      <c r="H68" s="313">
        <f t="shared" si="17"/>
        <v>321.505</v>
      </c>
      <c r="I68" s="313">
        <f t="shared" si="17"/>
        <v>307.52499999999998</v>
      </c>
      <c r="J68" s="313">
        <f t="shared" si="17"/>
        <v>426.43999999999994</v>
      </c>
      <c r="K68" s="313">
        <f t="shared" si="17"/>
        <v>551.48500000000013</v>
      </c>
      <c r="L68" s="313">
        <f t="shared" si="17"/>
        <v>688.68500000000006</v>
      </c>
      <c r="M68" s="304"/>
    </row>
    <row r="69" spans="1:13" x14ac:dyDescent="0.2">
      <c r="A69" s="309" t="s">
        <v>634</v>
      </c>
      <c r="B69" s="309" t="s">
        <v>635</v>
      </c>
      <c r="C69" s="313"/>
      <c r="D69" s="313">
        <f>(D66+C66)/2</f>
        <v>340.39</v>
      </c>
      <c r="E69" s="313">
        <f t="shared" ref="E69:L69" si="18">(E66+D66)/2</f>
        <v>380.69500000000005</v>
      </c>
      <c r="F69" s="313">
        <f t="shared" si="18"/>
        <v>379.25</v>
      </c>
      <c r="G69" s="313">
        <f t="shared" si="18"/>
        <v>351.28999999999996</v>
      </c>
      <c r="H69" s="313">
        <f t="shared" si="18"/>
        <v>319.815</v>
      </c>
      <c r="I69" s="313">
        <f t="shared" si="18"/>
        <v>296.935</v>
      </c>
      <c r="J69" s="313">
        <f t="shared" si="18"/>
        <v>415.85</v>
      </c>
      <c r="K69" s="313">
        <f t="shared" si="18"/>
        <v>542.95500000000004</v>
      </c>
      <c r="L69" s="313">
        <f t="shared" si="18"/>
        <v>680.15500000000009</v>
      </c>
      <c r="M69" s="304"/>
    </row>
    <row r="70" spans="1:13" x14ac:dyDescent="0.2">
      <c r="A70" s="309" t="s">
        <v>636</v>
      </c>
      <c r="B70" s="309"/>
      <c r="C70" s="313"/>
      <c r="D70" s="313">
        <f>(C67+D67)/2</f>
        <v>376.16499999999996</v>
      </c>
      <c r="E70" s="313">
        <f t="shared" ref="E70:L70" si="19">(D67+E67)/2</f>
        <v>429.78</v>
      </c>
      <c r="F70" s="313">
        <f t="shared" si="19"/>
        <v>419.77499999999998</v>
      </c>
      <c r="G70" s="313">
        <f t="shared" si="19"/>
        <v>376.35</v>
      </c>
      <c r="H70" s="313">
        <f t="shared" si="19"/>
        <v>353.86500000000001</v>
      </c>
      <c r="I70" s="313">
        <f t="shared" si="19"/>
        <v>348.98</v>
      </c>
      <c r="J70" s="313">
        <f t="shared" si="19"/>
        <v>473.08</v>
      </c>
      <c r="K70" s="313">
        <f t="shared" si="19"/>
        <v>616.02499999999998</v>
      </c>
      <c r="L70" s="313">
        <f t="shared" si="19"/>
        <v>773.18999999999994</v>
      </c>
      <c r="M70" s="304"/>
    </row>
    <row r="71" spans="1:13" x14ac:dyDescent="0.2">
      <c r="A71" s="309" t="s">
        <v>637</v>
      </c>
      <c r="B71" s="309"/>
      <c r="C71" s="304">
        <f>'Data Sheet'!B59+'Data Sheet'!B60</f>
        <v>283.37</v>
      </c>
      <c r="D71" s="304">
        <f>'Data Sheet'!C59+'Data Sheet'!C60</f>
        <v>354.93</v>
      </c>
      <c r="E71" s="304">
        <f>'Data Sheet'!D59+'Data Sheet'!D60</f>
        <v>351.15999999999997</v>
      </c>
      <c r="F71" s="304">
        <f>'Data Sheet'!E59+'Data Sheet'!E60</f>
        <v>322.42999999999995</v>
      </c>
      <c r="G71" s="304">
        <f>'Data Sheet'!F59+'Data Sheet'!F60</f>
        <v>260.64</v>
      </c>
      <c r="H71" s="304">
        <f>'Data Sheet'!G59+'Data Sheet'!G60</f>
        <v>263.02</v>
      </c>
      <c r="I71" s="304">
        <f>'Data Sheet'!H59+'Data Sheet'!H60</f>
        <v>223.78</v>
      </c>
      <c r="J71" s="304">
        <f>'Data Sheet'!I59+'Data Sheet'!I60</f>
        <v>445.02</v>
      </c>
      <c r="K71" s="305">
        <f>'Data Sheet'!J59+'Data Sheet'!J60</f>
        <v>431.46</v>
      </c>
      <c r="L71" s="305">
        <f>'Data Sheet'!K59+'Data Sheet'!K60</f>
        <v>670.17000000000007</v>
      </c>
      <c r="M71" s="305">
        <f>'Data Sheet'!L59+'Data Sheet'!L60</f>
        <v>0</v>
      </c>
    </row>
    <row r="72" spans="1:13" x14ac:dyDescent="0.2">
      <c r="A72" s="310" t="s">
        <v>619</v>
      </c>
      <c r="B72" s="309" t="s">
        <v>620</v>
      </c>
      <c r="C72" s="304">
        <f>'Data Sheet'!B66</f>
        <v>371.43</v>
      </c>
      <c r="D72" s="304">
        <f>'Data Sheet'!C66</f>
        <v>428.87</v>
      </c>
      <c r="E72" s="304">
        <f>'Data Sheet'!D66</f>
        <v>430.77</v>
      </c>
      <c r="F72" s="304">
        <f>'Data Sheet'!E66</f>
        <v>408.78</v>
      </c>
      <c r="G72" s="304">
        <f>'Data Sheet'!F66</f>
        <v>347.3</v>
      </c>
      <c r="H72" s="304">
        <f>'Data Sheet'!G66</f>
        <v>363.81</v>
      </c>
      <c r="I72" s="304">
        <f>'Data Sheet'!H66</f>
        <v>355.33</v>
      </c>
      <c r="J72" s="304">
        <f>'Data Sheet'!I66</f>
        <v>612.01</v>
      </c>
      <c r="K72" s="304">
        <f>'Data Sheet'!J66</f>
        <v>637.1</v>
      </c>
      <c r="L72" s="304">
        <f>'Data Sheet'!K66</f>
        <v>926.34</v>
      </c>
      <c r="M72" s="304">
        <f>'Data Sheet'!L66</f>
        <v>0</v>
      </c>
    </row>
    <row r="73" spans="1:13" x14ac:dyDescent="0.2">
      <c r="A73" s="314" t="s">
        <v>638</v>
      </c>
      <c r="B73" s="315" t="s">
        <v>639</v>
      </c>
      <c r="C73" s="282"/>
      <c r="D73" s="316">
        <f>(C72+D72)/2</f>
        <v>400.15</v>
      </c>
      <c r="E73" s="316">
        <f t="shared" ref="E73:L73" si="20">(D72+E72)/2</f>
        <v>429.82</v>
      </c>
      <c r="F73" s="316">
        <f t="shared" si="20"/>
        <v>419.77499999999998</v>
      </c>
      <c r="G73" s="316">
        <f t="shared" si="20"/>
        <v>378.03999999999996</v>
      </c>
      <c r="H73" s="316">
        <f t="shared" si="20"/>
        <v>355.55500000000001</v>
      </c>
      <c r="I73" s="316">
        <f t="shared" si="20"/>
        <v>359.57</v>
      </c>
      <c r="J73" s="316">
        <f t="shared" si="20"/>
        <v>483.66999999999996</v>
      </c>
      <c r="K73" s="316">
        <f t="shared" si="20"/>
        <v>624.55500000000006</v>
      </c>
      <c r="L73" s="316">
        <f t="shared" si="20"/>
        <v>781.72</v>
      </c>
      <c r="M73" s="282"/>
    </row>
    <row r="74" spans="1:13" x14ac:dyDescent="0.2">
      <c r="A74" s="314" t="s">
        <v>640</v>
      </c>
      <c r="B74" s="315" t="s">
        <v>641</v>
      </c>
      <c r="C74" s="317">
        <f>C56+C57</f>
        <v>287.39999999999998</v>
      </c>
      <c r="D74" s="317">
        <f t="shared" ref="D74:L74" si="21">D56+D57</f>
        <v>313.24</v>
      </c>
      <c r="E74" s="317">
        <f t="shared" si="21"/>
        <v>295.08</v>
      </c>
      <c r="F74" s="317">
        <f t="shared" si="21"/>
        <v>249.28</v>
      </c>
      <c r="G74" s="317">
        <f t="shared" si="21"/>
        <v>231.47</v>
      </c>
      <c r="H74" s="317">
        <f t="shared" si="21"/>
        <v>212.99</v>
      </c>
      <c r="I74" s="317">
        <f t="shared" si="21"/>
        <v>212.39000000000001</v>
      </c>
      <c r="J74" s="317">
        <f t="shared" si="21"/>
        <v>416.74</v>
      </c>
      <c r="K74" s="317">
        <f t="shared" si="21"/>
        <v>399.13</v>
      </c>
      <c r="L74" s="317">
        <f t="shared" si="21"/>
        <v>614.29</v>
      </c>
      <c r="M74" s="282"/>
    </row>
    <row r="75" spans="1:13" ht="24" x14ac:dyDescent="0.2">
      <c r="A75" s="314" t="s">
        <v>642</v>
      </c>
      <c r="B75" s="315" t="s">
        <v>643</v>
      </c>
      <c r="C75" s="282"/>
      <c r="D75" s="316">
        <f>(C74+D74)/2</f>
        <v>300.32</v>
      </c>
      <c r="E75" s="316">
        <f t="shared" ref="E75:L75" si="22">(D74+E74)/2</f>
        <v>304.15999999999997</v>
      </c>
      <c r="F75" s="316">
        <f t="shared" si="22"/>
        <v>272.18</v>
      </c>
      <c r="G75" s="316">
        <f t="shared" si="22"/>
        <v>240.375</v>
      </c>
      <c r="H75" s="316">
        <f t="shared" si="22"/>
        <v>222.23000000000002</v>
      </c>
      <c r="I75" s="316">
        <f t="shared" si="22"/>
        <v>212.69</v>
      </c>
      <c r="J75" s="316">
        <f t="shared" si="22"/>
        <v>314.565</v>
      </c>
      <c r="K75" s="316">
        <f t="shared" si="22"/>
        <v>407.935</v>
      </c>
      <c r="L75" s="316">
        <f t="shared" si="22"/>
        <v>506.71</v>
      </c>
      <c r="M75" s="282"/>
    </row>
    <row r="76" spans="1:13" x14ac:dyDescent="0.2">
      <c r="A76" s="418"/>
      <c r="B76" s="418"/>
      <c r="C76" s="418"/>
      <c r="D76" s="418"/>
      <c r="E76" s="418"/>
      <c r="F76" s="418"/>
      <c r="G76" s="418"/>
      <c r="H76" s="418"/>
      <c r="I76" s="418"/>
      <c r="J76" s="418"/>
      <c r="K76" s="418"/>
      <c r="L76" s="418"/>
      <c r="M76" s="286"/>
    </row>
    <row r="77" spans="1:13" x14ac:dyDescent="0.2">
      <c r="A77" s="308" t="s">
        <v>644</v>
      </c>
      <c r="B77" s="308" t="s">
        <v>583</v>
      </c>
      <c r="C77" s="304">
        <f>'Data Sheet'!B82</f>
        <v>17.87</v>
      </c>
      <c r="D77" s="304">
        <f>'Data Sheet'!C82</f>
        <v>14.27</v>
      </c>
      <c r="E77" s="304">
        <f>'Data Sheet'!D82</f>
        <v>0.55000000000000004</v>
      </c>
      <c r="F77" s="304">
        <f>'Data Sheet'!E82</f>
        <v>45.39</v>
      </c>
      <c r="G77" s="304">
        <f>'Data Sheet'!F82</f>
        <v>64.180000000000007</v>
      </c>
      <c r="H77" s="304">
        <f>'Data Sheet'!G82</f>
        <v>88.9</v>
      </c>
      <c r="I77" s="304">
        <f>'Data Sheet'!H82</f>
        <v>86.62</v>
      </c>
      <c r="J77" s="304">
        <f>'Data Sheet'!I82</f>
        <v>44.51</v>
      </c>
      <c r="K77" s="304">
        <f>'Data Sheet'!J82</f>
        <v>100.4</v>
      </c>
      <c r="L77" s="304">
        <f>'Data Sheet'!K82</f>
        <v>59.16</v>
      </c>
      <c r="M77" s="304">
        <f>'Data Sheet'!L82</f>
        <v>0</v>
      </c>
    </row>
    <row r="78" spans="1:13" x14ac:dyDescent="0.2">
      <c r="A78" s="308" t="s">
        <v>645</v>
      </c>
      <c r="B78" s="308" t="s">
        <v>646</v>
      </c>
      <c r="C78" s="318">
        <f t="shared" ref="C78:M78" si="23">C77-C30</f>
        <v>17.87</v>
      </c>
      <c r="D78" s="318">
        <f t="shared" si="23"/>
        <v>-8.500000000000032</v>
      </c>
      <c r="E78" s="318">
        <f t="shared" si="23"/>
        <v>6.0000000000040687E-2</v>
      </c>
      <c r="F78" s="318">
        <f t="shared" si="23"/>
        <v>45.859999999999985</v>
      </c>
      <c r="G78" s="318">
        <f t="shared" si="23"/>
        <v>58.010000000000005</v>
      </c>
      <c r="H78" s="318">
        <f t="shared" si="23"/>
        <v>82.88</v>
      </c>
      <c r="I78" s="318">
        <f t="shared" si="23"/>
        <v>62.350000000000009</v>
      </c>
      <c r="J78" s="318">
        <f t="shared" si="23"/>
        <v>-187.78</v>
      </c>
      <c r="K78" s="318">
        <f t="shared" si="23"/>
        <v>78.450000000000017</v>
      </c>
      <c r="L78" s="318">
        <f t="shared" si="23"/>
        <v>-197.64999999999995</v>
      </c>
      <c r="M78" s="318">
        <f t="shared" si="23"/>
        <v>614.29</v>
      </c>
    </row>
    <row r="79" spans="1:13" x14ac:dyDescent="0.2">
      <c r="A79" s="308" t="s">
        <v>262</v>
      </c>
      <c r="B79" s="308" t="s">
        <v>647</v>
      </c>
      <c r="C79" s="319">
        <f t="shared" ref="C79:M79" si="24">C40/C39</f>
        <v>-0.88986784140969322</v>
      </c>
      <c r="D79" s="319">
        <f t="shared" si="24"/>
        <v>0.38811795316565451</v>
      </c>
      <c r="E79" s="319">
        <f t="shared" si="24"/>
        <v>0.31999999999999829</v>
      </c>
      <c r="F79" s="319">
        <f t="shared" si="24"/>
        <v>0.3029989658738359</v>
      </c>
      <c r="G79" s="319">
        <f t="shared" si="24"/>
        <v>0</v>
      </c>
      <c r="H79" s="319">
        <f t="shared" si="24"/>
        <v>0.32602478551000941</v>
      </c>
      <c r="I79" s="319">
        <f t="shared" si="24"/>
        <v>0.33044649730561976</v>
      </c>
      <c r="J79" s="319">
        <f t="shared" si="24"/>
        <v>0.23790922619047603</v>
      </c>
      <c r="K79" s="319">
        <f t="shared" si="24"/>
        <v>0.32279840441853325</v>
      </c>
      <c r="L79" s="319">
        <f t="shared" si="24"/>
        <v>0.18380462724935726</v>
      </c>
      <c r="M79" s="319" t="e">
        <f t="shared" si="24"/>
        <v>#DIV/0!</v>
      </c>
    </row>
    <row r="80" spans="1:13" x14ac:dyDescent="0.2">
      <c r="A80" s="308" t="s">
        <v>648</v>
      </c>
      <c r="B80" s="308" t="s">
        <v>649</v>
      </c>
      <c r="C80" s="318">
        <f t="shared" ref="C80:M80" si="25">C37*(1-C79)</f>
        <v>23.283171806167427</v>
      </c>
      <c r="D80" s="318">
        <f t="shared" si="25"/>
        <v>0.51398091934083934</v>
      </c>
      <c r="E80" s="318">
        <f t="shared" si="25"/>
        <v>10.982000000000031</v>
      </c>
      <c r="F80" s="318">
        <f t="shared" si="25"/>
        <v>21.404901758014514</v>
      </c>
      <c r="G80" s="318">
        <f t="shared" si="25"/>
        <v>21.200000000000014</v>
      </c>
      <c r="H80" s="318">
        <f t="shared" si="25"/>
        <v>32.54626310772165</v>
      </c>
      <c r="I80" s="318">
        <f t="shared" si="25"/>
        <v>46.480404157043871</v>
      </c>
      <c r="J80" s="318">
        <f t="shared" si="25"/>
        <v>58.208493303571466</v>
      </c>
      <c r="K80" s="318">
        <f t="shared" si="25"/>
        <v>66.494424670144213</v>
      </c>
      <c r="L80" s="318">
        <f t="shared" si="25"/>
        <v>75.302185089974316</v>
      </c>
      <c r="M80" s="318" t="e">
        <f t="shared" si="25"/>
        <v>#DIV/0!</v>
      </c>
    </row>
    <row r="81" spans="1:13" x14ac:dyDescent="0.2">
      <c r="A81" s="411"/>
      <c r="B81" s="411"/>
      <c r="C81" s="411"/>
      <c r="D81" s="411"/>
      <c r="E81" s="411"/>
      <c r="F81" s="411"/>
      <c r="G81" s="411"/>
      <c r="H81" s="411"/>
      <c r="I81" s="411"/>
      <c r="J81" s="411"/>
      <c r="K81" s="411"/>
      <c r="L81" s="411"/>
      <c r="M81" s="286"/>
    </row>
    <row r="82" spans="1:13" x14ac:dyDescent="0.2">
      <c r="A82" s="320" t="s">
        <v>650</v>
      </c>
      <c r="B82" s="292"/>
      <c r="C82" s="321" t="e">
        <f t="shared" ref="C82:M82" si="26">C43+B42</f>
        <v>#VALUE!</v>
      </c>
      <c r="D82" s="321">
        <f t="shared" si="26"/>
        <v>19.763629379999998</v>
      </c>
      <c r="E82" s="321">
        <f t="shared" si="26"/>
        <v>39.875532149999998</v>
      </c>
      <c r="F82" s="321">
        <f t="shared" si="26"/>
        <v>56.92575969</v>
      </c>
      <c r="G82" s="321">
        <f t="shared" si="26"/>
        <v>28.325378009999998</v>
      </c>
      <c r="H82" s="321">
        <f t="shared" si="26"/>
        <v>45.742277110000003</v>
      </c>
      <c r="I82" s="321">
        <f t="shared" si="26"/>
        <v>73.609315669999987</v>
      </c>
      <c r="J82" s="321">
        <f t="shared" si="26"/>
        <v>181.22987265499998</v>
      </c>
      <c r="K82" s="321">
        <f t="shared" si="26"/>
        <v>305.06734341999999</v>
      </c>
      <c r="L82" s="321">
        <f t="shared" si="26"/>
        <v>601.24629601000004</v>
      </c>
      <c r="M82" s="321">
        <f t="shared" si="26"/>
        <v>5.5</v>
      </c>
    </row>
    <row r="83" spans="1:13" x14ac:dyDescent="0.2">
      <c r="A83" s="297" t="s">
        <v>651</v>
      </c>
      <c r="B83" s="297" t="s">
        <v>652</v>
      </c>
      <c r="C83" s="321">
        <f t="shared" ref="C83:M83" si="27">C41-C42</f>
        <v>-4.2899999999999956</v>
      </c>
      <c r="D83" s="321">
        <f t="shared" si="27"/>
        <v>-14.110000000000017</v>
      </c>
      <c r="E83" s="321">
        <f t="shared" si="27"/>
        <v>0.68000000000000527</v>
      </c>
      <c r="F83" s="321">
        <f t="shared" si="27"/>
        <v>6.7400000000000233</v>
      </c>
      <c r="G83" s="321">
        <f t="shared" si="27"/>
        <v>0.30000000000001492</v>
      </c>
      <c r="H83" s="321">
        <f t="shared" si="27"/>
        <v>14.140000000000008</v>
      </c>
      <c r="I83" s="321">
        <f t="shared" si="27"/>
        <v>31.349999999999998</v>
      </c>
      <c r="J83" s="321">
        <f t="shared" si="27"/>
        <v>36.390000000000036</v>
      </c>
      <c r="K83" s="321">
        <f t="shared" si="27"/>
        <v>39.560000000000009</v>
      </c>
      <c r="L83" s="321">
        <f t="shared" si="27"/>
        <v>51.650000000000027</v>
      </c>
      <c r="M83" s="321">
        <f t="shared" si="27"/>
        <v>0</v>
      </c>
    </row>
    <row r="84" spans="1:13" x14ac:dyDescent="0.2">
      <c r="A84" s="412"/>
      <c r="B84" s="412"/>
      <c r="C84" s="412"/>
      <c r="D84" s="412"/>
      <c r="E84" s="412"/>
      <c r="F84" s="412"/>
      <c r="G84" s="412"/>
      <c r="H84" s="412"/>
      <c r="I84" s="412"/>
      <c r="J84" s="412"/>
      <c r="K84" s="412"/>
      <c r="L84" s="412"/>
      <c r="M84" s="286"/>
    </row>
    <row r="85" spans="1:13" x14ac:dyDescent="0.2">
      <c r="A85" s="308" t="s">
        <v>186</v>
      </c>
      <c r="B85" s="308" t="s">
        <v>653</v>
      </c>
      <c r="C85" s="322">
        <f>'Profit &amp; Loss'!B15/'Profit &amp; Loss'!B13</f>
        <v>-11.174604062937062</v>
      </c>
      <c r="D85" s="322">
        <f>'Profit &amp; Loss'!C15/'Profit &amp; Loss'!C13</f>
        <v>-1.4006824507441531</v>
      </c>
      <c r="E85" s="322">
        <f>'Profit &amp; Loss'!D15/'Profit &amp; Loss'!D13</f>
        <v>58.640488455882348</v>
      </c>
      <c r="F85" s="322">
        <f>'Profit &amp; Loss'!E15/'Profit &amp; Loss'!E13</f>
        <v>8.4459584109792285</v>
      </c>
      <c r="G85" s="322">
        <f>'Profit &amp; Loss'!F15/'Profit &amp; Loss'!F13</f>
        <v>94.417926699999981</v>
      </c>
      <c r="H85" s="322">
        <f>'Profit &amp; Loss'!G15/'Profit &amp; Loss'!G13</f>
        <v>3.2349559483734085</v>
      </c>
      <c r="I85" s="322">
        <f>'Profit &amp; Loss'!H15/'Profit &amp; Loss'!H13</f>
        <v>2.1164265575043126</v>
      </c>
      <c r="J85" s="322">
        <f>'Profit &amp; Loss'!I15/'Profit &amp; Loss'!I13</f>
        <v>4.34057306286621</v>
      </c>
      <c r="K85" s="322">
        <f>'Profit &amp; Loss'!J15/'Profit &amp; Loss'!J13</f>
        <v>6.8045141173007249</v>
      </c>
      <c r="L85" s="322">
        <f>'Profit &amp; Loss'!K15/'Profit &amp; Loss'!K13</f>
        <v>10.440355135783028</v>
      </c>
      <c r="M85" s="322">
        <f>'Profit &amp; Loss'!L15/'Profit &amp; Loss'!L13</f>
        <v>10.552715058779622</v>
      </c>
    </row>
    <row r="86" spans="1:13" x14ac:dyDescent="0.2">
      <c r="A86" s="308" t="s">
        <v>193</v>
      </c>
      <c r="B86" s="308" t="s">
        <v>654</v>
      </c>
      <c r="C86" s="308"/>
      <c r="D86" s="322">
        <f>D85/((('Profit &amp; Loss'!C13-'Profit &amp; Loss'!B13)/'Profit &amp; Loss'!B13)*100)</f>
        <v>-6.1190709915401398E-3</v>
      </c>
      <c r="E86" s="322">
        <f>E85/((('Profit &amp; Loss'!D13-'Profit &amp; Loss'!C13)/'Profit &amp; Loss'!C13)*100)</f>
        <v>-0.56226383489297149</v>
      </c>
      <c r="F86" s="322">
        <f>F85/((('Profit &amp; Loss'!E13-'Profit &amp; Loss'!D13)/'Profit &amp; Loss'!D13)*100)</f>
        <v>9.4773130684255354E-3</v>
      </c>
      <c r="G86" s="322">
        <f>G85/((('Profit &amp; Loss'!F13-'Profit &amp; Loss'!E13)/'Profit &amp; Loss'!E13)*100)</f>
        <v>-0.98816277322670787</v>
      </c>
      <c r="H86" s="322">
        <f>H85/((('Profit &amp; Loss'!G13-'Profit &amp; Loss'!F13)/'Profit &amp; Loss'!F13)*100)</f>
        <v>7.012187749364325E-4</v>
      </c>
      <c r="I86" s="322">
        <f>I85/((('Profit &amp; Loss'!H13-'Profit &amp; Loss'!G13)/'Profit &amp; Loss'!G13)*100)</f>
        <v>1.4499162559646797E-2</v>
      </c>
      <c r="J86" s="322">
        <f>J85/((('Profit &amp; Loss'!I13-'Profit &amp; Loss'!H13)/'Profit &amp; Loss'!H13)*100)</f>
        <v>0.2442801474538619</v>
      </c>
      <c r="K86" s="322">
        <f>K85/((('Profit &amp; Loss'!J13-'Profit &amp; Loss'!I13)/'Profit &amp; Loss'!I13)*100)</f>
        <v>0.87097780701449412</v>
      </c>
      <c r="L86" s="322">
        <f>L85/((('Profit &amp; Loss'!K13-'Profit &amp; Loss'!J13)/'Profit &amp; Loss'!J13)*100)</f>
        <v>0.35492385126726606</v>
      </c>
      <c r="M86" s="322">
        <f>M85/((('Profit &amp; Loss'!L13-'Profit &amp; Loss'!K13)/'Profit &amp; Loss'!K13)*100)</f>
        <v>-0.46624912975129218</v>
      </c>
    </row>
    <row r="87" spans="1:13" x14ac:dyDescent="0.2">
      <c r="A87" s="308" t="s">
        <v>655</v>
      </c>
      <c r="B87" s="323" t="s">
        <v>656</v>
      </c>
      <c r="C87" s="324">
        <f t="shared" ref="C87:M87" si="28">C43/C48</f>
        <v>0.54439077254144896</v>
      </c>
      <c r="D87" s="324">
        <f t="shared" si="28"/>
        <v>0.26729279659183119</v>
      </c>
      <c r="E87" s="324">
        <f t="shared" si="28"/>
        <v>0.5008859709835447</v>
      </c>
      <c r="F87" s="324">
        <f t="shared" si="28"/>
        <v>0.65924446658946156</v>
      </c>
      <c r="G87" s="324">
        <f t="shared" si="28"/>
        <v>0.32685642753288713</v>
      </c>
      <c r="H87" s="324">
        <f t="shared" si="28"/>
        <v>0.45383745520388935</v>
      </c>
      <c r="I87" s="324">
        <f t="shared" si="28"/>
        <v>0.55955390095020885</v>
      </c>
      <c r="J87" s="324">
        <f t="shared" si="28"/>
        <v>1.064673768818492</v>
      </c>
      <c r="K87" s="324">
        <f t="shared" si="28"/>
        <v>1.4612300302470338</v>
      </c>
      <c r="L87" s="324">
        <f t="shared" si="28"/>
        <v>2.32918099703322</v>
      </c>
      <c r="M87" s="324" t="e">
        <f t="shared" si="28"/>
        <v>#DIV/0!</v>
      </c>
    </row>
    <row r="88" spans="1:13" x14ac:dyDescent="0.2">
      <c r="A88" s="310" t="s">
        <v>657</v>
      </c>
      <c r="B88" s="310" t="s">
        <v>658</v>
      </c>
      <c r="C88" s="318">
        <f t="shared" ref="C88:M88" si="29">C43/C77</f>
        <v>2.6826553682148853</v>
      </c>
      <c r="D88" s="318">
        <f t="shared" si="29"/>
        <v>1.3849775318850734</v>
      </c>
      <c r="E88" s="318">
        <f t="shared" si="29"/>
        <v>72.500967545454529</v>
      </c>
      <c r="F88" s="318">
        <f t="shared" si="29"/>
        <v>1.2541476027759417</v>
      </c>
      <c r="G88" s="318">
        <f t="shared" si="29"/>
        <v>0.44134275490807096</v>
      </c>
      <c r="H88" s="318">
        <f t="shared" si="29"/>
        <v>0.51453630044994381</v>
      </c>
      <c r="I88" s="318">
        <f t="shared" si="29"/>
        <v>0.84979584010621079</v>
      </c>
      <c r="J88" s="318">
        <f t="shared" si="29"/>
        <v>3.9943804236126712</v>
      </c>
      <c r="K88" s="318">
        <f t="shared" si="29"/>
        <v>2.9929018268924303</v>
      </c>
      <c r="L88" s="318">
        <f t="shared" si="29"/>
        <v>10.085637187457742</v>
      </c>
      <c r="M88" s="318" t="e">
        <f t="shared" si="29"/>
        <v>#DIV/0!</v>
      </c>
    </row>
    <row r="89" spans="1:13" x14ac:dyDescent="0.2">
      <c r="A89" s="310" t="s">
        <v>659</v>
      </c>
      <c r="B89" s="310" t="s">
        <v>660</v>
      </c>
      <c r="C89" s="318">
        <f t="shared" ref="C89:M89" si="30">C43/C78</f>
        <v>2.6826553682148853</v>
      </c>
      <c r="D89" s="318">
        <f t="shared" si="30"/>
        <v>-2.325132868235285</v>
      </c>
      <c r="E89" s="318">
        <f t="shared" si="30"/>
        <v>664.59220249954933</v>
      </c>
      <c r="F89" s="318">
        <f t="shared" si="30"/>
        <v>1.2412943674225909</v>
      </c>
      <c r="G89" s="318">
        <f t="shared" si="30"/>
        <v>0.48828439941389407</v>
      </c>
      <c r="H89" s="318">
        <f t="shared" si="30"/>
        <v>0.55190971416505796</v>
      </c>
      <c r="I89" s="318">
        <f t="shared" si="30"/>
        <v>1.1805824485966316</v>
      </c>
      <c r="J89" s="318">
        <f t="shared" si="30"/>
        <v>-0.94679876799978691</v>
      </c>
      <c r="K89" s="318">
        <f t="shared" si="30"/>
        <v>3.8303039314212866</v>
      </c>
      <c r="L89" s="318">
        <f t="shared" si="30"/>
        <v>-3.0188024083480909</v>
      </c>
      <c r="M89" s="318">
        <f t="shared" si="30"/>
        <v>0</v>
      </c>
    </row>
    <row r="90" spans="1:13" x14ac:dyDescent="0.2">
      <c r="A90" s="310" t="s">
        <v>661</v>
      </c>
      <c r="B90" s="310" t="s">
        <v>662</v>
      </c>
      <c r="C90" s="318">
        <f t="shared" ref="C90:M90" si="31">C43/C32</f>
        <v>0.23527214090106008</v>
      </c>
      <c r="D90" s="318">
        <f t="shared" si="31"/>
        <v>7.5356042932855444E-2</v>
      </c>
      <c r="E90" s="318">
        <f t="shared" si="31"/>
        <v>0.13206005017386985</v>
      </c>
      <c r="F90" s="318">
        <f t="shared" si="31"/>
        <v>0.13853246298549596</v>
      </c>
      <c r="G90" s="318">
        <f t="shared" si="31"/>
        <v>6.6134433831426559E-2</v>
      </c>
      <c r="H90" s="318">
        <f t="shared" si="31"/>
        <v>0.10254966284048873</v>
      </c>
      <c r="I90" s="318">
        <f t="shared" si="31"/>
        <v>0.15073374220829747</v>
      </c>
      <c r="J90" s="318">
        <f t="shared" si="31"/>
        <v>0.28839987777994058</v>
      </c>
      <c r="K90" s="318">
        <f t="shared" si="31"/>
        <v>0.39183609141053893</v>
      </c>
      <c r="L90" s="318">
        <f t="shared" si="31"/>
        <v>0.63925335448584708</v>
      </c>
      <c r="M90" s="318" t="e">
        <f t="shared" si="31"/>
        <v>#DIV/0!</v>
      </c>
    </row>
    <row r="91" spans="1:13" x14ac:dyDescent="0.2">
      <c r="A91" s="310" t="s">
        <v>188</v>
      </c>
      <c r="B91" s="310" t="s">
        <v>663</v>
      </c>
      <c r="C91" s="318">
        <f t="shared" ref="C91:M91" si="32">(C43+C51-C8)/C35</f>
        <v>9.4246947449865299</v>
      </c>
      <c r="D91" s="318">
        <f t="shared" si="32"/>
        <v>-142.88951990134419</v>
      </c>
      <c r="E91" s="318">
        <f t="shared" si="32"/>
        <v>10.008204946839079</v>
      </c>
      <c r="F91" s="318">
        <f t="shared" si="32"/>
        <v>4.4820589122830077</v>
      </c>
      <c r="G91" s="318">
        <f t="shared" si="32"/>
        <v>6.1346918550243448</v>
      </c>
      <c r="H91" s="318">
        <f t="shared" si="32"/>
        <v>3.4634191112790216</v>
      </c>
      <c r="I91" s="318">
        <f t="shared" si="32"/>
        <v>2.6473572560186653</v>
      </c>
      <c r="J91" s="318">
        <f t="shared" si="32"/>
        <v>5.3238101289781419</v>
      </c>
      <c r="K91" s="318">
        <f t="shared" si="32"/>
        <v>4.7331204603992738</v>
      </c>
      <c r="L91" s="318">
        <f t="shared" si="32"/>
        <v>8.6542177283996704</v>
      </c>
      <c r="M91" s="318" t="e">
        <f t="shared" si="32"/>
        <v>#DIV/0!</v>
      </c>
    </row>
    <row r="92" spans="1:13" x14ac:dyDescent="0.2">
      <c r="A92" s="304" t="s">
        <v>537</v>
      </c>
      <c r="B92" s="304" t="s">
        <v>664</v>
      </c>
      <c r="C92" s="325">
        <f t="shared" ref="C92:M92" si="33">C42/C43</f>
        <v>0</v>
      </c>
      <c r="D92" s="325">
        <f t="shared" si="33"/>
        <v>0</v>
      </c>
      <c r="E92" s="325">
        <f t="shared" si="33"/>
        <v>0</v>
      </c>
      <c r="F92" s="325">
        <f t="shared" si="33"/>
        <v>0</v>
      </c>
      <c r="G92" s="325">
        <f t="shared" si="33"/>
        <v>0</v>
      </c>
      <c r="H92" s="325">
        <f t="shared" si="33"/>
        <v>0</v>
      </c>
      <c r="I92" s="325">
        <f t="shared" si="33"/>
        <v>4.6733215336791901E-2</v>
      </c>
      <c r="J92" s="325">
        <f t="shared" si="33"/>
        <v>2.5760747401442029E-2</v>
      </c>
      <c r="K92" s="325">
        <f t="shared" si="33"/>
        <v>1.524190652382453E-2</v>
      </c>
      <c r="L92" s="325">
        <f t="shared" si="33"/>
        <v>9.2178828212341676E-3</v>
      </c>
      <c r="M92" s="325" t="e">
        <f t="shared" si="33"/>
        <v>#DIV/0!</v>
      </c>
    </row>
    <row r="93" spans="1:13" x14ac:dyDescent="0.2">
      <c r="A93" s="282" t="s">
        <v>665</v>
      </c>
      <c r="B93" s="282" t="s">
        <v>666</v>
      </c>
      <c r="C93" s="326">
        <f t="shared" ref="C93:M93" si="34">C43-C8+C51</f>
        <v>314.87905143</v>
      </c>
      <c r="D93" s="326">
        <f t="shared" si="34"/>
        <v>318.64362937999999</v>
      </c>
      <c r="E93" s="326">
        <f t="shared" si="34"/>
        <v>348.28553214999999</v>
      </c>
      <c r="F93" s="326">
        <f t="shared" si="34"/>
        <v>340.81575968999999</v>
      </c>
      <c r="G93" s="326">
        <f t="shared" si="34"/>
        <v>277.16537800999998</v>
      </c>
      <c r="H93" s="326">
        <f t="shared" si="34"/>
        <v>252.10227710999999</v>
      </c>
      <c r="I93" s="326">
        <f t="shared" si="34"/>
        <v>249.61931566999999</v>
      </c>
      <c r="J93" s="326">
        <f t="shared" si="34"/>
        <v>555.37987265499999</v>
      </c>
      <c r="K93" s="326">
        <f t="shared" si="34"/>
        <v>651.98734342</v>
      </c>
      <c r="L93" s="326">
        <f t="shared" si="34"/>
        <v>1158.88629601</v>
      </c>
      <c r="M93" s="326">
        <f t="shared" si="34"/>
        <v>0</v>
      </c>
    </row>
    <row r="94" spans="1:13" ht="17.25" customHeight="1" x14ac:dyDescent="0.2">
      <c r="A94" s="282" t="s">
        <v>667</v>
      </c>
      <c r="B94" s="282" t="s">
        <v>668</v>
      </c>
      <c r="C94" s="326"/>
      <c r="D94" s="326"/>
      <c r="E94" s="326"/>
      <c r="F94" s="326"/>
      <c r="G94" s="326"/>
      <c r="H94" s="326"/>
      <c r="I94" s="326"/>
      <c r="J94" s="326"/>
      <c r="K94" s="326"/>
      <c r="L94" s="326"/>
      <c r="M94" s="326"/>
    </row>
    <row r="95" spans="1:13" x14ac:dyDescent="0.2">
      <c r="A95" s="411"/>
      <c r="B95" s="411"/>
      <c r="C95" s="411"/>
      <c r="D95" s="411"/>
      <c r="E95" s="411"/>
      <c r="F95" s="411"/>
      <c r="G95" s="411"/>
      <c r="H95" s="411"/>
      <c r="I95" s="411"/>
      <c r="J95" s="411"/>
      <c r="K95" s="411"/>
      <c r="L95" s="411"/>
      <c r="M95" s="286"/>
    </row>
    <row r="96" spans="1:13" x14ac:dyDescent="0.2">
      <c r="A96" s="304" t="s">
        <v>669</v>
      </c>
      <c r="B96" s="304" t="s">
        <v>669</v>
      </c>
      <c r="C96" s="318">
        <f t="shared" ref="C96:L96" si="35">C58/C72</f>
        <v>0.18307621893761947</v>
      </c>
      <c r="D96" s="318">
        <f t="shared" si="35"/>
        <v>0.14015902254762513</v>
      </c>
      <c r="E96" s="318">
        <f t="shared" si="35"/>
        <v>0.21598532859762751</v>
      </c>
      <c r="F96" s="318">
        <f t="shared" si="35"/>
        <v>0.29624737022359215</v>
      </c>
      <c r="G96" s="318">
        <f t="shared" si="35"/>
        <v>0.29976965159804203</v>
      </c>
      <c r="H96" s="318">
        <f t="shared" si="35"/>
        <v>0.25958604766224125</v>
      </c>
      <c r="I96" s="318">
        <f t="shared" si="35"/>
        <v>0.2680043902850871</v>
      </c>
      <c r="J96" s="318">
        <f t="shared" si="35"/>
        <v>0.20999656868351826</v>
      </c>
      <c r="K96" s="318">
        <f t="shared" si="35"/>
        <v>0.24890911944749644</v>
      </c>
      <c r="L96" s="318">
        <f t="shared" si="35"/>
        <v>0.22170045555627524</v>
      </c>
      <c r="M96" s="304"/>
    </row>
    <row r="97" spans="1:13" x14ac:dyDescent="0.2">
      <c r="A97" s="304" t="s">
        <v>670</v>
      </c>
      <c r="B97" s="304" t="s">
        <v>670</v>
      </c>
      <c r="C97" s="318">
        <f t="shared" ref="C97:L97" si="36">C83/C72</f>
        <v>-1.1549955577093922E-2</v>
      </c>
      <c r="D97" s="318">
        <f t="shared" si="36"/>
        <v>-3.2900412712477012E-2</v>
      </c>
      <c r="E97" s="318">
        <f t="shared" si="36"/>
        <v>1.5785686096989235E-3</v>
      </c>
      <c r="F97" s="318">
        <f t="shared" si="36"/>
        <v>1.64880865012966E-2</v>
      </c>
      <c r="G97" s="318">
        <f t="shared" si="36"/>
        <v>8.6380650734239829E-4</v>
      </c>
      <c r="H97" s="318">
        <f t="shared" si="36"/>
        <v>3.8866441274291549E-2</v>
      </c>
      <c r="I97" s="318">
        <f t="shared" si="36"/>
        <v>8.8227844538879344E-2</v>
      </c>
      <c r="J97" s="318">
        <f t="shared" si="36"/>
        <v>5.9459812748157773E-2</v>
      </c>
      <c r="K97" s="318">
        <f t="shared" si="36"/>
        <v>6.2093862815884492E-2</v>
      </c>
      <c r="L97" s="318">
        <f t="shared" si="36"/>
        <v>5.575706544033511E-2</v>
      </c>
      <c r="M97" s="304"/>
    </row>
    <row r="98" spans="1:13" x14ac:dyDescent="0.2">
      <c r="A98" s="304" t="s">
        <v>671</v>
      </c>
      <c r="B98" s="304" t="s">
        <v>671</v>
      </c>
      <c r="C98" s="318">
        <f t="shared" ref="C98:L98" si="37">C37/C72</f>
        <v>3.3169103195756951E-2</v>
      </c>
      <c r="D98" s="318">
        <f t="shared" si="37"/>
        <v>1.9586354839461425E-3</v>
      </c>
      <c r="E98" s="318">
        <f t="shared" si="37"/>
        <v>3.7491004480349158E-2</v>
      </c>
      <c r="F98" s="318">
        <f t="shared" si="37"/>
        <v>7.5125984637213233E-2</v>
      </c>
      <c r="G98" s="318">
        <f t="shared" si="37"/>
        <v>6.104232651885981E-2</v>
      </c>
      <c r="H98" s="318">
        <f t="shared" si="37"/>
        <v>0.13273411945795885</v>
      </c>
      <c r="I98" s="318">
        <f t="shared" si="37"/>
        <v>0.19536768637604482</v>
      </c>
      <c r="J98" s="318">
        <f t="shared" si="37"/>
        <v>0.12480188232218434</v>
      </c>
      <c r="K98" s="318">
        <f t="shared" si="37"/>
        <v>0.15412023230262126</v>
      </c>
      <c r="L98" s="318">
        <f t="shared" si="37"/>
        <v>9.9596260552281032E-2</v>
      </c>
      <c r="M98" s="304"/>
    </row>
    <row r="99" spans="1:13" x14ac:dyDescent="0.2">
      <c r="A99" s="304" t="s">
        <v>672</v>
      </c>
      <c r="B99" s="304" t="s">
        <v>672</v>
      </c>
      <c r="C99" s="318">
        <f t="shared" ref="C99:L99" si="38">C43/C71</f>
        <v>0.16917475890178918</v>
      </c>
      <c r="D99" s="318">
        <f t="shared" si="38"/>
        <v>5.568317521764854E-2</v>
      </c>
      <c r="E99" s="318">
        <f t="shared" si="38"/>
        <v>0.11355374231119718</v>
      </c>
      <c r="F99" s="318">
        <f t="shared" si="38"/>
        <v>0.17655230496541888</v>
      </c>
      <c r="G99" s="318">
        <f t="shared" si="38"/>
        <v>0.10867625080570902</v>
      </c>
      <c r="H99" s="318">
        <f t="shared" si="38"/>
        <v>0.17391178279218314</v>
      </c>
      <c r="I99" s="318">
        <f t="shared" si="38"/>
        <v>0.32893607860398599</v>
      </c>
      <c r="J99" s="318">
        <f t="shared" si="38"/>
        <v>0.39950984822030466</v>
      </c>
      <c r="K99" s="318">
        <f t="shared" si="38"/>
        <v>0.69644310809808563</v>
      </c>
      <c r="L99" s="318">
        <f t="shared" si="38"/>
        <v>0.89032080816807668</v>
      </c>
      <c r="M99" s="318"/>
    </row>
    <row r="100" spans="1:13" x14ac:dyDescent="0.2">
      <c r="A100" s="304" t="s">
        <v>673</v>
      </c>
      <c r="B100" s="304" t="s">
        <v>673</v>
      </c>
      <c r="C100" s="318">
        <f t="shared" ref="C100:L100" si="39">C32/C72</f>
        <v>0.54858250545190212</v>
      </c>
      <c r="D100" s="318">
        <f t="shared" si="39"/>
        <v>0.61153729568400672</v>
      </c>
      <c r="E100" s="318">
        <f t="shared" si="39"/>
        <v>0.70095410543909742</v>
      </c>
      <c r="F100" s="318">
        <f t="shared" si="39"/>
        <v>1.0052350897793436</v>
      </c>
      <c r="G100" s="318">
        <f t="shared" si="39"/>
        <v>1.2332277569824359</v>
      </c>
      <c r="H100" s="318">
        <f t="shared" si="39"/>
        <v>1.2260520601412825</v>
      </c>
      <c r="I100" s="318">
        <f t="shared" si="39"/>
        <v>1.3743280893817016</v>
      </c>
      <c r="J100" s="318">
        <f t="shared" si="39"/>
        <v>1.0072874626231598</v>
      </c>
      <c r="K100" s="318">
        <f t="shared" si="39"/>
        <v>1.2036885889185371</v>
      </c>
      <c r="L100" s="318">
        <f t="shared" si="39"/>
        <v>1.0075998013688279</v>
      </c>
      <c r="M100" s="304">
        <v>1</v>
      </c>
    </row>
    <row r="101" spans="1:13" x14ac:dyDescent="0.2">
      <c r="A101" s="309" t="s">
        <v>332</v>
      </c>
      <c r="B101" s="309"/>
      <c r="C101" s="318">
        <f t="shared" ref="C101:L101" si="40">$M$96*C96+$M$97*C97+$M$98*C98+$L$99*C99+$M$100*C100</f>
        <v>0.69920231351898265</v>
      </c>
      <c r="D101" s="318">
        <f t="shared" si="40"/>
        <v>0.66111318524514817</v>
      </c>
      <c r="E101" s="318">
        <f t="shared" si="40"/>
        <v>0.80205336506411196</v>
      </c>
      <c r="F101" s="318">
        <f t="shared" si="40"/>
        <v>1.162423280620092</v>
      </c>
      <c r="G101" s="318">
        <f t="shared" si="40"/>
        <v>1.3299844844284514</v>
      </c>
      <c r="H101" s="318">
        <f t="shared" si="40"/>
        <v>1.38088933914677</v>
      </c>
      <c r="I101" s="318">
        <f t="shared" si="40"/>
        <v>1.6671867247200405</v>
      </c>
      <c r="J101" s="318">
        <f t="shared" si="40"/>
        <v>1.3629793935617671</v>
      </c>
      <c r="K101" s="318">
        <f t="shared" si="40"/>
        <v>1.8237463797635121</v>
      </c>
      <c r="L101" s="318">
        <f t="shared" si="40"/>
        <v>1.8002709428258852</v>
      </c>
      <c r="M101" s="318">
        <f>$M$96*L96+$M$97*L97+$M$98*L98+$L$99*L99+$M$100*L100</f>
        <v>1.8002709428258852</v>
      </c>
    </row>
    <row r="102" spans="1:13" x14ac:dyDescent="0.2">
      <c r="A102" s="286" t="s">
        <v>674</v>
      </c>
      <c r="B102" s="286"/>
      <c r="C102" s="286"/>
      <c r="D102" s="286"/>
      <c r="E102" s="286"/>
      <c r="F102" s="286"/>
      <c r="G102" s="286"/>
      <c r="H102" s="286"/>
      <c r="I102" s="286"/>
      <c r="J102" s="286"/>
      <c r="K102" s="286"/>
      <c r="L102" s="286"/>
      <c r="M102" s="286"/>
    </row>
    <row r="103" spans="1:13" x14ac:dyDescent="0.2">
      <c r="A103" s="286" t="s">
        <v>675</v>
      </c>
      <c r="B103" s="286"/>
      <c r="C103" s="286"/>
      <c r="D103" s="286"/>
      <c r="E103" s="286"/>
      <c r="F103" s="286"/>
      <c r="G103" s="286"/>
      <c r="H103" s="286"/>
      <c r="I103" s="286"/>
      <c r="J103" s="286"/>
      <c r="K103" s="286"/>
      <c r="L103" s="286"/>
      <c r="M103" s="286"/>
    </row>
    <row r="104" spans="1:13" x14ac:dyDescent="0.2">
      <c r="A104" s="286" t="s">
        <v>676</v>
      </c>
      <c r="B104" s="286"/>
      <c r="C104" s="286"/>
      <c r="D104" s="286"/>
      <c r="E104" s="286"/>
      <c r="F104" s="286"/>
      <c r="G104" s="286"/>
      <c r="H104" s="286"/>
      <c r="I104" s="286"/>
      <c r="J104" s="286"/>
      <c r="K104" s="286"/>
      <c r="L104" s="286"/>
      <c r="M104" s="286"/>
    </row>
    <row r="105" spans="1:13" x14ac:dyDescent="0.2">
      <c r="A105" s="286"/>
      <c r="B105" s="286"/>
      <c r="C105" s="286"/>
      <c r="D105" s="286"/>
      <c r="E105" s="286"/>
      <c r="F105" s="286"/>
      <c r="G105" s="286"/>
      <c r="H105" s="286"/>
      <c r="I105" s="286"/>
      <c r="J105" s="286"/>
      <c r="K105" s="286"/>
      <c r="L105" s="286"/>
      <c r="M105" s="286"/>
    </row>
    <row r="106" spans="1:13" x14ac:dyDescent="0.2">
      <c r="A106" s="286"/>
      <c r="B106" s="286"/>
      <c r="C106" s="286"/>
      <c r="D106" s="286"/>
      <c r="E106" s="286"/>
      <c r="F106" s="286"/>
      <c r="G106" s="286"/>
      <c r="H106" s="286"/>
      <c r="I106" s="286"/>
      <c r="J106" s="286"/>
      <c r="K106" s="286"/>
      <c r="L106" s="286"/>
      <c r="M106" s="286"/>
    </row>
    <row r="107" spans="1:13" x14ac:dyDescent="0.2">
      <c r="A107" s="286"/>
      <c r="B107" s="286"/>
      <c r="C107" s="286"/>
      <c r="D107" s="286"/>
      <c r="E107" s="286"/>
      <c r="F107" s="286"/>
      <c r="G107" s="286"/>
      <c r="H107" s="286"/>
      <c r="I107" s="286"/>
      <c r="J107" s="286"/>
      <c r="K107" s="286"/>
      <c r="L107" s="286"/>
      <c r="M107" s="286"/>
    </row>
    <row r="108" spans="1:13" x14ac:dyDescent="0.2">
      <c r="A108" s="286"/>
      <c r="B108" s="286"/>
      <c r="C108" s="286"/>
      <c r="D108" s="286"/>
      <c r="E108" s="286"/>
      <c r="F108" s="286"/>
      <c r="G108" s="286"/>
      <c r="H108" s="286"/>
      <c r="I108" s="286"/>
      <c r="J108" s="286"/>
      <c r="K108" s="286"/>
      <c r="L108" s="286"/>
      <c r="M108" s="286"/>
    </row>
    <row r="109" spans="1:13" x14ac:dyDescent="0.2">
      <c r="A109" s="286"/>
      <c r="B109" s="286"/>
      <c r="C109" s="286"/>
      <c r="D109" s="286"/>
      <c r="E109" s="286"/>
      <c r="F109" s="286"/>
      <c r="G109" s="286"/>
      <c r="H109" s="286"/>
      <c r="I109" s="286"/>
      <c r="J109" s="286"/>
      <c r="K109" s="286"/>
      <c r="L109" s="286"/>
      <c r="M109" s="286"/>
    </row>
    <row r="110" spans="1:13" x14ac:dyDescent="0.2">
      <c r="A110" s="286"/>
      <c r="B110" s="286"/>
      <c r="C110" s="286"/>
      <c r="D110" s="286"/>
      <c r="E110" s="286"/>
      <c r="F110" s="286"/>
      <c r="G110" s="286"/>
      <c r="H110" s="286"/>
      <c r="I110" s="286"/>
      <c r="J110" s="286"/>
      <c r="K110" s="286"/>
      <c r="L110" s="286"/>
      <c r="M110" s="286"/>
    </row>
    <row r="111" spans="1:13" x14ac:dyDescent="0.2">
      <c r="A111" s="286"/>
      <c r="B111" s="286"/>
      <c r="C111" s="286"/>
      <c r="D111" s="286"/>
      <c r="E111" s="286"/>
      <c r="F111" s="286"/>
      <c r="G111" s="286"/>
      <c r="H111" s="286"/>
      <c r="I111" s="286"/>
      <c r="J111" s="286"/>
      <c r="K111" s="286"/>
      <c r="L111" s="286"/>
      <c r="M111" s="286"/>
    </row>
    <row r="112" spans="1:13" x14ac:dyDescent="0.2">
      <c r="A112" s="286"/>
      <c r="B112" s="286"/>
      <c r="C112" s="286"/>
      <c r="D112" s="286"/>
      <c r="E112" s="286"/>
      <c r="F112" s="286"/>
      <c r="G112" s="286"/>
      <c r="H112" s="286"/>
      <c r="I112" s="286"/>
      <c r="J112" s="286"/>
      <c r="K112" s="286"/>
      <c r="L112" s="286"/>
      <c r="M112" s="286"/>
    </row>
    <row r="113" spans="1:13" x14ac:dyDescent="0.2">
      <c r="A113" s="286"/>
      <c r="B113" s="286"/>
      <c r="C113" s="286"/>
      <c r="D113" s="286"/>
      <c r="E113" s="286"/>
      <c r="F113" s="286"/>
      <c r="G113" s="286"/>
      <c r="H113" s="286"/>
      <c r="I113" s="286"/>
      <c r="J113" s="286"/>
      <c r="K113" s="286"/>
      <c r="L113" s="286"/>
      <c r="M113" s="286"/>
    </row>
    <row r="114" spans="1:13" x14ac:dyDescent="0.2">
      <c r="A114" s="286"/>
      <c r="B114" s="286"/>
      <c r="C114" s="286"/>
      <c r="D114" s="286"/>
      <c r="E114" s="286"/>
      <c r="F114" s="286"/>
      <c r="G114" s="286"/>
      <c r="H114" s="286"/>
      <c r="I114" s="286"/>
      <c r="J114" s="286"/>
      <c r="K114" s="286"/>
      <c r="L114" s="286"/>
      <c r="M114" s="286"/>
    </row>
    <row r="115" spans="1:13" x14ac:dyDescent="0.2">
      <c r="A115" s="286"/>
      <c r="B115" s="286"/>
      <c r="C115" s="286"/>
      <c r="D115" s="286"/>
      <c r="E115" s="286"/>
      <c r="F115" s="286"/>
      <c r="G115" s="286"/>
      <c r="H115" s="286"/>
      <c r="I115" s="286"/>
      <c r="J115" s="286"/>
      <c r="K115" s="286"/>
      <c r="L115" s="286"/>
      <c r="M115" s="286"/>
    </row>
    <row r="116" spans="1:13" x14ac:dyDescent="0.2">
      <c r="A116" s="286"/>
      <c r="B116" s="286"/>
      <c r="C116" s="286"/>
      <c r="D116" s="286"/>
      <c r="E116" s="286"/>
      <c r="F116" s="286"/>
      <c r="G116" s="286"/>
      <c r="H116" s="286"/>
      <c r="I116" s="286"/>
      <c r="J116" s="286"/>
      <c r="K116" s="286"/>
      <c r="L116" s="286"/>
      <c r="M116" s="286"/>
    </row>
    <row r="117" spans="1:13" x14ac:dyDescent="0.2">
      <c r="A117" s="286"/>
      <c r="B117" s="286"/>
      <c r="C117" s="286"/>
      <c r="D117" s="286"/>
      <c r="E117" s="286"/>
      <c r="F117" s="286"/>
      <c r="G117" s="286"/>
      <c r="H117" s="286"/>
      <c r="I117" s="286"/>
      <c r="J117" s="286"/>
      <c r="K117" s="286"/>
      <c r="L117" s="286"/>
      <c r="M117" s="286"/>
    </row>
    <row r="118" spans="1:13" x14ac:dyDescent="0.2">
      <c r="A118" s="286"/>
      <c r="B118" s="286"/>
      <c r="C118" s="286"/>
      <c r="D118" s="286"/>
      <c r="E118" s="286"/>
      <c r="F118" s="286"/>
      <c r="G118" s="286"/>
      <c r="H118" s="286"/>
      <c r="I118" s="286"/>
      <c r="J118" s="286"/>
      <c r="K118" s="286"/>
      <c r="L118" s="286"/>
      <c r="M118" s="286"/>
    </row>
    <row r="119" spans="1:13" x14ac:dyDescent="0.2">
      <c r="A119" s="286"/>
      <c r="B119" s="286"/>
      <c r="C119" s="286"/>
      <c r="D119" s="286"/>
      <c r="E119" s="286"/>
      <c r="F119" s="286"/>
      <c r="G119" s="286"/>
      <c r="H119" s="286"/>
      <c r="I119" s="286"/>
      <c r="J119" s="286"/>
      <c r="K119" s="286"/>
      <c r="L119" s="286"/>
      <c r="M119" s="286"/>
    </row>
    <row r="120" spans="1:13" x14ac:dyDescent="0.2">
      <c r="A120" s="286"/>
      <c r="B120" s="286"/>
      <c r="C120" s="286"/>
      <c r="D120" s="286"/>
      <c r="E120" s="286"/>
      <c r="F120" s="286"/>
      <c r="G120" s="286"/>
      <c r="H120" s="286"/>
      <c r="I120" s="286"/>
      <c r="J120" s="286"/>
      <c r="K120" s="286"/>
      <c r="L120" s="286"/>
      <c r="M120" s="286"/>
    </row>
    <row r="121" spans="1:13" x14ac:dyDescent="0.2">
      <c r="A121" s="286"/>
      <c r="B121" s="286"/>
      <c r="C121" s="286"/>
      <c r="D121" s="286"/>
      <c r="E121" s="286"/>
      <c r="F121" s="286"/>
      <c r="G121" s="286"/>
      <c r="H121" s="286"/>
      <c r="I121" s="286"/>
      <c r="J121" s="286"/>
      <c r="K121" s="286"/>
      <c r="L121" s="286"/>
      <c r="M121" s="286"/>
    </row>
    <row r="122" spans="1:13" x14ac:dyDescent="0.2">
      <c r="A122" s="286"/>
      <c r="B122" s="286"/>
      <c r="C122" s="286"/>
      <c r="D122" s="286"/>
      <c r="E122" s="286"/>
      <c r="F122" s="286"/>
      <c r="G122" s="286"/>
      <c r="H122" s="286"/>
      <c r="I122" s="286"/>
      <c r="J122" s="286"/>
      <c r="K122" s="286"/>
      <c r="L122" s="286"/>
      <c r="M122" s="286"/>
    </row>
    <row r="123" spans="1:13" x14ac:dyDescent="0.2">
      <c r="A123" s="286"/>
      <c r="B123" s="286"/>
      <c r="C123" s="286"/>
      <c r="D123" s="286"/>
      <c r="E123" s="286"/>
      <c r="F123" s="286"/>
      <c r="G123" s="286"/>
      <c r="H123" s="286"/>
      <c r="I123" s="286"/>
      <c r="J123" s="286"/>
      <c r="K123" s="286"/>
      <c r="L123" s="286"/>
      <c r="M123" s="286"/>
    </row>
    <row r="124" spans="1:13" x14ac:dyDescent="0.2">
      <c r="A124" s="286"/>
      <c r="B124" s="286"/>
      <c r="C124" s="286"/>
      <c r="D124" s="286"/>
      <c r="E124" s="286"/>
      <c r="F124" s="286"/>
      <c r="G124" s="286"/>
      <c r="H124" s="286"/>
      <c r="I124" s="286"/>
      <c r="J124" s="286"/>
      <c r="K124" s="286"/>
      <c r="L124" s="286"/>
      <c r="M124" s="286"/>
    </row>
    <row r="125" spans="1:13" x14ac:dyDescent="0.2">
      <c r="A125" s="286"/>
      <c r="B125" s="286"/>
      <c r="C125" s="286"/>
      <c r="D125" s="286"/>
      <c r="E125" s="286"/>
      <c r="F125" s="286"/>
      <c r="G125" s="286"/>
      <c r="H125" s="286"/>
      <c r="I125" s="286"/>
      <c r="J125" s="286"/>
      <c r="K125" s="286"/>
      <c r="L125" s="286"/>
      <c r="M125" s="286"/>
    </row>
    <row r="126" spans="1:13" x14ac:dyDescent="0.2">
      <c r="A126" s="286"/>
      <c r="B126" s="286"/>
      <c r="C126" s="286"/>
      <c r="D126" s="286"/>
      <c r="E126" s="286"/>
      <c r="F126" s="286"/>
      <c r="G126" s="286"/>
      <c r="H126" s="286"/>
      <c r="I126" s="286"/>
      <c r="J126" s="286"/>
      <c r="K126" s="286"/>
      <c r="L126" s="286"/>
      <c r="M126" s="286"/>
    </row>
    <row r="127" spans="1:13" x14ac:dyDescent="0.2">
      <c r="A127" s="286"/>
      <c r="B127" s="286"/>
      <c r="C127" s="286"/>
      <c r="D127" s="286"/>
      <c r="E127" s="286"/>
      <c r="F127" s="286"/>
      <c r="G127" s="286"/>
      <c r="H127" s="286"/>
      <c r="I127" s="286"/>
      <c r="J127" s="286"/>
      <c r="K127" s="286"/>
      <c r="L127" s="286"/>
      <c r="M127" s="286"/>
    </row>
    <row r="128" spans="1:13" x14ac:dyDescent="0.2">
      <c r="A128" s="286"/>
      <c r="B128" s="286"/>
      <c r="C128" s="286"/>
      <c r="D128" s="286"/>
      <c r="E128" s="286"/>
      <c r="F128" s="286"/>
      <c r="G128" s="286"/>
      <c r="H128" s="286"/>
      <c r="I128" s="286"/>
      <c r="J128" s="286"/>
      <c r="K128" s="286"/>
      <c r="L128" s="286"/>
      <c r="M128" s="286"/>
    </row>
    <row r="129" spans="1:13" x14ac:dyDescent="0.2">
      <c r="A129" s="286"/>
      <c r="B129" s="286"/>
      <c r="C129" s="286"/>
      <c r="D129" s="286"/>
      <c r="E129" s="286"/>
      <c r="F129" s="286"/>
      <c r="G129" s="286"/>
      <c r="H129" s="286"/>
      <c r="I129" s="286"/>
      <c r="J129" s="286"/>
      <c r="K129" s="286"/>
      <c r="L129" s="286"/>
      <c r="M129" s="286"/>
    </row>
    <row r="130" spans="1:13" x14ac:dyDescent="0.2">
      <c r="A130" s="286"/>
      <c r="B130" s="286"/>
      <c r="C130" s="286"/>
      <c r="D130" s="286"/>
      <c r="E130" s="286"/>
      <c r="F130" s="286"/>
      <c r="G130" s="286"/>
      <c r="H130" s="286"/>
      <c r="I130" s="286"/>
      <c r="J130" s="286"/>
      <c r="K130" s="286"/>
      <c r="L130" s="286"/>
      <c r="M130" s="286"/>
    </row>
    <row r="131" spans="1:13" x14ac:dyDescent="0.2">
      <c r="A131" s="286"/>
      <c r="B131" s="286"/>
      <c r="C131" s="286"/>
      <c r="D131" s="286"/>
      <c r="E131" s="286"/>
      <c r="F131" s="286"/>
      <c r="G131" s="286"/>
      <c r="H131" s="286"/>
      <c r="I131" s="286"/>
      <c r="J131" s="286"/>
      <c r="K131" s="286"/>
      <c r="L131" s="286"/>
      <c r="M131" s="286"/>
    </row>
    <row r="132" spans="1:13" x14ac:dyDescent="0.2">
      <c r="A132" s="286"/>
      <c r="B132" s="286"/>
      <c r="C132" s="286"/>
      <c r="D132" s="286"/>
      <c r="E132" s="286"/>
      <c r="F132" s="286"/>
      <c r="G132" s="286"/>
      <c r="H132" s="286"/>
      <c r="I132" s="286"/>
      <c r="J132" s="286"/>
      <c r="K132" s="286"/>
      <c r="L132" s="286"/>
      <c r="M132" s="286"/>
    </row>
    <row r="133" spans="1:13" x14ac:dyDescent="0.2">
      <c r="A133" s="286"/>
      <c r="B133" s="286"/>
      <c r="C133" s="286"/>
      <c r="D133" s="286"/>
      <c r="E133" s="286"/>
      <c r="F133" s="286"/>
      <c r="G133" s="286"/>
      <c r="H133" s="286"/>
      <c r="I133" s="286"/>
      <c r="J133" s="286"/>
      <c r="K133" s="286"/>
      <c r="L133" s="286"/>
      <c r="M133" s="286"/>
    </row>
    <row r="134" spans="1:13" x14ac:dyDescent="0.2">
      <c r="A134" s="286"/>
      <c r="B134" s="286"/>
      <c r="C134" s="286"/>
      <c r="D134" s="286"/>
      <c r="E134" s="286"/>
      <c r="F134" s="286"/>
      <c r="G134" s="286"/>
      <c r="H134" s="286"/>
      <c r="I134" s="286"/>
      <c r="J134" s="286"/>
      <c r="K134" s="286"/>
      <c r="L134" s="286"/>
      <c r="M134" s="286"/>
    </row>
    <row r="135" spans="1:13" x14ac:dyDescent="0.2">
      <c r="A135" s="286"/>
      <c r="B135" s="286"/>
      <c r="C135" s="286"/>
      <c r="D135" s="286"/>
      <c r="E135" s="286"/>
      <c r="F135" s="286"/>
      <c r="G135" s="286"/>
      <c r="H135" s="286"/>
      <c r="I135" s="286"/>
      <c r="J135" s="286"/>
      <c r="K135" s="286"/>
      <c r="L135" s="286"/>
      <c r="M135" s="286"/>
    </row>
  </sheetData>
  <mergeCells count="9">
    <mergeCell ref="A81:L81"/>
    <mergeCell ref="A84:L84"/>
    <mergeCell ref="A95:L95"/>
    <mergeCell ref="A3:K3"/>
    <mergeCell ref="A12:L12"/>
    <mergeCell ref="A13:K13"/>
    <mergeCell ref="D44:L44"/>
    <mergeCell ref="A45:L45"/>
    <mergeCell ref="A76:L76"/>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6"/>
  <sheetViews>
    <sheetView topLeftCell="CZ1" workbookViewId="0">
      <selection activeCell="DM2" sqref="DM2"/>
    </sheetView>
  </sheetViews>
  <sheetFormatPr defaultRowHeight="15" x14ac:dyDescent="0.25"/>
  <cols>
    <col min="1" max="1" width="30.7109375" bestFit="1" customWidth="1"/>
    <col min="2" max="2" width="26.7109375" customWidth="1"/>
    <col min="3" max="18" width="17.85546875" customWidth="1"/>
    <col min="19" max="39" width="25.140625" customWidth="1"/>
    <col min="40" max="40" width="45.140625" customWidth="1"/>
    <col min="41" max="41" width="18.140625" bestFit="1" customWidth="1"/>
    <col min="42" max="42" width="12.140625" customWidth="1"/>
    <col min="43" max="43" width="18.28515625" customWidth="1"/>
    <col min="44" max="44" width="21.28515625" customWidth="1"/>
    <col min="45" max="45" width="24.5703125" customWidth="1"/>
    <col min="46" max="46" width="25.140625" bestFit="1" customWidth="1"/>
    <col min="47" max="48" width="18.42578125" bestFit="1" customWidth="1"/>
    <col min="49" max="49" width="13.5703125" bestFit="1" customWidth="1"/>
    <col min="50" max="50" width="30.85546875" bestFit="1" customWidth="1"/>
    <col min="51" max="51" width="29.7109375" bestFit="1" customWidth="1"/>
    <col min="52" max="52" width="12.85546875" bestFit="1" customWidth="1"/>
    <col min="53" max="53" width="9.85546875" bestFit="1" customWidth="1"/>
    <col min="54" max="54" width="8.7109375" bestFit="1" customWidth="1"/>
    <col min="55" max="55" width="11.85546875" bestFit="1" customWidth="1"/>
    <col min="56" max="56" width="41.42578125" bestFit="1" customWidth="1"/>
    <col min="57" max="57" width="36.28515625" bestFit="1" customWidth="1"/>
    <col min="58" max="58" width="35.140625" bestFit="1" customWidth="1"/>
    <col min="59" max="59" width="34.28515625" bestFit="1" customWidth="1"/>
    <col min="60" max="60" width="39" bestFit="1" customWidth="1"/>
    <col min="61" max="61" width="35.140625" bestFit="1" customWidth="1"/>
    <col min="62" max="62" width="33.5703125" bestFit="1" customWidth="1"/>
    <col min="63" max="63" width="32.42578125" bestFit="1" customWidth="1"/>
    <col min="64" max="64" width="15.42578125" bestFit="1" customWidth="1"/>
    <col min="65" max="65" width="13.28515625" bestFit="1" customWidth="1"/>
    <col min="66" max="66" width="12.85546875" bestFit="1" customWidth="1"/>
    <col min="67" max="67" width="9.85546875" bestFit="1" customWidth="1"/>
    <col min="68" max="68" width="41" bestFit="1" customWidth="1"/>
    <col min="69" max="69" width="38.5703125" bestFit="1" customWidth="1"/>
    <col min="70" max="70" width="28.7109375" bestFit="1" customWidth="1"/>
    <col min="71" max="71" width="26.28515625" bestFit="1" customWidth="1"/>
    <col min="72" max="72" width="22" bestFit="1" customWidth="1"/>
    <col min="73" max="73" width="26.28515625" bestFit="1" customWidth="1"/>
    <col min="74" max="74" width="23.7109375" bestFit="1" customWidth="1"/>
    <col min="75" max="75" width="26.85546875" bestFit="1" customWidth="1"/>
    <col min="76" max="76" width="23.28515625" bestFit="1" customWidth="1"/>
    <col min="77" max="77" width="34.140625" bestFit="1" customWidth="1"/>
    <col min="78" max="78" width="34.85546875" bestFit="1" customWidth="1"/>
    <col min="79" max="79" width="50.140625" bestFit="1" customWidth="1"/>
    <col min="80" max="80" width="48.28515625" bestFit="1" customWidth="1"/>
    <col min="81" max="81" width="45.7109375" bestFit="1" customWidth="1"/>
    <col min="82" max="82" width="17.42578125" bestFit="1" customWidth="1"/>
    <col min="83" max="83" width="16.42578125" bestFit="1" customWidth="1"/>
    <col min="84" max="84" width="15.85546875" bestFit="1" customWidth="1"/>
    <col min="85" max="85" width="26.85546875" bestFit="1" customWidth="1"/>
    <col min="86" max="86" width="10.5703125" bestFit="1" customWidth="1"/>
    <col min="87" max="87" width="13.28515625" bestFit="1" customWidth="1"/>
    <col min="88" max="88" width="29.42578125" bestFit="1" customWidth="1"/>
    <col min="89" max="89" width="29.7109375" bestFit="1" customWidth="1"/>
    <col min="90" max="90" width="33.5703125" bestFit="1" customWidth="1"/>
    <col min="91" max="91" width="34.5703125" bestFit="1" customWidth="1"/>
    <col min="92" max="92" width="30.5703125" bestFit="1" customWidth="1"/>
    <col min="93" max="93" width="27.5703125" bestFit="1" customWidth="1"/>
    <col min="94" max="94" width="25" bestFit="1" customWidth="1"/>
    <col min="95" max="95" width="22.42578125" bestFit="1" customWidth="1"/>
    <col min="96" max="96" width="30.42578125" bestFit="1" customWidth="1"/>
    <col min="97" max="97" width="43.28515625" bestFit="1" customWidth="1"/>
    <col min="98" max="98" width="13.7109375" bestFit="1" customWidth="1"/>
    <col min="99" max="99" width="19" bestFit="1" customWidth="1"/>
    <col min="100" max="100" width="17" bestFit="1" customWidth="1"/>
    <col min="101" max="101" width="22.42578125" bestFit="1" customWidth="1"/>
    <col min="102" max="102" width="25.28515625" bestFit="1" customWidth="1"/>
    <col min="103" max="103" width="19.42578125" bestFit="1" customWidth="1"/>
    <col min="104" max="104" width="17.28515625" bestFit="1" customWidth="1"/>
    <col min="105" max="105" width="23.42578125" bestFit="1" customWidth="1"/>
    <col min="106" max="106" width="8.85546875" bestFit="1" customWidth="1"/>
    <col min="107" max="107" width="10.5703125" bestFit="1" customWidth="1"/>
    <col min="108" max="108" width="11" bestFit="1" customWidth="1"/>
    <col min="109" max="109" width="14.140625" bestFit="1" customWidth="1"/>
    <col min="110" max="110" width="8.42578125" bestFit="1" customWidth="1"/>
    <col min="111" max="111" width="8.5703125" bestFit="1" customWidth="1"/>
    <col min="112" max="112" width="10.140625" bestFit="1" customWidth="1"/>
    <col min="113" max="113" width="15.85546875" bestFit="1" customWidth="1"/>
    <col min="114" max="114" width="17.28515625" bestFit="1" customWidth="1"/>
    <col min="115" max="115" width="20.7109375" bestFit="1" customWidth="1"/>
    <col min="116" max="116" width="19.42578125" bestFit="1" customWidth="1"/>
    <col min="117" max="117" width="20.42578125" bestFit="1" customWidth="1"/>
    <col min="118" max="118" width="24.28515625" bestFit="1" customWidth="1"/>
    <col min="119" max="119" width="22.5703125" bestFit="1" customWidth="1"/>
    <col min="120" max="120" width="22.7109375" bestFit="1" customWidth="1"/>
    <col min="121" max="121" width="22.28515625" bestFit="1" customWidth="1"/>
    <col min="122" max="122" width="52.42578125" bestFit="1" customWidth="1"/>
    <col min="123" max="123" width="50.7109375" bestFit="1" customWidth="1"/>
    <col min="124" max="124" width="50.85546875" bestFit="1" customWidth="1"/>
    <col min="125" max="125" width="50.42578125" bestFit="1" customWidth="1"/>
    <col min="126" max="126" width="10.42578125" bestFit="1" customWidth="1"/>
    <col min="127" max="127" width="23" bestFit="1" customWidth="1"/>
    <col min="128" max="128" width="15.5703125" bestFit="1" customWidth="1"/>
    <col min="129" max="129" width="18.140625" bestFit="1" customWidth="1"/>
  </cols>
  <sheetData>
    <row r="1" spans="1:129" x14ac:dyDescent="0.25">
      <c r="D1">
        <v>2</v>
      </c>
      <c r="E1">
        <v>3</v>
      </c>
      <c r="F1">
        <v>4</v>
      </c>
      <c r="G1">
        <v>5</v>
      </c>
      <c r="H1">
        <v>6</v>
      </c>
      <c r="I1">
        <v>7</v>
      </c>
      <c r="J1">
        <v>8</v>
      </c>
      <c r="K1">
        <v>9</v>
      </c>
      <c r="L1">
        <v>10</v>
      </c>
      <c r="M1">
        <v>11</v>
      </c>
      <c r="N1">
        <v>12</v>
      </c>
      <c r="O1">
        <v>13</v>
      </c>
      <c r="P1">
        <v>14</v>
      </c>
      <c r="Q1">
        <v>15</v>
      </c>
      <c r="R1">
        <v>16</v>
      </c>
      <c r="S1">
        <v>2</v>
      </c>
      <c r="T1">
        <v>3</v>
      </c>
      <c r="U1">
        <v>4</v>
      </c>
      <c r="V1">
        <v>5</v>
      </c>
      <c r="W1">
        <v>6</v>
      </c>
      <c r="X1">
        <v>7</v>
      </c>
      <c r="Y1">
        <v>8</v>
      </c>
      <c r="Z1">
        <v>9</v>
      </c>
      <c r="AA1">
        <v>10</v>
      </c>
      <c r="AB1">
        <v>11</v>
      </c>
      <c r="AC1">
        <v>12</v>
      </c>
      <c r="AD1">
        <v>13</v>
      </c>
      <c r="AE1">
        <v>14</v>
      </c>
      <c r="AF1">
        <v>15</v>
      </c>
      <c r="AG1">
        <v>16</v>
      </c>
      <c r="AH1">
        <v>17</v>
      </c>
      <c r="AI1">
        <v>2</v>
      </c>
      <c r="AJ1">
        <v>3</v>
      </c>
      <c r="AK1">
        <v>4</v>
      </c>
      <c r="AL1">
        <v>5</v>
      </c>
      <c r="AM1">
        <v>2</v>
      </c>
      <c r="AN1">
        <v>3</v>
      </c>
      <c r="AO1">
        <v>10</v>
      </c>
      <c r="AP1">
        <v>11</v>
      </c>
      <c r="AQ1">
        <v>12</v>
      </c>
      <c r="AR1">
        <v>13</v>
      </c>
      <c r="AS1">
        <v>14</v>
      </c>
      <c r="AT1">
        <v>15</v>
      </c>
      <c r="AU1">
        <v>16</v>
      </c>
      <c r="AV1">
        <v>17</v>
      </c>
      <c r="AW1">
        <v>18</v>
      </c>
      <c r="AX1">
        <v>19</v>
      </c>
      <c r="AY1">
        <v>20</v>
      </c>
      <c r="AZ1">
        <v>21</v>
      </c>
      <c r="BA1">
        <v>22</v>
      </c>
      <c r="BB1">
        <v>23</v>
      </c>
      <c r="BC1">
        <v>25</v>
      </c>
      <c r="BD1">
        <v>26</v>
      </c>
      <c r="BE1">
        <v>27</v>
      </c>
      <c r="BF1">
        <v>28</v>
      </c>
      <c r="BG1">
        <v>29</v>
      </c>
      <c r="BH1">
        <v>30</v>
      </c>
      <c r="BI1">
        <v>31</v>
      </c>
      <c r="BJ1">
        <v>32</v>
      </c>
      <c r="BK1">
        <v>33</v>
      </c>
      <c r="BL1">
        <v>34</v>
      </c>
      <c r="BM1">
        <v>35</v>
      </c>
      <c r="BN1">
        <v>36</v>
      </c>
      <c r="BO1">
        <v>37</v>
      </c>
      <c r="BP1">
        <v>39</v>
      </c>
      <c r="BQ1">
        <v>40</v>
      </c>
      <c r="BR1">
        <v>41</v>
      </c>
      <c r="BS1">
        <v>42</v>
      </c>
      <c r="BT1">
        <v>43</v>
      </c>
      <c r="BU1">
        <v>44</v>
      </c>
      <c r="BV1">
        <v>45</v>
      </c>
      <c r="BW1">
        <v>46</v>
      </c>
      <c r="BX1">
        <v>47</v>
      </c>
      <c r="BY1">
        <v>48</v>
      </c>
      <c r="BZ1">
        <v>49</v>
      </c>
      <c r="CA1">
        <v>50</v>
      </c>
      <c r="CB1">
        <v>51</v>
      </c>
      <c r="CC1">
        <v>52</v>
      </c>
      <c r="CD1">
        <v>53</v>
      </c>
      <c r="CE1">
        <v>54</v>
      </c>
      <c r="CF1">
        <v>55</v>
      </c>
      <c r="CG1">
        <v>56</v>
      </c>
      <c r="CH1">
        <v>57</v>
      </c>
      <c r="CI1">
        <v>58</v>
      </c>
      <c r="CJ1">
        <v>59</v>
      </c>
      <c r="CK1">
        <v>60</v>
      </c>
      <c r="CL1">
        <v>61</v>
      </c>
      <c r="CM1">
        <v>62</v>
      </c>
      <c r="CN1">
        <v>63</v>
      </c>
      <c r="CO1">
        <v>64</v>
      </c>
      <c r="CP1">
        <v>65</v>
      </c>
      <c r="CQ1">
        <v>66</v>
      </c>
      <c r="CR1">
        <v>67</v>
      </c>
      <c r="CS1">
        <v>69</v>
      </c>
      <c r="CT1">
        <v>70</v>
      </c>
      <c r="CU1">
        <v>71</v>
      </c>
      <c r="CV1">
        <v>72</v>
      </c>
      <c r="CW1">
        <v>73</v>
      </c>
      <c r="CX1">
        <v>74</v>
      </c>
      <c r="CY1">
        <v>75</v>
      </c>
      <c r="CZ1">
        <v>76</v>
      </c>
      <c r="DA1">
        <v>77</v>
      </c>
      <c r="DB1">
        <v>78</v>
      </c>
      <c r="DC1">
        <v>79</v>
      </c>
      <c r="DD1">
        <v>80</v>
      </c>
      <c r="DE1">
        <v>81</v>
      </c>
      <c r="DF1">
        <v>82</v>
      </c>
      <c r="DG1">
        <v>83</v>
      </c>
      <c r="DH1">
        <v>84</v>
      </c>
      <c r="DI1">
        <v>85</v>
      </c>
      <c r="DJ1">
        <v>86</v>
      </c>
      <c r="DK1">
        <v>87</v>
      </c>
      <c r="DL1">
        <v>88</v>
      </c>
      <c r="DM1">
        <v>89</v>
      </c>
      <c r="DN1">
        <v>90</v>
      </c>
      <c r="DO1">
        <v>91</v>
      </c>
      <c r="DP1">
        <v>92</v>
      </c>
      <c r="DQ1">
        <v>93</v>
      </c>
      <c r="DR1">
        <v>94</v>
      </c>
      <c r="DS1">
        <v>95</v>
      </c>
      <c r="DT1">
        <v>96</v>
      </c>
      <c r="DU1">
        <v>97</v>
      </c>
      <c r="DV1">
        <v>98</v>
      </c>
      <c r="DW1">
        <v>99</v>
      </c>
      <c r="DX1">
        <v>100</v>
      </c>
      <c r="DY1">
        <v>101</v>
      </c>
    </row>
    <row r="2" spans="1:129" x14ac:dyDescent="0.25">
      <c r="B2" t="s">
        <v>538</v>
      </c>
      <c r="C2" t="s">
        <v>539</v>
      </c>
      <c r="D2" s="9" t="s">
        <v>6</v>
      </c>
      <c r="E2" s="5" t="s">
        <v>81</v>
      </c>
      <c r="F2" s="5" t="s">
        <v>82</v>
      </c>
      <c r="G2" s="5" t="s">
        <v>83</v>
      </c>
      <c r="H2" s="5" t="s">
        <v>84</v>
      </c>
      <c r="I2" s="5" t="s">
        <v>85</v>
      </c>
      <c r="J2" s="5" t="s">
        <v>86</v>
      </c>
      <c r="K2" s="5" t="s">
        <v>87</v>
      </c>
      <c r="L2" s="9" t="s">
        <v>9</v>
      </c>
      <c r="M2" s="9" t="s">
        <v>10</v>
      </c>
      <c r="N2" s="9" t="s">
        <v>11</v>
      </c>
      <c r="O2" s="9" t="s">
        <v>12</v>
      </c>
      <c r="P2" s="9" t="s">
        <v>13</v>
      </c>
      <c r="Q2" s="9" t="s">
        <v>14</v>
      </c>
      <c r="R2" s="9" t="s">
        <v>71</v>
      </c>
      <c r="S2" s="9" t="s">
        <v>24</v>
      </c>
      <c r="T2" s="9" t="s">
        <v>25</v>
      </c>
      <c r="U2" s="9" t="s">
        <v>72</v>
      </c>
      <c r="V2" s="9" t="s">
        <v>73</v>
      </c>
      <c r="W2" s="1" t="s">
        <v>26</v>
      </c>
      <c r="X2" s="9" t="s">
        <v>27</v>
      </c>
      <c r="Y2" s="9" t="s">
        <v>28</v>
      </c>
      <c r="Z2" s="9" t="s">
        <v>29</v>
      </c>
      <c r="AA2" s="9" t="s">
        <v>74</v>
      </c>
      <c r="AB2" s="1" t="s">
        <v>26</v>
      </c>
      <c r="AC2" s="9" t="s">
        <v>79</v>
      </c>
      <c r="AD2" s="9" t="s">
        <v>45</v>
      </c>
      <c r="AE2" s="5" t="s">
        <v>88</v>
      </c>
      <c r="AF2" s="5" t="s">
        <v>75</v>
      </c>
      <c r="AG2" s="5" t="s">
        <v>76</v>
      </c>
      <c r="AH2" s="5" t="s">
        <v>89</v>
      </c>
      <c r="AI2" s="9" t="s">
        <v>32</v>
      </c>
      <c r="AJ2" s="9" t="s">
        <v>33</v>
      </c>
      <c r="AK2" s="9" t="s">
        <v>34</v>
      </c>
      <c r="AL2" s="9" t="s">
        <v>35</v>
      </c>
      <c r="AM2" s="1" t="s">
        <v>78</v>
      </c>
      <c r="AN2" s="5" t="s">
        <v>90</v>
      </c>
      <c r="AO2" s="246" t="s">
        <v>540</v>
      </c>
      <c r="AP2" s="246" t="s">
        <v>145</v>
      </c>
      <c r="AQ2" s="246" t="s">
        <v>146</v>
      </c>
      <c r="AR2" s="246" t="s">
        <v>157</v>
      </c>
      <c r="AS2" s="246" t="s">
        <v>162</v>
      </c>
      <c r="AT2" s="246" t="s">
        <v>541</v>
      </c>
      <c r="AU2" s="246" t="s">
        <v>191</v>
      </c>
      <c r="AV2" s="246" t="s">
        <v>483</v>
      </c>
      <c r="AW2" s="246" t="s">
        <v>484</v>
      </c>
      <c r="AX2" s="246" t="s">
        <v>485</v>
      </c>
      <c r="AY2" s="246" t="s">
        <v>264</v>
      </c>
      <c r="AZ2" s="246" t="s">
        <v>143</v>
      </c>
      <c r="BA2" s="246" t="s">
        <v>262</v>
      </c>
      <c r="BB2" s="246" t="s">
        <v>486</v>
      </c>
      <c r="BC2" s="252" t="s">
        <v>488</v>
      </c>
      <c r="BD2" s="253" t="s">
        <v>489</v>
      </c>
      <c r="BE2" s="253" t="s">
        <v>490</v>
      </c>
      <c r="BF2" s="253" t="s">
        <v>491</v>
      </c>
      <c r="BG2" s="253" t="s">
        <v>492</v>
      </c>
      <c r="BH2" s="253" t="s">
        <v>493</v>
      </c>
      <c r="BI2" s="253" t="s">
        <v>494</v>
      </c>
      <c r="BJ2" s="252" t="s">
        <v>495</v>
      </c>
      <c r="BK2" s="253" t="s">
        <v>496</v>
      </c>
      <c r="BL2" s="246" t="s">
        <v>260</v>
      </c>
      <c r="BM2" s="246" t="s">
        <v>497</v>
      </c>
      <c r="BN2" s="246" t="s">
        <v>143</v>
      </c>
      <c r="BO2" s="246" t="s">
        <v>262</v>
      </c>
      <c r="BP2" s="246" t="s">
        <v>542</v>
      </c>
      <c r="BQ2" s="246" t="s">
        <v>543</v>
      </c>
      <c r="BR2" s="246" t="s">
        <v>499</v>
      </c>
      <c r="BS2" s="246" t="s">
        <v>500</v>
      </c>
      <c r="BT2" s="246" t="s">
        <v>544</v>
      </c>
      <c r="BU2" s="252" t="s">
        <v>501</v>
      </c>
      <c r="BV2" s="252" t="s">
        <v>502</v>
      </c>
      <c r="BW2" s="252" t="s">
        <v>545</v>
      </c>
      <c r="BX2" s="252" t="s">
        <v>546</v>
      </c>
      <c r="BY2" s="246" t="s">
        <v>547</v>
      </c>
      <c r="BZ2" s="246" t="s">
        <v>548</v>
      </c>
      <c r="CA2" s="246" t="s">
        <v>549</v>
      </c>
      <c r="CB2" s="252" t="s">
        <v>503</v>
      </c>
      <c r="CC2" s="252" t="s">
        <v>504</v>
      </c>
      <c r="CD2" s="249" t="s">
        <v>505</v>
      </c>
      <c r="CE2" s="252" t="s">
        <v>506</v>
      </c>
      <c r="CF2" s="252" t="s">
        <v>267</v>
      </c>
      <c r="CG2" s="252" t="s">
        <v>507</v>
      </c>
      <c r="CH2" s="252" t="s">
        <v>508</v>
      </c>
      <c r="CI2" s="252" t="s">
        <v>509</v>
      </c>
      <c r="CJ2" s="252" t="s">
        <v>510</v>
      </c>
      <c r="CK2" s="252" t="s">
        <v>550</v>
      </c>
      <c r="CL2" s="246" t="s">
        <v>551</v>
      </c>
      <c r="CM2" s="246" t="s">
        <v>552</v>
      </c>
      <c r="CN2" s="246" t="s">
        <v>511</v>
      </c>
      <c r="CO2" s="252" t="s">
        <v>512</v>
      </c>
      <c r="CP2" s="252" t="s">
        <v>513</v>
      </c>
      <c r="CQ2" s="252" t="s">
        <v>553</v>
      </c>
      <c r="CR2" s="252" t="s">
        <v>554</v>
      </c>
      <c r="CS2" s="252" t="s">
        <v>515</v>
      </c>
      <c r="CT2" s="252" t="s">
        <v>46</v>
      </c>
      <c r="CU2" s="252" t="s">
        <v>516</v>
      </c>
      <c r="CV2" s="252" t="s">
        <v>312</v>
      </c>
      <c r="CW2" s="252" t="s">
        <v>47</v>
      </c>
      <c r="CX2" s="252" t="s">
        <v>517</v>
      </c>
      <c r="CY2" s="252" t="s">
        <v>518</v>
      </c>
      <c r="CZ2" s="252" t="s">
        <v>519</v>
      </c>
      <c r="DA2" s="252" t="s">
        <v>520</v>
      </c>
      <c r="DB2" s="252" t="s">
        <v>229</v>
      </c>
      <c r="DC2" s="252" t="s">
        <v>521</v>
      </c>
      <c r="DD2" s="252" t="s">
        <v>522</v>
      </c>
      <c r="DE2" s="252" t="s">
        <v>523</v>
      </c>
      <c r="DF2" s="252" t="s">
        <v>316</v>
      </c>
      <c r="DG2" s="252" t="s">
        <v>231</v>
      </c>
      <c r="DH2" s="252" t="s">
        <v>524</v>
      </c>
      <c r="DI2" s="254" t="s">
        <v>525</v>
      </c>
      <c r="DJ2" s="254" t="s">
        <v>526</v>
      </c>
      <c r="DK2" s="254" t="s">
        <v>307</v>
      </c>
      <c r="DL2" s="252" t="s">
        <v>60</v>
      </c>
      <c r="DM2" s="252" t="s">
        <v>527</v>
      </c>
      <c r="DN2" s="254" t="s">
        <v>528</v>
      </c>
      <c r="DO2" s="254" t="s">
        <v>529</v>
      </c>
      <c r="DP2" s="254" t="s">
        <v>530</v>
      </c>
      <c r="DQ2" s="254" t="s">
        <v>531</v>
      </c>
      <c r="DR2" s="254" t="s">
        <v>532</v>
      </c>
      <c r="DS2" s="254" t="s">
        <v>533</v>
      </c>
      <c r="DT2" s="254" t="s">
        <v>534</v>
      </c>
      <c r="DU2" s="254" t="s">
        <v>535</v>
      </c>
      <c r="DV2" s="252" t="s">
        <v>247</v>
      </c>
      <c r="DW2" s="252" t="s">
        <v>536</v>
      </c>
      <c r="DX2" s="252" t="s">
        <v>537</v>
      </c>
      <c r="DY2" s="252" t="s">
        <v>17</v>
      </c>
    </row>
    <row r="3" spans="1:129" x14ac:dyDescent="0.25">
      <c r="A3" t="s">
        <v>555</v>
      </c>
      <c r="B3" t="str">
        <f>UPPER(SUBSTITUTE(B2," ","_"))</f>
        <v>COMPANY_NAME</v>
      </c>
      <c r="C3" t="str">
        <f t="shared" ref="C3:BN3" si="0">UPPER(SUBSTITUTE(C2," ","_"))</f>
        <v>DATE</v>
      </c>
      <c r="D3" t="str">
        <f t="shared" si="0"/>
        <v>SALES</v>
      </c>
      <c r="E3" t="str">
        <f t="shared" si="0"/>
        <v>RAW_MATERIAL_COST</v>
      </c>
      <c r="F3" t="str">
        <f t="shared" si="0"/>
        <v>CHANGE_IN_INVENTORY</v>
      </c>
      <c r="G3" t="str">
        <f t="shared" si="0"/>
        <v>POWER_AND_FUEL</v>
      </c>
      <c r="H3" t="str">
        <f t="shared" si="0"/>
        <v>OTHER_MFR._EXP</v>
      </c>
      <c r="I3" t="str">
        <f t="shared" si="0"/>
        <v>EMPLOYEE_COST</v>
      </c>
      <c r="J3" t="str">
        <f t="shared" si="0"/>
        <v>SELLING_AND_ADMIN</v>
      </c>
      <c r="K3" t="str">
        <f t="shared" si="0"/>
        <v>OTHER_EXPENSES</v>
      </c>
      <c r="L3" t="str">
        <f t="shared" si="0"/>
        <v>OTHER_INCOME</v>
      </c>
      <c r="M3" t="str">
        <f t="shared" si="0"/>
        <v>DEPRECIATION</v>
      </c>
      <c r="N3" t="str">
        <f t="shared" si="0"/>
        <v>INTEREST</v>
      </c>
      <c r="O3" t="str">
        <f t="shared" si="0"/>
        <v>PROFIT_BEFORE_TAX</v>
      </c>
      <c r="P3" t="str">
        <f t="shared" si="0"/>
        <v>TAX</v>
      </c>
      <c r="Q3" t="str">
        <f t="shared" si="0"/>
        <v>NET_PROFIT</v>
      </c>
      <c r="R3" t="str">
        <f t="shared" si="0"/>
        <v>DIVIDEND_AMOUNT</v>
      </c>
      <c r="S3" t="str">
        <f t="shared" si="0"/>
        <v>EQUITY_SHARE_CAPITAL</v>
      </c>
      <c r="T3" t="str">
        <f t="shared" si="0"/>
        <v>RESERVES</v>
      </c>
      <c r="U3" t="str">
        <f t="shared" si="0"/>
        <v>BORROWINGS</v>
      </c>
      <c r="V3" t="str">
        <f t="shared" si="0"/>
        <v>OTHER_LIABILITIES</v>
      </c>
      <c r="W3" t="str">
        <f t="shared" si="0"/>
        <v>TOTAL</v>
      </c>
      <c r="X3" t="str">
        <f t="shared" si="0"/>
        <v>NET_BLOCK</v>
      </c>
      <c r="Y3" t="str">
        <f t="shared" si="0"/>
        <v>CAPITAL_WORK_IN_PROGRESS</v>
      </c>
      <c r="Z3" t="str">
        <f t="shared" si="0"/>
        <v>INVESTMENTS</v>
      </c>
      <c r="AA3" t="str">
        <f t="shared" si="0"/>
        <v>OTHER_ASSETS</v>
      </c>
      <c r="AB3" t="str">
        <f t="shared" si="0"/>
        <v>TOTAL</v>
      </c>
      <c r="AC3" t="str">
        <f t="shared" si="0"/>
        <v>RECEIVABLES</v>
      </c>
      <c r="AD3" t="str">
        <f t="shared" si="0"/>
        <v>INVENTORY</v>
      </c>
      <c r="AE3" t="str">
        <f t="shared" si="0"/>
        <v>CASH_&amp;_BANK</v>
      </c>
      <c r="AF3" t="str">
        <f t="shared" si="0"/>
        <v>NO._OF_EQUITY_SHARES</v>
      </c>
      <c r="AG3" t="str">
        <f t="shared" si="0"/>
        <v>NEW_BONUS_SHARES</v>
      </c>
      <c r="AH3" t="str">
        <f t="shared" si="0"/>
        <v>FACE_VALUE</v>
      </c>
      <c r="AI3" t="str">
        <f t="shared" si="0"/>
        <v>CASH_FROM_OPERATING_ACTIVITY</v>
      </c>
      <c r="AJ3" t="str">
        <f t="shared" si="0"/>
        <v>CASH_FROM_INVESTING_ACTIVITY</v>
      </c>
      <c r="AK3" t="str">
        <f t="shared" si="0"/>
        <v>CASH_FROM_FINANCING_ACTIVITY</v>
      </c>
      <c r="AL3" t="str">
        <f t="shared" si="0"/>
        <v>NET_CASH_FLOW</v>
      </c>
      <c r="AM3" t="str">
        <f t="shared" si="0"/>
        <v>PRICE:</v>
      </c>
      <c r="AN3" t="str">
        <f t="shared" si="0"/>
        <v>ADJUSTED_EQUITY_SHARES_IN_CR</v>
      </c>
      <c r="AO3" t="str">
        <f t="shared" si="0"/>
        <v>INVESTED_CAPITAL</v>
      </c>
      <c r="AP3" t="str">
        <f t="shared" si="0"/>
        <v>PAT</v>
      </c>
      <c r="AQ3" t="str">
        <f t="shared" si="0"/>
        <v>CFO</v>
      </c>
      <c r="AR3" t="str">
        <f t="shared" si="0"/>
        <v>CAPEX</v>
      </c>
      <c r="AS3" t="str">
        <f t="shared" si="0"/>
        <v>DIVIDEND</v>
      </c>
      <c r="AT3" t="str">
        <f t="shared" si="0"/>
        <v>FCF_INCLUDING_DIVIDEND</v>
      </c>
      <c r="AU3" t="str">
        <f t="shared" si="0"/>
        <v>ENTERPRISE_VALUE</v>
      </c>
      <c r="AV3" t="str">
        <f t="shared" si="0"/>
        <v>REVENUE_GROWTH</v>
      </c>
      <c r="AW3" t="str">
        <f t="shared" si="0"/>
        <v>PAT_GROWTH</v>
      </c>
      <c r="AX3" t="str">
        <f t="shared" si="0"/>
        <v>RECEIVABLES_AS_A_%_OF_SALES</v>
      </c>
      <c r="AY3" t="str">
        <f t="shared" si="0"/>
        <v>INVENTORY_AS_A_%_OF_SALES</v>
      </c>
      <c r="AZ3" t="str">
        <f t="shared" si="0"/>
        <v>PAT_MARGIN</v>
      </c>
      <c r="BA3" t="str">
        <f t="shared" si="0"/>
        <v>TAX_RATE</v>
      </c>
      <c r="BB3" t="str">
        <f t="shared" si="0"/>
        <v>CFO-PAT</v>
      </c>
      <c r="BC3" t="str">
        <f t="shared" si="0"/>
        <v>COGS/SALES</v>
      </c>
      <c r="BD3" t="str">
        <f t="shared" si="0"/>
        <v>CHANGE_IN_INVENTORY_AS_A_%_OF_SALES</v>
      </c>
      <c r="BE3" t="str">
        <f t="shared" si="0"/>
        <v>POWER_AND_FUEL_AS_A_%_OF_SALES</v>
      </c>
      <c r="BF3" t="str">
        <f t="shared" si="0"/>
        <v>OTHER_MFR._EXP_AS_A_%_OF_SALES</v>
      </c>
      <c r="BG3" t="str">
        <f t="shared" si="0"/>
        <v>EMPLOYEE_COST_AS_A_%_OF_SALES</v>
      </c>
      <c r="BH3" t="str">
        <f t="shared" si="0"/>
        <v>SELLING_AND_ADMIN_AS_A_%_OF_SALES</v>
      </c>
      <c r="BI3" t="str">
        <f t="shared" si="0"/>
        <v>OTHER_EXPENSES_AS_A_%_OF_SALES</v>
      </c>
      <c r="BJ3" t="str">
        <f t="shared" si="0"/>
        <v>OTHER_INCOME_AS_A_%_OF_SALES</v>
      </c>
      <c r="BK3" t="str">
        <f t="shared" si="0"/>
        <v>DEPRECIATION_AS_A_%_OF_SALES</v>
      </c>
      <c r="BL3" t="str">
        <f t="shared" si="0"/>
        <v>GROSS_MARGIN</v>
      </c>
      <c r="BM3" t="str">
        <f t="shared" si="0"/>
        <v>EBIT_MARGIN</v>
      </c>
      <c r="BN3" t="str">
        <f t="shared" si="0"/>
        <v>PAT_MARGIN</v>
      </c>
      <c r="BO3" t="str">
        <f t="shared" ref="BO3:DY3" si="1">UPPER(SUBSTITUTE(BO2," ","_"))</f>
        <v>TAX_RATE</v>
      </c>
      <c r="BP3" t="str">
        <f t="shared" si="1"/>
        <v>GROSS_FIXED_ASSET/SHAREHOLDER_EQUITY</v>
      </c>
      <c r="BQ3" t="str">
        <f t="shared" si="1"/>
        <v>NET_FIXED_ASSET/SHAREHOLDER_EQUITY</v>
      </c>
      <c r="BR3" t="str">
        <f t="shared" si="1"/>
        <v>GROSS_FIXED_ASSET/REVENUE</v>
      </c>
      <c r="BS3" t="str">
        <f t="shared" si="1"/>
        <v>NET_FIXED_ASSET/REVENUE</v>
      </c>
      <c r="BT3" t="str">
        <f t="shared" si="1"/>
        <v>CAPEX/SHARE_CAPITAL</v>
      </c>
      <c r="BU3" t="str">
        <f t="shared" si="1"/>
        <v>CAPEX/GROSS_FIXED_ASSET</v>
      </c>
      <c r="BV3" t="str">
        <f t="shared" si="1"/>
        <v>CAPEX/NET_FIXED_ASSET</v>
      </c>
      <c r="BW3" t="str">
        <f t="shared" si="1"/>
        <v>GROSS_FIXED_ASSET/ASSETS</v>
      </c>
      <c r="BX3" t="str">
        <f t="shared" si="1"/>
        <v>NET_FIXED_ASSET/ASSET</v>
      </c>
      <c r="BY3" t="str">
        <f t="shared" si="1"/>
        <v>INVESTMENT/SHAREHOLDER_EQUITY</v>
      </c>
      <c r="BZ3" t="str">
        <f t="shared" si="1"/>
        <v>OTHER_ASSET/SHAREHOLDER_EQUITY</v>
      </c>
      <c r="CA3" t="str">
        <f t="shared" si="1"/>
        <v>CAPITAL_WORK_IN_PROGRESS/SHAREHOLDER_EQUITY</v>
      </c>
      <c r="CB3" t="str">
        <f t="shared" si="1"/>
        <v>CAPITAL_WORK_IN_PROGRESS/GROSS_FIXED_ASSET</v>
      </c>
      <c r="CC3" t="str">
        <f t="shared" si="1"/>
        <v>CAPITAL_WORK_IN_PROGRESS/NET_FIXED_ASSET</v>
      </c>
      <c r="CD3" t="str">
        <f t="shared" si="1"/>
        <v>LIQUIDITY_RATIOS</v>
      </c>
      <c r="CE3" t="str">
        <f t="shared" si="1"/>
        <v>DEBT_TO_EQUITY</v>
      </c>
      <c r="CF3" t="str">
        <f t="shared" si="1"/>
        <v>CURRENT_RATIO</v>
      </c>
      <c r="CG3" t="str">
        <f t="shared" si="1"/>
        <v>INTEREST_COVERAGE_RATIO</v>
      </c>
      <c r="CH3" t="str">
        <f t="shared" si="1"/>
        <v>LEVERAGE</v>
      </c>
      <c r="CI3" t="str">
        <f t="shared" si="1"/>
        <v>QUICK_RATIO</v>
      </c>
      <c r="CJ3" t="str">
        <f t="shared" si="1"/>
        <v>SHORT_TERM_DEBT_COVERAGE</v>
      </c>
      <c r="CK3" t="str">
        <f t="shared" si="1"/>
        <v>CASH/SHAREHOLDERS'S_EQUITY</v>
      </c>
      <c r="CL3" t="str">
        <f t="shared" si="1"/>
        <v>CASH_TO_LONG_TERM_DEBT_RATIO</v>
      </c>
      <c r="CM3" t="str">
        <f t="shared" si="1"/>
        <v>CASH_TO_SHORT_TERM_DEBT_RATIO</v>
      </c>
      <c r="CN3" t="str">
        <f t="shared" si="1"/>
        <v>SHORT_TERM/LONG_TERM_DEBT</v>
      </c>
      <c r="CO3" t="str">
        <f t="shared" si="1"/>
        <v>DEPRECIATION/GROSS_ASSET</v>
      </c>
      <c r="CP3" t="str">
        <f t="shared" si="1"/>
        <v>DEPRECIATION/NET_ASSET</v>
      </c>
      <c r="CQ3" t="str">
        <f t="shared" si="1"/>
        <v>CASH_TO_MARKET_CAP</v>
      </c>
      <c r="CR3" t="str">
        <f t="shared" si="1"/>
        <v>INVESTMENTS_TO_MARKET_CAP</v>
      </c>
      <c r="CS3" t="str">
        <f t="shared" si="1"/>
        <v>WORKING_CAPITAL/SALES_(INCLUDING_CASH)</v>
      </c>
      <c r="CT3" t="str">
        <f t="shared" si="1"/>
        <v>DEBTOR_DAYS</v>
      </c>
      <c r="CU3" t="str">
        <f t="shared" si="1"/>
        <v>DEBTOR_TURNOVER</v>
      </c>
      <c r="CV3" t="str">
        <f t="shared" si="1"/>
        <v>INVENTORY_DAYS</v>
      </c>
      <c r="CW3" t="str">
        <f t="shared" si="1"/>
        <v>INVENTORY_TURNOVER</v>
      </c>
      <c r="CX3" t="str">
        <f t="shared" si="1"/>
        <v>CASH_RETURN_ON_ASSETS</v>
      </c>
      <c r="CY3" t="str">
        <f t="shared" si="1"/>
        <v>RETURN_ON_ASSETS</v>
      </c>
      <c r="CZ3" t="str">
        <f t="shared" si="1"/>
        <v>ASSET_TURNOVER</v>
      </c>
      <c r="DA3" t="str">
        <f t="shared" si="1"/>
        <v>FIXED_ASSET_TURNOVER</v>
      </c>
      <c r="DB3" t="str">
        <f t="shared" si="1"/>
        <v>CFO/PAT</v>
      </c>
      <c r="DC3" t="str">
        <f t="shared" si="1"/>
        <v>CFO/SALES</v>
      </c>
      <c r="DD3" t="str">
        <f t="shared" si="1"/>
        <v>CAPEX/PAT</v>
      </c>
      <c r="DE3" t="str">
        <f t="shared" si="1"/>
        <v>DIVIDEND/PAT</v>
      </c>
      <c r="DF3" t="str">
        <f t="shared" si="1"/>
        <v>FCF/PAT</v>
      </c>
      <c r="DG3" t="str">
        <f t="shared" si="1"/>
        <v>FCF/CFO</v>
      </c>
      <c r="DH3" t="str">
        <f t="shared" si="1"/>
        <v>FCF/SALES</v>
      </c>
      <c r="DI3" t="str">
        <f t="shared" si="1"/>
        <v>PROFIT_MARGIN</v>
      </c>
      <c r="DJ3" t="str">
        <f t="shared" si="1"/>
        <v>ASSET_TURNOVER</v>
      </c>
      <c r="DK3" t="str">
        <f t="shared" si="1"/>
        <v>FINANCIAL_LEVERAGE</v>
      </c>
      <c r="DL3" t="str">
        <f t="shared" si="1"/>
        <v>RETURN_ON_EQUITY</v>
      </c>
      <c r="DM3" t="str">
        <f t="shared" si="1"/>
        <v>RETURN_ON_CAPITAL</v>
      </c>
      <c r="DN3" t="str">
        <f t="shared" si="1"/>
        <v>SALES/INVESTED_CAPITAL</v>
      </c>
      <c r="DO3" t="str">
        <f t="shared" si="1"/>
        <v>PAT/INVESTED_CAPITAL</v>
      </c>
      <c r="DP3" t="str">
        <f t="shared" si="1"/>
        <v>CFO/INVESTED_CAPITAL</v>
      </c>
      <c r="DQ3" t="str">
        <f t="shared" si="1"/>
        <v>FCF/INVESTED_CAPITAL</v>
      </c>
      <c r="DR3" t="str">
        <f t="shared" si="1"/>
        <v>INCREMENTAL_SALES/INCREMENTAL_INVESTED_CAPITAL</v>
      </c>
      <c r="DS3" t="str">
        <f t="shared" si="1"/>
        <v>INCREMENTAL_PAT/INCREMENTAL_INVESTED_CAPITAL</v>
      </c>
      <c r="DT3" t="str">
        <f t="shared" si="1"/>
        <v>INCREMENTAL_CFO/INCREMENTAL_INVESTED_CAPITAL</v>
      </c>
      <c r="DU3" t="str">
        <f t="shared" si="1"/>
        <v>INCREMENTAL_FCF/INCREMENTAL_INVESTED_CAPITAL</v>
      </c>
      <c r="DV3" t="str">
        <f t="shared" si="1"/>
        <v>EPA/SALES</v>
      </c>
      <c r="DW3" t="str">
        <f t="shared" si="1"/>
        <v>CFO/ENTERPRISE_VALUE</v>
      </c>
      <c r="DX3" t="str">
        <f t="shared" si="1"/>
        <v>DIVIDEND_YIELD</v>
      </c>
      <c r="DY3" t="str">
        <f t="shared" si="1"/>
        <v>DIVIDEND_PAYOUT</v>
      </c>
    </row>
    <row r="4" spans="1:129" x14ac:dyDescent="0.25">
      <c r="A4" t="str">
        <f>IF(B4&lt;&gt;"",CONCATENATE(B4,DAY(C4),MONTH(C4),YEAR(C4)),"")</f>
        <v>NITIN SPINNERS LTD3132008</v>
      </c>
      <c r="B4" t="str">
        <f>IF(C4&lt;&gt;"",'Data Sheet'!$B$1,"")</f>
        <v>NITIN SPINNERS LTD</v>
      </c>
      <c r="C4" s="255">
        <f>'Data Sheet'!B16</f>
        <v>39538</v>
      </c>
      <c r="D4" s="9">
        <f>IF($C4&lt;&gt;"",HLOOKUP(Model_Input2!$C4,'Data Sheet'!$B$16:$K$31,D$1,0),"")</f>
        <v>203.76</v>
      </c>
      <c r="E4" s="9">
        <f>IFERROR(IF($C4&lt;&gt;"",HLOOKUP(Model_Input2!$C4,'Data Sheet'!$B$16:$K$31,E$1,0),""),"NA")</f>
        <v>113.49</v>
      </c>
      <c r="F4" s="9">
        <f>IFERROR(IF($C4&lt;&gt;"",HLOOKUP(Model_Input2!$C4,'Data Sheet'!$B$16:$K$31,F$1,0),""),"NA")</f>
        <v>2.11</v>
      </c>
      <c r="G4" s="9">
        <f>IFERROR(IF($C4&lt;&gt;"",HLOOKUP(Model_Input2!$C4,'Data Sheet'!$B$16:$K$31,G$1,0),""),"NA")</f>
        <v>27.21</v>
      </c>
      <c r="H4" s="9">
        <f>IFERROR(IF($C4&lt;&gt;"",HLOOKUP(Model_Input2!$C4,'Data Sheet'!$B$16:$K$31,H$1,0),""),"NA")</f>
        <v>8.98</v>
      </c>
      <c r="I4" s="9">
        <f>IFERROR(IF($C4&lt;&gt;"",HLOOKUP(Model_Input2!$C4,'Data Sheet'!$B$16:$K$31,I$1,0),""),"NA")</f>
        <v>8.15</v>
      </c>
      <c r="J4" s="9">
        <f>IFERROR(IF($C4&lt;&gt;"",HLOOKUP(Model_Input2!$C4,'Data Sheet'!$B$16:$K$31,J$1,0),""),"NA")</f>
        <v>12.4</v>
      </c>
      <c r="K4" s="9">
        <f>IFERROR(IF($C4&lt;&gt;"",HLOOKUP(Model_Input2!$C4,'Data Sheet'!$B$16:$K$31,K$1,0),""),"NA")</f>
        <v>2.4</v>
      </c>
      <c r="L4" s="9">
        <f>IFERROR(IF($C4&lt;&gt;"",HLOOKUP(Model_Input2!$C4,'Data Sheet'!$B$16:$K$31,L$1,0),""),"NA")</f>
        <v>0.17</v>
      </c>
      <c r="M4" s="9">
        <f>IFERROR(IF($C4&lt;&gt;"",HLOOKUP(Model_Input2!$C4,'Data Sheet'!$B$16:$K$31,M$1,0),""),"NA")</f>
        <v>21.09</v>
      </c>
      <c r="N4" s="9">
        <f>IFERROR(IF($C4&lt;&gt;"",HLOOKUP(Model_Input2!$C4,'Data Sheet'!$B$16:$K$31,N$1,0),""),"NA")</f>
        <v>14.59</v>
      </c>
      <c r="O4" s="9">
        <f>IFERROR(IF($C4&lt;&gt;"",HLOOKUP(Model_Input2!$C4,'Data Sheet'!$B$16:$K$31,O$1,0),""),"NA")</f>
        <v>-2.27</v>
      </c>
      <c r="P4" s="9">
        <f>IFERROR(IF($C4&lt;&gt;"",HLOOKUP(Model_Input2!$C4,'Data Sheet'!$B$16:$K$31,P$1,0),""),"NA")</f>
        <v>2.02</v>
      </c>
      <c r="Q4" s="9">
        <f>IFERROR(IF($C4&lt;&gt;"",HLOOKUP(Model_Input2!$C4,'Data Sheet'!$B$16:$K$31,Q$1,0),""),"NA")</f>
        <v>-4.29</v>
      </c>
      <c r="R4" s="9">
        <f>IFERROR(IF($C4&lt;&gt;"",HLOOKUP(Model_Input2!$C4,'Data Sheet'!$B$16:$K$31,R$1,0),""),"NA")</f>
        <v>0</v>
      </c>
      <c r="S4">
        <f>IFERROR(IF($C4&lt;&gt;"",HLOOKUP(Model_Input2!$C4,'Data Sheet'!$B$56:$K$72,S$1,0),""),"NA")</f>
        <v>40.83</v>
      </c>
      <c r="T4">
        <f>IFERROR(IF($C4&lt;&gt;"",HLOOKUP(Model_Input2!$C4,'Data Sheet'!$B$56:$K$72,T$1,0),""),"NA")</f>
        <v>47.23</v>
      </c>
      <c r="U4">
        <f>IFERROR(IF($C4&lt;&gt;"",HLOOKUP(Model_Input2!$C4,'Data Sheet'!$B$56:$K$72,U$1,0),""),"NA")</f>
        <v>267.33999999999997</v>
      </c>
      <c r="V4">
        <f>IFERROR(IF($C4&lt;&gt;"",HLOOKUP(Model_Input2!$C4,'Data Sheet'!$B$56:$K$72,V$1,0),""),"NA")</f>
        <v>16.03</v>
      </c>
      <c r="W4">
        <f>IFERROR(IF($C4&lt;&gt;"",HLOOKUP(Model_Input2!$C4,'Data Sheet'!$B$56:$K$72,W$1,0),""),"NA")</f>
        <v>371.43</v>
      </c>
      <c r="X4">
        <f>IFERROR(IF($C4&lt;&gt;"",HLOOKUP(Model_Input2!$C4,'Data Sheet'!$B$56:$K$72,X$1,0),""),"NA")</f>
        <v>239.51</v>
      </c>
      <c r="Y4">
        <f>IFERROR(IF($C4&lt;&gt;"",HLOOKUP(Model_Input2!$C4,'Data Sheet'!$B$56:$K$72,Y$1,0),""),"NA")</f>
        <v>47.89</v>
      </c>
      <c r="Z4">
        <f>IFERROR(IF($C4&lt;&gt;"",HLOOKUP(Model_Input2!$C4,'Data Sheet'!$B$56:$K$72,Z$1,0),""),"NA")</f>
        <v>0</v>
      </c>
      <c r="AA4">
        <f>IFERROR(IF($C4&lt;&gt;"",HLOOKUP(Model_Input2!$C4,'Data Sheet'!$B$56:$K$72,AA$1,0),""),"NA")</f>
        <v>84.03</v>
      </c>
      <c r="AB4">
        <f>IFERROR(IF($C4&lt;&gt;"",HLOOKUP(Model_Input2!$C4,'Data Sheet'!$B$56:$K$72,AB$1,0),""),"NA")</f>
        <v>371.43</v>
      </c>
      <c r="AC4">
        <f>IFERROR(IF($C4&lt;&gt;"",HLOOKUP(Model_Input2!$C4,'Data Sheet'!$B$56:$K$72,AC$1,0),""),"NA")</f>
        <v>11.79</v>
      </c>
      <c r="AD4">
        <f>IFERROR(IF($C4&lt;&gt;"",HLOOKUP(Model_Input2!$C4,'Data Sheet'!$B$56:$K$72,AD$1,0),""),"NA")</f>
        <v>48.75</v>
      </c>
      <c r="AE4">
        <f>IFERROR(IF($C4&lt;&gt;"",HLOOKUP(Model_Input2!$C4,'Data Sheet'!$B$56:$K$72,AE$1,0),""),"NA")</f>
        <v>0.4</v>
      </c>
      <c r="AF4">
        <f>IFERROR(IF($C4&lt;&gt;"",HLOOKUP(Model_Input2!$C4,'Data Sheet'!$B$56:$K$72,AF$1,0),""),"NA")</f>
        <v>40833945</v>
      </c>
      <c r="AG4">
        <f>IFERROR(IF($C4&lt;&gt;"",HLOOKUP(Model_Input2!$C4,'Data Sheet'!$B$56:$K$72,AG$1,0),""),"NA")</f>
        <v>0</v>
      </c>
      <c r="AH4">
        <f>IFERROR(IF($C4&lt;&gt;"",HLOOKUP(Model_Input2!$C4,'Data Sheet'!$B$56:$K$72,AH$1,0),""),"NA")</f>
        <v>10</v>
      </c>
      <c r="AI4">
        <f>IFERROR(IF($C4&lt;&gt;"",HLOOKUP(Model_Input2!$C4,'Data Sheet'!$B$81:$K$85,AI$1,0),""),"NA")</f>
        <v>17.87</v>
      </c>
      <c r="AJ4">
        <f>IFERROR(IF($C4&lt;&gt;"",HLOOKUP(Model_Input2!$C4,'Data Sheet'!$B$81:$K$85,AJ$1,0),""),"NA")</f>
        <v>-62.64</v>
      </c>
      <c r="AK4">
        <f>IFERROR(IF($C4&lt;&gt;"",HLOOKUP(Model_Input2!$C4,'Data Sheet'!$B$81:$K$85,AK$1,0),""),"NA")</f>
        <v>45.07</v>
      </c>
      <c r="AL4">
        <f>IFERROR(IF($C4&lt;&gt;"",HLOOKUP(Model_Input2!$C4,'Data Sheet'!$B$81:$K$85,AL$1,0),""),"NA")</f>
        <v>0.3</v>
      </c>
      <c r="AM4" s="38">
        <f>IFERROR(IF($C4&lt;&gt;"",HLOOKUP(Model_Input2!$C4,Trend!$B$1:$K$3,AM$1,0),""),"NA")</f>
        <v>11.74</v>
      </c>
      <c r="AN4" s="38">
        <f>IFERROR(IF($C4&lt;&gt;"",HLOOKUP(Model_Input2!$C4,Trend!$B$1:$K$3,AN$1,0),""),"NA")</f>
        <v>4.0833944999999998</v>
      </c>
      <c r="AO4" s="38">
        <f>IFERROR(IF($C4&lt;&gt;"",HLOOKUP(Model_Input2!$C4,Trend!$B$1:$K$122,AO$1,0),""),"NA")</f>
        <v>355.4</v>
      </c>
      <c r="AP4" s="38">
        <f>IFERROR(IF($C4&lt;&gt;"",HLOOKUP(Model_Input2!$C4,Trend!$B$1:$K$122,AP$1,0),""),"NA")</f>
        <v>-4.29</v>
      </c>
      <c r="AQ4" s="38">
        <f>IFERROR(IF($C4&lt;&gt;"",HLOOKUP(Model_Input2!$C4,Trend!$B$1:$K$122,AQ$1,0),""),"NA")</f>
        <v>17.87</v>
      </c>
      <c r="AR4" s="38">
        <f>IFERROR(IF($C4&lt;&gt;"",HLOOKUP(Model_Input2!$C4,Trend!$B$1:$K$122,AR$1,0),""),"NA")</f>
        <v>0</v>
      </c>
      <c r="AS4" s="38">
        <f>IFERROR(IF($C4&lt;&gt;"",HLOOKUP(Model_Input2!$C4,Trend!$B$1:$K$122,AS$1,0),""),"NA")</f>
        <v>0</v>
      </c>
      <c r="AT4" s="38">
        <f>IFERROR(IF($C4&lt;&gt;"",HLOOKUP(Model_Input2!$C4,Trend!$B$1:$K$122,AT$1,0),""),"NA")</f>
        <v>0</v>
      </c>
      <c r="AU4" s="38">
        <f>IFERROR(IF($C4&lt;&gt;"",HLOOKUP(Model_Input2!$C4,Trend!$B$1:$K$122,AU$1,0),""),"NA")</f>
        <v>314.87905143</v>
      </c>
      <c r="AV4" s="256">
        <f>IFERROR(IF($C4&lt;&gt;"",HLOOKUP(Model_Input2!$C4,Trend!$B$1:$K$122,AV$1,0),""),"NA")</f>
        <v>0</v>
      </c>
      <c r="AW4" s="256">
        <f>IFERROR(IF($C4&lt;&gt;"",HLOOKUP(Model_Input2!$C4,Trend!$B$1:$K$122,AW$1,0),""),"NA")</f>
        <v>0</v>
      </c>
      <c r="AX4" s="256">
        <f>IFERROR(IF($C4&lt;&gt;"",HLOOKUP(Model_Input2!$C4,Trend!$B$1:$K$122,AX$1,0),""),"NA")</f>
        <v>5.786219081272085E-2</v>
      </c>
      <c r="AY4" s="256">
        <f>IFERROR(IF($C4&lt;&gt;"",HLOOKUP(Model_Input2!$C4,Trend!$B$1:$K$122,AY$1,0),""),"NA")</f>
        <v>0.23925206124852769</v>
      </c>
      <c r="AZ4" s="256">
        <f>IFERROR(IF($C4&lt;&gt;"",HLOOKUP(Model_Input2!$C4,Trend!$B$1:$K$122,AZ$1,0),""),"NA")</f>
        <v>-2.1054181389870436E-2</v>
      </c>
      <c r="BA4" s="256">
        <f>IFERROR(IF($C4&lt;&gt;"",HLOOKUP(Model_Input2!$C4,Trend!$B$1:$K$122,BA$1,0),""),"NA")</f>
        <v>-0.88986784140969166</v>
      </c>
      <c r="BB4" s="38">
        <f>IFERROR(IF($C4&lt;&gt;"",HLOOKUP(Model_Input2!$C4,Trend!$B$1:$K$122,BB$1,0),""),"NA")</f>
        <v>22.16</v>
      </c>
      <c r="BC4" s="256">
        <f>IFERROR(IF($C4&lt;&gt;"",HLOOKUP(Model_Input2!$C4,Trend!$B$1:$K$122,BC$1,0),""),"NA")</f>
        <v>0.5569787985865724</v>
      </c>
      <c r="BD4" s="256">
        <f>IFERROR(IF($C4&lt;&gt;"",HLOOKUP(Model_Input2!$C4,Trend!$B$1:$K$122,BD$1,0),""),"NA")</f>
        <v>1.0355319984295249E-2</v>
      </c>
      <c r="BE4" s="256">
        <f>IFERROR(IF($C4&lt;&gt;"",HLOOKUP(Model_Input2!$C4,Trend!$B$1:$K$122,BE$1,0),""),"NA")</f>
        <v>0.1335394581861013</v>
      </c>
      <c r="BF4" s="256">
        <f>IFERROR(IF($C4&lt;&gt;"",HLOOKUP(Model_Input2!$C4,Trend!$B$1:$K$122,BF$1,0),""),"NA")</f>
        <v>4.4071456615626232E-2</v>
      </c>
      <c r="BG4" s="256">
        <f>IFERROR(IF($C4&lt;&gt;"",HLOOKUP(Model_Input2!$C4,Trend!$B$1:$K$122,BG$1,0),""),"NA")</f>
        <v>3.9998036906164117E-2</v>
      </c>
      <c r="BH4" s="256">
        <f>IFERROR(IF($C4&lt;&gt;"",HLOOKUP(Model_Input2!$C4,Trend!$B$1:$K$122,BH$1,0),""),"NA")</f>
        <v>6.0855908912446022E-2</v>
      </c>
      <c r="BI4" s="256">
        <f>IFERROR(IF($C4&lt;&gt;"",HLOOKUP(Model_Input2!$C4,Trend!$B$1:$K$122,BI$1,0),""),"NA")</f>
        <v>1.1778563015312132E-2</v>
      </c>
      <c r="BJ4" s="256">
        <f>IFERROR(IF($C4&lt;&gt;"",HLOOKUP(Model_Input2!$C4,Trend!$B$1:$K$122,BJ$1,0),""),"NA")</f>
        <v>8.3431488025127612E-4</v>
      </c>
      <c r="BK4" s="256">
        <f>IFERROR(IF($C4&lt;&gt;"",HLOOKUP(Model_Input2!$C4,Trend!$B$1:$K$122,BK$1,0),""),"NA")</f>
        <v>0.10350412249705536</v>
      </c>
      <c r="BL4" s="256">
        <f>IFERROR(IF($C4&lt;&gt;"",HLOOKUP(Model_Input2!$C4,Trend!$B$1:$K$122,BL$1,0),""),"NA")</f>
        <v>0.4430212014134276</v>
      </c>
      <c r="BM4" s="256">
        <f>IFERROR(IF($C4&lt;&gt;"",HLOOKUP(Model_Input2!$C4,Trend!$B$1:$K$122,BM$1,0),""),"NA")</f>
        <v>6.0463290145268946E-2</v>
      </c>
      <c r="BN4" s="256">
        <f>IFERROR(IF($C4&lt;&gt;"",HLOOKUP(Model_Input2!$C4,Trend!$B$1:$K$122,BN$1,0),""),"NA")</f>
        <v>-2.1054181389870436E-2</v>
      </c>
      <c r="BO4" s="256">
        <f>IFERROR(IF($C4&lt;&gt;"",HLOOKUP(Model_Input2!$C4,Trend!$B$1:$K$122,BO$1,0),""),"NA")</f>
        <v>-0.88986784140969166</v>
      </c>
      <c r="BP4" s="256">
        <f>IFERROR(IF($C4&lt;&gt;"",HLOOKUP(Model_Input2!$C4,Trend!$B$1:$K$122,BP$1,0),""),"NA")</f>
        <v>0.67175510863419752</v>
      </c>
      <c r="BQ4" s="256">
        <f>IFERROR(IF($C4&lt;&gt;"",HLOOKUP(Model_Input2!$C4,Trend!$B$1:$K$122,BQ$1,0),""),"NA")</f>
        <v>0.64483213526101824</v>
      </c>
      <c r="BR4" s="256">
        <f>IFERROR(IF($C4&lt;&gt;"",HLOOKUP(Model_Input2!$C4,Trend!$B$1:$K$122,BR$1,0),""),"NA")</f>
        <v>1.2245288574793876</v>
      </c>
      <c r="BS4" s="256">
        <f>IFERROR(IF($C4&lt;&gt;"",HLOOKUP(Model_Input2!$C4,Trend!$B$1:$K$122,BS$1,0),""),"NA")</f>
        <v>1.1754515115822537</v>
      </c>
      <c r="BT4" s="256">
        <f>IFERROR(IF($C4&lt;&gt;"",HLOOKUP(Model_Input2!$C4,Trend!$B$1:$K$122,BT$1,0),""),"NA")</f>
        <v>0</v>
      </c>
      <c r="BU4" s="256">
        <f>IFERROR(IF($C4&lt;&gt;"",HLOOKUP(Model_Input2!$C4,Trend!$B$1:$K$122,BU$1,0),""),"NA")</f>
        <v>0</v>
      </c>
      <c r="BV4" s="256">
        <f>IFERROR(IF($C4&lt;&gt;"",HLOOKUP(Model_Input2!$C4,Trend!$B$1:$K$122,BV$1,0),""),"NA")</f>
        <v>0</v>
      </c>
      <c r="BW4" s="256">
        <f>IFERROR(IF($C4&lt;&gt;"",HLOOKUP(Model_Input2!$C4,Trend!$B$1:$K$122,BW$1,0),""),"NA")</f>
        <v>0.67175510863419752</v>
      </c>
      <c r="BX4" s="256">
        <f>IFERROR(IF($C4&lt;&gt;"",HLOOKUP(Model_Input2!$C4,Trend!$B$1:$K$122,BX$1,0),""),"NA")</f>
        <v>0.64483213526101824</v>
      </c>
      <c r="BY4" s="256">
        <f>IFERROR(IF($C4&lt;&gt;"",HLOOKUP(Model_Input2!$C4,Trend!$B$1:$K$122,BY$1,0),""),"NA")</f>
        <v>0</v>
      </c>
      <c r="BZ4" s="256">
        <f>IFERROR(IF($C4&lt;&gt;"",HLOOKUP(Model_Input2!$C4,Trend!$B$1:$K$122,BZ$1,0),""),"NA")</f>
        <v>0.22623374525482595</v>
      </c>
      <c r="CA4" s="256">
        <f>IFERROR(IF($C4&lt;&gt;"",HLOOKUP(Model_Input2!$C4,Trend!$B$1:$K$122,CA$1,0),""),"NA")</f>
        <v>0.12893411948415584</v>
      </c>
      <c r="CB4" s="256">
        <f>IFERROR(IF($C4&lt;&gt;"",HLOOKUP(Model_Input2!$C4,Trend!$B$1:$K$122,CB$1,0),""),"NA")</f>
        <v>0.1919361949420865</v>
      </c>
      <c r="CC4" s="256">
        <f>IFERROR(IF($C4&lt;&gt;"",HLOOKUP(Model_Input2!$C4,Trend!$B$1:$K$122,CC$1,0),""),"NA")</f>
        <v>0.19994989770782015</v>
      </c>
      <c r="CD4" s="38">
        <f>IFERROR(IF($C4&lt;&gt;"",HLOOKUP(Model_Input2!$C4,Trend!$B$1:$K$122,CD$1,0),""),"NA")</f>
        <v>0</v>
      </c>
      <c r="CE4" s="38">
        <f>IFERROR(IF($C4&lt;&gt;"",HLOOKUP(Model_Input2!$C4,Trend!$B$1:$K$122,CE$1,0),""),"NA")</f>
        <v>3.0358846241199178</v>
      </c>
      <c r="CF4" s="38">
        <f>IFERROR(IF($C4&lt;&gt;"",HLOOKUP(Model_Input2!$C4,Trend!$B$1:$K$122,CF$1,0),""),"NA")</f>
        <v>5.2420461634435433</v>
      </c>
      <c r="CG4" s="38">
        <f>IFERROR(IF($C4&lt;&gt;"",HLOOKUP(Model_Input2!$C4,Trend!$B$1:$K$122,CG$1,0),""),"NA")</f>
        <v>0.84441398217957508</v>
      </c>
      <c r="CH4" s="38">
        <f>IFERROR(IF($C4&lt;&gt;"",HLOOKUP(Model_Input2!$C4,Trend!$B$1:$K$122,CH$1,0),""),"NA")</f>
        <v>4.2179196002725412</v>
      </c>
      <c r="CI4" s="38">
        <f>IFERROR(IF($C4&lt;&gt;"",HLOOKUP(Model_Input2!$C4,Trend!$B$1:$K$122,CI$1,0),""),"NA")</f>
        <v>2.2008733624454146</v>
      </c>
      <c r="CJ4" s="38">
        <f>IFERROR(IF($C4&lt;&gt;"",HLOOKUP(Model_Input2!$C4,Trend!$B$1:$K$122,CJ$1,0),""),"NA")</f>
        <v>1.1147847785402369</v>
      </c>
      <c r="CK4" s="256">
        <f>IFERROR(IF($C4&lt;&gt;"",HLOOKUP(Model_Input2!$C4,Trend!$B$1:$K$122,CK$1,0),""),"NA")</f>
        <v>0</v>
      </c>
      <c r="CL4" s="256">
        <f>IFERROR(IF($C4&lt;&gt;"",HLOOKUP(Model_Input2!$C4,Trend!$B$1:$K$122,CL$1,0),""),"NA")</f>
        <v>1.4962220393506399E-3</v>
      </c>
      <c r="CM4" s="256">
        <f>IFERROR(IF($C4&lt;&gt;"",HLOOKUP(Model_Input2!$C4,Trend!$B$1:$K$122,CM$1,0),""),"NA")</f>
        <v>2.4953212726138489E-2</v>
      </c>
      <c r="CN4" s="256">
        <f>IFERROR(IF($C4&lt;&gt;"",HLOOKUP(Model_Input2!$C4,Trend!$B$1:$K$122,CN$1,0),""),"NA")</f>
        <v>5.9961098226976893E-2</v>
      </c>
      <c r="CO4" s="256">
        <f>IFERROR(IF($C4&lt;&gt;"",HLOOKUP(Model_Input2!$C4,Trend!$B$1:$K$122,CO$1,0),""),"NA")</f>
        <v>8.0928626247122035E-2</v>
      </c>
      <c r="CP4" s="256">
        <f>IFERROR(IF($C4&lt;&gt;"",HLOOKUP(Model_Input2!$C4,Trend!$B$1:$K$122,CP$1,0),""),"NA")</f>
        <v>8.8054778506116663E-2</v>
      </c>
      <c r="CQ4" s="256">
        <f>IFERROR(IF($C4&lt;&gt;"",HLOOKUP(Model_Input2!$C4,Trend!$B$1:$K$122,CQ$1,0),""),"NA")</f>
        <v>8.3439281351671089E-3</v>
      </c>
      <c r="CR4" s="256">
        <f>IFERROR(IF($C4&lt;&gt;"",HLOOKUP(Model_Input2!$C4,Trend!$B$1:$K$122,CR$1,0),""),"NA")</f>
        <v>0</v>
      </c>
      <c r="CS4" s="256">
        <f>IFERROR(IF($C4&lt;&gt;"",HLOOKUP(Model_Input2!$C4,Trend!$B$1:$K$122,CS$1,0),""),"NA")</f>
        <v>0.33372595210051043</v>
      </c>
      <c r="CT4" s="38">
        <f>IFERROR(IF($C4&lt;&gt;"",HLOOKUP(Model_Input2!$C4,Trend!$B$1:$K$122,CT$1,0),""),"NA")</f>
        <v>21.11969964664311</v>
      </c>
      <c r="CU4" s="38">
        <f>IFERROR(IF($C4&lt;&gt;"",HLOOKUP(Model_Input2!$C4,Trend!$B$1:$K$122,CU$1,0),""),"NA")</f>
        <v>17.282442748091604</v>
      </c>
      <c r="CV4" s="38">
        <f>IFERROR(IF($C4&lt;&gt;"",HLOOKUP(Model_Input2!$C4,Trend!$B$1:$K$122,CV$1,0),""),"NA")</f>
        <v>87.327002355712608</v>
      </c>
      <c r="CW4" s="38">
        <f>IFERROR(IF($C4&lt;&gt;"",HLOOKUP(Model_Input2!$C4,Trend!$B$1:$K$122,CW$1,0),""),"NA")</f>
        <v>4.1796923076923074</v>
      </c>
      <c r="CX4" s="256">
        <f>IFERROR(IF($C4&lt;&gt;"",HLOOKUP(Model_Input2!$C4,Trend!$B$1:$K$122,CX$1,0),""),"NA")</f>
        <v>4.8111353417871469E-2</v>
      </c>
      <c r="CY4" s="256">
        <f>IFERROR(IF($C4&lt;&gt;"",HLOOKUP(Model_Input2!$C4,Trend!$B$1:$K$122,CY$1,0),""),"NA")</f>
        <v>0</v>
      </c>
      <c r="CZ4" s="38">
        <f>IFERROR(IF($C4&lt;&gt;"",HLOOKUP(Model_Input2!$C4,Trend!$B$1:$K$122,CZ$1,0),""),"NA")</f>
        <v>3.3169103195756951E-2</v>
      </c>
      <c r="DA4" s="38">
        <f>IFERROR(IF($C4&lt;&gt;"",HLOOKUP(Model_Input2!$C4,Trend!$B$1:$K$122,DA$1,0),""),"NA")</f>
        <v>0</v>
      </c>
      <c r="DB4" s="256">
        <f>IFERROR(IF($C4&lt;&gt;"",HLOOKUP(Model_Input2!$C4,Trend!$B$1:$K$122,DB$1,0),""),"NA")</f>
        <v>4.2867084203201129E-2</v>
      </c>
      <c r="DC4" s="256">
        <f>IFERROR(IF($C4&lt;&gt;"",HLOOKUP(Model_Input2!$C4,Trend!$B$1:$K$122,DC$1,0),""),"NA")</f>
        <v>0</v>
      </c>
      <c r="DD4" s="256">
        <f>IFERROR(IF($C4&lt;&gt;"",HLOOKUP(Model_Input2!$C4,Trend!$B$1:$K$122,DD$1,0),""),"NA")</f>
        <v>0</v>
      </c>
      <c r="DE4" s="256">
        <f>IFERROR(IF($C4&lt;&gt;"",HLOOKUP(Model_Input2!$C4,Trend!$B$1:$K$122,DE$1,0),""),"NA")</f>
        <v>0</v>
      </c>
      <c r="DF4" s="256">
        <f>IFERROR(IF($C4&lt;&gt;"",HLOOKUP(Model_Input2!$C4,Trend!$B$1:$K$122,DF$1,0),""),"NA")</f>
        <v>0</v>
      </c>
      <c r="DG4" s="256">
        <f>IFERROR(IF($C4&lt;&gt;"",HLOOKUP(Model_Input2!$C4,Trend!$B$1:$K$122,DG$1,0),""),"NA")</f>
        <v>0</v>
      </c>
      <c r="DH4" s="256">
        <f>IFERROR(IF($C4&lt;&gt;"",HLOOKUP(Model_Input2!$C4,Trend!$B$1:$K$122,DH$1,0),""),"NA")</f>
        <v>0</v>
      </c>
      <c r="DI4" s="256">
        <f>IFERROR(IF($C4&lt;&gt;"",HLOOKUP(Model_Input2!$C4,Trend!$B$1:$K$122,DI$1,0),""),"NA")</f>
        <v>0</v>
      </c>
      <c r="DJ4" s="38">
        <f>IFERROR(IF($C4&lt;&gt;"",HLOOKUP(Model_Input2!$C4,Trend!$B$1:$K$122,DJ$1,0),""),"NA")</f>
        <v>0</v>
      </c>
      <c r="DK4" s="38">
        <f>IFERROR(IF($C4&lt;&gt;"",HLOOKUP(Model_Input2!$C4,Trend!$B$1:$K$122,DK$1,0),""),"NA")</f>
        <v>0</v>
      </c>
      <c r="DL4" s="256">
        <f>IFERROR(IF($C4&lt;&gt;"",HLOOKUP(Model_Input2!$C4,Trend!$B$1:$K$122,DL$1,0),""),"NA")</f>
        <v>0</v>
      </c>
      <c r="DM4" s="256">
        <f>IFERROR(IF($C4&lt;&gt;"",HLOOKUP(Model_Input2!$C4,Trend!$B$1:$K$122,DM$1,0),""),"NA")</f>
        <v>0</v>
      </c>
      <c r="DN4" s="256">
        <f>IFERROR(IF($C4&lt;&gt;"",HLOOKUP(Model_Input2!$C4,Trend!$B$1:$K$122,DN$1,0),""),"NA")</f>
        <v>0</v>
      </c>
      <c r="DO4" s="256">
        <f>IFERROR(IF($C4&lt;&gt;"",HLOOKUP(Model_Input2!$C4,Trend!$B$1:$K$122,DO$1,0),""),"NA")</f>
        <v>0</v>
      </c>
      <c r="DP4" s="256">
        <f>IFERROR(IF($C4&lt;&gt;"",HLOOKUP(Model_Input2!$C4,Trend!$B$1:$K$122,DP$1,0),""),"NA")</f>
        <v>0</v>
      </c>
      <c r="DQ4" s="256">
        <f>IFERROR(IF($C4&lt;&gt;"",HLOOKUP(Model_Input2!$C4,Trend!$B$1:$K$122,DQ$1,0),""),"NA")</f>
        <v>0</v>
      </c>
      <c r="DR4" s="256">
        <f>IFERROR(IF($C4&lt;&gt;"",HLOOKUP(Model_Input2!$C4,Trend!$B$1:$K$122,DR$1,0),""),"NA")</f>
        <v>0</v>
      </c>
      <c r="DS4" s="256">
        <f>IFERROR(IF($C4&lt;&gt;"",HLOOKUP(Model_Input2!$C4,Trend!$B$1:$K$122,DS$1,0),""),"NA")</f>
        <v>0</v>
      </c>
      <c r="DT4" s="256">
        <f>IFERROR(IF($C4&lt;&gt;"",HLOOKUP(Model_Input2!$C4,Trend!$B$1:$K$122,DT$1,0),""),"NA")</f>
        <v>-1.1549955577093934E-2</v>
      </c>
      <c r="DU4" s="256">
        <f>IFERROR(IF($C4&lt;&gt;"",HLOOKUP(Model_Input2!$C4,Trend!$B$1:$K$122,DU$1,0),""),"NA")</f>
        <v>0.54858250545190212</v>
      </c>
      <c r="DV4" s="256">
        <f>IFERROR(IF($C4&lt;&gt;"",HLOOKUP(Model_Input2!$C4,Trend!$B$1:$K$122,DV$1,0),""),"NA")</f>
        <v>0.85073692121414557</v>
      </c>
      <c r="DW4" s="256">
        <f>IFERROR(IF($C4&lt;&gt;"",HLOOKUP(Model_Input2!$C4,Trend!$B$1:$K$122,DW$1,0),""),"NA")</f>
        <v>-4.1655011655011656</v>
      </c>
      <c r="DX4" s="256">
        <f>IFERROR(IF($C4&lt;&gt;"",HLOOKUP(Model_Input2!$C4,Trend!$B$1:$K$122,DX$1,0),""),"NA")</f>
        <v>8.7701217118178257E-2</v>
      </c>
      <c r="DY4" s="256">
        <f>IFERROR(IF($C4&lt;&gt;"",HLOOKUP(Model_Input2!$C4,Trend!$B$1:$K$122,DY$1,0),""),"NA")</f>
        <v>0</v>
      </c>
    </row>
    <row r="5" spans="1:129" x14ac:dyDescent="0.25">
      <c r="A5" t="str">
        <f t="shared" ref="A5:A16" si="2">IF(B5&lt;&gt;"",CONCATENATE(B5,DAY(C5),MONTH(C5),YEAR(C5)),"")</f>
        <v>NITIN SPINNERS LTD3132009</v>
      </c>
      <c r="B5" t="str">
        <f>IF(C5&lt;&gt;"",'Data Sheet'!$B$1,"")</f>
        <v>NITIN SPINNERS LTD</v>
      </c>
      <c r="C5" s="255">
        <f>'Data Sheet'!C16</f>
        <v>39903</v>
      </c>
      <c r="D5" s="9">
        <f>IF($C5&lt;&gt;"",HLOOKUP(Model_Input2!$C5,'Data Sheet'!$B$16:$K$31,D$1,0),"")</f>
        <v>262.27</v>
      </c>
      <c r="E5" s="9">
        <f>IFERROR(IF($C5&lt;&gt;"",HLOOKUP(Model_Input2!$C5,'Data Sheet'!$B$16:$K$31,E$1,0),""),"NA")</f>
        <v>168.56</v>
      </c>
      <c r="F5" s="9">
        <f>IFERROR(IF($C5&lt;&gt;"",HLOOKUP(Model_Input2!$C5,'Data Sheet'!$B$16:$K$31,F$1,0),""),"NA")</f>
        <v>2.02</v>
      </c>
      <c r="G5" s="9">
        <f>IFERROR(IF($C5&lt;&gt;"",HLOOKUP(Model_Input2!$C5,'Data Sheet'!$B$16:$K$31,G$1,0),""),"NA")</f>
        <v>34.82</v>
      </c>
      <c r="H5" s="9">
        <f>IFERROR(IF($C5&lt;&gt;"",HLOOKUP(Model_Input2!$C5,'Data Sheet'!$B$16:$K$31,H$1,0),""),"NA")</f>
        <v>11.61</v>
      </c>
      <c r="I5" s="9">
        <f>IFERROR(IF($C5&lt;&gt;"",HLOOKUP(Model_Input2!$C5,'Data Sheet'!$B$16:$K$31,I$1,0),""),"NA")</f>
        <v>10.47</v>
      </c>
      <c r="J5" s="9">
        <f>IFERROR(IF($C5&lt;&gt;"",HLOOKUP(Model_Input2!$C5,'Data Sheet'!$B$16:$K$31,J$1,0),""),"NA")</f>
        <v>12.71</v>
      </c>
      <c r="K5" s="9">
        <f>IFERROR(IF($C5&lt;&gt;"",HLOOKUP(Model_Input2!$C5,'Data Sheet'!$B$16:$K$31,K$1,0),""),"NA")</f>
        <v>29.33</v>
      </c>
      <c r="L5" s="9">
        <f>IFERROR(IF($C5&lt;&gt;"",HLOOKUP(Model_Input2!$C5,'Data Sheet'!$B$16:$K$31,L$1,0),""),"NA")</f>
        <v>0.98</v>
      </c>
      <c r="M5" s="9">
        <f>IFERROR(IF($C5&lt;&gt;"",HLOOKUP(Model_Input2!$C5,'Data Sheet'!$B$16:$K$31,M$1,0),""),"NA")</f>
        <v>-3.07</v>
      </c>
      <c r="N5" s="9">
        <f>IFERROR(IF($C5&lt;&gt;"",HLOOKUP(Model_Input2!$C5,'Data Sheet'!$B$16:$K$31,N$1,0),""),"NA")</f>
        <v>23.9</v>
      </c>
      <c r="O5" s="9">
        <f>IFERROR(IF($C5&lt;&gt;"",HLOOKUP(Model_Input2!$C5,'Data Sheet'!$B$16:$K$31,O$1,0),""),"NA")</f>
        <v>-23.06</v>
      </c>
      <c r="P5" s="9">
        <f>IFERROR(IF($C5&lt;&gt;"",HLOOKUP(Model_Input2!$C5,'Data Sheet'!$B$16:$K$31,P$1,0),""),"NA")</f>
        <v>-8.9499999999999993</v>
      </c>
      <c r="Q5" s="9">
        <f>IFERROR(IF($C5&lt;&gt;"",HLOOKUP(Model_Input2!$C5,'Data Sheet'!$B$16:$K$31,Q$1,0),""),"NA")</f>
        <v>-14.11</v>
      </c>
      <c r="R5" s="9">
        <f>IFERROR(IF($C5&lt;&gt;"",HLOOKUP(Model_Input2!$C5,'Data Sheet'!$B$16:$K$31,R$1,0),""),"NA")</f>
        <v>0</v>
      </c>
      <c r="S5">
        <f>IFERROR(IF($C5&lt;&gt;"",HLOOKUP(Model_Input2!$C5,'Data Sheet'!$B$56:$K$72,S$1,0),""),"NA")</f>
        <v>40.83</v>
      </c>
      <c r="T5">
        <f>IFERROR(IF($C5&lt;&gt;"",HLOOKUP(Model_Input2!$C5,'Data Sheet'!$B$56:$K$72,T$1,0),""),"NA")</f>
        <v>33.11</v>
      </c>
      <c r="U5">
        <f>IFERROR(IF($C5&lt;&gt;"",HLOOKUP(Model_Input2!$C5,'Data Sheet'!$B$56:$K$72,U$1,0),""),"NA")</f>
        <v>299.41000000000003</v>
      </c>
      <c r="V5">
        <f>IFERROR(IF($C5&lt;&gt;"",HLOOKUP(Model_Input2!$C5,'Data Sheet'!$B$56:$K$72,V$1,0),""),"NA")</f>
        <v>55.52</v>
      </c>
      <c r="W5">
        <f>IFERROR(IF($C5&lt;&gt;"",HLOOKUP(Model_Input2!$C5,'Data Sheet'!$B$56:$K$72,W$1,0),""),"NA")</f>
        <v>428.87</v>
      </c>
      <c r="X5">
        <f>IFERROR(IF($C5&lt;&gt;"",HLOOKUP(Model_Input2!$C5,'Data Sheet'!$B$56:$K$72,X$1,0),""),"NA")</f>
        <v>313.16000000000003</v>
      </c>
      <c r="Y5">
        <f>IFERROR(IF($C5&lt;&gt;"",HLOOKUP(Model_Input2!$C5,'Data Sheet'!$B$56:$K$72,Y$1,0),""),"NA")</f>
        <v>0.08</v>
      </c>
      <c r="Z5">
        <f>IFERROR(IF($C5&lt;&gt;"",HLOOKUP(Model_Input2!$C5,'Data Sheet'!$B$56:$K$72,Z$1,0),""),"NA")</f>
        <v>0</v>
      </c>
      <c r="AA5">
        <f>IFERROR(IF($C5&lt;&gt;"",HLOOKUP(Model_Input2!$C5,'Data Sheet'!$B$56:$K$72,AA$1,0),""),"NA")</f>
        <v>115.63</v>
      </c>
      <c r="AB5">
        <f>IFERROR(IF($C5&lt;&gt;"",HLOOKUP(Model_Input2!$C5,'Data Sheet'!$B$56:$K$72,AB$1,0),""),"NA")</f>
        <v>428.87</v>
      </c>
      <c r="AC5">
        <f>IFERROR(IF($C5&lt;&gt;"",HLOOKUP(Model_Input2!$C5,'Data Sheet'!$B$56:$K$72,AC$1,0),""),"NA")</f>
        <v>15.24</v>
      </c>
      <c r="AD5">
        <f>IFERROR(IF($C5&lt;&gt;"",HLOOKUP(Model_Input2!$C5,'Data Sheet'!$B$56:$K$72,AD$1,0),""),"NA")</f>
        <v>40.98</v>
      </c>
      <c r="AE5">
        <f>IFERROR(IF($C5&lt;&gt;"",HLOOKUP(Model_Input2!$C5,'Data Sheet'!$B$56:$K$72,AE$1,0),""),"NA")</f>
        <v>0.53</v>
      </c>
      <c r="AF5">
        <f>IFERROR(IF($C5&lt;&gt;"",HLOOKUP(Model_Input2!$C5,'Data Sheet'!$B$56:$K$72,AF$1,0),""),"NA")</f>
        <v>40833945</v>
      </c>
      <c r="AG5">
        <f>IFERROR(IF($C5&lt;&gt;"",HLOOKUP(Model_Input2!$C5,'Data Sheet'!$B$56:$K$72,AG$1,0),""),"NA")</f>
        <v>0</v>
      </c>
      <c r="AH5">
        <f>IFERROR(IF($C5&lt;&gt;"",HLOOKUP(Model_Input2!$C5,'Data Sheet'!$B$56:$K$72,AH$1,0),""),"NA")</f>
        <v>10</v>
      </c>
      <c r="AI5">
        <f>IFERROR(IF($C5&lt;&gt;"",HLOOKUP(Model_Input2!$C5,'Data Sheet'!$B$81:$K$85,AI$1,0),""),"NA")</f>
        <v>14.27</v>
      </c>
      <c r="AJ5">
        <f>IFERROR(IF($C5&lt;&gt;"",HLOOKUP(Model_Input2!$C5,'Data Sheet'!$B$81:$K$85,AJ$1,0),""),"NA")</f>
        <v>-21.88</v>
      </c>
      <c r="AK5">
        <f>IFERROR(IF($C5&lt;&gt;"",HLOOKUP(Model_Input2!$C5,'Data Sheet'!$B$81:$K$85,AK$1,0),""),"NA")</f>
        <v>7.74</v>
      </c>
      <c r="AL5">
        <f>IFERROR(IF($C5&lt;&gt;"",HLOOKUP(Model_Input2!$C5,'Data Sheet'!$B$81:$K$85,AL$1,0),""),"NA")</f>
        <v>0.13</v>
      </c>
      <c r="AM5" s="38">
        <f>IFERROR(IF($C5&lt;&gt;"",HLOOKUP(Model_Input2!$C5,Trend!$B$1:$K$3,AM$1,0),""),"NA")</f>
        <v>4.84</v>
      </c>
      <c r="AN5" s="38">
        <f>IFERROR(IF($C5&lt;&gt;"",HLOOKUP(Model_Input2!$C5,Trend!$B$1:$K$3,AN$1,0),""),"NA")</f>
        <v>4.0833944999999998</v>
      </c>
      <c r="AO5" s="38">
        <f>IFERROR(IF($C5&lt;&gt;"",HLOOKUP(Model_Input2!$C5,Trend!$B$1:$K$122,AO$1,0),""),"NA")</f>
        <v>373.35</v>
      </c>
      <c r="AP5" s="38">
        <f>IFERROR(IF($C5&lt;&gt;"",HLOOKUP(Model_Input2!$C5,Trend!$B$1:$K$122,AP$1,0),""),"NA")</f>
        <v>-14.11</v>
      </c>
      <c r="AQ5" s="38">
        <f>IFERROR(IF($C5&lt;&gt;"",HLOOKUP(Model_Input2!$C5,Trend!$B$1:$K$122,AQ$1,0),""),"NA")</f>
        <v>14.27</v>
      </c>
      <c r="AR5" s="38">
        <f>IFERROR(IF($C5&lt;&gt;"",HLOOKUP(Model_Input2!$C5,Trend!$B$1:$K$122,AR$1,0),""),"NA")</f>
        <v>22.770000000000032</v>
      </c>
      <c r="AS5" s="38">
        <f>IFERROR(IF($C5&lt;&gt;"",HLOOKUP(Model_Input2!$C5,Trend!$B$1:$K$122,AS$1,0),""),"NA")</f>
        <v>0</v>
      </c>
      <c r="AT5" s="38">
        <f>IFERROR(IF($C5&lt;&gt;"",HLOOKUP(Model_Input2!$C5,Trend!$B$1:$K$122,AT$1,0),""),"NA")</f>
        <v>-8.500000000000032</v>
      </c>
      <c r="AU5" s="38">
        <f>IFERROR(IF($C5&lt;&gt;"",HLOOKUP(Model_Input2!$C5,Trend!$B$1:$K$122,AU$1,0),""),"NA")</f>
        <v>318.64362938000005</v>
      </c>
      <c r="AV5" s="256">
        <f>IFERROR(IF($C5&lt;&gt;"",HLOOKUP(Model_Input2!$C5,Trend!$B$1:$K$122,AV$1,0),""),"NA")</f>
        <v>0.2871515508441303</v>
      </c>
      <c r="AW5" s="256">
        <f>IFERROR(IF($C5&lt;&gt;"",HLOOKUP(Model_Input2!$C5,Trend!$B$1:$K$122,AW$1,0),""),"NA")</f>
        <v>-2.289044289044289</v>
      </c>
      <c r="AX5" s="256">
        <f>IFERROR(IF($C5&lt;&gt;"",HLOOKUP(Model_Input2!$C5,Trend!$B$1:$K$122,AX$1,0),""),"NA")</f>
        <v>5.8108056582910746E-2</v>
      </c>
      <c r="AY5" s="256">
        <f>IFERROR(IF($C5&lt;&gt;"",HLOOKUP(Model_Input2!$C5,Trend!$B$1:$K$122,AY$1,0),""),"NA")</f>
        <v>0.15625119152018913</v>
      </c>
      <c r="AZ5" s="256">
        <f>IFERROR(IF($C5&lt;&gt;"",HLOOKUP(Model_Input2!$C5,Trend!$B$1:$K$122,AZ$1,0),""),"NA")</f>
        <v>-5.3799519579059749E-2</v>
      </c>
      <c r="BA5" s="256">
        <f>IFERROR(IF($C5&lt;&gt;"",HLOOKUP(Model_Input2!$C5,Trend!$B$1:$K$122,BA$1,0),""),"NA")</f>
        <v>0.38811795316565478</v>
      </c>
      <c r="BB5" s="38">
        <f>IFERROR(IF($C5&lt;&gt;"",HLOOKUP(Model_Input2!$C5,Trend!$B$1:$K$122,BB$1,0),""),"NA")</f>
        <v>28.38</v>
      </c>
      <c r="BC5" s="256">
        <f>IFERROR(IF($C5&lt;&gt;"",HLOOKUP(Model_Input2!$C5,Trend!$B$1:$K$122,BC$1,0),""),"NA")</f>
        <v>0.64269645784878182</v>
      </c>
      <c r="BD5" s="256">
        <f>IFERROR(IF($C5&lt;&gt;"",HLOOKUP(Model_Input2!$C5,Trend!$B$1:$K$122,BD$1,0),""),"NA")</f>
        <v>7.7019865024592982E-3</v>
      </c>
      <c r="BE5" s="256">
        <f>IFERROR(IF($C5&lt;&gt;"",HLOOKUP(Model_Input2!$C5,Trend!$B$1:$K$122,BE$1,0),""),"NA")</f>
        <v>0.13276394555229346</v>
      </c>
      <c r="BF5" s="256">
        <f>IFERROR(IF($C5&lt;&gt;"",HLOOKUP(Model_Input2!$C5,Trend!$B$1:$K$122,BF$1,0),""),"NA")</f>
        <v>4.4267358066115071E-2</v>
      </c>
      <c r="BG5" s="256">
        <f>IFERROR(IF($C5&lt;&gt;"",HLOOKUP(Model_Input2!$C5,Trend!$B$1:$K$122,BG$1,0),""),"NA")</f>
        <v>3.9920692416212308E-2</v>
      </c>
      <c r="BH5" s="256">
        <f>IFERROR(IF($C5&lt;&gt;"",HLOOKUP(Model_Input2!$C5,Trend!$B$1:$K$122,BH$1,0),""),"NA")</f>
        <v>4.8461509131810736E-2</v>
      </c>
      <c r="BI5" s="256">
        <f>IFERROR(IF($C5&lt;&gt;"",HLOOKUP(Model_Input2!$C5,Trend!$B$1:$K$122,BI$1,0),""),"NA")</f>
        <v>0.11183131886986693</v>
      </c>
      <c r="BJ5" s="256">
        <f>IFERROR(IF($C5&lt;&gt;"",HLOOKUP(Model_Input2!$C5,Trend!$B$1:$K$122,BJ$1,0),""),"NA")</f>
        <v>3.7366073130743129E-3</v>
      </c>
      <c r="BK5" s="256">
        <f>IFERROR(IF($C5&lt;&gt;"",HLOOKUP(Model_Input2!$C5,Trend!$B$1:$K$122,BK$1,0),""),"NA")</f>
        <v>-1.1705494337896062E-2</v>
      </c>
      <c r="BL5" s="256">
        <f>IFERROR(IF($C5&lt;&gt;"",HLOOKUP(Model_Input2!$C5,Trend!$B$1:$K$122,BL$1,0),""),"NA")</f>
        <v>0.35730354215121818</v>
      </c>
      <c r="BM5" s="256">
        <f>IFERROR(IF($C5&lt;&gt;"",HLOOKUP(Model_Input2!$C5,Trend!$B$1:$K$122,BM$1,0),""),"NA")</f>
        <v>3.2028062683494107E-3</v>
      </c>
      <c r="BN5" s="256">
        <f>IFERROR(IF($C5&lt;&gt;"",HLOOKUP(Model_Input2!$C5,Trend!$B$1:$K$122,BN$1,0),""),"NA")</f>
        <v>-5.3799519579059749E-2</v>
      </c>
      <c r="BO5" s="256">
        <f>IFERROR(IF($C5&lt;&gt;"",HLOOKUP(Model_Input2!$C5,Trend!$B$1:$K$122,BO$1,0),""),"NA")</f>
        <v>0.38811795316565478</v>
      </c>
      <c r="BP5" s="256">
        <f>IFERROR(IF($C5&lt;&gt;"",HLOOKUP(Model_Input2!$C5,Trend!$B$1:$K$122,BP$1,0),""),"NA")</f>
        <v>0.75337514864644306</v>
      </c>
      <c r="BQ5" s="256">
        <f>IFERROR(IF($C5&lt;&gt;"",HLOOKUP(Model_Input2!$C5,Trend!$B$1:$K$122,BQ$1,0),""),"NA")</f>
        <v>0.73019796208641319</v>
      </c>
      <c r="BR5" s="256">
        <f>IFERROR(IF($C5&lt;&gt;"",HLOOKUP(Model_Input2!$C5,Trend!$B$1:$K$122,BR$1,0),""),"NA")</f>
        <v>1.2319365539329701</v>
      </c>
      <c r="BS5" s="256">
        <f>IFERROR(IF($C5&lt;&gt;"",HLOOKUP(Model_Input2!$C5,Trend!$B$1:$K$122,BS$1,0),""),"NA")</f>
        <v>1.1940366797575019</v>
      </c>
      <c r="BT5" s="256">
        <f>IFERROR(IF($C5&lt;&gt;"",HLOOKUP(Model_Input2!$C5,Trend!$B$1:$K$122,BT$1,0),""),"NA")</f>
        <v>5.3093011868398425E-2</v>
      </c>
      <c r="BU5" s="256">
        <f>IFERROR(IF($C5&lt;&gt;"",HLOOKUP(Model_Input2!$C5,Trend!$B$1:$K$122,BU$1,0),""),"NA")</f>
        <v>7.0473537604456918E-2</v>
      </c>
      <c r="BV5" s="256">
        <f>IFERROR(IF($C5&lt;&gt;"",HLOOKUP(Model_Input2!$C5,Trend!$B$1:$K$122,BV$1,0),""),"NA")</f>
        <v>7.2710435560097167E-2</v>
      </c>
      <c r="BW5" s="256">
        <f>IFERROR(IF($C5&lt;&gt;"",HLOOKUP(Model_Input2!$C5,Trend!$B$1:$K$122,BW$1,0),""),"NA")</f>
        <v>0.75337514864644306</v>
      </c>
      <c r="BX5" s="256">
        <f>IFERROR(IF($C5&lt;&gt;"",HLOOKUP(Model_Input2!$C5,Trend!$B$1:$K$122,BX$1,0),""),"NA")</f>
        <v>0.73019796208641319</v>
      </c>
      <c r="BY5" s="256">
        <f>IFERROR(IF($C5&lt;&gt;"",HLOOKUP(Model_Input2!$C5,Trend!$B$1:$K$122,BY$1,0),""),"NA")</f>
        <v>0</v>
      </c>
      <c r="BZ5" s="256">
        <f>IFERROR(IF($C5&lt;&gt;"",HLOOKUP(Model_Input2!$C5,Trend!$B$1:$K$122,BZ$1,0),""),"NA")</f>
        <v>0.26961550120083005</v>
      </c>
      <c r="CA5" s="256">
        <f>IFERROR(IF($C5&lt;&gt;"",HLOOKUP(Model_Input2!$C5,Trend!$B$1:$K$122,CA$1,0),""),"NA")</f>
        <v>1.8653671275677944E-4</v>
      </c>
      <c r="CB5" s="256">
        <f>IFERROR(IF($C5&lt;&gt;"",HLOOKUP(Model_Input2!$C5,Trend!$B$1:$K$122,CB$1,0),""),"NA")</f>
        <v>2.4760136180748991E-4</v>
      </c>
      <c r="CC5" s="256">
        <f>IFERROR(IF($C5&lt;&gt;"",HLOOKUP(Model_Input2!$C5,Trend!$B$1:$K$122,CC$1,0),""),"NA")</f>
        <v>2.5546046749265548E-4</v>
      </c>
      <c r="CD5" s="38">
        <f>IFERROR(IF($C5&lt;&gt;"",HLOOKUP(Model_Input2!$C5,Trend!$B$1:$K$122,CD$1,0),""),"NA")</f>
        <v>0</v>
      </c>
      <c r="CE5" s="38">
        <f>IFERROR(IF($C5&lt;&gt;"",HLOOKUP(Model_Input2!$C5,Trend!$B$1:$K$122,CE$1,0),""),"NA")</f>
        <v>4.0493643494725458</v>
      </c>
      <c r="CF5" s="38">
        <f>IFERROR(IF($C5&lt;&gt;"",HLOOKUP(Model_Input2!$C5,Trend!$B$1:$K$122,CF$1,0),""),"NA")</f>
        <v>2.0826729106628239</v>
      </c>
      <c r="CG5" s="38">
        <f>IFERROR(IF($C5&lt;&gt;"",HLOOKUP(Model_Input2!$C5,Trend!$B$1:$K$122,CG$1,0),""),"NA")</f>
        <v>3.5146443514644347E-2</v>
      </c>
      <c r="CH5" s="38">
        <f>IFERROR(IF($C5&lt;&gt;"",HLOOKUP(Model_Input2!$C5,Trend!$B$1:$K$122,CH$1,0),""),"NA")</f>
        <v>5.8002434406275363</v>
      </c>
      <c r="CI5" s="38">
        <f>IFERROR(IF($C5&lt;&gt;"",HLOOKUP(Model_Input2!$C5,Trend!$B$1:$K$122,CI$1,0),""),"NA")</f>
        <v>1.3445605187319885</v>
      </c>
      <c r="CJ5" s="38">
        <f>IFERROR(IF($C5&lt;&gt;"",HLOOKUP(Model_Input2!$C5,Trend!$B$1:$K$122,CJ$1,0),""),"NA")</f>
        <v>0.2570244956772334</v>
      </c>
      <c r="CK5" s="256">
        <f>IFERROR(IF($C5&lt;&gt;"",HLOOKUP(Model_Input2!$C5,Trend!$B$1:$K$122,CK$1,0),""),"NA")</f>
        <v>1.0769189349271735E-3</v>
      </c>
      <c r="CL5" s="256">
        <f>IFERROR(IF($C5&lt;&gt;"",HLOOKUP(Model_Input2!$C5,Trend!$B$1:$K$122,CL$1,0),""),"NA")</f>
        <v>1.7701479576500451E-3</v>
      </c>
      <c r="CM5" s="256">
        <f>IFERROR(IF($C5&lt;&gt;"",HLOOKUP(Model_Input2!$C5,Trend!$B$1:$K$122,CM$1,0),""),"NA")</f>
        <v>9.5461095100864545E-3</v>
      </c>
      <c r="CN5" s="256">
        <f>IFERROR(IF($C5&lt;&gt;"",HLOOKUP(Model_Input2!$C5,Trend!$B$1:$K$122,CN$1,0),""),"NA")</f>
        <v>0.18543134831835945</v>
      </c>
      <c r="CO5" s="256">
        <f>IFERROR(IF($C5&lt;&gt;"",HLOOKUP(Model_Input2!$C5,Trend!$B$1:$K$122,CO$1,0),""),"NA")</f>
        <v>-9.9003515108516873E-3</v>
      </c>
      <c r="CP5" s="256">
        <f>IFERROR(IF($C5&lt;&gt;"",HLOOKUP(Model_Input2!$C5,Trend!$B$1:$K$122,CP$1,0),""),"NA")</f>
        <v>-9.8032954400306543E-3</v>
      </c>
      <c r="CQ5" s="256">
        <f>IFERROR(IF($C5&lt;&gt;"",HLOOKUP(Model_Input2!$C5,Trend!$B$1:$K$122,CQ$1,0),""),"NA")</f>
        <v>2.681693679888264E-2</v>
      </c>
      <c r="CR5" s="256">
        <f>IFERROR(IF($C5&lt;&gt;"",HLOOKUP(Model_Input2!$C5,Trend!$B$1:$K$122,CR$1,0),""),"NA")</f>
        <v>0</v>
      </c>
      <c r="CS5" s="256">
        <f>IFERROR(IF($C5&lt;&gt;"",HLOOKUP(Model_Input2!$C5,Trend!$B$1:$K$122,CS$1,0),""),"NA")</f>
        <v>0.22919129141724176</v>
      </c>
      <c r="CT5" s="38">
        <f>IFERROR(IF($C5&lt;&gt;"",HLOOKUP(Model_Input2!$C5,Trend!$B$1:$K$122,CT$1,0),""),"NA")</f>
        <v>21.209440652762421</v>
      </c>
      <c r="CU5" s="38">
        <f>IFERROR(IF($C5&lt;&gt;"",HLOOKUP(Model_Input2!$C5,Trend!$B$1:$K$122,CU$1,0),""),"NA")</f>
        <v>17.209317585301836</v>
      </c>
      <c r="CV5" s="38">
        <f>IFERROR(IF($C5&lt;&gt;"",HLOOKUP(Model_Input2!$C5,Trend!$B$1:$K$122,CV$1,0),""),"NA")</f>
        <v>57.031684904869032</v>
      </c>
      <c r="CW5" s="38">
        <f>IFERROR(IF($C5&lt;&gt;"",HLOOKUP(Model_Input2!$C5,Trend!$B$1:$K$122,CW$1,0),""),"NA")</f>
        <v>6.3999511957052215</v>
      </c>
      <c r="CX5" s="256">
        <f>IFERROR(IF($C5&lt;&gt;"",HLOOKUP(Model_Input2!$C5,Trend!$B$1:$K$122,CX$1,0),""),"NA")</f>
        <v>3.3273486137990534E-2</v>
      </c>
      <c r="CY5" s="256">
        <f>IFERROR(IF($C5&lt;&gt;"",HLOOKUP(Model_Input2!$C5,Trend!$B$1:$K$122,CY$1,0),""),"NA")</f>
        <v>0</v>
      </c>
      <c r="CZ5" s="38">
        <f>IFERROR(IF($C5&lt;&gt;"",HLOOKUP(Model_Input2!$C5,Trend!$B$1:$K$122,CZ$1,0),""),"NA")</f>
        <v>1.9586354839461425E-3</v>
      </c>
      <c r="DA5" s="38">
        <f>IFERROR(IF($C5&lt;&gt;"",HLOOKUP(Model_Input2!$C5,Trend!$B$1:$K$122,DA$1,0),""),"NA")</f>
        <v>2.0992127952017547E-3</v>
      </c>
      <c r="DB5" s="256">
        <f>IFERROR(IF($C5&lt;&gt;"",HLOOKUP(Model_Input2!$C5,Trend!$B$1:$K$122,DB$1,0),""),"NA")</f>
        <v>2.6816498531476887E-3</v>
      </c>
      <c r="DC5" s="256">
        <f>IFERROR(IF($C5&lt;&gt;"",HLOOKUP(Model_Input2!$C5,Trend!$B$1:$K$122,DC$1,0),""),"NA")</f>
        <v>2.7970165157165093E-3</v>
      </c>
      <c r="DD5" s="256">
        <f>IFERROR(IF($C5&lt;&gt;"",HLOOKUP(Model_Input2!$C5,Trend!$B$1:$K$122,DD$1,0),""),"NA")</f>
        <v>0</v>
      </c>
      <c r="DE5" s="256">
        <f>IFERROR(IF($C5&lt;&gt;"",HLOOKUP(Model_Input2!$C5,Trend!$B$1:$K$122,DE$1,0),""),"NA")</f>
        <v>0</v>
      </c>
      <c r="DF5" s="256">
        <f>IFERROR(IF($C5&lt;&gt;"",HLOOKUP(Model_Input2!$C5,Trend!$B$1:$K$122,DF$1,0),""),"NA")</f>
        <v>0</v>
      </c>
      <c r="DG5" s="256">
        <f>IFERROR(IF($C5&lt;&gt;"",HLOOKUP(Model_Input2!$C5,Trend!$B$1:$K$122,DG$1,0),""),"NA")</f>
        <v>0</v>
      </c>
      <c r="DH5" s="256">
        <f>IFERROR(IF($C5&lt;&gt;"",HLOOKUP(Model_Input2!$C5,Trend!$B$1:$K$122,DH$1,0),""),"NA")</f>
        <v>0</v>
      </c>
      <c r="DI5" s="256">
        <f>IFERROR(IF($C5&lt;&gt;"",HLOOKUP(Model_Input2!$C5,Trend!$B$1:$K$122,DI$1,0),""),"NA")</f>
        <v>0</v>
      </c>
      <c r="DJ5" s="38">
        <f>IFERROR(IF($C5&lt;&gt;"",HLOOKUP(Model_Input2!$C5,Trend!$B$1:$K$122,DJ$1,0),""),"NA")</f>
        <v>0</v>
      </c>
      <c r="DK5" s="38">
        <f>IFERROR(IF($C5&lt;&gt;"",HLOOKUP(Model_Input2!$C5,Trend!$B$1:$K$122,DK$1,0),""),"NA")</f>
        <v>0</v>
      </c>
      <c r="DL5" s="256">
        <f>IFERROR(IF($C5&lt;&gt;"",HLOOKUP(Model_Input2!$C5,Trend!$B$1:$K$122,DL$1,0),""),"NA")</f>
        <v>0</v>
      </c>
      <c r="DM5" s="256">
        <f>IFERROR(IF($C5&lt;&gt;"",HLOOKUP(Model_Input2!$C5,Trend!$B$1:$K$122,DM$1,0),""),"NA")</f>
        <v>0</v>
      </c>
      <c r="DN5" s="256">
        <f>IFERROR(IF($C5&lt;&gt;"",HLOOKUP(Model_Input2!$C5,Trend!$B$1:$K$122,DN$1,0),""),"NA")</f>
        <v>0</v>
      </c>
      <c r="DO5" s="256">
        <f>IFERROR(IF($C5&lt;&gt;"",HLOOKUP(Model_Input2!$C5,Trend!$B$1:$K$122,DO$1,0),""),"NA")</f>
        <v>0</v>
      </c>
      <c r="DP5" s="256">
        <f>IFERROR(IF($C5&lt;&gt;"",HLOOKUP(Model_Input2!$C5,Trend!$B$1:$K$122,DP$1,0),""),"NA")</f>
        <v>0</v>
      </c>
      <c r="DQ5" s="256">
        <f>IFERROR(IF($C5&lt;&gt;"",HLOOKUP(Model_Input2!$C5,Trend!$B$1:$K$122,DQ$1,0),""),"NA")</f>
        <v>0</v>
      </c>
      <c r="DR5" s="256">
        <f>IFERROR(IF($C5&lt;&gt;"",HLOOKUP(Model_Input2!$C5,Trend!$B$1:$K$122,DR$1,0),""),"NA")</f>
        <v>0</v>
      </c>
      <c r="DS5" s="256">
        <f>IFERROR(IF($C5&lt;&gt;"",HLOOKUP(Model_Input2!$C5,Trend!$B$1:$K$122,DS$1,0),""),"NA")</f>
        <v>0</v>
      </c>
      <c r="DT5" s="256">
        <f>IFERROR(IF($C5&lt;&gt;"",HLOOKUP(Model_Input2!$C5,Trend!$B$1:$K$122,DT$1,0),""),"NA")</f>
        <v>-3.290041271247697E-2</v>
      </c>
      <c r="DU5" s="256">
        <f>IFERROR(IF($C5&lt;&gt;"",HLOOKUP(Model_Input2!$C5,Trend!$B$1:$K$122,DU$1,0),""),"NA")</f>
        <v>0.61153729568400672</v>
      </c>
      <c r="DV5" s="256">
        <f>IFERROR(IF($C5&lt;&gt;"",HLOOKUP(Model_Input2!$C5,Trend!$B$1:$K$122,DV$1,0),""),"NA")</f>
        <v>0.8374952101162344</v>
      </c>
      <c r="DW5" s="256">
        <f>IFERROR(IF($C5&lt;&gt;"",HLOOKUP(Model_Input2!$C5,Trend!$B$1:$K$122,DW$1,0),""),"NA")</f>
        <v>-1.011339475549256</v>
      </c>
      <c r="DX5" s="256">
        <f>IFERROR(IF($C5&lt;&gt;"",HLOOKUP(Model_Input2!$C5,Trend!$B$1:$K$122,DX$1,0),""),"NA")</f>
        <v>5.4409577915888206E-2</v>
      </c>
      <c r="DY5" s="256">
        <f>IFERROR(IF($C5&lt;&gt;"",HLOOKUP(Model_Input2!$C5,Trend!$B$1:$K$122,DY$1,0),""),"NA")</f>
        <v>-1.613749114103475</v>
      </c>
    </row>
    <row r="6" spans="1:129" x14ac:dyDescent="0.25">
      <c r="A6" t="str">
        <f t="shared" si="2"/>
        <v>NITIN SPINNERS LTD3132010</v>
      </c>
      <c r="B6" t="str">
        <f>IF(C6&lt;&gt;"",'Data Sheet'!$B$1,"")</f>
        <v>NITIN SPINNERS LTD</v>
      </c>
      <c r="C6" s="255">
        <f>'Data Sheet'!D16</f>
        <v>40268</v>
      </c>
      <c r="D6" s="9">
        <f>IF($C6&lt;&gt;"",HLOOKUP(Model_Input2!$C6,'Data Sheet'!$B$16:$K$31,D$1,0),"")</f>
        <v>301.95</v>
      </c>
      <c r="E6" s="9">
        <f>IFERROR(IF($C6&lt;&gt;"",HLOOKUP(Model_Input2!$C6,'Data Sheet'!$B$16:$K$31,E$1,0),""),"NA")</f>
        <v>192.7</v>
      </c>
      <c r="F6" s="9">
        <f>IFERROR(IF($C6&lt;&gt;"",HLOOKUP(Model_Input2!$C6,'Data Sheet'!$B$16:$K$31,F$1,0),""),"NA")</f>
        <v>-1.1000000000000001</v>
      </c>
      <c r="G6" s="9">
        <f>IFERROR(IF($C6&lt;&gt;"",HLOOKUP(Model_Input2!$C6,'Data Sheet'!$B$16:$K$31,G$1,0),""),"NA")</f>
        <v>31.39</v>
      </c>
      <c r="H6" s="9">
        <f>IFERROR(IF($C6&lt;&gt;"",HLOOKUP(Model_Input2!$C6,'Data Sheet'!$B$16:$K$31,H$1,0),""),"NA")</f>
        <v>16.55</v>
      </c>
      <c r="I6" s="9">
        <f>IFERROR(IF($C6&lt;&gt;"",HLOOKUP(Model_Input2!$C6,'Data Sheet'!$B$16:$K$31,I$1,0),""),"NA")</f>
        <v>12.66</v>
      </c>
      <c r="J6" s="9">
        <f>IFERROR(IF($C6&lt;&gt;"",HLOOKUP(Model_Input2!$C6,'Data Sheet'!$B$16:$K$31,J$1,0),""),"NA")</f>
        <v>13.2</v>
      </c>
      <c r="K6" s="9">
        <f>IFERROR(IF($C6&lt;&gt;"",HLOOKUP(Model_Input2!$C6,'Data Sheet'!$B$16:$K$31,K$1,0),""),"NA")</f>
        <v>0.11</v>
      </c>
      <c r="L6" s="9">
        <f>IFERROR(IF($C6&lt;&gt;"",HLOOKUP(Model_Input2!$C6,'Data Sheet'!$B$16:$K$31,L$1,0),""),"NA")</f>
        <v>0.56000000000000005</v>
      </c>
      <c r="M6" s="9">
        <f>IFERROR(IF($C6&lt;&gt;"",HLOOKUP(Model_Input2!$C6,'Data Sheet'!$B$16:$K$31,M$1,0),""),"NA")</f>
        <v>18.649999999999999</v>
      </c>
      <c r="N6" s="9">
        <f>IFERROR(IF($C6&lt;&gt;"",HLOOKUP(Model_Input2!$C6,'Data Sheet'!$B$16:$K$31,N$1,0),""),"NA")</f>
        <v>15.15</v>
      </c>
      <c r="O6" s="9">
        <f>IFERROR(IF($C6&lt;&gt;"",HLOOKUP(Model_Input2!$C6,'Data Sheet'!$B$16:$K$31,O$1,0),""),"NA")</f>
        <v>1</v>
      </c>
      <c r="P6" s="9">
        <f>IFERROR(IF($C6&lt;&gt;"",HLOOKUP(Model_Input2!$C6,'Data Sheet'!$B$16:$K$31,P$1,0),""),"NA")</f>
        <v>0.32</v>
      </c>
      <c r="Q6" s="9">
        <f>IFERROR(IF($C6&lt;&gt;"",HLOOKUP(Model_Input2!$C6,'Data Sheet'!$B$16:$K$31,Q$1,0),""),"NA")</f>
        <v>0.68</v>
      </c>
      <c r="R6" s="9">
        <f>IFERROR(IF($C6&lt;&gt;"",HLOOKUP(Model_Input2!$C6,'Data Sheet'!$B$16:$K$31,R$1,0),""),"NA")</f>
        <v>0</v>
      </c>
      <c r="S6">
        <f>IFERROR(IF($C6&lt;&gt;"",HLOOKUP(Model_Input2!$C6,'Data Sheet'!$B$56:$K$72,S$1,0),""),"NA")</f>
        <v>45.83</v>
      </c>
      <c r="T6">
        <f>IFERROR(IF($C6&lt;&gt;"",HLOOKUP(Model_Input2!$C6,'Data Sheet'!$B$56:$K$72,T$1,0),""),"NA")</f>
        <v>33.78</v>
      </c>
      <c r="U6">
        <f>IFERROR(IF($C6&lt;&gt;"",HLOOKUP(Model_Input2!$C6,'Data Sheet'!$B$56:$K$72,U$1,0),""),"NA")</f>
        <v>308.51</v>
      </c>
      <c r="V6">
        <f>IFERROR(IF($C6&lt;&gt;"",HLOOKUP(Model_Input2!$C6,'Data Sheet'!$B$56:$K$72,V$1,0),""),"NA")</f>
        <v>42.65</v>
      </c>
      <c r="W6">
        <f>IFERROR(IF($C6&lt;&gt;"",HLOOKUP(Model_Input2!$C6,'Data Sheet'!$B$56:$K$72,W$1,0),""),"NA")</f>
        <v>430.77</v>
      </c>
      <c r="X6">
        <f>IFERROR(IF($C6&lt;&gt;"",HLOOKUP(Model_Input2!$C6,'Data Sheet'!$B$56:$K$72,X$1,0),""),"NA")</f>
        <v>295.08</v>
      </c>
      <c r="Y6">
        <f>IFERROR(IF($C6&lt;&gt;"",HLOOKUP(Model_Input2!$C6,'Data Sheet'!$B$56:$K$72,Y$1,0),""),"NA")</f>
        <v>0</v>
      </c>
      <c r="Z6">
        <f>IFERROR(IF($C6&lt;&gt;"",HLOOKUP(Model_Input2!$C6,'Data Sheet'!$B$56:$K$72,Z$1,0),""),"NA")</f>
        <v>0</v>
      </c>
      <c r="AA6">
        <f>IFERROR(IF($C6&lt;&gt;"",HLOOKUP(Model_Input2!$C6,'Data Sheet'!$B$56:$K$72,AA$1,0),""),"NA")</f>
        <v>135.69</v>
      </c>
      <c r="AB6">
        <f>IFERROR(IF($C6&lt;&gt;"",HLOOKUP(Model_Input2!$C6,'Data Sheet'!$B$56:$K$72,AB$1,0),""),"NA")</f>
        <v>430.77</v>
      </c>
      <c r="AC6">
        <f>IFERROR(IF($C6&lt;&gt;"",HLOOKUP(Model_Input2!$C6,'Data Sheet'!$B$56:$K$72,AC$1,0),""),"NA")</f>
        <v>9.4</v>
      </c>
      <c r="AD6">
        <f>IFERROR(IF($C6&lt;&gt;"",HLOOKUP(Model_Input2!$C6,'Data Sheet'!$B$56:$K$72,AD$1,0),""),"NA")</f>
        <v>76.03</v>
      </c>
      <c r="AE6">
        <f>IFERROR(IF($C6&lt;&gt;"",HLOOKUP(Model_Input2!$C6,'Data Sheet'!$B$56:$K$72,AE$1,0),""),"NA")</f>
        <v>0.1</v>
      </c>
      <c r="AF6">
        <f>IFERROR(IF($C6&lt;&gt;"",HLOOKUP(Model_Input2!$C6,'Data Sheet'!$B$56:$K$72,AF$1,0),""),"NA")</f>
        <v>45833945</v>
      </c>
      <c r="AG6">
        <f>IFERROR(IF($C6&lt;&gt;"",HLOOKUP(Model_Input2!$C6,'Data Sheet'!$B$56:$K$72,AG$1,0),""),"NA")</f>
        <v>0</v>
      </c>
      <c r="AH6">
        <f>IFERROR(IF($C6&lt;&gt;"",HLOOKUP(Model_Input2!$C6,'Data Sheet'!$B$56:$K$72,AH$1,0),""),"NA")</f>
        <v>10</v>
      </c>
      <c r="AI6">
        <f>IFERROR(IF($C6&lt;&gt;"",HLOOKUP(Model_Input2!$C6,'Data Sheet'!$B$81:$K$85,AI$1,0),""),"NA")</f>
        <v>0.55000000000000004</v>
      </c>
      <c r="AJ6">
        <f>IFERROR(IF($C6&lt;&gt;"",HLOOKUP(Model_Input2!$C6,'Data Sheet'!$B$81:$K$85,AJ$1,0),""),"NA")</f>
        <v>-7.0000000000000007E-2</v>
      </c>
      <c r="AK6">
        <f>IFERROR(IF($C6&lt;&gt;"",HLOOKUP(Model_Input2!$C6,'Data Sheet'!$B$81:$K$85,AK$1,0),""),"NA")</f>
        <v>-0.91</v>
      </c>
      <c r="AL6">
        <f>IFERROR(IF($C6&lt;&gt;"",HLOOKUP(Model_Input2!$C6,'Data Sheet'!$B$81:$K$85,AL$1,0),""),"NA")</f>
        <v>-0.43</v>
      </c>
      <c r="AM6" s="38">
        <f>IFERROR(IF($C6&lt;&gt;"",HLOOKUP(Model_Input2!$C6,Trend!$B$1:$K$3,AM$1,0),""),"NA")</f>
        <v>8.6999999999999993</v>
      </c>
      <c r="AN6" s="38">
        <f>IFERROR(IF($C6&lt;&gt;"",HLOOKUP(Model_Input2!$C6,Trend!$B$1:$K$3,AN$1,0),""),"NA")</f>
        <v>4.5833944999999998</v>
      </c>
      <c r="AO6" s="38">
        <f>IFERROR(IF($C6&lt;&gt;"",HLOOKUP(Model_Input2!$C6,Trend!$B$1:$K$122,AO$1,0),""),"NA")</f>
        <v>388.12</v>
      </c>
      <c r="AP6" s="38">
        <f>IFERROR(IF($C6&lt;&gt;"",HLOOKUP(Model_Input2!$C6,Trend!$B$1:$K$122,AP$1,0),""),"NA")</f>
        <v>0.68</v>
      </c>
      <c r="AQ6" s="38">
        <f>IFERROR(IF($C6&lt;&gt;"",HLOOKUP(Model_Input2!$C6,Trend!$B$1:$K$122,AQ$1,0),""),"NA")</f>
        <v>0.55000000000000004</v>
      </c>
      <c r="AR6" s="38">
        <f>IFERROR(IF($C6&lt;&gt;"",HLOOKUP(Model_Input2!$C6,Trend!$B$1:$K$122,AR$1,0),""),"NA")</f>
        <v>0.48999999999995936</v>
      </c>
      <c r="AS6" s="38">
        <f>IFERROR(IF($C6&lt;&gt;"",HLOOKUP(Model_Input2!$C6,Trend!$B$1:$K$122,AS$1,0),""),"NA")</f>
        <v>0</v>
      </c>
      <c r="AT6" s="38">
        <f>IFERROR(IF($C6&lt;&gt;"",HLOOKUP(Model_Input2!$C6,Trend!$B$1:$K$122,AT$1,0),""),"NA")</f>
        <v>6.0000000000040687E-2</v>
      </c>
      <c r="AU6" s="38">
        <f>IFERROR(IF($C6&lt;&gt;"",HLOOKUP(Model_Input2!$C6,Trend!$B$1:$K$122,AU$1,0),""),"NA")</f>
        <v>348.28553214999999</v>
      </c>
      <c r="AV6" s="256">
        <f>IFERROR(IF($C6&lt;&gt;"",HLOOKUP(Model_Input2!$C6,Trend!$B$1:$K$122,AV$1,0),""),"NA")</f>
        <v>0.15129446753345793</v>
      </c>
      <c r="AW6" s="256">
        <f>IFERROR(IF($C6&lt;&gt;"",HLOOKUP(Model_Input2!$C6,Trend!$B$1:$K$122,AW$1,0),""),"NA")</f>
        <v>1.0481927710843373</v>
      </c>
      <c r="AX6" s="256">
        <f>IFERROR(IF($C6&lt;&gt;"",HLOOKUP(Model_Input2!$C6,Trend!$B$1:$K$122,AX$1,0),""),"NA")</f>
        <v>3.1130981950654085E-2</v>
      </c>
      <c r="AY6" s="256">
        <f>IFERROR(IF($C6&lt;&gt;"",HLOOKUP(Model_Input2!$C6,Trend!$B$1:$K$122,AY$1,0),""),"NA")</f>
        <v>0.2517966550753436</v>
      </c>
      <c r="AZ6" s="256">
        <f>IFERROR(IF($C6&lt;&gt;"",HLOOKUP(Model_Input2!$C6,Trend!$B$1:$K$122,AZ$1,0),""),"NA")</f>
        <v>2.2520284815366787E-3</v>
      </c>
      <c r="BA6" s="256">
        <f>IFERROR(IF($C6&lt;&gt;"",HLOOKUP(Model_Input2!$C6,Trend!$B$1:$K$122,BA$1,0),""),"NA")</f>
        <v>0.32</v>
      </c>
      <c r="BB6" s="38">
        <f>IFERROR(IF($C6&lt;&gt;"",HLOOKUP(Model_Input2!$C6,Trend!$B$1:$K$122,BB$1,0),""),"NA")</f>
        <v>-0.13</v>
      </c>
      <c r="BC6" s="256">
        <f>IFERROR(IF($C6&lt;&gt;"",HLOOKUP(Model_Input2!$C6,Trend!$B$1:$K$122,BC$1,0),""),"NA")</f>
        <v>0.63818512998840871</v>
      </c>
      <c r="BD6" s="256">
        <f>IFERROR(IF($C6&lt;&gt;"",HLOOKUP(Model_Input2!$C6,Trend!$B$1:$K$122,BD$1,0),""),"NA")</f>
        <v>-3.642987249544627E-3</v>
      </c>
      <c r="BE6" s="256">
        <f>IFERROR(IF($C6&lt;&gt;"",HLOOKUP(Model_Input2!$C6,Trend!$B$1:$K$122,BE$1,0),""),"NA")</f>
        <v>0.10395760887564166</v>
      </c>
      <c r="BF6" s="256">
        <f>IFERROR(IF($C6&lt;&gt;"",HLOOKUP(Model_Input2!$C6,Trend!$B$1:$K$122,BF$1,0),""),"NA")</f>
        <v>5.4810399072694159E-2</v>
      </c>
      <c r="BG6" s="256">
        <f>IFERROR(IF($C6&lt;&gt;"",HLOOKUP(Model_Input2!$C6,Trend!$B$1:$K$122,BG$1,0),""),"NA")</f>
        <v>4.1927471435668162E-2</v>
      </c>
      <c r="BH6" s="256">
        <f>IFERROR(IF($C6&lt;&gt;"",HLOOKUP(Model_Input2!$C6,Trend!$B$1:$K$122,BH$1,0),""),"NA")</f>
        <v>4.3715846994535519E-2</v>
      </c>
      <c r="BI6" s="256">
        <f>IFERROR(IF($C6&lt;&gt;"",HLOOKUP(Model_Input2!$C6,Trend!$B$1:$K$122,BI$1,0),""),"NA")</f>
        <v>3.6429872495446266E-4</v>
      </c>
      <c r="BJ6" s="256">
        <f>IFERROR(IF($C6&lt;&gt;"",HLOOKUP(Model_Input2!$C6,Trend!$B$1:$K$122,BJ$1,0),""),"NA")</f>
        <v>1.8546116906772647E-3</v>
      </c>
      <c r="BK6" s="256">
        <f>IFERROR(IF($C6&lt;&gt;"",HLOOKUP(Model_Input2!$C6,Trend!$B$1:$K$122,BK$1,0),""),"NA")</f>
        <v>6.1765192912733892E-2</v>
      </c>
      <c r="BL6" s="256">
        <f>IFERROR(IF($C6&lt;&gt;"",HLOOKUP(Model_Input2!$C6,Trend!$B$1:$K$122,BL$1,0),""),"NA")</f>
        <v>0.36181487001159129</v>
      </c>
      <c r="BM6" s="256">
        <f>IFERROR(IF($C6&lt;&gt;"",HLOOKUP(Model_Input2!$C6,Trend!$B$1:$K$122,BM$1,0),""),"NA")</f>
        <v>5.3485676436496106E-2</v>
      </c>
      <c r="BN6" s="256">
        <f>IFERROR(IF($C6&lt;&gt;"",HLOOKUP(Model_Input2!$C6,Trend!$B$1:$K$122,BN$1,0),""),"NA")</f>
        <v>2.2520284815366787E-3</v>
      </c>
      <c r="BO6" s="256">
        <f>IFERROR(IF($C6&lt;&gt;"",HLOOKUP(Model_Input2!$C6,Trend!$B$1:$K$122,BO$1,0),""),"NA")</f>
        <v>0.32</v>
      </c>
      <c r="BP6" s="256">
        <f>IFERROR(IF($C6&lt;&gt;"",HLOOKUP(Model_Input2!$C6,Trend!$B$1:$K$122,BP$1,0),""),"NA")</f>
        <v>0.70759337929753696</v>
      </c>
      <c r="BQ6" s="256">
        <f>IFERROR(IF($C6&lt;&gt;"",HLOOKUP(Model_Input2!$C6,Trend!$B$1:$K$122,BQ$1,0),""),"NA")</f>
        <v>0.68500591963228641</v>
      </c>
      <c r="BR6" s="256">
        <f>IFERROR(IF($C6&lt;&gt;"",HLOOKUP(Model_Input2!$C6,Trend!$B$1:$K$122,BR$1,0),""),"NA")</f>
        <v>1.009471766848816</v>
      </c>
      <c r="BS6" s="256">
        <f>IFERROR(IF($C6&lt;&gt;"",HLOOKUP(Model_Input2!$C6,Trend!$B$1:$K$122,BS$1,0),""),"NA")</f>
        <v>0.9772478887232986</v>
      </c>
      <c r="BT6" s="256">
        <f>IFERROR(IF($C6&lt;&gt;"",HLOOKUP(Model_Input2!$C6,Trend!$B$1:$K$122,BT$1,0),""),"NA")</f>
        <v>1.137497968753533E-3</v>
      </c>
      <c r="BU6" s="256">
        <f>IFERROR(IF($C6&lt;&gt;"",HLOOKUP(Model_Input2!$C6,Trend!$B$1:$K$122,BU$1,0),""),"NA")</f>
        <v>1.607558807125617E-3</v>
      </c>
      <c r="BV6" s="256">
        <f>IFERROR(IF($C6&lt;&gt;"",HLOOKUP(Model_Input2!$C6,Trend!$B$1:$K$122,BV$1,0),""),"NA")</f>
        <v>1.6605666259995912E-3</v>
      </c>
      <c r="BW6" s="256">
        <f>IFERROR(IF($C6&lt;&gt;"",HLOOKUP(Model_Input2!$C6,Trend!$B$1:$K$122,BW$1,0),""),"NA")</f>
        <v>0.70759337929753696</v>
      </c>
      <c r="BX6" s="256">
        <f>IFERROR(IF($C6&lt;&gt;"",HLOOKUP(Model_Input2!$C6,Trend!$B$1:$K$122,BX$1,0),""),"NA")</f>
        <v>0.68500591963228641</v>
      </c>
      <c r="BY6" s="256">
        <f>IFERROR(IF($C6&lt;&gt;"",HLOOKUP(Model_Input2!$C6,Trend!$B$1:$K$122,BY$1,0),""),"NA")</f>
        <v>0</v>
      </c>
      <c r="BZ6" s="256">
        <f>IFERROR(IF($C6&lt;&gt;"",HLOOKUP(Model_Input2!$C6,Trend!$B$1:$K$122,BZ$1,0),""),"NA")</f>
        <v>0.31499408036771365</v>
      </c>
      <c r="CA6" s="256">
        <f>IFERROR(IF($C6&lt;&gt;"",HLOOKUP(Model_Input2!$C6,Trend!$B$1:$K$122,CA$1,0),""),"NA")</f>
        <v>0</v>
      </c>
      <c r="CB6" s="256">
        <f>IFERROR(IF($C6&lt;&gt;"",HLOOKUP(Model_Input2!$C6,Trend!$B$1:$K$122,CB$1,0),""),"NA")</f>
        <v>0</v>
      </c>
      <c r="CC6" s="256">
        <f>IFERROR(IF($C6&lt;&gt;"",HLOOKUP(Model_Input2!$C6,Trend!$B$1:$K$122,CC$1,0),""),"NA")</f>
        <v>0</v>
      </c>
      <c r="CD6" s="38">
        <f>IFERROR(IF($C6&lt;&gt;"",HLOOKUP(Model_Input2!$C6,Trend!$B$1:$K$122,CD$1,0),""),"NA")</f>
        <v>0</v>
      </c>
      <c r="CE6" s="38">
        <f>IFERROR(IF($C6&lt;&gt;"",HLOOKUP(Model_Input2!$C6,Trend!$B$1:$K$122,CE$1,0),""),"NA")</f>
        <v>3.8752669262655446</v>
      </c>
      <c r="CF6" s="38">
        <f>IFERROR(IF($C6&lt;&gt;"",HLOOKUP(Model_Input2!$C6,Trend!$B$1:$K$122,CF$1,0),""),"NA")</f>
        <v>3.1814771395076202</v>
      </c>
      <c r="CG6" s="38">
        <f>IFERROR(IF($C6&lt;&gt;"",HLOOKUP(Model_Input2!$C6,Trend!$B$1:$K$122,CG$1,0),""),"NA")</f>
        <v>1.0660066006600659</v>
      </c>
      <c r="CH6" s="38">
        <f>IFERROR(IF($C6&lt;&gt;"",HLOOKUP(Model_Input2!$C6,Trend!$B$1:$K$122,CH$1,0),""),"NA")</f>
        <v>5.4110036427584474</v>
      </c>
      <c r="CI6" s="38">
        <f>IFERROR(IF($C6&lt;&gt;"",HLOOKUP(Model_Input2!$C6,Trend!$B$1:$K$122,CI$1,0),""),"NA")</f>
        <v>1.3988276670574442</v>
      </c>
      <c r="CJ6" s="38">
        <f>IFERROR(IF($C6&lt;&gt;"",HLOOKUP(Model_Input2!$C6,Trend!$B$1:$K$122,CJ$1,0),""),"NA")</f>
        <v>1.2895662368112546E-2</v>
      </c>
      <c r="CK6" s="256">
        <f>IFERROR(IF($C6&lt;&gt;"",HLOOKUP(Model_Input2!$C6,Trend!$B$1:$K$122,CK$1,0),""),"NA")</f>
        <v>1.2358057220136639E-3</v>
      </c>
      <c r="CL6" s="256">
        <f>IFERROR(IF($C6&lt;&gt;"",HLOOKUP(Model_Input2!$C6,Trend!$B$1:$K$122,CL$1,0),""),"NA")</f>
        <v>3.2413860166607245E-4</v>
      </c>
      <c r="CM6" s="256">
        <f>IFERROR(IF($C6&lt;&gt;"",HLOOKUP(Model_Input2!$C6,Trend!$B$1:$K$122,CM$1,0),""),"NA")</f>
        <v>2.3446658851113719E-3</v>
      </c>
      <c r="CN6" s="256">
        <f>IFERROR(IF($C6&lt;&gt;"",HLOOKUP(Model_Input2!$C6,Trend!$B$1:$K$122,CN$1,0),""),"NA")</f>
        <v>0.1382451136105799</v>
      </c>
      <c r="CO6" s="256">
        <f>IFERROR(IF($C6&lt;&gt;"",HLOOKUP(Model_Input2!$C6,Trend!$B$1:$K$122,CO$1,0),""),"NA")</f>
        <v>5.9446020463455838E-2</v>
      </c>
      <c r="CP6" s="256">
        <f>IFERROR(IF($C6&lt;&gt;"",HLOOKUP(Model_Input2!$C6,Trend!$B$1:$K$122,CP$1,0),""),"NA")</f>
        <v>6.3203199132438659E-2</v>
      </c>
      <c r="CQ6" s="256">
        <f>IFERROR(IF($C6&lt;&gt;"",HLOOKUP(Model_Input2!$C6,Trend!$B$1:$K$122,CQ$1,0),""),"NA")</f>
        <v>2.5078035228176887E-3</v>
      </c>
      <c r="CR6" s="256">
        <f>IFERROR(IF($C6&lt;&gt;"",HLOOKUP(Model_Input2!$C6,Trend!$B$1:$K$122,CR$1,0),""),"NA")</f>
        <v>0</v>
      </c>
      <c r="CS6" s="256">
        <f>IFERROR(IF($C6&lt;&gt;"",HLOOKUP(Model_Input2!$C6,Trend!$B$1:$K$122,CS$1,0),""),"NA")</f>
        <v>0.30813048517966551</v>
      </c>
      <c r="CT6" s="38">
        <f>IFERROR(IF($C6&lt;&gt;"",HLOOKUP(Model_Input2!$C6,Trend!$B$1:$K$122,CT$1,0),""),"NA")</f>
        <v>11.362808411988741</v>
      </c>
      <c r="CU6" s="38">
        <f>IFERROR(IF($C6&lt;&gt;"",HLOOKUP(Model_Input2!$C6,Trend!$B$1:$K$122,CU$1,0),""),"NA")</f>
        <v>32.12234042553191</v>
      </c>
      <c r="CV6" s="38">
        <f>IFERROR(IF($C6&lt;&gt;"",HLOOKUP(Model_Input2!$C6,Trend!$B$1:$K$122,CV$1,0),""),"NA")</f>
        <v>91.905779102500418</v>
      </c>
      <c r="CW6" s="38">
        <f>IFERROR(IF($C6&lt;&gt;"",HLOOKUP(Model_Input2!$C6,Trend!$B$1:$K$122,CW$1,0),""),"NA")</f>
        <v>3.9714586347494407</v>
      </c>
      <c r="CX6" s="256">
        <f>IFERROR(IF($C6&lt;&gt;"",HLOOKUP(Model_Input2!$C6,Trend!$B$1:$K$122,CX$1,0),""),"NA")</f>
        <v>1.2767834343152961E-3</v>
      </c>
      <c r="CY6" s="256">
        <f>IFERROR(IF($C6&lt;&gt;"",HLOOKUP(Model_Input2!$C6,Trend!$B$1:$K$122,CY$1,0),""),"NA")</f>
        <v>0</v>
      </c>
      <c r="CZ6" s="38">
        <f>IFERROR(IF($C6&lt;&gt;"",HLOOKUP(Model_Input2!$C6,Trend!$B$1:$K$122,CZ$1,0),""),"NA")</f>
        <v>3.7491004480349158E-2</v>
      </c>
      <c r="DA6" s="38">
        <f>IFERROR(IF($C6&lt;&gt;"",HLOOKUP(Model_Input2!$C6,Trend!$B$1:$K$122,DA$1,0),""),"NA")</f>
        <v>3.7573868130845484E-2</v>
      </c>
      <c r="DB6" s="256">
        <f>IFERROR(IF($C6&lt;&gt;"",HLOOKUP(Model_Input2!$C6,Trend!$B$1:$K$122,DB$1,0),""),"NA")</f>
        <v>5.4730920428358434E-2</v>
      </c>
      <c r="DC6" s="256">
        <f>IFERROR(IF($C6&lt;&gt;"",HLOOKUP(Model_Input2!$C6,Trend!$B$1:$K$122,DC$1,0),""),"NA")</f>
        <v>5.3097054182009495E-2</v>
      </c>
      <c r="DD6" s="256">
        <f>IFERROR(IF($C6&lt;&gt;"",HLOOKUP(Model_Input2!$C6,Trend!$B$1:$K$122,DD$1,0),""),"NA")</f>
        <v>0</v>
      </c>
      <c r="DE6" s="256">
        <f>IFERROR(IF($C6&lt;&gt;"",HLOOKUP(Model_Input2!$C6,Trend!$B$1:$K$122,DE$1,0),""),"NA")</f>
        <v>0</v>
      </c>
      <c r="DF6" s="256">
        <f>IFERROR(IF($C6&lt;&gt;"",HLOOKUP(Model_Input2!$C6,Trend!$B$1:$K$122,DF$1,0),""),"NA")</f>
        <v>0</v>
      </c>
      <c r="DG6" s="256">
        <f>IFERROR(IF($C6&lt;&gt;"",HLOOKUP(Model_Input2!$C6,Trend!$B$1:$K$122,DG$1,0),""),"NA")</f>
        <v>0</v>
      </c>
      <c r="DH6" s="256">
        <f>IFERROR(IF($C6&lt;&gt;"",HLOOKUP(Model_Input2!$C6,Trend!$B$1:$K$122,DH$1,0),""),"NA")</f>
        <v>0</v>
      </c>
      <c r="DI6" s="256">
        <f>IFERROR(IF($C6&lt;&gt;"",HLOOKUP(Model_Input2!$C6,Trend!$B$1:$K$122,DI$1,0),""),"NA")</f>
        <v>0</v>
      </c>
      <c r="DJ6" s="38">
        <f>IFERROR(IF($C6&lt;&gt;"",HLOOKUP(Model_Input2!$C6,Trend!$B$1:$K$122,DJ$1,0),""),"NA")</f>
        <v>0</v>
      </c>
      <c r="DK6" s="38">
        <f>IFERROR(IF($C6&lt;&gt;"",HLOOKUP(Model_Input2!$C6,Trend!$B$1:$K$122,DK$1,0),""),"NA")</f>
        <v>0</v>
      </c>
      <c r="DL6" s="256">
        <f>IFERROR(IF($C6&lt;&gt;"",HLOOKUP(Model_Input2!$C6,Trend!$B$1:$K$122,DL$1,0),""),"NA")</f>
        <v>0</v>
      </c>
      <c r="DM6" s="256">
        <f>IFERROR(IF($C6&lt;&gt;"",HLOOKUP(Model_Input2!$C6,Trend!$B$1:$K$122,DM$1,0),""),"NA")</f>
        <v>0</v>
      </c>
      <c r="DN6" s="256">
        <f>IFERROR(IF($C6&lt;&gt;"",HLOOKUP(Model_Input2!$C6,Trend!$B$1:$K$122,DN$1,0),""),"NA")</f>
        <v>0</v>
      </c>
      <c r="DO6" s="256">
        <f>IFERROR(IF($C6&lt;&gt;"",HLOOKUP(Model_Input2!$C6,Trend!$B$1:$K$122,DO$1,0),""),"NA")</f>
        <v>0</v>
      </c>
      <c r="DP6" s="256">
        <f>IFERROR(IF($C6&lt;&gt;"",HLOOKUP(Model_Input2!$C6,Trend!$B$1:$K$122,DP$1,0),""),"NA")</f>
        <v>0</v>
      </c>
      <c r="DQ6" s="256">
        <f>IFERROR(IF($C6&lt;&gt;"",HLOOKUP(Model_Input2!$C6,Trend!$B$1:$K$122,DQ$1,0),""),"NA")</f>
        <v>0</v>
      </c>
      <c r="DR6" s="256">
        <f>IFERROR(IF($C6&lt;&gt;"",HLOOKUP(Model_Input2!$C6,Trend!$B$1:$K$122,DR$1,0),""),"NA")</f>
        <v>0</v>
      </c>
      <c r="DS6" s="256">
        <f>IFERROR(IF($C6&lt;&gt;"",HLOOKUP(Model_Input2!$C6,Trend!$B$1:$K$122,DS$1,0),""),"NA")</f>
        <v>0</v>
      </c>
      <c r="DT6" s="256">
        <f>IFERROR(IF($C6&lt;&gt;"",HLOOKUP(Model_Input2!$C6,Trend!$B$1:$K$122,DT$1,0),""),"NA")</f>
        <v>1.5785686096989114E-3</v>
      </c>
      <c r="DU6" s="256">
        <f>IFERROR(IF($C6&lt;&gt;"",HLOOKUP(Model_Input2!$C6,Trend!$B$1:$K$122,DU$1,0),""),"NA")</f>
        <v>0.70095410543909742</v>
      </c>
      <c r="DV6" s="256">
        <f>IFERROR(IF($C6&lt;&gt;"",HLOOKUP(Model_Input2!$C6,Trend!$B$1:$K$122,DV$1,0),""),"NA")</f>
        <v>1.0232818218788124</v>
      </c>
      <c r="DW6" s="256">
        <f>IFERROR(IF($C6&lt;&gt;"",HLOOKUP(Model_Input2!$C6,Trend!$B$1:$K$122,DW$1,0),""),"NA")</f>
        <v>0.80882352941176472</v>
      </c>
      <c r="DX6" s="256">
        <f>IFERROR(IF($C6&lt;&gt;"",HLOOKUP(Model_Input2!$C6,Trend!$B$1:$K$122,DX$1,0),""),"NA")</f>
        <v>1.8214936247723135E-3</v>
      </c>
      <c r="DY6" s="256">
        <f>IFERROR(IF($C6&lt;&gt;"",HLOOKUP(Model_Input2!$C6,Trend!$B$1:$K$122,DY$1,0),""),"NA")</f>
        <v>0.7205882352940578</v>
      </c>
    </row>
    <row r="7" spans="1:129" x14ac:dyDescent="0.25">
      <c r="A7" t="str">
        <f t="shared" si="2"/>
        <v>NITIN SPINNERS LTD3132011</v>
      </c>
      <c r="B7" t="str">
        <f>IF(C7&lt;&gt;"",'Data Sheet'!$B$1,"")</f>
        <v>NITIN SPINNERS LTD</v>
      </c>
      <c r="C7" s="255">
        <f>'Data Sheet'!E16</f>
        <v>40633</v>
      </c>
      <c r="D7" s="9">
        <f>IF($C7&lt;&gt;"",HLOOKUP(Model_Input2!$C7,'Data Sheet'!$B$16:$K$31,D$1,0),"")</f>
        <v>410.92</v>
      </c>
      <c r="E7" s="9">
        <f>IFERROR(IF($C7&lt;&gt;"",HLOOKUP(Model_Input2!$C7,'Data Sheet'!$B$16:$K$31,E$1,0),""),"NA")</f>
        <v>260.94</v>
      </c>
      <c r="F7" s="9">
        <f>IFERROR(IF($C7&lt;&gt;"",HLOOKUP(Model_Input2!$C7,'Data Sheet'!$B$16:$K$31,F$1,0),""),"NA")</f>
        <v>8.7899999999999991</v>
      </c>
      <c r="G7" s="9">
        <f>IFERROR(IF($C7&lt;&gt;"",HLOOKUP(Model_Input2!$C7,'Data Sheet'!$B$16:$K$31,G$1,0),""),"NA")</f>
        <v>35.14</v>
      </c>
      <c r="H7" s="9">
        <f>IFERROR(IF($C7&lt;&gt;"",HLOOKUP(Model_Input2!$C7,'Data Sheet'!$B$16:$K$31,H$1,0),""),"NA")</f>
        <v>16.079999999999998</v>
      </c>
      <c r="I7" s="9">
        <f>IFERROR(IF($C7&lt;&gt;"",HLOOKUP(Model_Input2!$C7,'Data Sheet'!$B$16:$K$31,I$1,0),""),"NA")</f>
        <v>14.75</v>
      </c>
      <c r="J7" s="9">
        <f>IFERROR(IF($C7&lt;&gt;"",HLOOKUP(Model_Input2!$C7,'Data Sheet'!$B$16:$K$31,J$1,0),""),"NA")</f>
        <v>16.79</v>
      </c>
      <c r="K7" s="9">
        <f>IFERROR(IF($C7&lt;&gt;"",HLOOKUP(Model_Input2!$C7,'Data Sheet'!$B$16:$K$31,K$1,0),""),"NA")</f>
        <v>0.21</v>
      </c>
      <c r="L7" s="9">
        <f>IFERROR(IF($C7&lt;&gt;"",HLOOKUP(Model_Input2!$C7,'Data Sheet'!$B$16:$K$31,L$1,0),""),"NA")</f>
        <v>0.24</v>
      </c>
      <c r="M7" s="9">
        <f>IFERROR(IF($C7&lt;&gt;"",HLOOKUP(Model_Input2!$C7,'Data Sheet'!$B$16:$K$31,M$1,0),""),"NA")</f>
        <v>45.33</v>
      </c>
      <c r="N7" s="9">
        <f>IFERROR(IF($C7&lt;&gt;"",HLOOKUP(Model_Input2!$C7,'Data Sheet'!$B$16:$K$31,N$1,0),""),"NA")</f>
        <v>21.04</v>
      </c>
      <c r="O7" s="9">
        <f>IFERROR(IF($C7&lt;&gt;"",HLOOKUP(Model_Input2!$C7,'Data Sheet'!$B$16:$K$31,O$1,0),""),"NA")</f>
        <v>9.67</v>
      </c>
      <c r="P7" s="9">
        <f>IFERROR(IF($C7&lt;&gt;"",HLOOKUP(Model_Input2!$C7,'Data Sheet'!$B$16:$K$31,P$1,0),""),"NA")</f>
        <v>2.93</v>
      </c>
      <c r="Q7" s="9">
        <f>IFERROR(IF($C7&lt;&gt;"",HLOOKUP(Model_Input2!$C7,'Data Sheet'!$B$16:$K$31,Q$1,0),""),"NA")</f>
        <v>6.74</v>
      </c>
      <c r="R7" s="9">
        <f>IFERROR(IF($C7&lt;&gt;"",HLOOKUP(Model_Input2!$C7,'Data Sheet'!$B$16:$K$31,R$1,0),""),"NA")</f>
        <v>0</v>
      </c>
      <c r="S7">
        <f>IFERROR(IF($C7&lt;&gt;"",HLOOKUP(Model_Input2!$C7,'Data Sheet'!$B$56:$K$72,S$1,0),""),"NA")</f>
        <v>45.83</v>
      </c>
      <c r="T7">
        <f>IFERROR(IF($C7&lt;&gt;"",HLOOKUP(Model_Input2!$C7,'Data Sheet'!$B$56:$K$72,T$1,0),""),"NA")</f>
        <v>40.520000000000003</v>
      </c>
      <c r="U7">
        <f>IFERROR(IF($C7&lt;&gt;"",HLOOKUP(Model_Input2!$C7,'Data Sheet'!$B$56:$K$72,U$1,0),""),"NA")</f>
        <v>284.02999999999997</v>
      </c>
      <c r="V7">
        <f>IFERROR(IF($C7&lt;&gt;"",HLOOKUP(Model_Input2!$C7,'Data Sheet'!$B$56:$K$72,V$1,0),""),"NA")</f>
        <v>38.4</v>
      </c>
      <c r="W7">
        <f>IFERROR(IF($C7&lt;&gt;"",HLOOKUP(Model_Input2!$C7,'Data Sheet'!$B$56:$K$72,W$1,0),""),"NA")</f>
        <v>408.78</v>
      </c>
      <c r="X7">
        <f>IFERROR(IF($C7&lt;&gt;"",HLOOKUP(Model_Input2!$C7,'Data Sheet'!$B$56:$K$72,X$1,0),""),"NA")</f>
        <v>249.28</v>
      </c>
      <c r="Y7">
        <f>IFERROR(IF($C7&lt;&gt;"",HLOOKUP(Model_Input2!$C7,'Data Sheet'!$B$56:$K$72,Y$1,0),""),"NA")</f>
        <v>0</v>
      </c>
      <c r="Z7">
        <f>IFERROR(IF($C7&lt;&gt;"",HLOOKUP(Model_Input2!$C7,'Data Sheet'!$B$56:$K$72,Z$1,0),""),"NA")</f>
        <v>0</v>
      </c>
      <c r="AA7">
        <f>IFERROR(IF($C7&lt;&gt;"",HLOOKUP(Model_Input2!$C7,'Data Sheet'!$B$56:$K$72,AA$1,0),""),"NA")</f>
        <v>159.5</v>
      </c>
      <c r="AB7">
        <f>IFERROR(IF($C7&lt;&gt;"",HLOOKUP(Model_Input2!$C7,'Data Sheet'!$B$56:$K$72,AB$1,0),""),"NA")</f>
        <v>408.78</v>
      </c>
      <c r="AC7">
        <f>IFERROR(IF($C7&lt;&gt;"",HLOOKUP(Model_Input2!$C7,'Data Sheet'!$B$56:$K$72,AC$1,0),""),"NA")</f>
        <v>35.340000000000003</v>
      </c>
      <c r="AD7">
        <f>IFERROR(IF($C7&lt;&gt;"",HLOOKUP(Model_Input2!$C7,'Data Sheet'!$B$56:$K$72,AD$1,0),""),"NA")</f>
        <v>81.84</v>
      </c>
      <c r="AE7">
        <f>IFERROR(IF($C7&lt;&gt;"",HLOOKUP(Model_Input2!$C7,'Data Sheet'!$B$56:$K$72,AE$1,0),""),"NA")</f>
        <v>0.14000000000000001</v>
      </c>
      <c r="AF7">
        <f>IFERROR(IF($C7&lt;&gt;"",HLOOKUP(Model_Input2!$C7,'Data Sheet'!$B$56:$K$72,AF$1,0),""),"NA")</f>
        <v>45833945</v>
      </c>
      <c r="AG7">
        <f>IFERROR(IF($C7&lt;&gt;"",HLOOKUP(Model_Input2!$C7,'Data Sheet'!$B$56:$K$72,AG$1,0),""),"NA")</f>
        <v>0</v>
      </c>
      <c r="AH7">
        <f>IFERROR(IF($C7&lt;&gt;"",HLOOKUP(Model_Input2!$C7,'Data Sheet'!$B$56:$K$72,AH$1,0),""),"NA")</f>
        <v>10</v>
      </c>
      <c r="AI7">
        <f>IFERROR(IF($C7&lt;&gt;"",HLOOKUP(Model_Input2!$C7,'Data Sheet'!$B$81:$K$85,AI$1,0),""),"NA")</f>
        <v>45.39</v>
      </c>
      <c r="AJ7">
        <f>IFERROR(IF($C7&lt;&gt;"",HLOOKUP(Model_Input2!$C7,'Data Sheet'!$B$81:$K$85,AJ$1,0),""),"NA")</f>
        <v>0.2</v>
      </c>
      <c r="AK7">
        <f>IFERROR(IF($C7&lt;&gt;"",HLOOKUP(Model_Input2!$C7,'Data Sheet'!$B$81:$K$85,AK$1,0),""),"NA")</f>
        <v>-45.6</v>
      </c>
      <c r="AL7">
        <f>IFERROR(IF($C7&lt;&gt;"",HLOOKUP(Model_Input2!$C7,'Data Sheet'!$B$81:$K$85,AL$1,0),""),"NA")</f>
        <v>-0.01</v>
      </c>
      <c r="AM7" s="38">
        <f>IFERROR(IF($C7&lt;&gt;"",HLOOKUP(Model_Input2!$C7,Trend!$B$1:$K$3,AM$1,0),""),"NA")</f>
        <v>12.42</v>
      </c>
      <c r="AN7" s="38">
        <f>IFERROR(IF($C7&lt;&gt;"",HLOOKUP(Model_Input2!$C7,Trend!$B$1:$K$3,AN$1,0),""),"NA")</f>
        <v>4.5833944999999998</v>
      </c>
      <c r="AO7" s="38">
        <f>IFERROR(IF($C7&lt;&gt;"",HLOOKUP(Model_Input2!$C7,Trend!$B$1:$K$122,AO$1,0),""),"NA")</f>
        <v>370.38</v>
      </c>
      <c r="AP7" s="38">
        <f>IFERROR(IF($C7&lt;&gt;"",HLOOKUP(Model_Input2!$C7,Trend!$B$1:$K$122,AP$1,0),""),"NA")</f>
        <v>6.74</v>
      </c>
      <c r="AQ7" s="38">
        <f>IFERROR(IF($C7&lt;&gt;"",HLOOKUP(Model_Input2!$C7,Trend!$B$1:$K$122,AQ$1,0),""),"NA")</f>
        <v>45.39</v>
      </c>
      <c r="AR7" s="38">
        <f>IFERROR(IF($C7&lt;&gt;"",HLOOKUP(Model_Input2!$C7,Trend!$B$1:$K$122,AR$1,0),""),"NA")</f>
        <v>-0.46999999999998465</v>
      </c>
      <c r="AS7" s="38">
        <f>IFERROR(IF($C7&lt;&gt;"",HLOOKUP(Model_Input2!$C7,Trend!$B$1:$K$122,AS$1,0),""),"NA")</f>
        <v>0</v>
      </c>
      <c r="AT7" s="38">
        <f>IFERROR(IF($C7&lt;&gt;"",HLOOKUP(Model_Input2!$C7,Trend!$B$1:$K$122,AT$1,0),""),"NA")</f>
        <v>45.859999999999985</v>
      </c>
      <c r="AU7" s="38">
        <f>IFERROR(IF($C7&lt;&gt;"",HLOOKUP(Model_Input2!$C7,Trend!$B$1:$K$122,AU$1,0),""),"NA")</f>
        <v>340.81575968999999</v>
      </c>
      <c r="AV7" s="256">
        <f>IFERROR(IF($C7&lt;&gt;"",HLOOKUP(Model_Input2!$C7,Trend!$B$1:$K$122,AV$1,0),""),"NA")</f>
        <v>0.36088756416625278</v>
      </c>
      <c r="AW7" s="256">
        <f>IFERROR(IF($C7&lt;&gt;"",HLOOKUP(Model_Input2!$C7,Trend!$B$1:$K$122,AW$1,0),""),"NA")</f>
        <v>8.9117647058823533</v>
      </c>
      <c r="AX7" s="256">
        <f>IFERROR(IF($C7&lt;&gt;"",HLOOKUP(Model_Input2!$C7,Trend!$B$1:$K$122,AX$1,0),""),"NA")</f>
        <v>8.6002141536065418E-2</v>
      </c>
      <c r="AY7" s="256">
        <f>IFERROR(IF($C7&lt;&gt;"",HLOOKUP(Model_Input2!$C7,Trend!$B$1:$K$122,AY$1,0),""),"NA")</f>
        <v>0.19916285408351991</v>
      </c>
      <c r="AZ7" s="256">
        <f>IFERROR(IF($C7&lt;&gt;"",HLOOKUP(Model_Input2!$C7,Trend!$B$1:$K$122,AZ$1,0),""),"NA")</f>
        <v>1.6402219410104158E-2</v>
      </c>
      <c r="BA7" s="256">
        <f>IFERROR(IF($C7&lt;&gt;"",HLOOKUP(Model_Input2!$C7,Trend!$B$1:$K$122,BA$1,0),""),"NA")</f>
        <v>0.30299896587383662</v>
      </c>
      <c r="BB7" s="38">
        <f>IFERROR(IF($C7&lt;&gt;"",HLOOKUP(Model_Input2!$C7,Trend!$B$1:$K$122,BB$1,0),""),"NA")</f>
        <v>38.65</v>
      </c>
      <c r="BC7" s="256">
        <f>IFERROR(IF($C7&lt;&gt;"",HLOOKUP(Model_Input2!$C7,Trend!$B$1:$K$122,BC$1,0),""),"NA")</f>
        <v>0.63501411466952207</v>
      </c>
      <c r="BD7" s="256">
        <f>IFERROR(IF($C7&lt;&gt;"",HLOOKUP(Model_Input2!$C7,Trend!$B$1:$K$122,BD$1,0),""),"NA")</f>
        <v>2.1391025017034944E-2</v>
      </c>
      <c r="BE7" s="256">
        <f>IFERROR(IF($C7&lt;&gt;"",HLOOKUP(Model_Input2!$C7,Trend!$B$1:$K$122,BE$1,0),""),"NA")</f>
        <v>8.5515428793925818E-2</v>
      </c>
      <c r="BF7" s="256">
        <f>IFERROR(IF($C7&lt;&gt;"",HLOOKUP(Model_Input2!$C7,Trend!$B$1:$K$122,BF$1,0),""),"NA")</f>
        <v>3.9131704468022964E-2</v>
      </c>
      <c r="BG7" s="256">
        <f>IFERROR(IF($C7&lt;&gt;"",HLOOKUP(Model_Input2!$C7,Trend!$B$1:$K$122,BG$1,0),""),"NA")</f>
        <v>3.5895064732794704E-2</v>
      </c>
      <c r="BH7" s="256">
        <f>IFERROR(IF($C7&lt;&gt;"",HLOOKUP(Model_Input2!$C7,Trend!$B$1:$K$122,BH$1,0),""),"NA")</f>
        <v>4.0859534702618508E-2</v>
      </c>
      <c r="BI7" s="256">
        <f>IFERROR(IF($C7&lt;&gt;"",HLOOKUP(Model_Input2!$C7,Trend!$B$1:$K$122,BI$1,0),""),"NA")</f>
        <v>5.1104837924656867E-4</v>
      </c>
      <c r="BJ7" s="256">
        <f>IFERROR(IF($C7&lt;&gt;"",HLOOKUP(Model_Input2!$C7,Trend!$B$1:$K$122,BJ$1,0),""),"NA")</f>
        <v>5.84055290567507E-4</v>
      </c>
      <c r="BK7" s="256">
        <f>IFERROR(IF($C7&lt;&gt;"",HLOOKUP(Model_Input2!$C7,Trend!$B$1:$K$122,BK$1,0),""),"NA")</f>
        <v>0.11031344300593789</v>
      </c>
      <c r="BL7" s="256">
        <f>IFERROR(IF($C7&lt;&gt;"",HLOOKUP(Model_Input2!$C7,Trend!$B$1:$K$122,BL$1,0),""),"NA")</f>
        <v>0.36498588533047793</v>
      </c>
      <c r="BM7" s="256">
        <f>IFERROR(IF($C7&lt;&gt;"",HLOOKUP(Model_Input2!$C7,Trend!$B$1:$K$122,BM$1,0),""),"NA")</f>
        <v>7.4734741555533918E-2</v>
      </c>
      <c r="BN7" s="256">
        <f>IFERROR(IF($C7&lt;&gt;"",HLOOKUP(Model_Input2!$C7,Trend!$B$1:$K$122,BN$1,0),""),"NA")</f>
        <v>1.6402219410104158E-2</v>
      </c>
      <c r="BO7" s="256">
        <f>IFERROR(IF($C7&lt;&gt;"",HLOOKUP(Model_Input2!$C7,Trend!$B$1:$K$122,BO$1,0),""),"NA")</f>
        <v>0.30299896587383662</v>
      </c>
      <c r="BP7" s="256">
        <f>IFERROR(IF($C7&lt;&gt;"",HLOOKUP(Model_Input2!$C7,Trend!$B$1:$K$122,BP$1,0),""),"NA")</f>
        <v>0.63391066099124227</v>
      </c>
      <c r="BQ7" s="256">
        <f>IFERROR(IF($C7&lt;&gt;"",HLOOKUP(Model_Input2!$C7,Trend!$B$1:$K$122,BQ$1,0),""),"NA")</f>
        <v>0.60981457018445129</v>
      </c>
      <c r="BR7" s="256">
        <f>IFERROR(IF($C7&lt;&gt;"",HLOOKUP(Model_Input2!$C7,Trend!$B$1:$K$122,BR$1,0),""),"NA")</f>
        <v>0.63060936435315873</v>
      </c>
      <c r="BS7" s="256">
        <f>IFERROR(IF($C7&lt;&gt;"",HLOOKUP(Model_Input2!$C7,Trend!$B$1:$K$122,BS$1,0),""),"NA")</f>
        <v>0.60663876180278398</v>
      </c>
      <c r="BT7" s="256">
        <f>IFERROR(IF($C7&lt;&gt;"",HLOOKUP(Model_Input2!$C7,Trend!$B$1:$K$122,BT$1,0),""),"NA")</f>
        <v>-1.1497627085473474E-3</v>
      </c>
      <c r="BU7" s="256">
        <f>IFERROR(IF($C7&lt;&gt;"",HLOOKUP(Model_Input2!$C7,Trend!$B$1:$K$122,BU$1,0),""),"NA")</f>
        <v>-1.8137614324855657E-3</v>
      </c>
      <c r="BV7" s="256">
        <f>IFERROR(IF($C7&lt;&gt;"",HLOOKUP(Model_Input2!$C7,Trend!$B$1:$K$122,BV$1,0),""),"NA")</f>
        <v>-1.8854300385108499E-3</v>
      </c>
      <c r="BW7" s="256">
        <f>IFERROR(IF($C7&lt;&gt;"",HLOOKUP(Model_Input2!$C7,Trend!$B$1:$K$122,BW$1,0),""),"NA")</f>
        <v>0.63391066099124227</v>
      </c>
      <c r="BX7" s="256">
        <f>IFERROR(IF($C7&lt;&gt;"",HLOOKUP(Model_Input2!$C7,Trend!$B$1:$K$122,BX$1,0),""),"NA")</f>
        <v>0.60981457018445129</v>
      </c>
      <c r="BY7" s="256">
        <f>IFERROR(IF($C7&lt;&gt;"",HLOOKUP(Model_Input2!$C7,Trend!$B$1:$K$122,BY$1,0),""),"NA")</f>
        <v>0</v>
      </c>
      <c r="BZ7" s="256">
        <f>IFERROR(IF($C7&lt;&gt;"",HLOOKUP(Model_Input2!$C7,Trend!$B$1:$K$122,BZ$1,0),""),"NA")</f>
        <v>0.39018542981554871</v>
      </c>
      <c r="CA7" s="256">
        <f>IFERROR(IF($C7&lt;&gt;"",HLOOKUP(Model_Input2!$C7,Trend!$B$1:$K$122,CA$1,0),""),"NA")</f>
        <v>0</v>
      </c>
      <c r="CB7" s="256">
        <f>IFERROR(IF($C7&lt;&gt;"",HLOOKUP(Model_Input2!$C7,Trend!$B$1:$K$122,CB$1,0),""),"NA")</f>
        <v>0</v>
      </c>
      <c r="CC7" s="256">
        <f>IFERROR(IF($C7&lt;&gt;"",HLOOKUP(Model_Input2!$C7,Trend!$B$1:$K$122,CC$1,0),""),"NA")</f>
        <v>0</v>
      </c>
      <c r="CD7" s="38">
        <f>IFERROR(IF($C7&lt;&gt;"",HLOOKUP(Model_Input2!$C7,Trend!$B$1:$K$122,CD$1,0),""),"NA")</f>
        <v>0</v>
      </c>
      <c r="CE7" s="38">
        <f>IFERROR(IF($C7&lt;&gt;"",HLOOKUP(Model_Input2!$C7,Trend!$B$1:$K$122,CE$1,0),""),"NA")</f>
        <v>3.2892877822814128</v>
      </c>
      <c r="CF7" s="38">
        <f>IFERROR(IF($C7&lt;&gt;"",HLOOKUP(Model_Input2!$C7,Trend!$B$1:$K$122,CF$1,0),""),"NA")</f>
        <v>4.1536458333333339</v>
      </c>
      <c r="CG7" s="38">
        <f>IFERROR(IF($C7&lt;&gt;"",HLOOKUP(Model_Input2!$C7,Trend!$B$1:$K$122,CG$1,0),""),"NA")</f>
        <v>1.459600760456274</v>
      </c>
      <c r="CH7" s="38">
        <f>IFERROR(IF($C7&lt;&gt;"",HLOOKUP(Model_Input2!$C7,Trend!$B$1:$K$122,CH$1,0),""),"NA")</f>
        <v>4.7339895773016796</v>
      </c>
      <c r="CI7" s="38">
        <f>IFERROR(IF($C7&lt;&gt;"",HLOOKUP(Model_Input2!$C7,Trend!$B$1:$K$122,CI$1,0),""),"NA")</f>
        <v>2.0223958333333334</v>
      </c>
      <c r="CJ7" s="38">
        <f>IFERROR(IF($C7&lt;&gt;"",HLOOKUP(Model_Input2!$C7,Trend!$B$1:$K$122,CJ$1,0),""),"NA")</f>
        <v>1.1820312500000001</v>
      </c>
      <c r="CK7" s="256">
        <f>IFERROR(IF($C7&lt;&gt;"",HLOOKUP(Model_Input2!$C7,Trend!$B$1:$K$122,CK$1,0),""),"NA")</f>
        <v>2.321424426027811E-4</v>
      </c>
      <c r="CL7" s="256">
        <f>IFERROR(IF($C7&lt;&gt;"",HLOOKUP(Model_Input2!$C7,Trend!$B$1:$K$122,CL$1,0),""),"NA")</f>
        <v>4.9290567897757292E-4</v>
      </c>
      <c r="CM7" s="256">
        <f>IFERROR(IF($C7&lt;&gt;"",HLOOKUP(Model_Input2!$C7,Trend!$B$1:$K$122,CM$1,0),""),"NA")</f>
        <v>3.6458333333333338E-3</v>
      </c>
      <c r="CN7" s="256">
        <f>IFERROR(IF($C7&lt;&gt;"",HLOOKUP(Model_Input2!$C7,Trend!$B$1:$K$122,CN$1,0),""),"NA")</f>
        <v>0.13519698623384854</v>
      </c>
      <c r="CO7" s="256">
        <f>IFERROR(IF($C7&lt;&gt;"",HLOOKUP(Model_Input2!$C7,Trend!$B$1:$K$122,CO$1,0),""),"NA")</f>
        <v>0.15386443094260208</v>
      </c>
      <c r="CP7" s="256">
        <f>IFERROR(IF($C7&lt;&gt;"",HLOOKUP(Model_Input2!$C7,Trend!$B$1:$K$122,CP$1,0),""),"NA")</f>
        <v>0.18184370988446727</v>
      </c>
      <c r="CQ7" s="256">
        <f>IFERROR(IF($C7&lt;&gt;"",HLOOKUP(Model_Input2!$C7,Trend!$B$1:$K$122,CQ$1,0),""),"NA")</f>
        <v>2.4593435513622745E-3</v>
      </c>
      <c r="CR7" s="256">
        <f>IFERROR(IF($C7&lt;&gt;"",HLOOKUP(Model_Input2!$C7,Trend!$B$1:$K$122,CR$1,0),""),"NA")</f>
        <v>0</v>
      </c>
      <c r="CS7" s="256">
        <f>IFERROR(IF($C7&lt;&gt;"",HLOOKUP(Model_Input2!$C7,Trend!$B$1:$K$122,CS$1,0),""),"NA")</f>
        <v>0.29470456536552125</v>
      </c>
      <c r="CT7" s="38">
        <f>IFERROR(IF($C7&lt;&gt;"",HLOOKUP(Model_Input2!$C7,Trend!$B$1:$K$122,CT$1,0),""),"NA")</f>
        <v>31.390781660663876</v>
      </c>
      <c r="CU7" s="38">
        <f>IFERROR(IF($C7&lt;&gt;"",HLOOKUP(Model_Input2!$C7,Trend!$B$1:$K$122,CU$1,0),""),"NA")</f>
        <v>11.627617430673459</v>
      </c>
      <c r="CV7" s="38">
        <f>IFERROR(IF($C7&lt;&gt;"",HLOOKUP(Model_Input2!$C7,Trend!$B$1:$K$122,CV$1,0),""),"NA")</f>
        <v>72.694441740484763</v>
      </c>
      <c r="CW7" s="38">
        <f>IFERROR(IF($C7&lt;&gt;"",HLOOKUP(Model_Input2!$C7,Trend!$B$1:$K$122,CW$1,0),""),"NA")</f>
        <v>5.0210166177908118</v>
      </c>
      <c r="CX7" s="256">
        <f>IFERROR(IF($C7&lt;&gt;"",HLOOKUP(Model_Input2!$C7,Trend!$B$1:$K$122,CX$1,0),""),"NA")</f>
        <v>0.1110377220020549</v>
      </c>
      <c r="CY7" s="256">
        <f>IFERROR(IF($C7&lt;&gt;"",HLOOKUP(Model_Input2!$C7,Trend!$B$1:$K$122,CY$1,0),""),"NA")</f>
        <v>0</v>
      </c>
      <c r="CZ7" s="38">
        <f>IFERROR(IF($C7&lt;&gt;"",HLOOKUP(Model_Input2!$C7,Trend!$B$1:$K$122,CZ$1,0),""),"NA")</f>
        <v>7.5125984637213233E-2</v>
      </c>
      <c r="DA7" s="38">
        <f>IFERROR(IF($C7&lt;&gt;"",HLOOKUP(Model_Input2!$C7,Trend!$B$1:$K$122,DA$1,0),""),"NA")</f>
        <v>7.3158239533083258E-2</v>
      </c>
      <c r="DB7" s="256">
        <f>IFERROR(IF($C7&lt;&gt;"",HLOOKUP(Model_Input2!$C7,Trend!$B$1:$K$122,DB$1,0),""),"NA")</f>
        <v>0.12319480102695772</v>
      </c>
      <c r="DC7" s="256">
        <f>IFERROR(IF($C7&lt;&gt;"",HLOOKUP(Model_Input2!$C7,Trend!$B$1:$K$122,DC$1,0),""),"NA")</f>
        <v>0.11282974502167691</v>
      </c>
      <c r="DD7" s="256">
        <f>IFERROR(IF($C7&lt;&gt;"",HLOOKUP(Model_Input2!$C7,Trend!$B$1:$K$122,DD$1,0),""),"NA")</f>
        <v>0</v>
      </c>
      <c r="DE7" s="256">
        <f>IFERROR(IF($C7&lt;&gt;"",HLOOKUP(Model_Input2!$C7,Trend!$B$1:$K$122,DE$1,0),""),"NA")</f>
        <v>0</v>
      </c>
      <c r="DF7" s="256">
        <f>IFERROR(IF($C7&lt;&gt;"",HLOOKUP(Model_Input2!$C7,Trend!$B$1:$K$122,DF$1,0),""),"NA")</f>
        <v>0</v>
      </c>
      <c r="DG7" s="256">
        <f>IFERROR(IF($C7&lt;&gt;"",HLOOKUP(Model_Input2!$C7,Trend!$B$1:$K$122,DG$1,0),""),"NA")</f>
        <v>0</v>
      </c>
      <c r="DH7" s="256">
        <f>IFERROR(IF($C7&lt;&gt;"",HLOOKUP(Model_Input2!$C7,Trend!$B$1:$K$122,DH$1,0),""),"NA")</f>
        <v>0</v>
      </c>
      <c r="DI7" s="256">
        <f>IFERROR(IF($C7&lt;&gt;"",HLOOKUP(Model_Input2!$C7,Trend!$B$1:$K$122,DI$1,0),""),"NA")</f>
        <v>0</v>
      </c>
      <c r="DJ7" s="38">
        <f>IFERROR(IF($C7&lt;&gt;"",HLOOKUP(Model_Input2!$C7,Trend!$B$1:$K$122,DJ$1,0),""),"NA")</f>
        <v>0</v>
      </c>
      <c r="DK7" s="38">
        <f>IFERROR(IF($C7&lt;&gt;"",HLOOKUP(Model_Input2!$C7,Trend!$B$1:$K$122,DK$1,0),""),"NA")</f>
        <v>0</v>
      </c>
      <c r="DL7" s="256">
        <f>IFERROR(IF($C7&lt;&gt;"",HLOOKUP(Model_Input2!$C7,Trend!$B$1:$K$122,DL$1,0),""),"NA")</f>
        <v>0</v>
      </c>
      <c r="DM7" s="256">
        <f>IFERROR(IF($C7&lt;&gt;"",HLOOKUP(Model_Input2!$C7,Trend!$B$1:$K$122,DM$1,0),""),"NA")</f>
        <v>0</v>
      </c>
      <c r="DN7" s="256">
        <f>IFERROR(IF($C7&lt;&gt;"",HLOOKUP(Model_Input2!$C7,Trend!$B$1:$K$122,DN$1,0),""),"NA")</f>
        <v>0</v>
      </c>
      <c r="DO7" s="256">
        <f>IFERROR(IF($C7&lt;&gt;"",HLOOKUP(Model_Input2!$C7,Trend!$B$1:$K$122,DO$1,0),""),"NA")</f>
        <v>0</v>
      </c>
      <c r="DP7" s="256">
        <f>IFERROR(IF($C7&lt;&gt;"",HLOOKUP(Model_Input2!$C7,Trend!$B$1:$K$122,DP$1,0),""),"NA")</f>
        <v>0</v>
      </c>
      <c r="DQ7" s="256">
        <f>IFERROR(IF($C7&lt;&gt;"",HLOOKUP(Model_Input2!$C7,Trend!$B$1:$K$122,DQ$1,0),""),"NA")</f>
        <v>0</v>
      </c>
      <c r="DR7" s="256">
        <f>IFERROR(IF($C7&lt;&gt;"",HLOOKUP(Model_Input2!$C7,Trend!$B$1:$K$122,DR$1,0),""),"NA")</f>
        <v>0</v>
      </c>
      <c r="DS7" s="256">
        <f>IFERROR(IF($C7&lt;&gt;"",HLOOKUP(Model_Input2!$C7,Trend!$B$1:$K$122,DS$1,0),""),"NA")</f>
        <v>0</v>
      </c>
      <c r="DT7" s="256">
        <f>IFERROR(IF($C7&lt;&gt;"",HLOOKUP(Model_Input2!$C7,Trend!$B$1:$K$122,DT$1,0),""),"NA")</f>
        <v>1.6488086501296541E-2</v>
      </c>
      <c r="DU7" s="256">
        <f>IFERROR(IF($C7&lt;&gt;"",HLOOKUP(Model_Input2!$C7,Trend!$B$1:$K$122,DU$1,0),""),"NA")</f>
        <v>1.0052350897793436</v>
      </c>
      <c r="DV7" s="256">
        <f>IFERROR(IF($C7&lt;&gt;"",HLOOKUP(Model_Input2!$C7,Trend!$B$1:$K$122,DV$1,0),""),"NA")</f>
        <v>1.6484274711168165</v>
      </c>
      <c r="DW7" s="256">
        <f>IFERROR(IF($C7&lt;&gt;"",HLOOKUP(Model_Input2!$C7,Trend!$B$1:$K$122,DW$1,0),""),"NA")</f>
        <v>6.7344213649851632</v>
      </c>
      <c r="DX7" s="256">
        <f>IFERROR(IF($C7&lt;&gt;"",HLOOKUP(Model_Input2!$C7,Trend!$B$1:$K$122,DX$1,0),""),"NA")</f>
        <v>0.11045945682857977</v>
      </c>
      <c r="DY7" s="256">
        <f>IFERROR(IF($C7&lt;&gt;"",HLOOKUP(Model_Input2!$C7,Trend!$B$1:$K$122,DY$1,0),""),"NA")</f>
        <v>-6.9732937685457658E-2</v>
      </c>
    </row>
    <row r="8" spans="1:129" x14ac:dyDescent="0.25">
      <c r="A8" t="str">
        <f t="shared" si="2"/>
        <v>NITIN SPINNERS LTD3132012</v>
      </c>
      <c r="B8" t="str">
        <f>IF(C8&lt;&gt;"",'Data Sheet'!$B$1,"")</f>
        <v>NITIN SPINNERS LTD</v>
      </c>
      <c r="C8" s="255">
        <f>'Data Sheet'!F16</f>
        <v>40999</v>
      </c>
      <c r="D8" s="9">
        <f>IF($C8&lt;&gt;"",HLOOKUP(Model_Input2!$C8,'Data Sheet'!$B$16:$K$31,D$1,0),"")</f>
        <v>428.3</v>
      </c>
      <c r="E8" s="9">
        <f>IFERROR(IF($C8&lt;&gt;"",HLOOKUP(Model_Input2!$C8,'Data Sheet'!$B$16:$K$31,E$1,0),""),"NA")</f>
        <v>286.3</v>
      </c>
      <c r="F8" s="9">
        <f>IFERROR(IF($C8&lt;&gt;"",HLOOKUP(Model_Input2!$C8,'Data Sheet'!$B$16:$K$31,F$1,0),""),"NA")</f>
        <v>-10.43</v>
      </c>
      <c r="G8" s="9">
        <f>IFERROR(IF($C8&lt;&gt;"",HLOOKUP(Model_Input2!$C8,'Data Sheet'!$B$16:$K$31,G$1,0),""),"NA")</f>
        <v>38.57</v>
      </c>
      <c r="H8" s="9">
        <f>IFERROR(IF($C8&lt;&gt;"",HLOOKUP(Model_Input2!$C8,'Data Sheet'!$B$16:$K$31,H$1,0),""),"NA")</f>
        <v>15.59</v>
      </c>
      <c r="I8" s="9">
        <f>IFERROR(IF($C8&lt;&gt;"",HLOOKUP(Model_Input2!$C8,'Data Sheet'!$B$16:$K$31,I$1,0),""),"NA")</f>
        <v>16.489999999999998</v>
      </c>
      <c r="J8" s="9">
        <f>IFERROR(IF($C8&lt;&gt;"",HLOOKUP(Model_Input2!$C8,'Data Sheet'!$B$16:$K$31,J$1,0),""),"NA")</f>
        <v>15.72</v>
      </c>
      <c r="K8" s="9">
        <f>IFERROR(IF($C8&lt;&gt;"",HLOOKUP(Model_Input2!$C8,'Data Sheet'!$B$16:$K$31,K$1,0),""),"NA")</f>
        <v>0.15</v>
      </c>
      <c r="L8" s="9">
        <f>IFERROR(IF($C8&lt;&gt;"",HLOOKUP(Model_Input2!$C8,'Data Sheet'!$B$16:$K$31,L$1,0),""),"NA")</f>
        <v>0.13</v>
      </c>
      <c r="M8" s="9">
        <f>IFERROR(IF($C8&lt;&gt;"",HLOOKUP(Model_Input2!$C8,'Data Sheet'!$B$16:$K$31,M$1,0),""),"NA")</f>
        <v>23.98</v>
      </c>
      <c r="N8" s="9">
        <f>IFERROR(IF($C8&lt;&gt;"",HLOOKUP(Model_Input2!$C8,'Data Sheet'!$B$16:$K$31,N$1,0),""),"NA")</f>
        <v>20.9</v>
      </c>
      <c r="O8" s="9">
        <f>IFERROR(IF($C8&lt;&gt;"",HLOOKUP(Model_Input2!$C8,'Data Sheet'!$B$16:$K$31,O$1,0),""),"NA")</f>
        <v>0.3</v>
      </c>
      <c r="P8" s="9">
        <f>IFERROR(IF($C8&lt;&gt;"",HLOOKUP(Model_Input2!$C8,'Data Sheet'!$B$16:$K$31,P$1,0),""),"NA")</f>
        <v>0</v>
      </c>
      <c r="Q8" s="9">
        <f>IFERROR(IF($C8&lt;&gt;"",HLOOKUP(Model_Input2!$C8,'Data Sheet'!$B$16:$K$31,Q$1,0),""),"NA")</f>
        <v>0.3</v>
      </c>
      <c r="R8" s="9">
        <f>IFERROR(IF($C8&lt;&gt;"",HLOOKUP(Model_Input2!$C8,'Data Sheet'!$B$16:$K$31,R$1,0),""),"NA")</f>
        <v>0</v>
      </c>
      <c r="S8">
        <f>IFERROR(IF($C8&lt;&gt;"",HLOOKUP(Model_Input2!$C8,'Data Sheet'!$B$56:$K$72,S$1,0),""),"NA")</f>
        <v>45.83</v>
      </c>
      <c r="T8">
        <f>IFERROR(IF($C8&lt;&gt;"",HLOOKUP(Model_Input2!$C8,'Data Sheet'!$B$56:$K$72,T$1,0),""),"NA")</f>
        <v>40.83</v>
      </c>
      <c r="U8">
        <f>IFERROR(IF($C8&lt;&gt;"",HLOOKUP(Model_Input2!$C8,'Data Sheet'!$B$56:$K$72,U$1,0),""),"NA")</f>
        <v>248.92</v>
      </c>
      <c r="V8">
        <f>IFERROR(IF($C8&lt;&gt;"",HLOOKUP(Model_Input2!$C8,'Data Sheet'!$B$56:$K$72,V$1,0),""),"NA")</f>
        <v>11.72</v>
      </c>
      <c r="W8">
        <f>IFERROR(IF($C8&lt;&gt;"",HLOOKUP(Model_Input2!$C8,'Data Sheet'!$B$56:$K$72,W$1,0),""),"NA")</f>
        <v>347.3</v>
      </c>
      <c r="X8">
        <f>IFERROR(IF($C8&lt;&gt;"",HLOOKUP(Model_Input2!$C8,'Data Sheet'!$B$56:$K$72,X$1,0),""),"NA")</f>
        <v>228.09</v>
      </c>
      <c r="Y8">
        <f>IFERROR(IF($C8&lt;&gt;"",HLOOKUP(Model_Input2!$C8,'Data Sheet'!$B$56:$K$72,Y$1,0),""),"NA")</f>
        <v>3.38</v>
      </c>
      <c r="Z8">
        <f>IFERROR(IF($C8&lt;&gt;"",HLOOKUP(Model_Input2!$C8,'Data Sheet'!$B$56:$K$72,Z$1,0),""),"NA")</f>
        <v>0</v>
      </c>
      <c r="AA8">
        <f>IFERROR(IF($C8&lt;&gt;"",HLOOKUP(Model_Input2!$C8,'Data Sheet'!$B$56:$K$72,AA$1,0),""),"NA")</f>
        <v>115.83</v>
      </c>
      <c r="AB8">
        <f>IFERROR(IF($C8&lt;&gt;"",HLOOKUP(Model_Input2!$C8,'Data Sheet'!$B$56:$K$72,AB$1,0),""),"NA")</f>
        <v>347.3</v>
      </c>
      <c r="AC8">
        <f>IFERROR(IF($C8&lt;&gt;"",HLOOKUP(Model_Input2!$C8,'Data Sheet'!$B$56:$K$72,AC$1,0),""),"NA")</f>
        <v>18.5</v>
      </c>
      <c r="AD8">
        <f>IFERROR(IF($C8&lt;&gt;"",HLOOKUP(Model_Input2!$C8,'Data Sheet'!$B$56:$K$72,AD$1,0),""),"NA")</f>
        <v>77.13</v>
      </c>
      <c r="AE8">
        <f>IFERROR(IF($C8&lt;&gt;"",HLOOKUP(Model_Input2!$C8,'Data Sheet'!$B$56:$K$72,AE$1,0),""),"NA")</f>
        <v>0.08</v>
      </c>
      <c r="AF8">
        <f>IFERROR(IF($C8&lt;&gt;"",HLOOKUP(Model_Input2!$C8,'Data Sheet'!$B$56:$K$72,AF$1,0),""),"NA")</f>
        <v>45833945</v>
      </c>
      <c r="AG8">
        <f>IFERROR(IF($C8&lt;&gt;"",HLOOKUP(Model_Input2!$C8,'Data Sheet'!$B$56:$K$72,AG$1,0),""),"NA")</f>
        <v>0</v>
      </c>
      <c r="AH8">
        <f>IFERROR(IF($C8&lt;&gt;"",HLOOKUP(Model_Input2!$C8,'Data Sheet'!$B$56:$K$72,AH$1,0),""),"NA")</f>
        <v>10</v>
      </c>
      <c r="AI8">
        <f>IFERROR(IF($C8&lt;&gt;"",HLOOKUP(Model_Input2!$C8,'Data Sheet'!$B$81:$K$85,AI$1,0),""),"NA")</f>
        <v>64.180000000000007</v>
      </c>
      <c r="AJ8">
        <f>IFERROR(IF($C8&lt;&gt;"",HLOOKUP(Model_Input2!$C8,'Data Sheet'!$B$81:$K$85,AJ$1,0),""),"NA")</f>
        <v>-8.2899999999999991</v>
      </c>
      <c r="AK8">
        <f>IFERROR(IF($C8&lt;&gt;"",HLOOKUP(Model_Input2!$C8,'Data Sheet'!$B$81:$K$85,AK$1,0),""),"NA")</f>
        <v>-55.95</v>
      </c>
      <c r="AL8">
        <f>IFERROR(IF($C8&lt;&gt;"",HLOOKUP(Model_Input2!$C8,'Data Sheet'!$B$81:$K$85,AL$1,0),""),"NA")</f>
        <v>-0.06</v>
      </c>
      <c r="AM8" s="38">
        <f>IFERROR(IF($C8&lt;&gt;"",HLOOKUP(Model_Input2!$C8,Trend!$B$1:$K$3,AM$1,0),""),"NA")</f>
        <v>6.18</v>
      </c>
      <c r="AN8" s="38">
        <f>IFERROR(IF($C8&lt;&gt;"",HLOOKUP(Model_Input2!$C8,Trend!$B$1:$K$3,AN$1,0),""),"NA")</f>
        <v>4.5833944999999998</v>
      </c>
      <c r="AO8" s="38">
        <f>IFERROR(IF($C8&lt;&gt;"",HLOOKUP(Model_Input2!$C8,Trend!$B$1:$K$122,AO$1,0),""),"NA")</f>
        <v>335.58</v>
      </c>
      <c r="AP8" s="38">
        <f>IFERROR(IF($C8&lt;&gt;"",HLOOKUP(Model_Input2!$C8,Trend!$B$1:$K$122,AP$1,0),""),"NA")</f>
        <v>0.3</v>
      </c>
      <c r="AQ8" s="38">
        <f>IFERROR(IF($C8&lt;&gt;"",HLOOKUP(Model_Input2!$C8,Trend!$B$1:$K$122,AQ$1,0),""),"NA")</f>
        <v>64.180000000000007</v>
      </c>
      <c r="AR8" s="38">
        <f>IFERROR(IF($C8&lt;&gt;"",HLOOKUP(Model_Input2!$C8,Trend!$B$1:$K$122,AR$1,0),""),"NA")</f>
        <v>6.1700000000000017</v>
      </c>
      <c r="AS8" s="38">
        <f>IFERROR(IF($C8&lt;&gt;"",HLOOKUP(Model_Input2!$C8,Trend!$B$1:$K$122,AS$1,0),""),"NA")</f>
        <v>0</v>
      </c>
      <c r="AT8" s="38">
        <f>IFERROR(IF($C8&lt;&gt;"",HLOOKUP(Model_Input2!$C8,Trend!$B$1:$K$122,AT$1,0),""),"NA")</f>
        <v>58.010000000000005</v>
      </c>
      <c r="AU8" s="38">
        <f>IFERROR(IF($C8&lt;&gt;"",HLOOKUP(Model_Input2!$C8,Trend!$B$1:$K$122,AU$1,0),""),"NA")</f>
        <v>277.16537800999998</v>
      </c>
      <c r="AV8" s="256">
        <f>IFERROR(IF($C8&lt;&gt;"",HLOOKUP(Model_Input2!$C8,Trend!$B$1:$K$122,AV$1,0),""),"NA")</f>
        <v>4.2295337291930288E-2</v>
      </c>
      <c r="AW8" s="256">
        <f>IFERROR(IF($C8&lt;&gt;"",HLOOKUP(Model_Input2!$C8,Trend!$B$1:$K$122,AW$1,0),""),"NA")</f>
        <v>-0.95548961424332346</v>
      </c>
      <c r="AX8" s="256">
        <f>IFERROR(IF($C8&lt;&gt;"",HLOOKUP(Model_Input2!$C8,Trend!$B$1:$K$122,AX$1,0),""),"NA")</f>
        <v>4.3194022881158069E-2</v>
      </c>
      <c r="AY8" s="256">
        <f>IFERROR(IF($C8&lt;&gt;"",HLOOKUP(Model_Input2!$C8,Trend!$B$1:$K$122,AY$1,0),""),"NA")</f>
        <v>0.18008405323371468</v>
      </c>
      <c r="AZ8" s="256">
        <f>IFERROR(IF($C8&lt;&gt;"",HLOOKUP(Model_Input2!$C8,Trend!$B$1:$K$122,AZ$1,0),""),"NA")</f>
        <v>7.0044361428904967E-4</v>
      </c>
      <c r="BA8" s="256">
        <f>IFERROR(IF($C8&lt;&gt;"",HLOOKUP(Model_Input2!$C8,Trend!$B$1:$K$122,BA$1,0),""),"NA")</f>
        <v>0</v>
      </c>
      <c r="BB8" s="38">
        <f>IFERROR(IF($C8&lt;&gt;"",HLOOKUP(Model_Input2!$C8,Trend!$B$1:$K$122,BB$1,0),""),"NA")</f>
        <v>63.88000000000001</v>
      </c>
      <c r="BC8" s="256">
        <f>IFERROR(IF($C8&lt;&gt;"",HLOOKUP(Model_Input2!$C8,Trend!$B$1:$K$122,BC$1,0),""),"NA")</f>
        <v>0.66845668923651647</v>
      </c>
      <c r="BD8" s="256">
        <f>IFERROR(IF($C8&lt;&gt;"",HLOOKUP(Model_Input2!$C8,Trend!$B$1:$K$122,BD$1,0),""),"NA")</f>
        <v>-2.4352089656782629E-2</v>
      </c>
      <c r="BE8" s="256">
        <f>IFERROR(IF($C8&lt;&gt;"",HLOOKUP(Model_Input2!$C8,Trend!$B$1:$K$122,BE$1,0),""),"NA")</f>
        <v>9.0053700677095491E-2</v>
      </c>
      <c r="BF8" s="256">
        <f>IFERROR(IF($C8&lt;&gt;"",HLOOKUP(Model_Input2!$C8,Trend!$B$1:$K$122,BF$1,0),""),"NA")</f>
        <v>3.6399719822554286E-2</v>
      </c>
      <c r="BG8" s="256">
        <f>IFERROR(IF($C8&lt;&gt;"",HLOOKUP(Model_Input2!$C8,Trend!$B$1:$K$122,BG$1,0),""),"NA")</f>
        <v>3.8501050665421428E-2</v>
      </c>
      <c r="BH8" s="256">
        <f>IFERROR(IF($C8&lt;&gt;"",HLOOKUP(Model_Input2!$C8,Trend!$B$1:$K$122,BH$1,0),""),"NA")</f>
        <v>3.6703245388746204E-2</v>
      </c>
      <c r="BI8" s="256">
        <f>IFERROR(IF($C8&lt;&gt;"",HLOOKUP(Model_Input2!$C8,Trend!$B$1:$K$122,BI$1,0),""),"NA")</f>
        <v>3.5022180714452483E-4</v>
      </c>
      <c r="BJ8" s="256">
        <f>IFERROR(IF($C8&lt;&gt;"",HLOOKUP(Model_Input2!$C8,Trend!$B$1:$K$122,BJ$1,0),""),"NA")</f>
        <v>3.0352556619192155E-4</v>
      </c>
      <c r="BK8" s="256">
        <f>IFERROR(IF($C8&lt;&gt;"",HLOOKUP(Model_Input2!$C8,Trend!$B$1:$K$122,BK$1,0),""),"NA")</f>
        <v>5.5988792902171375E-2</v>
      </c>
      <c r="BL8" s="256">
        <f>IFERROR(IF($C8&lt;&gt;"",HLOOKUP(Model_Input2!$C8,Trend!$B$1:$K$122,BL$1,0),""),"NA")</f>
        <v>0.33154331076348353</v>
      </c>
      <c r="BM8" s="256">
        <f>IFERROR(IF($C8&lt;&gt;"",HLOOKUP(Model_Input2!$C8,Trend!$B$1:$K$122,BM$1,0),""),"NA")</f>
        <v>4.949801540975951E-2</v>
      </c>
      <c r="BN8" s="256">
        <f>IFERROR(IF($C8&lt;&gt;"",HLOOKUP(Model_Input2!$C8,Trend!$B$1:$K$122,BN$1,0),""),"NA")</f>
        <v>7.0044361428904967E-4</v>
      </c>
      <c r="BO8" s="256">
        <f>IFERROR(IF($C8&lt;&gt;"",HLOOKUP(Model_Input2!$C8,Trend!$B$1:$K$122,BO$1,0),""),"NA")</f>
        <v>0</v>
      </c>
      <c r="BP8" s="256">
        <f>IFERROR(IF($C8&lt;&gt;"",HLOOKUP(Model_Input2!$C8,Trend!$B$1:$K$122,BP$1,0),""),"NA")</f>
        <v>0.68545925712640365</v>
      </c>
      <c r="BQ8" s="256">
        <f>IFERROR(IF($C8&lt;&gt;"",HLOOKUP(Model_Input2!$C8,Trend!$B$1:$K$122,BQ$1,0),""),"NA")</f>
        <v>0.65675208753239278</v>
      </c>
      <c r="BR8" s="256">
        <f>IFERROR(IF($C8&lt;&gt;"",HLOOKUP(Model_Input2!$C8,Trend!$B$1:$K$122,BR$1,0),""),"NA")</f>
        <v>0.55582535605883721</v>
      </c>
      <c r="BS8" s="256">
        <f>IFERROR(IF($C8&lt;&gt;"",HLOOKUP(Model_Input2!$C8,Trend!$B$1:$K$122,BS$1,0),""),"NA")</f>
        <v>0.53254727994396456</v>
      </c>
      <c r="BT8" s="256">
        <f>IFERROR(IF($C8&lt;&gt;"",HLOOKUP(Model_Input2!$C8,Trend!$B$1:$K$122,BT$1,0),""),"NA")</f>
        <v>1.776562050100778E-2</v>
      </c>
      <c r="BU8" s="256">
        <f>IFERROR(IF($C8&lt;&gt;"",HLOOKUP(Model_Input2!$C8,Trend!$B$1:$K$122,BU$1,0),""),"NA")</f>
        <v>2.5917835839704282E-2</v>
      </c>
      <c r="BV8" s="256">
        <f>IFERROR(IF($C8&lt;&gt;"",HLOOKUP(Model_Input2!$C8,Trend!$B$1:$K$122,BV$1,0),""),"NA")</f>
        <v>2.7050725590775579E-2</v>
      </c>
      <c r="BW8" s="256">
        <f>IFERROR(IF($C8&lt;&gt;"",HLOOKUP(Model_Input2!$C8,Trend!$B$1:$K$122,BW$1,0),""),"NA")</f>
        <v>0.68545925712640365</v>
      </c>
      <c r="BX8" s="256">
        <f>IFERROR(IF($C8&lt;&gt;"",HLOOKUP(Model_Input2!$C8,Trend!$B$1:$K$122,BX$1,0),""),"NA")</f>
        <v>0.65675208753239278</v>
      </c>
      <c r="BY8" s="256">
        <f>IFERROR(IF($C8&lt;&gt;"",HLOOKUP(Model_Input2!$C8,Trend!$B$1:$K$122,BY$1,0),""),"NA")</f>
        <v>0</v>
      </c>
      <c r="BZ8" s="256">
        <f>IFERROR(IF($C8&lt;&gt;"",HLOOKUP(Model_Input2!$C8,Trend!$B$1:$K$122,BZ$1,0),""),"NA")</f>
        <v>0.33351569248488339</v>
      </c>
      <c r="CA8" s="256">
        <f>IFERROR(IF($C8&lt;&gt;"",HLOOKUP(Model_Input2!$C8,Trend!$B$1:$K$122,CA$1,0),""),"NA")</f>
        <v>9.7322199827238696E-3</v>
      </c>
      <c r="CB8" s="256">
        <f>IFERROR(IF($C8&lt;&gt;"",HLOOKUP(Model_Input2!$C8,Trend!$B$1:$K$122,CB$1,0),""),"NA")</f>
        <v>1.419810131899521E-2</v>
      </c>
      <c r="CC8" s="256">
        <f>IFERROR(IF($C8&lt;&gt;"",HLOOKUP(Model_Input2!$C8,Trend!$B$1:$K$122,CC$1,0),""),"NA")</f>
        <v>1.4818711911964575E-2</v>
      </c>
      <c r="CD8" s="38">
        <f>IFERROR(IF($C8&lt;&gt;"",HLOOKUP(Model_Input2!$C8,Trend!$B$1:$K$122,CD$1,0),""),"NA")</f>
        <v>0</v>
      </c>
      <c r="CE8" s="38">
        <f>IFERROR(IF($C8&lt;&gt;"",HLOOKUP(Model_Input2!$C8,Trend!$B$1:$K$122,CE$1,0),""),"NA")</f>
        <v>2.8723747980613892</v>
      </c>
      <c r="CF8" s="38">
        <f>IFERROR(IF($C8&lt;&gt;"",HLOOKUP(Model_Input2!$C8,Trend!$B$1:$K$122,CF$1,0),""),"NA")</f>
        <v>9.8831058020477816</v>
      </c>
      <c r="CG8" s="38">
        <f>IFERROR(IF($C8&lt;&gt;"",HLOOKUP(Model_Input2!$C8,Trend!$B$1:$K$122,CG$1,0),""),"NA")</f>
        <v>1.0143540669856459</v>
      </c>
      <c r="CH8" s="38">
        <f>IFERROR(IF($C8&lt;&gt;"",HLOOKUP(Model_Input2!$C8,Trend!$B$1:$K$122,CH$1,0),""),"NA")</f>
        <v>4.0076159704592662</v>
      </c>
      <c r="CI8" s="38">
        <f>IFERROR(IF($C8&lt;&gt;"",HLOOKUP(Model_Input2!$C8,Trend!$B$1:$K$122,CI$1,0),""),"NA")</f>
        <v>3.302047781569966</v>
      </c>
      <c r="CJ8" s="38">
        <f>IFERROR(IF($C8&lt;&gt;"",HLOOKUP(Model_Input2!$C8,Trend!$B$1:$K$122,CJ$1,0),""),"NA")</f>
        <v>5.4761092150170647</v>
      </c>
      <c r="CK8" s="256">
        <f>IFERROR(IF($C8&lt;&gt;"",HLOOKUP(Model_Input2!$C8,Trend!$B$1:$K$122,CK$1,0),""),"NA")</f>
        <v>3.4248250892900833E-4</v>
      </c>
      <c r="CL8" s="256">
        <f>IFERROR(IF($C8&lt;&gt;"",HLOOKUP(Model_Input2!$C8,Trend!$B$1:$K$122,CL$1,0),""),"NA")</f>
        <v>3.2138839787883657E-4</v>
      </c>
      <c r="CM8" s="256">
        <f>IFERROR(IF($C8&lt;&gt;"",HLOOKUP(Model_Input2!$C8,Trend!$B$1:$K$122,CM$1,0),""),"NA")</f>
        <v>6.8259385665529011E-3</v>
      </c>
      <c r="CN8" s="256">
        <f>IFERROR(IF($C8&lt;&gt;"",HLOOKUP(Model_Input2!$C8,Trend!$B$1:$K$122,CN$1,0),""),"NA")</f>
        <v>4.7083400289249566E-2</v>
      </c>
      <c r="CO8" s="256">
        <f>IFERROR(IF($C8&lt;&gt;"",HLOOKUP(Model_Input2!$C8,Trend!$B$1:$K$122,CO$1,0),""),"NA")</f>
        <v>9.5132304518586105E-2</v>
      </c>
      <c r="CP8" s="256">
        <f>IFERROR(IF($C8&lt;&gt;"",HLOOKUP(Model_Input2!$C8,Trend!$B$1:$K$122,CP$1,0),""),"NA")</f>
        <v>0.10513393835766584</v>
      </c>
      <c r="CQ8" s="256">
        <f>IFERROR(IF($C8&lt;&gt;"",HLOOKUP(Model_Input2!$C8,Trend!$B$1:$K$122,CQ$1,0),""),"NA")</f>
        <v>2.8243224140471058E-3</v>
      </c>
      <c r="CR8" s="256">
        <f>IFERROR(IF($C8&lt;&gt;"",HLOOKUP(Model_Input2!$C8,Trend!$B$1:$K$122,CR$1,0),""),"NA")</f>
        <v>0</v>
      </c>
      <c r="CS8" s="256">
        <f>IFERROR(IF($C8&lt;&gt;"",HLOOKUP(Model_Input2!$C8,Trend!$B$1:$K$122,CS$1,0),""),"NA")</f>
        <v>0.24307728227877656</v>
      </c>
      <c r="CT8" s="38">
        <f>IFERROR(IF($C8&lt;&gt;"",HLOOKUP(Model_Input2!$C8,Trend!$B$1:$K$122,CT$1,0),""),"NA")</f>
        <v>15.765818351622695</v>
      </c>
      <c r="CU8" s="38">
        <f>IFERROR(IF($C8&lt;&gt;"",HLOOKUP(Model_Input2!$C8,Trend!$B$1:$K$122,CU$1,0),""),"NA")</f>
        <v>23.151351351351352</v>
      </c>
      <c r="CV8" s="38">
        <f>IFERROR(IF($C8&lt;&gt;"",HLOOKUP(Model_Input2!$C8,Trend!$B$1:$K$122,CV$1,0),""),"NA")</f>
        <v>65.730679430305855</v>
      </c>
      <c r="CW8" s="38">
        <f>IFERROR(IF($C8&lt;&gt;"",HLOOKUP(Model_Input2!$C8,Trend!$B$1:$K$122,CW$1,0),""),"NA")</f>
        <v>5.5529625307921693</v>
      </c>
      <c r="CX8" s="256">
        <f>IFERROR(IF($C8&lt;&gt;"",HLOOKUP(Model_Input2!$C8,Trend!$B$1:$K$122,CX$1,0),""),"NA")</f>
        <v>0.18479700547077457</v>
      </c>
      <c r="CY8" s="256">
        <f>IFERROR(IF($C8&lt;&gt;"",HLOOKUP(Model_Input2!$C8,Trend!$B$1:$K$122,CY$1,0),""),"NA")</f>
        <v>0</v>
      </c>
      <c r="CZ8" s="38">
        <f>IFERROR(IF($C8&lt;&gt;"",HLOOKUP(Model_Input2!$C8,Trend!$B$1:$K$122,CZ$1,0),""),"NA")</f>
        <v>6.104232651885981E-2</v>
      </c>
      <c r="DA8" s="38">
        <f>IFERROR(IF($C8&lt;&gt;"",HLOOKUP(Model_Input2!$C8,Trend!$B$1:$K$122,DA$1,0),""),"NA")</f>
        <v>5.6078721828377989E-2</v>
      </c>
      <c r="DB8" s="256">
        <f>IFERROR(IF($C8&lt;&gt;"",HLOOKUP(Model_Input2!$C8,Trend!$B$1:$K$122,DB$1,0),""),"NA")</f>
        <v>9.158854279172253E-2</v>
      </c>
      <c r="DC8" s="256">
        <f>IFERROR(IF($C8&lt;&gt;"",HLOOKUP(Model_Input2!$C8,Trend!$B$1:$K$122,DC$1,0),""),"NA")</f>
        <v>8.8195527821112896E-2</v>
      </c>
      <c r="DD8" s="256">
        <f>IFERROR(IF($C8&lt;&gt;"",HLOOKUP(Model_Input2!$C8,Trend!$B$1:$K$122,DD$1,0),""),"NA")</f>
        <v>0</v>
      </c>
      <c r="DE8" s="256">
        <f>IFERROR(IF($C8&lt;&gt;"",HLOOKUP(Model_Input2!$C8,Trend!$B$1:$K$122,DE$1,0),""),"NA")</f>
        <v>0</v>
      </c>
      <c r="DF8" s="256">
        <f>IFERROR(IF($C8&lt;&gt;"",HLOOKUP(Model_Input2!$C8,Trend!$B$1:$K$122,DF$1,0),""),"NA")</f>
        <v>0</v>
      </c>
      <c r="DG8" s="256">
        <f>IFERROR(IF($C8&lt;&gt;"",HLOOKUP(Model_Input2!$C8,Trend!$B$1:$K$122,DG$1,0),""),"NA")</f>
        <v>0</v>
      </c>
      <c r="DH8" s="256">
        <f>IFERROR(IF($C8&lt;&gt;"",HLOOKUP(Model_Input2!$C8,Trend!$B$1:$K$122,DH$1,0),""),"NA")</f>
        <v>0</v>
      </c>
      <c r="DI8" s="256">
        <f>IFERROR(IF($C8&lt;&gt;"",HLOOKUP(Model_Input2!$C8,Trend!$B$1:$K$122,DI$1,0),""),"NA")</f>
        <v>0</v>
      </c>
      <c r="DJ8" s="38">
        <f>IFERROR(IF($C8&lt;&gt;"",HLOOKUP(Model_Input2!$C8,Trend!$B$1:$K$122,DJ$1,0),""),"NA")</f>
        <v>0</v>
      </c>
      <c r="DK8" s="38">
        <f>IFERROR(IF($C8&lt;&gt;"",HLOOKUP(Model_Input2!$C8,Trend!$B$1:$K$122,DK$1,0),""),"NA")</f>
        <v>0</v>
      </c>
      <c r="DL8" s="256">
        <f>IFERROR(IF($C8&lt;&gt;"",HLOOKUP(Model_Input2!$C8,Trend!$B$1:$K$122,DL$1,0),""),"NA")</f>
        <v>0</v>
      </c>
      <c r="DM8" s="256">
        <f>IFERROR(IF($C8&lt;&gt;"",HLOOKUP(Model_Input2!$C8,Trend!$B$1:$K$122,DM$1,0),""),"NA")</f>
        <v>0</v>
      </c>
      <c r="DN8" s="256">
        <f>IFERROR(IF($C8&lt;&gt;"",HLOOKUP(Model_Input2!$C8,Trend!$B$1:$K$122,DN$1,0),""),"NA")</f>
        <v>0</v>
      </c>
      <c r="DO8" s="256">
        <f>IFERROR(IF($C8&lt;&gt;"",HLOOKUP(Model_Input2!$C8,Trend!$B$1:$K$122,DO$1,0),""),"NA")</f>
        <v>0</v>
      </c>
      <c r="DP8" s="256">
        <f>IFERROR(IF($C8&lt;&gt;"",HLOOKUP(Model_Input2!$C8,Trend!$B$1:$K$122,DP$1,0),""),"NA")</f>
        <v>0</v>
      </c>
      <c r="DQ8" s="256">
        <f>IFERROR(IF($C8&lt;&gt;"",HLOOKUP(Model_Input2!$C8,Trend!$B$1:$K$122,DQ$1,0),""),"NA")</f>
        <v>0</v>
      </c>
      <c r="DR8" s="256">
        <f>IFERROR(IF($C8&lt;&gt;"",HLOOKUP(Model_Input2!$C8,Trend!$B$1:$K$122,DR$1,0),""),"NA")</f>
        <v>0</v>
      </c>
      <c r="DS8" s="256">
        <f>IFERROR(IF($C8&lt;&gt;"",HLOOKUP(Model_Input2!$C8,Trend!$B$1:$K$122,DS$1,0),""),"NA")</f>
        <v>0</v>
      </c>
      <c r="DT8" s="256">
        <f>IFERROR(IF($C8&lt;&gt;"",HLOOKUP(Model_Input2!$C8,Trend!$B$1:$K$122,DT$1,0),""),"NA")</f>
        <v>8.6380650734235525E-4</v>
      </c>
      <c r="DU8" s="256">
        <f>IFERROR(IF($C8&lt;&gt;"",HLOOKUP(Model_Input2!$C8,Trend!$B$1:$K$122,DU$1,0),""),"NA")</f>
        <v>1.2332277569824359</v>
      </c>
      <c r="DV8" s="256">
        <f>IFERROR(IF($C8&lt;&gt;"",HLOOKUP(Model_Input2!$C8,Trend!$B$1:$K$122,DV$1,0),""),"NA")</f>
        <v>1.8777675478977596</v>
      </c>
      <c r="DW8" s="256">
        <f>IFERROR(IF($C8&lt;&gt;"",HLOOKUP(Model_Input2!$C8,Trend!$B$1:$K$122,DW$1,0),""),"NA")</f>
        <v>213.93333333333337</v>
      </c>
      <c r="DX8" s="256">
        <f>IFERROR(IF($C8&lt;&gt;"",HLOOKUP(Model_Input2!$C8,Trend!$B$1:$K$122,DX$1,0),""),"NA")</f>
        <v>0.14984823721690405</v>
      </c>
      <c r="DY8" s="256">
        <f>IFERROR(IF($C8&lt;&gt;"",HLOOKUP(Model_Input2!$C8,Trend!$B$1:$K$122,DY$1,0),""),"NA")</f>
        <v>20.566666666666674</v>
      </c>
    </row>
    <row r="9" spans="1:129" x14ac:dyDescent="0.25">
      <c r="A9" t="str">
        <f t="shared" si="2"/>
        <v>NITIN SPINNERS LTD3132013</v>
      </c>
      <c r="B9" t="str">
        <f>IF(C9&lt;&gt;"",'Data Sheet'!$B$1,"")</f>
        <v>NITIN SPINNERS LTD</v>
      </c>
      <c r="C9" s="255">
        <f>'Data Sheet'!G16</f>
        <v>41364</v>
      </c>
      <c r="D9" s="9">
        <f>IF($C9&lt;&gt;"",HLOOKUP(Model_Input2!$C9,'Data Sheet'!$B$16:$K$31,D$1,0),"")</f>
        <v>446.05</v>
      </c>
      <c r="E9" s="9">
        <f>IFERROR(IF($C9&lt;&gt;"",HLOOKUP(Model_Input2!$C9,'Data Sheet'!$B$16:$K$31,E$1,0),""),"NA")</f>
        <v>264.19</v>
      </c>
      <c r="F9" s="9">
        <f>IFERROR(IF($C9&lt;&gt;"",HLOOKUP(Model_Input2!$C9,'Data Sheet'!$B$16:$K$31,F$1,0),""),"NA")</f>
        <v>0.19</v>
      </c>
      <c r="G9" s="9">
        <f>IFERROR(IF($C9&lt;&gt;"",HLOOKUP(Model_Input2!$C9,'Data Sheet'!$B$16:$K$31,G$1,0),""),"NA")</f>
        <v>38.53</v>
      </c>
      <c r="H9" s="9">
        <f>IFERROR(IF($C9&lt;&gt;"",HLOOKUP(Model_Input2!$C9,'Data Sheet'!$B$16:$K$31,H$1,0),""),"NA")</f>
        <v>18.260000000000002</v>
      </c>
      <c r="I9" s="9">
        <f>IFERROR(IF($C9&lt;&gt;"",HLOOKUP(Model_Input2!$C9,'Data Sheet'!$B$16:$K$31,I$1,0),""),"NA")</f>
        <v>19.940000000000001</v>
      </c>
      <c r="J9" s="9">
        <f>IFERROR(IF($C9&lt;&gt;"",HLOOKUP(Model_Input2!$C9,'Data Sheet'!$B$16:$K$31,J$1,0),""),"NA")</f>
        <v>17.3</v>
      </c>
      <c r="K9" s="9">
        <f>IFERROR(IF($C9&lt;&gt;"",HLOOKUP(Model_Input2!$C9,'Data Sheet'!$B$16:$K$31,K$1,0),""),"NA")</f>
        <v>15.53</v>
      </c>
      <c r="L9" s="9">
        <f>IFERROR(IF($C9&lt;&gt;"",HLOOKUP(Model_Input2!$C9,'Data Sheet'!$B$16:$K$31,L$1,0),""),"NA")</f>
        <v>0.3</v>
      </c>
      <c r="M9" s="9">
        <f>IFERROR(IF($C9&lt;&gt;"",HLOOKUP(Model_Input2!$C9,'Data Sheet'!$B$16:$K$31,M$1,0),""),"NA")</f>
        <v>24.5</v>
      </c>
      <c r="N9" s="9">
        <f>IFERROR(IF($C9&lt;&gt;"",HLOOKUP(Model_Input2!$C9,'Data Sheet'!$B$16:$K$31,N$1,0),""),"NA")</f>
        <v>27.31</v>
      </c>
      <c r="O9" s="9">
        <f>IFERROR(IF($C9&lt;&gt;"",HLOOKUP(Model_Input2!$C9,'Data Sheet'!$B$16:$K$31,O$1,0),""),"NA")</f>
        <v>20.97</v>
      </c>
      <c r="P9" s="9">
        <f>IFERROR(IF($C9&lt;&gt;"",HLOOKUP(Model_Input2!$C9,'Data Sheet'!$B$16:$K$31,P$1,0),""),"NA")</f>
        <v>6.84</v>
      </c>
      <c r="Q9" s="9">
        <f>IFERROR(IF($C9&lt;&gt;"",HLOOKUP(Model_Input2!$C9,'Data Sheet'!$B$16:$K$31,Q$1,0),""),"NA")</f>
        <v>14.14</v>
      </c>
      <c r="R9" s="9">
        <f>IFERROR(IF($C9&lt;&gt;"",HLOOKUP(Model_Input2!$C9,'Data Sheet'!$B$16:$K$31,R$1,0),""),"NA")</f>
        <v>0</v>
      </c>
      <c r="S9">
        <f>IFERROR(IF($C9&lt;&gt;"",HLOOKUP(Model_Input2!$C9,'Data Sheet'!$B$56:$K$72,S$1,0),""),"NA")</f>
        <v>45.83</v>
      </c>
      <c r="T9">
        <f>IFERROR(IF($C9&lt;&gt;"",HLOOKUP(Model_Input2!$C9,'Data Sheet'!$B$56:$K$72,T$1,0),""),"NA")</f>
        <v>54.96</v>
      </c>
      <c r="U9">
        <f>IFERROR(IF($C9&lt;&gt;"",HLOOKUP(Model_Input2!$C9,'Data Sheet'!$B$56:$K$72,U$1,0),""),"NA")</f>
        <v>206.64</v>
      </c>
      <c r="V9">
        <f>IFERROR(IF($C9&lt;&gt;"",HLOOKUP(Model_Input2!$C9,'Data Sheet'!$B$56:$K$72,V$1,0),""),"NA")</f>
        <v>56.38</v>
      </c>
      <c r="W9">
        <f>IFERROR(IF($C9&lt;&gt;"",HLOOKUP(Model_Input2!$C9,'Data Sheet'!$B$56:$K$72,W$1,0),""),"NA")</f>
        <v>363.81</v>
      </c>
      <c r="X9">
        <f>IFERROR(IF($C9&lt;&gt;"",HLOOKUP(Model_Input2!$C9,'Data Sheet'!$B$56:$K$72,X$1,0),""),"NA")</f>
        <v>212.99</v>
      </c>
      <c r="Y9">
        <f>IFERROR(IF($C9&lt;&gt;"",HLOOKUP(Model_Input2!$C9,'Data Sheet'!$B$56:$K$72,Y$1,0),""),"NA")</f>
        <v>0</v>
      </c>
      <c r="Z9">
        <f>IFERROR(IF($C9&lt;&gt;"",HLOOKUP(Model_Input2!$C9,'Data Sheet'!$B$56:$K$72,Z$1,0),""),"NA")</f>
        <v>0</v>
      </c>
      <c r="AA9">
        <f>IFERROR(IF($C9&lt;&gt;"",HLOOKUP(Model_Input2!$C9,'Data Sheet'!$B$56:$K$72,AA$1,0),""),"NA")</f>
        <v>150.82</v>
      </c>
      <c r="AB9">
        <f>IFERROR(IF($C9&lt;&gt;"",HLOOKUP(Model_Input2!$C9,'Data Sheet'!$B$56:$K$72,AB$1,0),""),"NA")</f>
        <v>363.81</v>
      </c>
      <c r="AC9">
        <f>IFERROR(IF($C9&lt;&gt;"",HLOOKUP(Model_Input2!$C9,'Data Sheet'!$B$56:$K$72,AC$1,0),""),"NA")</f>
        <v>28.04</v>
      </c>
      <c r="AD9">
        <f>IFERROR(IF($C9&lt;&gt;"",HLOOKUP(Model_Input2!$C9,'Data Sheet'!$B$56:$K$72,AD$1,0),""),"NA")</f>
        <v>81.900000000000006</v>
      </c>
      <c r="AE9">
        <f>IFERROR(IF($C9&lt;&gt;"",HLOOKUP(Model_Input2!$C9,'Data Sheet'!$B$56:$K$72,AE$1,0),""),"NA")</f>
        <v>0.28000000000000003</v>
      </c>
      <c r="AF9">
        <f>IFERROR(IF($C9&lt;&gt;"",HLOOKUP(Model_Input2!$C9,'Data Sheet'!$B$56:$K$72,AF$1,0),""),"NA")</f>
        <v>45833945</v>
      </c>
      <c r="AG9">
        <f>IFERROR(IF($C9&lt;&gt;"",HLOOKUP(Model_Input2!$C9,'Data Sheet'!$B$56:$K$72,AG$1,0),""),"NA")</f>
        <v>0</v>
      </c>
      <c r="AH9">
        <f>IFERROR(IF($C9&lt;&gt;"",HLOOKUP(Model_Input2!$C9,'Data Sheet'!$B$56:$K$72,AH$1,0),""),"NA")</f>
        <v>10</v>
      </c>
      <c r="AI9">
        <f>IFERROR(IF($C9&lt;&gt;"",HLOOKUP(Model_Input2!$C9,'Data Sheet'!$B$81:$K$85,AI$1,0),""),"NA")</f>
        <v>88.9</v>
      </c>
      <c r="AJ9">
        <f>IFERROR(IF($C9&lt;&gt;"",HLOOKUP(Model_Input2!$C9,'Data Sheet'!$B$81:$K$85,AJ$1,0),""),"NA")</f>
        <v>-4.3899999999999997</v>
      </c>
      <c r="AK9">
        <f>IFERROR(IF($C9&lt;&gt;"",HLOOKUP(Model_Input2!$C9,'Data Sheet'!$B$81:$K$85,AK$1,0),""),"NA")</f>
        <v>-84.32</v>
      </c>
      <c r="AL9">
        <f>IFERROR(IF($C9&lt;&gt;"",HLOOKUP(Model_Input2!$C9,'Data Sheet'!$B$81:$K$85,AL$1,0),""),"NA")</f>
        <v>0.19</v>
      </c>
      <c r="AM9" s="38">
        <f>IFERROR(IF($C9&lt;&gt;"",HLOOKUP(Model_Input2!$C9,Trend!$B$1:$K$3,AM$1,0),""),"NA")</f>
        <v>9.98</v>
      </c>
      <c r="AN9" s="38">
        <f>IFERROR(IF($C9&lt;&gt;"",HLOOKUP(Model_Input2!$C9,Trend!$B$1:$K$3,AN$1,0),""),"NA")</f>
        <v>4.5833944999999998</v>
      </c>
      <c r="AO9" s="38">
        <f>IFERROR(IF($C9&lt;&gt;"",HLOOKUP(Model_Input2!$C9,Trend!$B$1:$K$122,AO$1,0),""),"NA")</f>
        <v>307.42999999999995</v>
      </c>
      <c r="AP9" s="38">
        <f>IFERROR(IF($C9&lt;&gt;"",HLOOKUP(Model_Input2!$C9,Trend!$B$1:$K$122,AP$1,0),""),"NA")</f>
        <v>14.14</v>
      </c>
      <c r="AQ9" s="38">
        <f>IFERROR(IF($C9&lt;&gt;"",HLOOKUP(Model_Input2!$C9,Trend!$B$1:$K$122,AQ$1,0),""),"NA")</f>
        <v>88.9</v>
      </c>
      <c r="AR9" s="38">
        <f>IFERROR(IF($C9&lt;&gt;"",HLOOKUP(Model_Input2!$C9,Trend!$B$1:$K$122,AR$1,0),""),"NA")</f>
        <v>6.0200000000000067</v>
      </c>
      <c r="AS9" s="38">
        <f>IFERROR(IF($C9&lt;&gt;"",HLOOKUP(Model_Input2!$C9,Trend!$B$1:$K$122,AS$1,0),""),"NA")</f>
        <v>0</v>
      </c>
      <c r="AT9" s="38">
        <f>IFERROR(IF($C9&lt;&gt;"",HLOOKUP(Model_Input2!$C9,Trend!$B$1:$K$122,AT$1,0),""),"NA")</f>
        <v>82.88</v>
      </c>
      <c r="AU9" s="38">
        <f>IFERROR(IF($C9&lt;&gt;"",HLOOKUP(Model_Input2!$C9,Trend!$B$1:$K$122,AU$1,0),""),"NA")</f>
        <v>252.10227710999999</v>
      </c>
      <c r="AV9" s="256">
        <f>IFERROR(IF($C9&lt;&gt;"",HLOOKUP(Model_Input2!$C9,Trend!$B$1:$K$122,AV$1,0),""),"NA")</f>
        <v>4.1442913845435442E-2</v>
      </c>
      <c r="AW9" s="256">
        <f>IFERROR(IF($C9&lt;&gt;"",HLOOKUP(Model_Input2!$C9,Trend!$B$1:$K$122,AW$1,0),""),"NA")</f>
        <v>46.133333333333333</v>
      </c>
      <c r="AX9" s="256">
        <f>IFERROR(IF($C9&lt;&gt;"",HLOOKUP(Model_Input2!$C9,Trend!$B$1:$K$122,AX$1,0),""),"NA")</f>
        <v>6.2862907745768415E-2</v>
      </c>
      <c r="AY9" s="256">
        <f>IFERROR(IF($C9&lt;&gt;"",HLOOKUP(Model_Input2!$C9,Trend!$B$1:$K$122,AY$1,0),""),"NA")</f>
        <v>0.18361170272390989</v>
      </c>
      <c r="AZ9" s="256">
        <f>IFERROR(IF($C9&lt;&gt;"",HLOOKUP(Model_Input2!$C9,Trend!$B$1:$K$122,AZ$1,0),""),"NA")</f>
        <v>3.1700482008743418E-2</v>
      </c>
      <c r="BA9" s="256">
        <f>IFERROR(IF($C9&lt;&gt;"",HLOOKUP(Model_Input2!$C9,Trend!$B$1:$K$122,BA$1,0),""),"NA")</f>
        <v>0.3261802575107296</v>
      </c>
      <c r="BB9" s="38">
        <f>IFERROR(IF($C9&lt;&gt;"",HLOOKUP(Model_Input2!$C9,Trend!$B$1:$K$122,BB$1,0),""),"NA")</f>
        <v>74.760000000000005</v>
      </c>
      <c r="BC9" s="256">
        <f>IFERROR(IF($C9&lt;&gt;"",HLOOKUP(Model_Input2!$C9,Trend!$B$1:$K$122,BC$1,0),""),"NA")</f>
        <v>0.59228786010536938</v>
      </c>
      <c r="BD9" s="256">
        <f>IFERROR(IF($C9&lt;&gt;"",HLOOKUP(Model_Input2!$C9,Trend!$B$1:$K$122,BD$1,0),""),"NA")</f>
        <v>4.2596121511041362E-4</v>
      </c>
      <c r="BE9" s="256">
        <f>IFERROR(IF($C9&lt;&gt;"",HLOOKUP(Model_Input2!$C9,Trend!$B$1:$K$122,BE$1,0),""),"NA")</f>
        <v>8.6380450622127569E-2</v>
      </c>
      <c r="BF9" s="256">
        <f>IFERROR(IF($C9&lt;&gt;"",HLOOKUP(Model_Input2!$C9,Trend!$B$1:$K$122,BF$1,0),""),"NA")</f>
        <v>4.0937114673242909E-2</v>
      </c>
      <c r="BG9" s="256">
        <f>IFERROR(IF($C9&lt;&gt;"",HLOOKUP(Model_Input2!$C9,Trend!$B$1:$K$122,BG$1,0),""),"NA")</f>
        <v>4.4703508575271833E-2</v>
      </c>
      <c r="BH9" s="256">
        <f>IFERROR(IF($C9&lt;&gt;"",HLOOKUP(Model_Input2!$C9,Trend!$B$1:$K$122,BH$1,0),""),"NA")</f>
        <v>3.8784889586369241E-2</v>
      </c>
      <c r="BI9" s="256">
        <f>IFERROR(IF($C9&lt;&gt;"",HLOOKUP(Model_Input2!$C9,Trend!$B$1:$K$122,BI$1,0),""),"NA")</f>
        <v>3.4816724582445911E-2</v>
      </c>
      <c r="BJ9" s="256">
        <f>IFERROR(IF($C9&lt;&gt;"",HLOOKUP(Model_Input2!$C9,Trend!$B$1:$K$122,BJ$1,0),""),"NA")</f>
        <v>6.7257033964802145E-4</v>
      </c>
      <c r="BK9" s="256">
        <f>IFERROR(IF($C9&lt;&gt;"",HLOOKUP(Model_Input2!$C9,Trend!$B$1:$K$122,BK$1,0),""),"NA")</f>
        <v>5.4926577737921756E-2</v>
      </c>
      <c r="BL9" s="256">
        <f>IFERROR(IF($C9&lt;&gt;"",HLOOKUP(Model_Input2!$C9,Trend!$B$1:$K$122,BL$1,0),""),"NA")</f>
        <v>0.40771213989463062</v>
      </c>
      <c r="BM9" s="256">
        <f>IFERROR(IF($C9&lt;&gt;"",HLOOKUP(Model_Input2!$C9,Trend!$B$1:$K$122,BM$1,0),""),"NA")</f>
        <v>0.10823898666068826</v>
      </c>
      <c r="BN9" s="256">
        <f>IFERROR(IF($C9&lt;&gt;"",HLOOKUP(Model_Input2!$C9,Trend!$B$1:$K$122,BN$1,0),""),"NA")</f>
        <v>3.1700482008743418E-2</v>
      </c>
      <c r="BO9" s="256">
        <f>IFERROR(IF($C9&lt;&gt;"",HLOOKUP(Model_Input2!$C9,Trend!$B$1:$K$122,BO$1,0),""),"NA")</f>
        <v>0.3261802575107296</v>
      </c>
      <c r="BP9" s="256">
        <f>IFERROR(IF($C9&lt;&gt;"",HLOOKUP(Model_Input2!$C9,Trend!$B$1:$K$122,BP$1,0),""),"NA")</f>
        <v>0.61284736538302964</v>
      </c>
      <c r="BQ9" s="256">
        <f>IFERROR(IF($C9&lt;&gt;"",HLOOKUP(Model_Input2!$C9,Trend!$B$1:$K$122,BQ$1,0),""),"NA")</f>
        <v>0.58544295099090182</v>
      </c>
      <c r="BR9" s="256">
        <f>IFERROR(IF($C9&lt;&gt;"",HLOOKUP(Model_Input2!$C9,Trend!$B$1:$K$122,BR$1,0),""),"NA")</f>
        <v>0.49985427642640962</v>
      </c>
      <c r="BS9" s="256">
        <f>IFERROR(IF($C9&lt;&gt;"",HLOOKUP(Model_Input2!$C9,Trend!$B$1:$K$122,BS$1,0),""),"NA")</f>
        <v>0.4775025221387737</v>
      </c>
      <c r="BT9" s="256">
        <f>IFERROR(IF($C9&lt;&gt;"",HLOOKUP(Model_Input2!$C9,Trend!$B$1:$K$122,BT$1,0),""),"NA")</f>
        <v>1.6547098760341956E-2</v>
      </c>
      <c r="BU9" s="256">
        <f>IFERROR(IF($C9&lt;&gt;"",HLOOKUP(Model_Input2!$C9,Trend!$B$1:$K$122,BU$1,0),""),"NA")</f>
        <v>2.7000358808754961E-2</v>
      </c>
      <c r="BV9" s="256">
        <f>IFERROR(IF($C9&lt;&gt;"",HLOOKUP(Model_Input2!$C9,Trend!$B$1:$K$122,BV$1,0),""),"NA")</f>
        <v>2.8264237757641236E-2</v>
      </c>
      <c r="BW9" s="256">
        <f>IFERROR(IF($C9&lt;&gt;"",HLOOKUP(Model_Input2!$C9,Trend!$B$1:$K$122,BW$1,0),""),"NA")</f>
        <v>0.61284736538302964</v>
      </c>
      <c r="BX9" s="256">
        <f>IFERROR(IF($C9&lt;&gt;"",HLOOKUP(Model_Input2!$C9,Trend!$B$1:$K$122,BX$1,0),""),"NA")</f>
        <v>0.58544295099090182</v>
      </c>
      <c r="BY9" s="256">
        <f>IFERROR(IF($C9&lt;&gt;"",HLOOKUP(Model_Input2!$C9,Trend!$B$1:$K$122,BY$1,0),""),"NA")</f>
        <v>0</v>
      </c>
      <c r="BZ9" s="256">
        <f>IFERROR(IF($C9&lt;&gt;"",HLOOKUP(Model_Input2!$C9,Trend!$B$1:$K$122,BZ$1,0),""),"NA")</f>
        <v>0.41455704900909812</v>
      </c>
      <c r="CA9" s="256">
        <f>IFERROR(IF($C9&lt;&gt;"",HLOOKUP(Model_Input2!$C9,Trend!$B$1:$K$122,CA$1,0),""),"NA")</f>
        <v>0</v>
      </c>
      <c r="CB9" s="256">
        <f>IFERROR(IF($C9&lt;&gt;"",HLOOKUP(Model_Input2!$C9,Trend!$B$1:$K$122,CB$1,0),""),"NA")</f>
        <v>0</v>
      </c>
      <c r="CC9" s="256">
        <f>IFERROR(IF($C9&lt;&gt;"",HLOOKUP(Model_Input2!$C9,Trend!$B$1:$K$122,CC$1,0),""),"NA")</f>
        <v>0</v>
      </c>
      <c r="CD9" s="38">
        <f>IFERROR(IF($C9&lt;&gt;"",HLOOKUP(Model_Input2!$C9,Trend!$B$1:$K$122,CD$1,0),""),"NA")</f>
        <v>0</v>
      </c>
      <c r="CE9" s="38">
        <f>IFERROR(IF($C9&lt;&gt;"",HLOOKUP(Model_Input2!$C9,Trend!$B$1:$K$122,CE$1,0),""),"NA")</f>
        <v>2.0502033931937693</v>
      </c>
      <c r="CF9" s="38">
        <f>IFERROR(IF($C9&lt;&gt;"",HLOOKUP(Model_Input2!$C9,Trend!$B$1:$K$122,CF$1,0),""),"NA")</f>
        <v>2.67506207875133</v>
      </c>
      <c r="CG9" s="38">
        <f>IFERROR(IF($C9&lt;&gt;"",HLOOKUP(Model_Input2!$C9,Trend!$B$1:$K$122,CG$1,0),""),"NA")</f>
        <v>1.7678506041742952</v>
      </c>
      <c r="CH9" s="38">
        <f>IFERROR(IF($C9&lt;&gt;"",HLOOKUP(Model_Input2!$C9,Trend!$B$1:$K$122,CH$1,0),""),"NA")</f>
        <v>3.6095842841551744</v>
      </c>
      <c r="CI9" s="38">
        <f>IFERROR(IF($C9&lt;&gt;"",HLOOKUP(Model_Input2!$C9,Trend!$B$1:$K$122,CI$1,0),""),"NA")</f>
        <v>1.2224192976232704</v>
      </c>
      <c r="CJ9" s="38">
        <f>IFERROR(IF($C9&lt;&gt;"",HLOOKUP(Model_Input2!$C9,Trend!$B$1:$K$122,CJ$1,0),""),"NA")</f>
        <v>1.5768002837885775</v>
      </c>
      <c r="CK9" s="256">
        <f>IFERROR(IF($C9&lt;&gt;"",HLOOKUP(Model_Input2!$C9,Trend!$B$1:$K$122,CK$1,0),""),"NA")</f>
        <v>2.3034840195796142E-4</v>
      </c>
      <c r="CL9" s="256">
        <f>IFERROR(IF($C9&lt;&gt;"",HLOOKUP(Model_Input2!$C9,Trend!$B$1:$K$122,CL$1,0),""),"NA")</f>
        <v>1.3550135501355016E-3</v>
      </c>
      <c r="CM9" s="256">
        <f>IFERROR(IF($C9&lt;&gt;"",HLOOKUP(Model_Input2!$C9,Trend!$B$1:$K$122,CM$1,0),""),"NA")</f>
        <v>4.9663001064207167E-3</v>
      </c>
      <c r="CN9" s="256">
        <f>IFERROR(IF($C9&lt;&gt;"",HLOOKUP(Model_Input2!$C9,Trend!$B$1:$K$122,CN$1,0),""),"NA")</f>
        <v>0.2728416569879985</v>
      </c>
      <c r="CO9" s="256">
        <f>IFERROR(IF($C9&lt;&gt;"",HLOOKUP(Model_Input2!$C9,Trend!$B$1:$K$122,CO$1,0),""),"NA")</f>
        <v>0.10316223841003831</v>
      </c>
      <c r="CP9" s="256">
        <f>IFERROR(IF($C9&lt;&gt;"",HLOOKUP(Model_Input2!$C9,Trend!$B$1:$K$122,CP$1,0),""),"NA")</f>
        <v>0.1150288745950514</v>
      </c>
      <c r="CQ9" s="256">
        <f>IFERROR(IF($C9&lt;&gt;"",HLOOKUP(Model_Input2!$C9,Trend!$B$1:$K$122,CQ$1,0),""),"NA")</f>
        <v>6.121251885354599E-3</v>
      </c>
      <c r="CR9" s="256">
        <f>IFERROR(IF($C9&lt;&gt;"",HLOOKUP(Model_Input2!$C9,Trend!$B$1:$K$122,CR$1,0),""),"NA")</f>
        <v>0</v>
      </c>
      <c r="CS9" s="256">
        <f>IFERROR(IF($C9&lt;&gt;"",HLOOKUP(Model_Input2!$C9,Trend!$B$1:$K$122,CS$1,0),""),"NA")</f>
        <v>0.21172514292119715</v>
      </c>
      <c r="CT9" s="38">
        <f>IFERROR(IF($C9&lt;&gt;"",HLOOKUP(Model_Input2!$C9,Trend!$B$1:$K$122,CT$1,0),""),"NA")</f>
        <v>22.944961327205473</v>
      </c>
      <c r="CU9" s="38">
        <f>IFERROR(IF($C9&lt;&gt;"",HLOOKUP(Model_Input2!$C9,Trend!$B$1:$K$122,CU$1,0),""),"NA")</f>
        <v>15.907631954350926</v>
      </c>
      <c r="CV9" s="38">
        <f>IFERROR(IF($C9&lt;&gt;"",HLOOKUP(Model_Input2!$C9,Trend!$B$1:$K$122,CV$1,0),""),"NA")</f>
        <v>67.018271494227108</v>
      </c>
      <c r="CW9" s="38">
        <f>IFERROR(IF($C9&lt;&gt;"",HLOOKUP(Model_Input2!$C9,Trend!$B$1:$K$122,CW$1,0),""),"NA")</f>
        <v>5.4462759462759465</v>
      </c>
      <c r="CX9" s="256">
        <f>IFERROR(IF($C9&lt;&gt;"",HLOOKUP(Model_Input2!$C9,Trend!$B$1:$K$122,CX$1,0),""),"NA")</f>
        <v>0.24435831890272397</v>
      </c>
      <c r="CY9" s="256">
        <f>IFERROR(IF($C9&lt;&gt;"",HLOOKUP(Model_Input2!$C9,Trend!$B$1:$K$122,CY$1,0),""),"NA")</f>
        <v>0</v>
      </c>
      <c r="CZ9" s="38">
        <f>IFERROR(IF($C9&lt;&gt;"",HLOOKUP(Model_Input2!$C9,Trend!$B$1:$K$122,CZ$1,0),""),"NA")</f>
        <v>0.13273411945795885</v>
      </c>
      <c r="DA9" s="38">
        <f>IFERROR(IF($C9&lt;&gt;"",HLOOKUP(Model_Input2!$C9,Trend!$B$1:$K$122,DA$1,0),""),"NA")</f>
        <v>0.13581583721224566</v>
      </c>
      <c r="DB9" s="256">
        <f>IFERROR(IF($C9&lt;&gt;"",HLOOKUP(Model_Input2!$C9,Trend!$B$1:$K$122,DB$1,0),""),"NA")</f>
        <v>0.22672425935489932</v>
      </c>
      <c r="DC9" s="256">
        <f>IFERROR(IF($C9&lt;&gt;"",HLOOKUP(Model_Input2!$C9,Trend!$B$1:$K$122,DC$1,0),""),"NA")</f>
        <v>0.21729739459118932</v>
      </c>
      <c r="DD9" s="256">
        <f>IFERROR(IF($C9&lt;&gt;"",HLOOKUP(Model_Input2!$C9,Trend!$B$1:$K$122,DD$1,0),""),"NA")</f>
        <v>0</v>
      </c>
      <c r="DE9" s="256">
        <f>IFERROR(IF($C9&lt;&gt;"",HLOOKUP(Model_Input2!$C9,Trend!$B$1:$K$122,DE$1,0),""),"NA")</f>
        <v>0</v>
      </c>
      <c r="DF9" s="256">
        <f>IFERROR(IF($C9&lt;&gt;"",HLOOKUP(Model_Input2!$C9,Trend!$B$1:$K$122,DF$1,0),""),"NA")</f>
        <v>0</v>
      </c>
      <c r="DG9" s="256">
        <f>IFERROR(IF($C9&lt;&gt;"",HLOOKUP(Model_Input2!$C9,Trend!$B$1:$K$122,DG$1,0),""),"NA")</f>
        <v>0</v>
      </c>
      <c r="DH9" s="256">
        <f>IFERROR(IF($C9&lt;&gt;"",HLOOKUP(Model_Input2!$C9,Trend!$B$1:$K$122,DH$1,0),""),"NA")</f>
        <v>0</v>
      </c>
      <c r="DI9" s="256">
        <f>IFERROR(IF($C9&lt;&gt;"",HLOOKUP(Model_Input2!$C9,Trend!$B$1:$K$122,DI$1,0),""),"NA")</f>
        <v>0</v>
      </c>
      <c r="DJ9" s="38">
        <f>IFERROR(IF($C9&lt;&gt;"",HLOOKUP(Model_Input2!$C9,Trend!$B$1:$K$122,DJ$1,0),""),"NA")</f>
        <v>0</v>
      </c>
      <c r="DK9" s="38">
        <f>IFERROR(IF($C9&lt;&gt;"",HLOOKUP(Model_Input2!$C9,Trend!$B$1:$K$122,DK$1,0),""),"NA")</f>
        <v>0</v>
      </c>
      <c r="DL9" s="256">
        <f>IFERROR(IF($C9&lt;&gt;"",HLOOKUP(Model_Input2!$C9,Trend!$B$1:$K$122,DL$1,0),""),"NA")</f>
        <v>0</v>
      </c>
      <c r="DM9" s="256">
        <f>IFERROR(IF($C9&lt;&gt;"",HLOOKUP(Model_Input2!$C9,Trend!$B$1:$K$122,DM$1,0),""),"NA")</f>
        <v>0</v>
      </c>
      <c r="DN9" s="256">
        <f>IFERROR(IF($C9&lt;&gt;"",HLOOKUP(Model_Input2!$C9,Trend!$B$1:$K$122,DN$1,0),""),"NA")</f>
        <v>0</v>
      </c>
      <c r="DO9" s="256">
        <f>IFERROR(IF($C9&lt;&gt;"",HLOOKUP(Model_Input2!$C9,Trend!$B$1:$K$122,DO$1,0),""),"NA")</f>
        <v>0</v>
      </c>
      <c r="DP9" s="256">
        <f>IFERROR(IF($C9&lt;&gt;"",HLOOKUP(Model_Input2!$C9,Trend!$B$1:$K$122,DP$1,0),""),"NA")</f>
        <v>0</v>
      </c>
      <c r="DQ9" s="256">
        <f>IFERROR(IF($C9&lt;&gt;"",HLOOKUP(Model_Input2!$C9,Trend!$B$1:$K$122,DQ$1,0),""),"NA")</f>
        <v>0</v>
      </c>
      <c r="DR9" s="256">
        <f>IFERROR(IF($C9&lt;&gt;"",HLOOKUP(Model_Input2!$C9,Trend!$B$1:$K$122,DR$1,0),""),"NA")</f>
        <v>0</v>
      </c>
      <c r="DS9" s="256">
        <f>IFERROR(IF($C9&lt;&gt;"",HLOOKUP(Model_Input2!$C9,Trend!$B$1:$K$122,DS$1,0),""),"NA")</f>
        <v>0</v>
      </c>
      <c r="DT9" s="256">
        <f>IFERROR(IF($C9&lt;&gt;"",HLOOKUP(Model_Input2!$C9,Trend!$B$1:$K$122,DT$1,0),""),"NA")</f>
        <v>3.8866441274291529E-2</v>
      </c>
      <c r="DU9" s="256">
        <f>IFERROR(IF($C9&lt;&gt;"",HLOOKUP(Model_Input2!$C9,Trend!$B$1:$K$122,DU$1,0),""),"NA")</f>
        <v>1.2260520601412825</v>
      </c>
      <c r="DV9" s="256">
        <f>IFERROR(IF($C9&lt;&gt;"",HLOOKUP(Model_Input2!$C9,Trend!$B$1:$K$122,DV$1,0),""),"NA")</f>
        <v>2.0942297760458235</v>
      </c>
      <c r="DW9" s="256">
        <f>IFERROR(IF($C9&lt;&gt;"",HLOOKUP(Model_Input2!$C9,Trend!$B$1:$K$122,DW$1,0),""),"NA")</f>
        <v>6.2871287128712874</v>
      </c>
      <c r="DX9" s="256">
        <f>IFERROR(IF($C9&lt;&gt;"",HLOOKUP(Model_Input2!$C9,Trend!$B$1:$K$122,DX$1,0),""),"NA")</f>
        <v>0.19930501064903039</v>
      </c>
      <c r="DY9" s="256">
        <f>IFERROR(IF($C9&lt;&gt;"",HLOOKUP(Model_Input2!$C9,Trend!$B$1:$K$122,DY$1,0),""),"NA")</f>
        <v>0.42574257425742618</v>
      </c>
    </row>
    <row r="10" spans="1:129" x14ac:dyDescent="0.25">
      <c r="A10" t="str">
        <f t="shared" si="2"/>
        <v>NITIN SPINNERS LTD3132014</v>
      </c>
      <c r="B10" t="str">
        <f>IF(C10&lt;&gt;"",'Data Sheet'!$B$1,"")</f>
        <v>NITIN SPINNERS LTD</v>
      </c>
      <c r="C10" s="255">
        <f>'Data Sheet'!H16</f>
        <v>41729</v>
      </c>
      <c r="D10" s="9">
        <f>IF($C10&lt;&gt;"",HLOOKUP(Model_Input2!$C10,'Data Sheet'!$B$16:$K$31,D$1,0),"")</f>
        <v>488.34</v>
      </c>
      <c r="E10" s="9">
        <f>IFERROR(IF($C10&lt;&gt;"",HLOOKUP(Model_Input2!$C10,'Data Sheet'!$B$16:$K$31,E$1,0),""),"NA")</f>
        <v>303.77999999999997</v>
      </c>
      <c r="F10" s="9">
        <f>IFERROR(IF($C10&lt;&gt;"",HLOOKUP(Model_Input2!$C10,'Data Sheet'!$B$16:$K$31,F$1,0),""),"NA")</f>
        <v>5.92</v>
      </c>
      <c r="G10" s="9">
        <f>IFERROR(IF($C10&lt;&gt;"",HLOOKUP(Model_Input2!$C10,'Data Sheet'!$B$16:$K$31,G$1,0),""),"NA")</f>
        <v>34.96</v>
      </c>
      <c r="H10" s="9">
        <f>IFERROR(IF($C10&lt;&gt;"",HLOOKUP(Model_Input2!$C10,'Data Sheet'!$B$16:$K$31,H$1,0),""),"NA")</f>
        <v>20.260000000000002</v>
      </c>
      <c r="I10" s="9">
        <f>IFERROR(IF($C10&lt;&gt;"",HLOOKUP(Model_Input2!$C10,'Data Sheet'!$B$16:$K$31,I$1,0),""),"NA")</f>
        <v>24.6</v>
      </c>
      <c r="J10" s="9">
        <f>IFERROR(IF($C10&lt;&gt;"",HLOOKUP(Model_Input2!$C10,'Data Sheet'!$B$16:$K$31,J$1,0),""),"NA")</f>
        <v>16.510000000000002</v>
      </c>
      <c r="K10" s="9">
        <f>IFERROR(IF($C10&lt;&gt;"",HLOOKUP(Model_Input2!$C10,'Data Sheet'!$B$16:$K$31,K$1,0),""),"NA")</f>
        <v>0.21</v>
      </c>
      <c r="L10" s="9">
        <f>IFERROR(IF($C10&lt;&gt;"",HLOOKUP(Model_Input2!$C10,'Data Sheet'!$B$16:$K$31,L$1,0),""),"NA")</f>
        <v>0.35</v>
      </c>
      <c r="M10" s="9">
        <f>IFERROR(IF($C10&lt;&gt;"",HLOOKUP(Model_Input2!$C10,'Data Sheet'!$B$16:$K$31,M$1,0),""),"NA")</f>
        <v>24.87</v>
      </c>
      <c r="N10" s="9">
        <f>IFERROR(IF($C10&lt;&gt;"",HLOOKUP(Model_Input2!$C10,'Data Sheet'!$B$16:$K$31,N$1,0),""),"NA")</f>
        <v>17.46</v>
      </c>
      <c r="O10" s="9">
        <f>IFERROR(IF($C10&lt;&gt;"",HLOOKUP(Model_Input2!$C10,'Data Sheet'!$B$16:$K$31,O$1,0),""),"NA")</f>
        <v>51.95</v>
      </c>
      <c r="P10" s="9">
        <f>IFERROR(IF($C10&lt;&gt;"",HLOOKUP(Model_Input2!$C10,'Data Sheet'!$B$16:$K$31,P$1,0),""),"NA")</f>
        <v>17.170000000000002</v>
      </c>
      <c r="Q10" s="9">
        <f>IFERROR(IF($C10&lt;&gt;"",HLOOKUP(Model_Input2!$C10,'Data Sheet'!$B$16:$K$31,Q$1,0),""),"NA")</f>
        <v>34.78</v>
      </c>
      <c r="R10" s="9">
        <f>IFERROR(IF($C10&lt;&gt;"",HLOOKUP(Model_Input2!$C10,'Data Sheet'!$B$16:$K$31,R$1,0),""),"NA")</f>
        <v>3.44</v>
      </c>
      <c r="S10">
        <f>IFERROR(IF($C10&lt;&gt;"",HLOOKUP(Model_Input2!$C10,'Data Sheet'!$B$56:$K$72,S$1,0),""),"NA")</f>
        <v>45.83</v>
      </c>
      <c r="T10">
        <f>IFERROR(IF($C10&lt;&gt;"",HLOOKUP(Model_Input2!$C10,'Data Sheet'!$B$56:$K$72,T$1,0),""),"NA")</f>
        <v>85.72</v>
      </c>
      <c r="U10">
        <f>IFERROR(IF($C10&lt;&gt;"",HLOOKUP(Model_Input2!$C10,'Data Sheet'!$B$56:$K$72,U$1,0),""),"NA")</f>
        <v>176.07</v>
      </c>
      <c r="V10">
        <f>IFERROR(IF($C10&lt;&gt;"",HLOOKUP(Model_Input2!$C10,'Data Sheet'!$B$56:$K$72,V$1,0),""),"NA")</f>
        <v>47.71</v>
      </c>
      <c r="W10">
        <f>IFERROR(IF($C10&lt;&gt;"",HLOOKUP(Model_Input2!$C10,'Data Sheet'!$B$56:$K$72,W$1,0),""),"NA")</f>
        <v>355.33</v>
      </c>
      <c r="X10">
        <f>IFERROR(IF($C10&lt;&gt;"",HLOOKUP(Model_Input2!$C10,'Data Sheet'!$B$56:$K$72,X$1,0),""),"NA")</f>
        <v>191.21</v>
      </c>
      <c r="Y10">
        <f>IFERROR(IF($C10&lt;&gt;"",HLOOKUP(Model_Input2!$C10,'Data Sheet'!$B$56:$K$72,Y$1,0),""),"NA")</f>
        <v>21.18</v>
      </c>
      <c r="Z10">
        <f>IFERROR(IF($C10&lt;&gt;"",HLOOKUP(Model_Input2!$C10,'Data Sheet'!$B$56:$K$72,Z$1,0),""),"NA")</f>
        <v>0</v>
      </c>
      <c r="AA10">
        <f>IFERROR(IF($C10&lt;&gt;"",HLOOKUP(Model_Input2!$C10,'Data Sheet'!$B$56:$K$72,AA$1,0),""),"NA")</f>
        <v>142.94</v>
      </c>
      <c r="AB10">
        <f>IFERROR(IF($C10&lt;&gt;"",HLOOKUP(Model_Input2!$C10,'Data Sheet'!$B$56:$K$72,AB$1,0),""),"NA")</f>
        <v>355.33</v>
      </c>
      <c r="AC10">
        <f>IFERROR(IF($C10&lt;&gt;"",HLOOKUP(Model_Input2!$C10,'Data Sheet'!$B$56:$K$72,AC$1,0),""),"NA")</f>
        <v>24.89</v>
      </c>
      <c r="AD10">
        <f>IFERROR(IF($C10&lt;&gt;"",HLOOKUP(Model_Input2!$C10,'Data Sheet'!$B$56:$K$72,AD$1,0),""),"NA")</f>
        <v>70.7</v>
      </c>
      <c r="AE10">
        <f>IFERROR(IF($C10&lt;&gt;"",HLOOKUP(Model_Input2!$C10,'Data Sheet'!$B$56:$K$72,AE$1,0),""),"NA")</f>
        <v>0.06</v>
      </c>
      <c r="AF10">
        <f>IFERROR(IF($C10&lt;&gt;"",HLOOKUP(Model_Input2!$C10,'Data Sheet'!$B$56:$K$72,AF$1,0),""),"NA")</f>
        <v>45833945</v>
      </c>
      <c r="AG10">
        <f>IFERROR(IF($C10&lt;&gt;"",HLOOKUP(Model_Input2!$C10,'Data Sheet'!$B$56:$K$72,AG$1,0),""),"NA")</f>
        <v>0</v>
      </c>
      <c r="AH10">
        <f>IFERROR(IF($C10&lt;&gt;"",HLOOKUP(Model_Input2!$C10,'Data Sheet'!$B$56:$K$72,AH$1,0),""),"NA")</f>
        <v>10</v>
      </c>
      <c r="AI10">
        <f>IFERROR(IF($C10&lt;&gt;"",HLOOKUP(Model_Input2!$C10,'Data Sheet'!$B$81:$K$85,AI$1,0),""),"NA")</f>
        <v>86.62</v>
      </c>
      <c r="AJ10">
        <f>IFERROR(IF($C10&lt;&gt;"",HLOOKUP(Model_Input2!$C10,'Data Sheet'!$B$81:$K$85,AJ$1,0),""),"NA")</f>
        <v>-38.85</v>
      </c>
      <c r="AK10">
        <f>IFERROR(IF($C10&lt;&gt;"",HLOOKUP(Model_Input2!$C10,'Data Sheet'!$B$81:$K$85,AK$1,0),""),"NA")</f>
        <v>-47.98</v>
      </c>
      <c r="AL10">
        <f>IFERROR(IF($C10&lt;&gt;"",HLOOKUP(Model_Input2!$C10,'Data Sheet'!$B$81:$K$85,AL$1,0),""),"NA")</f>
        <v>-0.21</v>
      </c>
      <c r="AM10" s="38">
        <f>IFERROR(IF($C10&lt;&gt;"",HLOOKUP(Model_Input2!$C10,Trend!$B$1:$K$3,AM$1,0),""),"NA")</f>
        <v>16.059999999999999</v>
      </c>
      <c r="AN10" s="38">
        <f>IFERROR(IF($C10&lt;&gt;"",HLOOKUP(Model_Input2!$C10,Trend!$B$1:$K$3,AN$1,0),""),"NA")</f>
        <v>4.5833944999999998</v>
      </c>
      <c r="AO10" s="38">
        <f>IFERROR(IF($C10&lt;&gt;"",HLOOKUP(Model_Input2!$C10,Trend!$B$1:$K$122,AO$1,0),""),"NA")</f>
        <v>307.62</v>
      </c>
      <c r="AP10" s="38">
        <f>IFERROR(IF($C10&lt;&gt;"",HLOOKUP(Model_Input2!$C10,Trend!$B$1:$K$122,AP$1,0),""),"NA")</f>
        <v>34.78</v>
      </c>
      <c r="AQ10" s="38">
        <f>IFERROR(IF($C10&lt;&gt;"",HLOOKUP(Model_Input2!$C10,Trend!$B$1:$K$122,AQ$1,0),""),"NA")</f>
        <v>86.62</v>
      </c>
      <c r="AR10" s="38">
        <f>IFERROR(IF($C10&lt;&gt;"",HLOOKUP(Model_Input2!$C10,Trend!$B$1:$K$122,AR$1,0),""),"NA")</f>
        <v>24.27</v>
      </c>
      <c r="AS10" s="38">
        <f>IFERROR(IF($C10&lt;&gt;"",HLOOKUP(Model_Input2!$C10,Trend!$B$1:$K$122,AS$1,0),""),"NA")</f>
        <v>3.44</v>
      </c>
      <c r="AT10" s="38">
        <f>IFERROR(IF($C10&lt;&gt;"",HLOOKUP(Model_Input2!$C10,Trend!$B$1:$K$122,AT$1,0),""),"NA")</f>
        <v>62.350000000000009</v>
      </c>
      <c r="AU10" s="38">
        <f>IFERROR(IF($C10&lt;&gt;"",HLOOKUP(Model_Input2!$C10,Trend!$B$1:$K$122,AU$1,0),""),"NA")</f>
        <v>249.61931566999999</v>
      </c>
      <c r="AV10" s="256">
        <f>IFERROR(IF($C10&lt;&gt;"",HLOOKUP(Model_Input2!$C10,Trend!$B$1:$K$122,AV$1,0),""),"NA")</f>
        <v>9.4809998879049354E-2</v>
      </c>
      <c r="AW10" s="256">
        <f>IFERROR(IF($C10&lt;&gt;"",HLOOKUP(Model_Input2!$C10,Trend!$B$1:$K$122,AW$1,0),""),"NA")</f>
        <v>1.4596888260254597</v>
      </c>
      <c r="AX10" s="256">
        <f>IFERROR(IF($C10&lt;&gt;"",HLOOKUP(Model_Input2!$C10,Trend!$B$1:$K$122,AX$1,0),""),"NA")</f>
        <v>5.0968587459556867E-2</v>
      </c>
      <c r="AY10" s="256">
        <f>IFERROR(IF($C10&lt;&gt;"",HLOOKUP(Model_Input2!$C10,Trend!$B$1:$K$122,AY$1,0),""),"NA")</f>
        <v>0.14477618052995864</v>
      </c>
      <c r="AZ10" s="256">
        <f>IFERROR(IF($C10&lt;&gt;"",HLOOKUP(Model_Input2!$C10,Trend!$B$1:$K$122,AZ$1,0),""),"NA")</f>
        <v>7.1220870704836806E-2</v>
      </c>
      <c r="BA10" s="256">
        <f>IFERROR(IF($C10&lt;&gt;"",HLOOKUP(Model_Input2!$C10,Trend!$B$1:$K$122,BA$1,0),""),"NA")</f>
        <v>0.33051010587102986</v>
      </c>
      <c r="BB10" s="38">
        <f>IFERROR(IF($C10&lt;&gt;"",HLOOKUP(Model_Input2!$C10,Trend!$B$1:$K$122,BB$1,0),""),"NA")</f>
        <v>51.84</v>
      </c>
      <c r="BC10" s="256">
        <f>IFERROR(IF($C10&lt;&gt;"",HLOOKUP(Model_Input2!$C10,Trend!$B$1:$K$122,BC$1,0),""),"NA")</f>
        <v>0.62206659294753652</v>
      </c>
      <c r="BD10" s="256">
        <f>IFERROR(IF($C10&lt;&gt;"",HLOOKUP(Model_Input2!$C10,Trend!$B$1:$K$122,BD$1,0),""),"NA")</f>
        <v>1.2122701396567966E-2</v>
      </c>
      <c r="BE10" s="256">
        <f>IFERROR(IF($C10&lt;&gt;"",HLOOKUP(Model_Input2!$C10,Trend!$B$1:$K$122,BE$1,0),""),"NA")</f>
        <v>7.1589466355408124E-2</v>
      </c>
      <c r="BF10" s="256">
        <f>IFERROR(IF($C10&lt;&gt;"",HLOOKUP(Model_Input2!$C10,Trend!$B$1:$K$122,BF$1,0),""),"NA")</f>
        <v>4.1487488225416723E-2</v>
      </c>
      <c r="BG10" s="256">
        <f>IFERROR(IF($C10&lt;&gt;"",HLOOKUP(Model_Input2!$C10,Trend!$B$1:$K$122,BG$1,0),""),"NA")</f>
        <v>5.0374738911414182E-2</v>
      </c>
      <c r="BH10" s="256">
        <f>IFERROR(IF($C10&lt;&gt;"",HLOOKUP(Model_Input2!$C10,Trend!$B$1:$K$122,BH$1,0),""),"NA")</f>
        <v>3.3808412171847491E-2</v>
      </c>
      <c r="BI10" s="256">
        <f>IFERROR(IF($C10&lt;&gt;"",HLOOKUP(Model_Input2!$C10,Trend!$B$1:$K$122,BI$1,0),""),"NA")</f>
        <v>4.3002825899987715E-4</v>
      </c>
      <c r="BJ10" s="256">
        <f>IFERROR(IF($C10&lt;&gt;"",HLOOKUP(Model_Input2!$C10,Trend!$B$1:$K$122,BJ$1,0),""),"NA")</f>
        <v>7.1671376499979518E-4</v>
      </c>
      <c r="BK10" s="256">
        <f>IFERROR(IF($C10&lt;&gt;"",HLOOKUP(Model_Input2!$C10,Trend!$B$1:$K$122,BK$1,0),""),"NA")</f>
        <v>5.0927632387271167E-2</v>
      </c>
      <c r="BL10" s="256">
        <f>IFERROR(IF($C10&lt;&gt;"",HLOOKUP(Model_Input2!$C10,Trend!$B$1:$K$122,BL$1,0),""),"NA")</f>
        <v>0.37793340705246348</v>
      </c>
      <c r="BM10" s="256">
        <f>IFERROR(IF($C10&lt;&gt;"",HLOOKUP(Model_Input2!$C10,Trend!$B$1:$K$122,BM$1,0),""),"NA")</f>
        <v>0.14213457836753082</v>
      </c>
      <c r="BN10" s="256">
        <f>IFERROR(IF($C10&lt;&gt;"",HLOOKUP(Model_Input2!$C10,Trend!$B$1:$K$122,BN$1,0),""),"NA")</f>
        <v>7.1220870704836806E-2</v>
      </c>
      <c r="BO10" s="256">
        <f>IFERROR(IF($C10&lt;&gt;"",HLOOKUP(Model_Input2!$C10,Trend!$B$1:$K$122,BO$1,0),""),"NA")</f>
        <v>0.33051010587102986</v>
      </c>
      <c r="BP10" s="256">
        <f>IFERROR(IF($C10&lt;&gt;"",HLOOKUP(Model_Input2!$C10,Trend!$B$1:$K$122,BP$1,0),""),"NA")</f>
        <v>0.57152506121070556</v>
      </c>
      <c r="BQ10" s="256">
        <f>IFERROR(IF($C10&lt;&gt;"",HLOOKUP(Model_Input2!$C10,Trend!$B$1:$K$122,BQ$1,0),""),"NA")</f>
        <v>0.53811949455435792</v>
      </c>
      <c r="BR10" s="256">
        <f>IFERROR(IF($C10&lt;&gt;"",HLOOKUP(Model_Input2!$C10,Trend!$B$1:$K$122,BR$1,0),""),"NA")</f>
        <v>0.41585780398902411</v>
      </c>
      <c r="BS10" s="256">
        <f>IFERROR(IF($C10&lt;&gt;"",HLOOKUP(Model_Input2!$C10,Trend!$B$1:$K$122,BS$1,0),""),"NA")</f>
        <v>0.39155096858745958</v>
      </c>
      <c r="BT10" s="256">
        <f>IFERROR(IF($C10&lt;&gt;"",HLOOKUP(Model_Input2!$C10,Trend!$B$1:$K$122,BT$1,0),""),"NA")</f>
        <v>6.8302704528185071E-2</v>
      </c>
      <c r="BU10" s="256">
        <f>IFERROR(IF($C10&lt;&gt;"",HLOOKUP(Model_Input2!$C10,Trend!$B$1:$K$122,BU$1,0),""),"NA")</f>
        <v>0.11950955288556234</v>
      </c>
      <c r="BV10" s="256">
        <f>IFERROR(IF($C10&lt;&gt;"",HLOOKUP(Model_Input2!$C10,Trend!$B$1:$K$122,BV$1,0),""),"NA")</f>
        <v>0.12692850792322577</v>
      </c>
      <c r="BW10" s="256">
        <f>IFERROR(IF($C10&lt;&gt;"",HLOOKUP(Model_Input2!$C10,Trend!$B$1:$K$122,BW$1,0),""),"NA")</f>
        <v>0.57152506121070556</v>
      </c>
      <c r="BX10" s="256">
        <f>IFERROR(IF($C10&lt;&gt;"",HLOOKUP(Model_Input2!$C10,Trend!$B$1:$K$122,BX$1,0),""),"NA")</f>
        <v>0.53811949455435792</v>
      </c>
      <c r="BY10" s="256">
        <f>IFERROR(IF($C10&lt;&gt;"",HLOOKUP(Model_Input2!$C10,Trend!$B$1:$K$122,BY$1,0),""),"NA")</f>
        <v>0</v>
      </c>
      <c r="BZ10" s="256">
        <f>IFERROR(IF($C10&lt;&gt;"",HLOOKUP(Model_Input2!$C10,Trend!$B$1:$K$122,BZ$1,0),""),"NA")</f>
        <v>0.40227394253229393</v>
      </c>
      <c r="CA10" s="256">
        <f>IFERROR(IF($C10&lt;&gt;"",HLOOKUP(Model_Input2!$C10,Trend!$B$1:$K$122,CA$1,0),""),"NA")</f>
        <v>5.9606562913348156E-2</v>
      </c>
      <c r="CB10" s="256">
        <f>IFERROR(IF($C10&lt;&gt;"",HLOOKUP(Model_Input2!$C10,Trend!$B$1:$K$122,CB$1,0),""),"NA")</f>
        <v>0.10429387433523733</v>
      </c>
      <c r="CC10" s="256">
        <f>IFERROR(IF($C10&lt;&gt;"",HLOOKUP(Model_Input2!$C10,Trend!$B$1:$K$122,CC$1,0),""),"NA")</f>
        <v>0.11076826525809319</v>
      </c>
      <c r="CD10" s="38">
        <f>IFERROR(IF($C10&lt;&gt;"",HLOOKUP(Model_Input2!$C10,Trend!$B$1:$K$122,CD$1,0),""),"NA")</f>
        <v>0</v>
      </c>
      <c r="CE10" s="38">
        <f>IFERROR(IF($C10&lt;&gt;"",HLOOKUP(Model_Input2!$C10,Trend!$B$1:$K$122,CE$1,0),""),"NA")</f>
        <v>1.3384264538198403</v>
      </c>
      <c r="CF10" s="38">
        <f>IFERROR(IF($C10&lt;&gt;"",HLOOKUP(Model_Input2!$C10,Trend!$B$1:$K$122,CF$1,0),""),"NA")</f>
        <v>2.9960176063718298</v>
      </c>
      <c r="CG10" s="38">
        <f>IFERROR(IF($C10&lt;&gt;"",HLOOKUP(Model_Input2!$C10,Trend!$B$1:$K$122,CG$1,0),""),"NA")</f>
        <v>3.9753722794959905</v>
      </c>
      <c r="CH10" s="38">
        <f>IFERROR(IF($C10&lt;&gt;"",HLOOKUP(Model_Input2!$C10,Trend!$B$1:$K$122,CH$1,0),""),"NA")</f>
        <v>2.7011022424933482</v>
      </c>
      <c r="CI10" s="38">
        <f>IFERROR(IF($C10&lt;&gt;"",HLOOKUP(Model_Input2!$C10,Trend!$B$1:$K$122,CI$1,0),""),"NA")</f>
        <v>1.514147977363236</v>
      </c>
      <c r="CJ10" s="38">
        <f>IFERROR(IF($C10&lt;&gt;"",HLOOKUP(Model_Input2!$C10,Trend!$B$1:$K$122,CJ$1,0),""),"NA")</f>
        <v>1.8155522951163279</v>
      </c>
      <c r="CK10" s="256">
        <f>IFERROR(IF($C10&lt;&gt;"",HLOOKUP(Model_Input2!$C10,Trend!$B$1:$K$122,CK$1,0),""),"NA")</f>
        <v>7.6963250048102036E-4</v>
      </c>
      <c r="CL10" s="256">
        <f>IFERROR(IF($C10&lt;&gt;"",HLOOKUP(Model_Input2!$C10,Trend!$B$1:$K$122,CL$1,0),""),"NA")</f>
        <v>3.4077355597205659E-4</v>
      </c>
      <c r="CM10" s="256">
        <f>IFERROR(IF($C10&lt;&gt;"",HLOOKUP(Model_Input2!$C10,Trend!$B$1:$K$122,CM$1,0),""),"NA")</f>
        <v>1.2575979878432194E-3</v>
      </c>
      <c r="CN10" s="256">
        <f>IFERROR(IF($C10&lt;&gt;"",HLOOKUP(Model_Input2!$C10,Trend!$B$1:$K$122,CN$1,0),""),"NA")</f>
        <v>0.27097177259044702</v>
      </c>
      <c r="CO10" s="256">
        <f>IFERROR(IF($C10&lt;&gt;"",HLOOKUP(Model_Input2!$C10,Trend!$B$1:$K$122,CO$1,0),""),"NA")</f>
        <v>0.11509626064420585</v>
      </c>
      <c r="CP10" s="256">
        <f>IFERROR(IF($C10&lt;&gt;"",HLOOKUP(Model_Input2!$C10,Trend!$B$1:$K$122,CP$1,0),""),"NA")</f>
        <v>0.13006641912033889</v>
      </c>
      <c r="CQ10" s="256">
        <f>IFERROR(IF($C10&lt;&gt;"",HLOOKUP(Model_Input2!$C10,Trend!$B$1:$K$122,CQ$1,0),""),"NA")</f>
        <v>8.151142209905564E-4</v>
      </c>
      <c r="CR10" s="256">
        <f>IFERROR(IF($C10&lt;&gt;"",HLOOKUP(Model_Input2!$C10,Trend!$B$1:$K$122,CR$1,0),""),"NA")</f>
        <v>0</v>
      </c>
      <c r="CS10" s="256">
        <f>IFERROR(IF($C10&lt;&gt;"",HLOOKUP(Model_Input2!$C10,Trend!$B$1:$K$122,CS$1,0),""),"NA")</f>
        <v>0.19500757668837285</v>
      </c>
      <c r="CT10" s="38">
        <f>IFERROR(IF($C10&lt;&gt;"",HLOOKUP(Model_Input2!$C10,Trend!$B$1:$K$122,CT$1,0),""),"NA")</f>
        <v>18.603534422738257</v>
      </c>
      <c r="CU10" s="38">
        <f>IFERROR(IF($C10&lt;&gt;"",HLOOKUP(Model_Input2!$C10,Trend!$B$1:$K$122,CU$1,0),""),"NA")</f>
        <v>19.619927681799918</v>
      </c>
      <c r="CV10" s="38">
        <f>IFERROR(IF($C10&lt;&gt;"",HLOOKUP(Model_Input2!$C10,Trend!$B$1:$K$122,CV$1,0),""),"NA")</f>
        <v>52.843305893434902</v>
      </c>
      <c r="CW10" s="38">
        <f>IFERROR(IF($C10&lt;&gt;"",HLOOKUP(Model_Input2!$C10,Trend!$B$1:$K$122,CW$1,0),""),"NA")</f>
        <v>6.9072135785007074</v>
      </c>
      <c r="CX10" s="256">
        <f>IFERROR(IF($C10&lt;&gt;"",HLOOKUP(Model_Input2!$C10,Trend!$B$1:$K$122,CX$1,0),""),"NA")</f>
        <v>0.24377339374665807</v>
      </c>
      <c r="CY10" s="256">
        <f>IFERROR(IF($C10&lt;&gt;"",HLOOKUP(Model_Input2!$C10,Trend!$B$1:$K$122,CY$1,0),""),"NA")</f>
        <v>0</v>
      </c>
      <c r="CZ10" s="38">
        <f>IFERROR(IF($C10&lt;&gt;"",HLOOKUP(Model_Input2!$C10,Trend!$B$1:$K$122,CZ$1,0),""),"NA")</f>
        <v>0.19536768637604482</v>
      </c>
      <c r="DA10" s="38">
        <f>IFERROR(IF($C10&lt;&gt;"",HLOOKUP(Model_Input2!$C10,Trend!$B$1:$K$122,DA$1,0),""),"NA")</f>
        <v>0.19306393748087994</v>
      </c>
      <c r="DB10" s="256">
        <f>IFERROR(IF($C10&lt;&gt;"",HLOOKUP(Model_Input2!$C10,Trend!$B$1:$K$122,DB$1,0),""),"NA")</f>
        <v>0.32685154668298882</v>
      </c>
      <c r="DC10" s="256">
        <f>IFERROR(IF($C10&lt;&gt;"",HLOOKUP(Model_Input2!$C10,Trend!$B$1:$K$122,DC$1,0),""),"NA")</f>
        <v>0.32639052141614555</v>
      </c>
      <c r="DD10" s="256">
        <f>IFERROR(IF($C10&lt;&gt;"",HLOOKUP(Model_Input2!$C10,Trend!$B$1:$K$122,DD$1,0),""),"NA")</f>
        <v>0</v>
      </c>
      <c r="DE10" s="256">
        <f>IFERROR(IF($C10&lt;&gt;"",HLOOKUP(Model_Input2!$C10,Trend!$B$1:$K$122,DE$1,0),""),"NA")</f>
        <v>0</v>
      </c>
      <c r="DF10" s="256">
        <f>IFERROR(IF($C10&lt;&gt;"",HLOOKUP(Model_Input2!$C10,Trend!$B$1:$K$122,DF$1,0),""),"NA")</f>
        <v>0</v>
      </c>
      <c r="DG10" s="256">
        <f>IFERROR(IF($C10&lt;&gt;"",HLOOKUP(Model_Input2!$C10,Trend!$B$1:$K$122,DG$1,0),""),"NA")</f>
        <v>0</v>
      </c>
      <c r="DH10" s="256">
        <f>IFERROR(IF($C10&lt;&gt;"",HLOOKUP(Model_Input2!$C10,Trend!$B$1:$K$122,DH$1,0),""),"NA")</f>
        <v>0</v>
      </c>
      <c r="DI10" s="256">
        <f>IFERROR(IF($C10&lt;&gt;"",HLOOKUP(Model_Input2!$C10,Trend!$B$1:$K$122,DI$1,0),""),"NA")</f>
        <v>0</v>
      </c>
      <c r="DJ10" s="38">
        <f>IFERROR(IF($C10&lt;&gt;"",HLOOKUP(Model_Input2!$C10,Trend!$B$1:$K$122,DJ$1,0),""),"NA")</f>
        <v>0</v>
      </c>
      <c r="DK10" s="38">
        <f>IFERROR(IF($C10&lt;&gt;"",HLOOKUP(Model_Input2!$C10,Trend!$B$1:$K$122,DK$1,0),""),"NA")</f>
        <v>0</v>
      </c>
      <c r="DL10" s="256">
        <f>IFERROR(IF($C10&lt;&gt;"",HLOOKUP(Model_Input2!$C10,Trend!$B$1:$K$122,DL$1,0),""),"NA")</f>
        <v>0</v>
      </c>
      <c r="DM10" s="256">
        <f>IFERROR(IF($C10&lt;&gt;"",HLOOKUP(Model_Input2!$C10,Trend!$B$1:$K$122,DM$1,0),""),"NA")</f>
        <v>0</v>
      </c>
      <c r="DN10" s="256">
        <f>IFERROR(IF($C10&lt;&gt;"",HLOOKUP(Model_Input2!$C10,Trend!$B$1:$K$122,DN$1,0),""),"NA")</f>
        <v>0</v>
      </c>
      <c r="DO10" s="256">
        <f>IFERROR(IF($C10&lt;&gt;"",HLOOKUP(Model_Input2!$C10,Trend!$B$1:$K$122,DO$1,0),""),"NA")</f>
        <v>0</v>
      </c>
      <c r="DP10" s="256">
        <f>IFERROR(IF($C10&lt;&gt;"",HLOOKUP(Model_Input2!$C10,Trend!$B$1:$K$122,DP$1,0),""),"NA")</f>
        <v>0</v>
      </c>
      <c r="DQ10" s="256">
        <f>IFERROR(IF($C10&lt;&gt;"",HLOOKUP(Model_Input2!$C10,Trend!$B$1:$K$122,DQ$1,0),""),"NA")</f>
        <v>0</v>
      </c>
      <c r="DR10" s="256">
        <f>IFERROR(IF($C10&lt;&gt;"",HLOOKUP(Model_Input2!$C10,Trend!$B$1:$K$122,DR$1,0),""),"NA")</f>
        <v>0</v>
      </c>
      <c r="DS10" s="256">
        <f>IFERROR(IF($C10&lt;&gt;"",HLOOKUP(Model_Input2!$C10,Trend!$B$1:$K$122,DS$1,0),""),"NA")</f>
        <v>0</v>
      </c>
      <c r="DT10" s="256">
        <f>IFERROR(IF($C10&lt;&gt;"",HLOOKUP(Model_Input2!$C10,Trend!$B$1:$K$122,DT$1,0),""),"NA")</f>
        <v>9.7880843159879563E-2</v>
      </c>
      <c r="DU10" s="256">
        <f>IFERROR(IF($C10&lt;&gt;"",HLOOKUP(Model_Input2!$C10,Trend!$B$1:$K$122,DU$1,0),""),"NA")</f>
        <v>1.3743280893817016</v>
      </c>
      <c r="DV10" s="256">
        <f>IFERROR(IF($C10&lt;&gt;"",HLOOKUP(Model_Input2!$C10,Trend!$B$1:$K$122,DV$1,0),""),"NA")</f>
        <v>2.5539459233303696</v>
      </c>
      <c r="DW10" s="256">
        <f>IFERROR(IF($C10&lt;&gt;"",HLOOKUP(Model_Input2!$C10,Trend!$B$1:$K$122,DW$1,0),""),"NA")</f>
        <v>2.4905117883841288</v>
      </c>
      <c r="DX10" s="256">
        <f>IFERROR(IF($C10&lt;&gt;"",HLOOKUP(Model_Input2!$C10,Trend!$B$1:$K$122,DX$1,0),""),"NA")</f>
        <v>0.1773764180693779</v>
      </c>
      <c r="DY10" s="256">
        <f>IFERROR(IF($C10&lt;&gt;"",HLOOKUP(Model_Input2!$C10,Trend!$B$1:$K$122,DY$1,0),""),"NA")</f>
        <v>0.69781483611270845</v>
      </c>
    </row>
    <row r="11" spans="1:129" x14ac:dyDescent="0.25">
      <c r="A11" t="str">
        <f t="shared" si="2"/>
        <v>NITIN SPINNERS LTD3132015</v>
      </c>
      <c r="B11" t="str">
        <f>IF(C11&lt;&gt;"",'Data Sheet'!$B$1,"")</f>
        <v>NITIN SPINNERS LTD</v>
      </c>
      <c r="C11" s="255">
        <f>'Data Sheet'!I16</f>
        <v>42094</v>
      </c>
      <c r="D11" s="9">
        <f>IF($C11&lt;&gt;"",HLOOKUP(Model_Input2!$C11,'Data Sheet'!$B$16:$K$31,D$1,0),"")</f>
        <v>616.47</v>
      </c>
      <c r="E11" s="9">
        <f>IFERROR(IF($C11&lt;&gt;"",HLOOKUP(Model_Input2!$C11,'Data Sheet'!$B$16:$K$31,E$1,0),""),"NA")</f>
        <v>387.09</v>
      </c>
      <c r="F11" s="9">
        <f>IFERROR(IF($C11&lt;&gt;"",HLOOKUP(Model_Input2!$C11,'Data Sheet'!$B$16:$K$31,F$1,0),""),"NA")</f>
        <v>3.41</v>
      </c>
      <c r="G11" s="9">
        <f>IFERROR(IF($C11&lt;&gt;"",HLOOKUP(Model_Input2!$C11,'Data Sheet'!$B$16:$K$31,G$1,0),""),"NA")</f>
        <v>51.3</v>
      </c>
      <c r="H11" s="9">
        <f>IFERROR(IF($C11&lt;&gt;"",HLOOKUP(Model_Input2!$C11,'Data Sheet'!$B$16:$K$31,H$1,0),""),"NA")</f>
        <v>25.12</v>
      </c>
      <c r="I11" s="9">
        <f>IFERROR(IF($C11&lt;&gt;"",HLOOKUP(Model_Input2!$C11,'Data Sheet'!$B$16:$K$31,I$1,0),""),"NA")</f>
        <v>34.28</v>
      </c>
      <c r="J11" s="9">
        <f>IFERROR(IF($C11&lt;&gt;"",HLOOKUP(Model_Input2!$C11,'Data Sheet'!$B$16:$K$31,J$1,0),""),"NA")</f>
        <v>22.02</v>
      </c>
      <c r="K11" s="9">
        <f>IFERROR(IF($C11&lt;&gt;"",HLOOKUP(Model_Input2!$C11,'Data Sheet'!$B$16:$K$31,K$1,0),""),"NA")</f>
        <v>0.88</v>
      </c>
      <c r="L11" s="9">
        <f>IFERROR(IF($C11&lt;&gt;"",HLOOKUP(Model_Input2!$C11,'Data Sheet'!$B$16:$K$31,L$1,0),""),"NA")</f>
        <v>5.13</v>
      </c>
      <c r="M11" s="9">
        <f>IFERROR(IF($C11&lt;&gt;"",HLOOKUP(Model_Input2!$C11,'Data Sheet'!$B$16:$K$31,M$1,0),""),"NA")</f>
        <v>27.94</v>
      </c>
      <c r="N11" s="9">
        <f>IFERROR(IF($C11&lt;&gt;"",HLOOKUP(Model_Input2!$C11,'Data Sheet'!$B$16:$K$31,N$1,0),""),"NA")</f>
        <v>22.62</v>
      </c>
      <c r="O11" s="9">
        <f>IFERROR(IF($C11&lt;&gt;"",HLOOKUP(Model_Input2!$C11,'Data Sheet'!$B$16:$K$31,O$1,0),""),"NA")</f>
        <v>53.75</v>
      </c>
      <c r="P11" s="9">
        <f>IFERROR(IF($C11&lt;&gt;"",HLOOKUP(Model_Input2!$C11,'Data Sheet'!$B$16:$K$31,P$1,0),""),"NA")</f>
        <v>12.79</v>
      </c>
      <c r="Q11" s="9">
        <f>IFERROR(IF($C11&lt;&gt;"",HLOOKUP(Model_Input2!$C11,'Data Sheet'!$B$16:$K$31,Q$1,0),""),"NA")</f>
        <v>40.96</v>
      </c>
      <c r="R11" s="9">
        <f>IFERROR(IF($C11&lt;&gt;"",HLOOKUP(Model_Input2!$C11,'Data Sheet'!$B$16:$K$31,R$1,0),""),"NA")</f>
        <v>4.58</v>
      </c>
      <c r="S11">
        <f>IFERROR(IF($C11&lt;&gt;"",HLOOKUP(Model_Input2!$C11,'Data Sheet'!$B$56:$K$72,S$1,0),""),"NA")</f>
        <v>45.83</v>
      </c>
      <c r="T11">
        <f>IFERROR(IF($C11&lt;&gt;"",HLOOKUP(Model_Input2!$C11,'Data Sheet'!$B$56:$K$72,T$1,0),""),"NA")</f>
        <v>121.16</v>
      </c>
      <c r="U11">
        <f>IFERROR(IF($C11&lt;&gt;"",HLOOKUP(Model_Input2!$C11,'Data Sheet'!$B$56:$K$72,U$1,0),""),"NA")</f>
        <v>378.27</v>
      </c>
      <c r="V11">
        <f>IFERROR(IF($C11&lt;&gt;"",HLOOKUP(Model_Input2!$C11,'Data Sheet'!$B$56:$K$72,V$1,0),""),"NA")</f>
        <v>66.75</v>
      </c>
      <c r="W11">
        <f>IFERROR(IF($C11&lt;&gt;"",HLOOKUP(Model_Input2!$C11,'Data Sheet'!$B$56:$K$72,W$1,0),""),"NA")</f>
        <v>612.01</v>
      </c>
      <c r="X11">
        <f>IFERROR(IF($C11&lt;&gt;"",HLOOKUP(Model_Input2!$C11,'Data Sheet'!$B$56:$K$72,X$1,0),""),"NA")</f>
        <v>416.74</v>
      </c>
      <c r="Y11">
        <f>IFERROR(IF($C11&lt;&gt;"",HLOOKUP(Model_Input2!$C11,'Data Sheet'!$B$56:$K$72,Y$1,0),""),"NA")</f>
        <v>0</v>
      </c>
      <c r="Z11">
        <f>IFERROR(IF($C11&lt;&gt;"",HLOOKUP(Model_Input2!$C11,'Data Sheet'!$B$56:$K$72,Z$1,0),""),"NA")</f>
        <v>0</v>
      </c>
      <c r="AA11">
        <f>IFERROR(IF($C11&lt;&gt;"",HLOOKUP(Model_Input2!$C11,'Data Sheet'!$B$56:$K$72,AA$1,0),""),"NA")</f>
        <v>195.27</v>
      </c>
      <c r="AB11">
        <f>IFERROR(IF($C11&lt;&gt;"",HLOOKUP(Model_Input2!$C11,'Data Sheet'!$B$56:$K$72,AB$1,0),""),"NA")</f>
        <v>612.01</v>
      </c>
      <c r="AC11">
        <f>IFERROR(IF($C11&lt;&gt;"",HLOOKUP(Model_Input2!$C11,'Data Sheet'!$B$56:$K$72,AC$1,0),""),"NA")</f>
        <v>40.42</v>
      </c>
      <c r="AD11">
        <f>IFERROR(IF($C11&lt;&gt;"",HLOOKUP(Model_Input2!$C11,'Data Sheet'!$B$56:$K$72,AD$1,0),""),"NA")</f>
        <v>94.19</v>
      </c>
      <c r="AE11">
        <f>IFERROR(IF($C11&lt;&gt;"",HLOOKUP(Model_Input2!$C11,'Data Sheet'!$B$56:$K$72,AE$1,0),""),"NA")</f>
        <v>0.68</v>
      </c>
      <c r="AF11">
        <f>IFERROR(IF($C11&lt;&gt;"",HLOOKUP(Model_Input2!$C11,'Data Sheet'!$B$56:$K$72,AF$1,0),""),"NA")</f>
        <v>45833945</v>
      </c>
      <c r="AG11">
        <f>IFERROR(IF($C11&lt;&gt;"",HLOOKUP(Model_Input2!$C11,'Data Sheet'!$B$56:$K$72,AG$1,0),""),"NA")</f>
        <v>0</v>
      </c>
      <c r="AH11">
        <f>IFERROR(IF($C11&lt;&gt;"",HLOOKUP(Model_Input2!$C11,'Data Sheet'!$B$56:$K$72,AH$1,0),""),"NA")</f>
        <v>10</v>
      </c>
      <c r="AI11">
        <f>IFERROR(IF($C11&lt;&gt;"",HLOOKUP(Model_Input2!$C11,'Data Sheet'!$B$81:$K$85,AI$1,0),""),"NA")</f>
        <v>44.51</v>
      </c>
      <c r="AJ11">
        <f>IFERROR(IF($C11&lt;&gt;"",HLOOKUP(Model_Input2!$C11,'Data Sheet'!$B$81:$K$85,AJ$1,0),""),"NA")</f>
        <v>-219.45</v>
      </c>
      <c r="AK11">
        <f>IFERROR(IF($C11&lt;&gt;"",HLOOKUP(Model_Input2!$C11,'Data Sheet'!$B$81:$K$85,AK$1,0),""),"NA")</f>
        <v>175.56</v>
      </c>
      <c r="AL11">
        <f>IFERROR(IF($C11&lt;&gt;"",HLOOKUP(Model_Input2!$C11,'Data Sheet'!$B$81:$K$85,AL$1,0),""),"NA")</f>
        <v>0.62</v>
      </c>
      <c r="AM11" s="38">
        <f>IFERROR(IF($C11&lt;&gt;"",HLOOKUP(Model_Input2!$C11,Trend!$B$1:$K$3,AM$1,0),""),"NA")</f>
        <v>38.79</v>
      </c>
      <c r="AN11" s="38">
        <f>IFERROR(IF($C11&lt;&gt;"",HLOOKUP(Model_Input2!$C11,Trend!$B$1:$K$3,AN$1,0),""),"NA")</f>
        <v>4.5833944999999998</v>
      </c>
      <c r="AO11" s="38">
        <f>IFERROR(IF($C11&lt;&gt;"",HLOOKUP(Model_Input2!$C11,Trend!$B$1:$K$122,AO$1,0),""),"NA")</f>
        <v>545.26</v>
      </c>
      <c r="AP11" s="38">
        <f>IFERROR(IF($C11&lt;&gt;"",HLOOKUP(Model_Input2!$C11,Trend!$B$1:$K$122,AP$1,0),""),"NA")</f>
        <v>40.96</v>
      </c>
      <c r="AQ11" s="38">
        <f>IFERROR(IF($C11&lt;&gt;"",HLOOKUP(Model_Input2!$C11,Trend!$B$1:$K$122,AQ$1,0),""),"NA")</f>
        <v>44.51</v>
      </c>
      <c r="AR11" s="38">
        <f>IFERROR(IF($C11&lt;&gt;"",HLOOKUP(Model_Input2!$C11,Trend!$B$1:$K$122,AR$1,0),""),"NA")</f>
        <v>232.29</v>
      </c>
      <c r="AS11" s="38">
        <f>IFERROR(IF($C11&lt;&gt;"",HLOOKUP(Model_Input2!$C11,Trend!$B$1:$K$122,AS$1,0),""),"NA")</f>
        <v>4.58</v>
      </c>
      <c r="AT11" s="38">
        <f>IFERROR(IF($C11&lt;&gt;"",HLOOKUP(Model_Input2!$C11,Trend!$B$1:$K$122,AT$1,0),""),"NA")</f>
        <v>-187.78</v>
      </c>
      <c r="AU11" s="38">
        <f>IFERROR(IF($C11&lt;&gt;"",HLOOKUP(Model_Input2!$C11,Trend!$B$1:$K$122,AU$1,0),""),"NA")</f>
        <v>555.37987265499999</v>
      </c>
      <c r="AV11" s="256">
        <f>IFERROR(IF($C11&lt;&gt;"",HLOOKUP(Model_Input2!$C11,Trend!$B$1:$K$122,AV$1,0),""),"NA")</f>
        <v>0.26237867059835374</v>
      </c>
      <c r="AW11" s="256">
        <f>IFERROR(IF($C11&lt;&gt;"",HLOOKUP(Model_Input2!$C11,Trend!$B$1:$K$122,AW$1,0),""),"NA")</f>
        <v>0.17768832662449682</v>
      </c>
      <c r="AX11" s="256">
        <f>IFERROR(IF($C11&lt;&gt;"",HLOOKUP(Model_Input2!$C11,Trend!$B$1:$K$122,AX$1,0),""),"NA")</f>
        <v>6.5566856456924102E-2</v>
      </c>
      <c r="AY11" s="256">
        <f>IFERROR(IF($C11&lt;&gt;"",HLOOKUP(Model_Input2!$C11,Trend!$B$1:$K$122,AY$1,0),""),"NA")</f>
        <v>0.15278926792869077</v>
      </c>
      <c r="AZ11" s="256">
        <f>IFERROR(IF($C11&lt;&gt;"",HLOOKUP(Model_Input2!$C11,Trend!$B$1:$K$122,AZ$1,0),""),"NA")</f>
        <v>6.6442811491232337E-2</v>
      </c>
      <c r="BA11" s="256">
        <f>IFERROR(IF($C11&lt;&gt;"",HLOOKUP(Model_Input2!$C11,Trend!$B$1:$K$122,BA$1,0),""),"NA")</f>
        <v>0.23795348837209301</v>
      </c>
      <c r="BB11" s="38">
        <f>IFERROR(IF($C11&lt;&gt;"",HLOOKUP(Model_Input2!$C11,Trend!$B$1:$K$122,BB$1,0),""),"NA")</f>
        <v>3.5499999999999972</v>
      </c>
      <c r="BC11" s="256">
        <f>IFERROR(IF($C11&lt;&gt;"",HLOOKUP(Model_Input2!$C11,Trend!$B$1:$K$122,BC$1,0),""),"NA")</f>
        <v>0.62791376709328917</v>
      </c>
      <c r="BD11" s="256">
        <f>IFERROR(IF($C11&lt;&gt;"",HLOOKUP(Model_Input2!$C11,Trend!$B$1:$K$122,BD$1,0),""),"NA")</f>
        <v>5.5314938277612859E-3</v>
      </c>
      <c r="BE11" s="256">
        <f>IFERROR(IF($C11&lt;&gt;"",HLOOKUP(Model_Input2!$C11,Trend!$B$1:$K$122,BE$1,0),""),"NA")</f>
        <v>8.3215728259282681E-2</v>
      </c>
      <c r="BF11" s="256">
        <f>IFERROR(IF($C11&lt;&gt;"",HLOOKUP(Model_Input2!$C11,Trend!$B$1:$K$122,BF$1,0),""),"NA")</f>
        <v>4.0748130484857335E-2</v>
      </c>
      <c r="BG11" s="256">
        <f>IFERROR(IF($C11&lt;&gt;"",HLOOKUP(Model_Input2!$C11,Trend!$B$1:$K$122,BG$1,0),""),"NA")</f>
        <v>5.560692328904894E-2</v>
      </c>
      <c r="BH11" s="256">
        <f>IFERROR(IF($C11&lt;&gt;"",HLOOKUP(Model_Input2!$C11,Trend!$B$1:$K$122,BH$1,0),""),"NA")</f>
        <v>3.5719499732347074E-2</v>
      </c>
      <c r="BI11" s="256">
        <f>IFERROR(IF($C11&lt;&gt;"",HLOOKUP(Model_Input2!$C11,Trend!$B$1:$K$122,BI$1,0),""),"NA")</f>
        <v>1.4274822781319447E-3</v>
      </c>
      <c r="BJ11" s="256">
        <f>IFERROR(IF($C11&lt;&gt;"",HLOOKUP(Model_Input2!$C11,Trend!$B$1:$K$122,BJ$1,0),""),"NA")</f>
        <v>8.3215728259282678E-3</v>
      </c>
      <c r="BK11" s="256">
        <f>IFERROR(IF($C11&lt;&gt;"",HLOOKUP(Model_Input2!$C11,Trend!$B$1:$K$122,BK$1,0),""),"NA")</f>
        <v>4.5322562330689244E-2</v>
      </c>
      <c r="BL11" s="256">
        <f>IFERROR(IF($C11&lt;&gt;"",HLOOKUP(Model_Input2!$C11,Trend!$B$1:$K$122,BL$1,0),""),"NA")</f>
        <v>0.37208623290671083</v>
      </c>
      <c r="BM11" s="256">
        <f>IFERROR(IF($C11&lt;&gt;"",HLOOKUP(Model_Input2!$C11,Trend!$B$1:$K$122,BM$1,0),""),"NA")</f>
        <v>0.12388275179651889</v>
      </c>
      <c r="BN11" s="256">
        <f>IFERROR(IF($C11&lt;&gt;"",HLOOKUP(Model_Input2!$C11,Trend!$B$1:$K$122,BN$1,0),""),"NA")</f>
        <v>6.6442811491232337E-2</v>
      </c>
      <c r="BO11" s="256">
        <f>IFERROR(IF($C11&lt;&gt;"",HLOOKUP(Model_Input2!$C11,Trend!$B$1:$K$122,BO$1,0),""),"NA")</f>
        <v>0.23795348837209301</v>
      </c>
      <c r="BP11" s="256">
        <f>IFERROR(IF($C11&lt;&gt;"",HLOOKUP(Model_Input2!$C11,Trend!$B$1:$K$122,BP$1,0),""),"NA")</f>
        <v>0.70402444404503195</v>
      </c>
      <c r="BQ11" s="256">
        <f>IFERROR(IF($C11&lt;&gt;"",HLOOKUP(Model_Input2!$C11,Trend!$B$1:$K$122,BQ$1,0),""),"NA")</f>
        <v>0.68093658600349671</v>
      </c>
      <c r="BR11" s="256">
        <f>IFERROR(IF($C11&lt;&gt;"",HLOOKUP(Model_Input2!$C11,Trend!$B$1:$K$122,BR$1,0),""),"NA")</f>
        <v>0.69893101043035344</v>
      </c>
      <c r="BS11" s="256">
        <f>IFERROR(IF($C11&lt;&gt;"",HLOOKUP(Model_Input2!$C11,Trend!$B$1:$K$122,BS$1,0),""),"NA")</f>
        <v>0.67601018703262117</v>
      </c>
      <c r="BT11" s="256">
        <f>IFERROR(IF($C11&lt;&gt;"",HLOOKUP(Model_Input2!$C11,Trend!$B$1:$K$122,BT$1,0),""),"NA")</f>
        <v>0.37955262168918807</v>
      </c>
      <c r="BU11" s="256">
        <f>IFERROR(IF($C11&lt;&gt;"",HLOOKUP(Model_Input2!$C11,Trend!$B$1:$K$122,BU$1,0),""),"NA")</f>
        <v>0.53911852763014367</v>
      </c>
      <c r="BV11" s="256">
        <f>IFERROR(IF($C11&lt;&gt;"",HLOOKUP(Model_Input2!$C11,Trend!$B$1:$K$122,BV$1,0),""),"NA")</f>
        <v>0.5573978979699572</v>
      </c>
      <c r="BW11" s="256">
        <f>IFERROR(IF($C11&lt;&gt;"",HLOOKUP(Model_Input2!$C11,Trend!$B$1:$K$122,BW$1,0),""),"NA")</f>
        <v>0.70402444404503195</v>
      </c>
      <c r="BX11" s="256">
        <f>IFERROR(IF($C11&lt;&gt;"",HLOOKUP(Model_Input2!$C11,Trend!$B$1:$K$122,BX$1,0),""),"NA")</f>
        <v>0.68093658600349671</v>
      </c>
      <c r="BY11" s="256">
        <f>IFERROR(IF($C11&lt;&gt;"",HLOOKUP(Model_Input2!$C11,Trend!$B$1:$K$122,BY$1,0),""),"NA")</f>
        <v>0</v>
      </c>
      <c r="BZ11" s="256">
        <f>IFERROR(IF($C11&lt;&gt;"",HLOOKUP(Model_Input2!$C11,Trend!$B$1:$K$122,BZ$1,0),""),"NA")</f>
        <v>0.31906341399650334</v>
      </c>
      <c r="CA11" s="256">
        <f>IFERROR(IF($C11&lt;&gt;"",HLOOKUP(Model_Input2!$C11,Trend!$B$1:$K$122,CA$1,0),""),"NA")</f>
        <v>0</v>
      </c>
      <c r="CB11" s="256">
        <f>IFERROR(IF($C11&lt;&gt;"",HLOOKUP(Model_Input2!$C11,Trend!$B$1:$K$122,CB$1,0),""),"NA")</f>
        <v>0</v>
      </c>
      <c r="CC11" s="256">
        <f>IFERROR(IF($C11&lt;&gt;"",HLOOKUP(Model_Input2!$C11,Trend!$B$1:$K$122,CC$1,0),""),"NA")</f>
        <v>0</v>
      </c>
      <c r="CD11" s="38">
        <f>IFERROR(IF($C11&lt;&gt;"",HLOOKUP(Model_Input2!$C11,Trend!$B$1:$K$122,CD$1,0),""),"NA")</f>
        <v>0</v>
      </c>
      <c r="CE11" s="38">
        <f>IFERROR(IF($C11&lt;&gt;"",HLOOKUP(Model_Input2!$C11,Trend!$B$1:$K$122,CE$1,0),""),"NA")</f>
        <v>2.265225462602551</v>
      </c>
      <c r="CF11" s="38">
        <f>IFERROR(IF($C11&lt;&gt;"",HLOOKUP(Model_Input2!$C11,Trend!$B$1:$K$122,CF$1,0),""),"NA")</f>
        <v>2.9253932584269666</v>
      </c>
      <c r="CG11" s="38">
        <f>IFERROR(IF($C11&lt;&gt;"",HLOOKUP(Model_Input2!$C11,Trend!$B$1:$K$122,CG$1,0),""),"NA")</f>
        <v>3.3762157382847038</v>
      </c>
      <c r="CH11" s="38">
        <f>IFERROR(IF($C11&lt;&gt;"",HLOOKUP(Model_Input2!$C11,Trend!$B$1:$K$122,CH$1,0),""),"NA")</f>
        <v>3.6649499970058086</v>
      </c>
      <c r="CI11" s="38">
        <f>IFERROR(IF($C11&lt;&gt;"",HLOOKUP(Model_Input2!$C11,Trend!$B$1:$K$122,CI$1,0),""),"NA")</f>
        <v>1.5143071161048691</v>
      </c>
      <c r="CJ11" s="38">
        <f>IFERROR(IF($C11&lt;&gt;"",HLOOKUP(Model_Input2!$C11,Trend!$B$1:$K$122,CJ$1,0),""),"NA")</f>
        <v>0.66681647940074906</v>
      </c>
      <c r="CK11" s="256">
        <f>IFERROR(IF($C11&lt;&gt;"",HLOOKUP(Model_Input2!$C11,Trend!$B$1:$K$122,CK$1,0),""),"NA")</f>
        <v>1.6885711873469733E-4</v>
      </c>
      <c r="CL11" s="256">
        <f>IFERROR(IF($C11&lt;&gt;"",HLOOKUP(Model_Input2!$C11,Trend!$B$1:$K$122,CL$1,0),""),"NA")</f>
        <v>1.7976577576863089E-3</v>
      </c>
      <c r="CM11" s="256">
        <f>IFERROR(IF($C11&lt;&gt;"",HLOOKUP(Model_Input2!$C11,Trend!$B$1:$K$122,CM$1,0),""),"NA")</f>
        <v>1.0187265917602996E-2</v>
      </c>
      <c r="CN11" s="256">
        <f>IFERROR(IF($C11&lt;&gt;"",HLOOKUP(Model_Input2!$C11,Trend!$B$1:$K$122,CN$1,0),""),"NA")</f>
        <v>0.17646125783170752</v>
      </c>
      <c r="CO11" s="256">
        <f>IFERROR(IF($C11&lt;&gt;"",HLOOKUP(Model_Input2!$C11,Trend!$B$1:$K$122,CO$1,0),""),"NA")</f>
        <v>6.2831699199424301E-2</v>
      </c>
      <c r="CP11" s="256">
        <f>IFERROR(IF($C11&lt;&gt;"",HLOOKUP(Model_Input2!$C11,Trend!$B$1:$K$122,CP$1,0),""),"NA")</f>
        <v>6.7044200220761144E-2</v>
      </c>
      <c r="CQ11" s="256">
        <f>IFERROR(IF($C11&lt;&gt;"",HLOOKUP(Model_Input2!$C11,Trend!$B$1:$K$122,CQ$1,0),""),"NA")</f>
        <v>3.8247397888603886E-3</v>
      </c>
      <c r="CR11" s="256">
        <f>IFERROR(IF($C11&lt;&gt;"",HLOOKUP(Model_Input2!$C11,Trend!$B$1:$K$122,CR$1,0),""),"NA")</f>
        <v>0</v>
      </c>
      <c r="CS11" s="256">
        <f>IFERROR(IF($C11&lt;&gt;"",HLOOKUP(Model_Input2!$C11,Trend!$B$1:$K$122,CS$1,0),""),"NA")</f>
        <v>0.20847729816536084</v>
      </c>
      <c r="CT11" s="38">
        <f>IFERROR(IF($C11&lt;&gt;"",HLOOKUP(Model_Input2!$C11,Trend!$B$1:$K$122,CT$1,0),""),"NA")</f>
        <v>23.931902606777296</v>
      </c>
      <c r="CU11" s="38">
        <f>IFERROR(IF($C11&lt;&gt;"",HLOOKUP(Model_Input2!$C11,Trend!$B$1:$K$122,CU$1,0),""),"NA")</f>
        <v>15.251608114794657</v>
      </c>
      <c r="CV11" s="38">
        <f>IFERROR(IF($C11&lt;&gt;"",HLOOKUP(Model_Input2!$C11,Trend!$B$1:$K$122,CV$1,0),""),"NA")</f>
        <v>55.768082793972134</v>
      </c>
      <c r="CW11" s="38">
        <f>IFERROR(IF($C11&lt;&gt;"",HLOOKUP(Model_Input2!$C11,Trend!$B$1:$K$122,CW$1,0),""),"NA")</f>
        <v>6.5449623102240153</v>
      </c>
      <c r="CX11" s="256">
        <f>IFERROR(IF($C11&lt;&gt;"",HLOOKUP(Model_Input2!$C11,Trend!$B$1:$K$122,CX$1,0),""),"NA")</f>
        <v>7.2727569810950798E-2</v>
      </c>
      <c r="CY11" s="256">
        <f>IFERROR(IF($C11&lt;&gt;"",HLOOKUP(Model_Input2!$C11,Trend!$B$1:$K$122,CY$1,0),""),"NA")</f>
        <v>0</v>
      </c>
      <c r="CZ11" s="38">
        <f>IFERROR(IF($C11&lt;&gt;"",HLOOKUP(Model_Input2!$C11,Trend!$B$1:$K$122,CZ$1,0),""),"NA")</f>
        <v>0.12480188232218434</v>
      </c>
      <c r="DA11" s="38">
        <f>IFERROR(IF($C11&lt;&gt;"",HLOOKUP(Model_Input2!$C11,Trend!$B$1:$K$122,DA$1,0),""),"NA")</f>
        <v>0.15791758843839818</v>
      </c>
      <c r="DB11" s="256">
        <f>IFERROR(IF($C11&lt;&gt;"",HLOOKUP(Model_Input2!$C11,Trend!$B$1:$K$122,DB$1,0),""),"NA")</f>
        <v>0.1832797427652734</v>
      </c>
      <c r="DC11" s="256">
        <f>IFERROR(IF($C11&lt;&gt;"",HLOOKUP(Model_Input2!$C11,Trend!$B$1:$K$122,DC$1,0),""),"NA")</f>
        <v>0.24281150159744422</v>
      </c>
      <c r="DD11" s="256">
        <f>IFERROR(IF($C11&lt;&gt;"",HLOOKUP(Model_Input2!$C11,Trend!$B$1:$K$122,DD$1,0),""),"NA")</f>
        <v>0</v>
      </c>
      <c r="DE11" s="256">
        <f>IFERROR(IF($C11&lt;&gt;"",HLOOKUP(Model_Input2!$C11,Trend!$B$1:$K$122,DE$1,0),""),"NA")</f>
        <v>0</v>
      </c>
      <c r="DF11" s="256">
        <f>IFERROR(IF($C11&lt;&gt;"",HLOOKUP(Model_Input2!$C11,Trend!$B$1:$K$122,DF$1,0),""),"NA")</f>
        <v>0</v>
      </c>
      <c r="DG11" s="256">
        <f>IFERROR(IF($C11&lt;&gt;"",HLOOKUP(Model_Input2!$C11,Trend!$B$1:$K$122,DG$1,0),""),"NA")</f>
        <v>0</v>
      </c>
      <c r="DH11" s="256">
        <f>IFERROR(IF($C11&lt;&gt;"",HLOOKUP(Model_Input2!$C11,Trend!$B$1:$K$122,DH$1,0),""),"NA")</f>
        <v>0</v>
      </c>
      <c r="DI11" s="256">
        <f>IFERROR(IF($C11&lt;&gt;"",HLOOKUP(Model_Input2!$C11,Trend!$B$1:$K$122,DI$1,0),""),"NA")</f>
        <v>0</v>
      </c>
      <c r="DJ11" s="38">
        <f>IFERROR(IF($C11&lt;&gt;"",HLOOKUP(Model_Input2!$C11,Trend!$B$1:$K$122,DJ$1,0),""),"NA")</f>
        <v>0</v>
      </c>
      <c r="DK11" s="38">
        <f>IFERROR(IF($C11&lt;&gt;"",HLOOKUP(Model_Input2!$C11,Trend!$B$1:$K$122,DK$1,0),""),"NA")</f>
        <v>0</v>
      </c>
      <c r="DL11" s="256">
        <f>IFERROR(IF($C11&lt;&gt;"",HLOOKUP(Model_Input2!$C11,Trend!$B$1:$K$122,DL$1,0),""),"NA")</f>
        <v>0</v>
      </c>
      <c r="DM11" s="256">
        <f>IFERROR(IF($C11&lt;&gt;"",HLOOKUP(Model_Input2!$C11,Trend!$B$1:$K$122,DM$1,0),""),"NA")</f>
        <v>0</v>
      </c>
      <c r="DN11" s="256">
        <f>IFERROR(IF($C11&lt;&gt;"",HLOOKUP(Model_Input2!$C11,Trend!$B$1:$K$122,DN$1,0),""),"NA")</f>
        <v>0</v>
      </c>
      <c r="DO11" s="256">
        <f>IFERROR(IF($C11&lt;&gt;"",HLOOKUP(Model_Input2!$C11,Trend!$B$1:$K$122,DO$1,0),""),"NA")</f>
        <v>0</v>
      </c>
      <c r="DP11" s="256">
        <f>IFERROR(IF($C11&lt;&gt;"",HLOOKUP(Model_Input2!$C11,Trend!$B$1:$K$122,DP$1,0),""),"NA")</f>
        <v>0</v>
      </c>
      <c r="DQ11" s="256">
        <f>IFERROR(IF($C11&lt;&gt;"",HLOOKUP(Model_Input2!$C11,Trend!$B$1:$K$122,DQ$1,0),""),"NA")</f>
        <v>0</v>
      </c>
      <c r="DR11" s="256">
        <f>IFERROR(IF($C11&lt;&gt;"",HLOOKUP(Model_Input2!$C11,Trend!$B$1:$K$122,DR$1,0),""),"NA")</f>
        <v>0</v>
      </c>
      <c r="DS11" s="256">
        <f>IFERROR(IF($C11&lt;&gt;"",HLOOKUP(Model_Input2!$C11,Trend!$B$1:$K$122,DS$1,0),""),"NA")</f>
        <v>0</v>
      </c>
      <c r="DT11" s="256">
        <f>IFERROR(IF($C11&lt;&gt;"",HLOOKUP(Model_Input2!$C11,Trend!$B$1:$K$122,DT$1,0),""),"NA")</f>
        <v>6.692701099655235E-2</v>
      </c>
      <c r="DU11" s="256">
        <f>IFERROR(IF($C11&lt;&gt;"",HLOOKUP(Model_Input2!$C11,Trend!$B$1:$K$122,DU$1,0),""),"NA")</f>
        <v>1.0072874626231598</v>
      </c>
      <c r="DV11" s="256">
        <f>IFERROR(IF($C11&lt;&gt;"",HLOOKUP(Model_Input2!$C11,Trend!$B$1:$K$122,DV$1,0),""),"NA")</f>
        <v>1.4792676488937948</v>
      </c>
      <c r="DW11" s="256">
        <f>IFERROR(IF($C11&lt;&gt;"",HLOOKUP(Model_Input2!$C11,Trend!$B$1:$K$122,DW$1,0),""),"NA")</f>
        <v>1.086669921875</v>
      </c>
      <c r="DX11" s="256">
        <f>IFERROR(IF($C11&lt;&gt;"",HLOOKUP(Model_Input2!$C11,Trend!$B$1:$K$122,DX$1,0),""),"NA")</f>
        <v>7.2201404772332792E-2</v>
      </c>
      <c r="DY11" s="256">
        <f>IFERROR(IF($C11&lt;&gt;"",HLOOKUP(Model_Input2!$C11,Trend!$B$1:$K$122,DY$1,0),""),"NA")</f>
        <v>5.671142578125</v>
      </c>
    </row>
    <row r="12" spans="1:129" x14ac:dyDescent="0.25">
      <c r="A12" t="str">
        <f t="shared" si="2"/>
        <v>NITIN SPINNERS LTD3132016</v>
      </c>
      <c r="B12" t="str">
        <f>IF(C12&lt;&gt;"",'Data Sheet'!$B$1,"")</f>
        <v>NITIN SPINNERS LTD</v>
      </c>
      <c r="C12" s="255">
        <f>'Data Sheet'!J16</f>
        <v>42460</v>
      </c>
      <c r="D12" s="9">
        <f>IF($C12&lt;&gt;"",HLOOKUP(Model_Input2!$C12,'Data Sheet'!$B$16:$K$31,D$1,0),"")</f>
        <v>766.87</v>
      </c>
      <c r="E12" s="9">
        <f>IFERROR(IF($C12&lt;&gt;"",HLOOKUP(Model_Input2!$C12,'Data Sheet'!$B$16:$K$31,E$1,0),""),"NA")</f>
        <v>461.52</v>
      </c>
      <c r="F12" s="9">
        <f>IFERROR(IF($C12&lt;&gt;"",HLOOKUP(Model_Input2!$C12,'Data Sheet'!$B$16:$K$31,F$1,0),""),"NA")</f>
        <v>-1.71</v>
      </c>
      <c r="G12" s="9">
        <f>IFERROR(IF($C12&lt;&gt;"",HLOOKUP(Model_Input2!$C12,'Data Sheet'!$B$16:$K$31,G$1,0),""),"NA")</f>
        <v>65.05</v>
      </c>
      <c r="H12" s="9">
        <f>IFERROR(IF($C12&lt;&gt;"",HLOOKUP(Model_Input2!$C12,'Data Sheet'!$B$16:$K$31,H$1,0),""),"NA")</f>
        <v>30.79</v>
      </c>
      <c r="I12" s="9">
        <f>IFERROR(IF($C12&lt;&gt;"",HLOOKUP(Model_Input2!$C12,'Data Sheet'!$B$16:$K$31,I$1,0),""),"NA")</f>
        <v>43.14</v>
      </c>
      <c r="J12" s="9">
        <f>IFERROR(IF($C12&lt;&gt;"",HLOOKUP(Model_Input2!$C12,'Data Sheet'!$B$16:$K$31,J$1,0),""),"NA")</f>
        <v>27.57</v>
      </c>
      <c r="K12" s="9">
        <f>IFERROR(IF($C12&lt;&gt;"",HLOOKUP(Model_Input2!$C12,'Data Sheet'!$B$16:$K$31,K$1,0),""),"NA")</f>
        <v>0.06</v>
      </c>
      <c r="L12" s="9">
        <f>IFERROR(IF($C12&lt;&gt;"",HLOOKUP(Model_Input2!$C12,'Data Sheet'!$B$16:$K$31,L$1,0),""),"NA")</f>
        <v>0.72</v>
      </c>
      <c r="M12" s="9">
        <f>IFERROR(IF($C12&lt;&gt;"",HLOOKUP(Model_Input2!$C12,'Data Sheet'!$B$16:$K$31,M$1,0),""),"NA")</f>
        <v>39.56</v>
      </c>
      <c r="N12" s="9">
        <f>IFERROR(IF($C12&lt;&gt;"",HLOOKUP(Model_Input2!$C12,'Data Sheet'!$B$16:$K$31,N$1,0),""),"NA")</f>
        <v>33.01</v>
      </c>
      <c r="O12" s="9">
        <f>IFERROR(IF($C12&lt;&gt;"",HLOOKUP(Model_Input2!$C12,'Data Sheet'!$B$16:$K$31,O$1,0),""),"NA")</f>
        <v>65.19</v>
      </c>
      <c r="P12" s="9">
        <f>IFERROR(IF($C12&lt;&gt;"",HLOOKUP(Model_Input2!$C12,'Data Sheet'!$B$16:$K$31,P$1,0),""),"NA")</f>
        <v>21.04</v>
      </c>
      <c r="Q12" s="9">
        <f>IFERROR(IF($C12&lt;&gt;"",HLOOKUP(Model_Input2!$C12,'Data Sheet'!$B$16:$K$31,Q$1,0),""),"NA")</f>
        <v>44.16</v>
      </c>
      <c r="R12" s="9">
        <f>IFERROR(IF($C12&lt;&gt;"",HLOOKUP(Model_Input2!$C12,'Data Sheet'!$B$16:$K$31,R$1,0),""),"NA")</f>
        <v>4.58</v>
      </c>
      <c r="S12">
        <f>IFERROR(IF($C12&lt;&gt;"",HLOOKUP(Model_Input2!$C12,'Data Sheet'!$B$56:$K$72,S$1,0),""),"NA")</f>
        <v>45.83</v>
      </c>
      <c r="T12">
        <f>IFERROR(IF($C12&lt;&gt;"",HLOOKUP(Model_Input2!$C12,'Data Sheet'!$B$56:$K$72,T$1,0),""),"NA")</f>
        <v>159.81</v>
      </c>
      <c r="U12">
        <f>IFERROR(IF($C12&lt;&gt;"",HLOOKUP(Model_Input2!$C12,'Data Sheet'!$B$56:$K$72,U$1,0),""),"NA")</f>
        <v>352.07</v>
      </c>
      <c r="V12">
        <f>IFERROR(IF($C12&lt;&gt;"",HLOOKUP(Model_Input2!$C12,'Data Sheet'!$B$56:$K$72,V$1,0),""),"NA")</f>
        <v>79.39</v>
      </c>
      <c r="W12">
        <f>IFERROR(IF($C12&lt;&gt;"",HLOOKUP(Model_Input2!$C12,'Data Sheet'!$B$56:$K$72,W$1,0),""),"NA")</f>
        <v>637.1</v>
      </c>
      <c r="X12">
        <f>IFERROR(IF($C12&lt;&gt;"",HLOOKUP(Model_Input2!$C12,'Data Sheet'!$B$56:$K$72,X$1,0),""),"NA")</f>
        <v>382.07</v>
      </c>
      <c r="Y12">
        <f>IFERROR(IF($C12&lt;&gt;"",HLOOKUP(Model_Input2!$C12,'Data Sheet'!$B$56:$K$72,Y$1,0),""),"NA")</f>
        <v>17.059999999999999</v>
      </c>
      <c r="Z12">
        <f>IFERROR(IF($C12&lt;&gt;"",HLOOKUP(Model_Input2!$C12,'Data Sheet'!$B$56:$K$72,Z$1,0),""),"NA")</f>
        <v>0</v>
      </c>
      <c r="AA12">
        <f>IFERROR(IF($C12&lt;&gt;"",HLOOKUP(Model_Input2!$C12,'Data Sheet'!$B$56:$K$72,AA$1,0),""),"NA")</f>
        <v>237.97</v>
      </c>
      <c r="AB12">
        <f>IFERROR(IF($C12&lt;&gt;"",HLOOKUP(Model_Input2!$C12,'Data Sheet'!$B$56:$K$72,AB$1,0),""),"NA")</f>
        <v>637.1</v>
      </c>
      <c r="AC12">
        <f>IFERROR(IF($C12&lt;&gt;"",HLOOKUP(Model_Input2!$C12,'Data Sheet'!$B$56:$K$72,AC$1,0),""),"NA")</f>
        <v>39.25</v>
      </c>
      <c r="AD12">
        <f>IFERROR(IF($C12&lt;&gt;"",HLOOKUP(Model_Input2!$C12,'Data Sheet'!$B$56:$K$72,AD$1,0),""),"NA")</f>
        <v>114.76</v>
      </c>
      <c r="AE12">
        <f>IFERROR(IF($C12&lt;&gt;"",HLOOKUP(Model_Input2!$C12,'Data Sheet'!$B$56:$K$72,AE$1,0),""),"NA")</f>
        <v>0.56999999999999995</v>
      </c>
      <c r="AF12">
        <f>IFERROR(IF($C12&lt;&gt;"",HLOOKUP(Model_Input2!$C12,'Data Sheet'!$B$56:$K$72,AF$1,0),""),"NA")</f>
        <v>45833945</v>
      </c>
      <c r="AG12">
        <f>IFERROR(IF($C12&lt;&gt;"",HLOOKUP(Model_Input2!$C12,'Data Sheet'!$B$56:$K$72,AG$1,0),""),"NA")</f>
        <v>0</v>
      </c>
      <c r="AH12">
        <f>IFERROR(IF($C12&lt;&gt;"",HLOOKUP(Model_Input2!$C12,'Data Sheet'!$B$56:$K$72,AH$1,0),""),"NA")</f>
        <v>10</v>
      </c>
      <c r="AI12">
        <f>IFERROR(IF($C12&lt;&gt;"",HLOOKUP(Model_Input2!$C12,'Data Sheet'!$B$81:$K$85,AI$1,0),""),"NA")</f>
        <v>100.4</v>
      </c>
      <c r="AJ12">
        <f>IFERROR(IF($C12&lt;&gt;"",HLOOKUP(Model_Input2!$C12,'Data Sheet'!$B$81:$K$85,AJ$1,0),""),"NA")</f>
        <v>-35.78</v>
      </c>
      <c r="AK12">
        <f>IFERROR(IF($C12&lt;&gt;"",HLOOKUP(Model_Input2!$C12,'Data Sheet'!$B$81:$K$85,AK$1,0),""),"NA")</f>
        <v>-64.73</v>
      </c>
      <c r="AL12">
        <f>IFERROR(IF($C12&lt;&gt;"",HLOOKUP(Model_Input2!$C12,'Data Sheet'!$B$81:$K$85,AL$1,0),""),"NA")</f>
        <v>-0.11</v>
      </c>
      <c r="AM12" s="38">
        <f>IFERROR(IF($C12&lt;&gt;"",HLOOKUP(Model_Input2!$C12,Trend!$B$1:$K$3,AM$1,0),""),"NA")</f>
        <v>65.56</v>
      </c>
      <c r="AN12" s="38">
        <f>IFERROR(IF($C12&lt;&gt;"",HLOOKUP(Model_Input2!$C12,Trend!$B$1:$K$3,AN$1,0),""),"NA")</f>
        <v>4.5833944999999998</v>
      </c>
      <c r="AO12" s="38">
        <f>IFERROR(IF($C12&lt;&gt;"",HLOOKUP(Model_Input2!$C12,Trend!$B$1:$K$122,AO$1,0),""),"NA")</f>
        <v>557.71</v>
      </c>
      <c r="AP12" s="38">
        <f>IFERROR(IF($C12&lt;&gt;"",HLOOKUP(Model_Input2!$C12,Trend!$B$1:$K$122,AP$1,0),""),"NA")</f>
        <v>44.16</v>
      </c>
      <c r="AQ12" s="38">
        <f>IFERROR(IF($C12&lt;&gt;"",HLOOKUP(Model_Input2!$C12,Trend!$B$1:$K$122,AQ$1,0),""),"NA")</f>
        <v>100.4</v>
      </c>
      <c r="AR12" s="38">
        <f>IFERROR(IF($C12&lt;&gt;"",HLOOKUP(Model_Input2!$C12,Trend!$B$1:$K$122,AR$1,0),""),"NA")</f>
        <v>21.949999999999985</v>
      </c>
      <c r="AS12" s="38">
        <f>IFERROR(IF($C12&lt;&gt;"",HLOOKUP(Model_Input2!$C12,Trend!$B$1:$K$122,AS$1,0),""),"NA")</f>
        <v>4.58</v>
      </c>
      <c r="AT12" s="38">
        <f>IFERROR(IF($C12&lt;&gt;"",HLOOKUP(Model_Input2!$C12,Trend!$B$1:$K$122,AT$1,0),""),"NA")</f>
        <v>78.450000000000017</v>
      </c>
      <c r="AU12" s="38">
        <f>IFERROR(IF($C12&lt;&gt;"",HLOOKUP(Model_Input2!$C12,Trend!$B$1:$K$122,AU$1,0),""),"NA")</f>
        <v>651.98734342</v>
      </c>
      <c r="AV12" s="256">
        <f>IFERROR(IF($C12&lt;&gt;"",HLOOKUP(Model_Input2!$C12,Trend!$B$1:$K$122,AV$1,0),""),"NA")</f>
        <v>0.24396969844436869</v>
      </c>
      <c r="AW12" s="256">
        <f>IFERROR(IF($C12&lt;&gt;"",HLOOKUP(Model_Input2!$C12,Trend!$B$1:$K$122,AW$1,0),""),"NA")</f>
        <v>7.8124999999999889E-2</v>
      </c>
      <c r="AX12" s="256">
        <f>IFERROR(IF($C12&lt;&gt;"",HLOOKUP(Model_Input2!$C12,Trend!$B$1:$K$122,AX$1,0),""),"NA")</f>
        <v>5.1182077796758249E-2</v>
      </c>
      <c r="AY12" s="256">
        <f>IFERROR(IF($C12&lt;&gt;"",HLOOKUP(Model_Input2!$C12,Trend!$B$1:$K$122,AY$1,0),""),"NA")</f>
        <v>0.14964726746384654</v>
      </c>
      <c r="AZ12" s="256">
        <f>IFERROR(IF($C12&lt;&gt;"",HLOOKUP(Model_Input2!$C12,Trend!$B$1:$K$122,AZ$1,0),""),"NA")</f>
        <v>5.7584727528785837E-2</v>
      </c>
      <c r="BA12" s="256">
        <f>IFERROR(IF($C12&lt;&gt;"",HLOOKUP(Model_Input2!$C12,Trend!$B$1:$K$122,BA$1,0),""),"NA")</f>
        <v>0.32274888786623718</v>
      </c>
      <c r="BB12" s="38">
        <f>IFERROR(IF($C12&lt;&gt;"",HLOOKUP(Model_Input2!$C12,Trend!$B$1:$K$122,BB$1,0),""),"NA")</f>
        <v>56.240000000000009</v>
      </c>
      <c r="BC12" s="256">
        <f>IFERROR(IF($C12&lt;&gt;"",HLOOKUP(Model_Input2!$C12,Trend!$B$1:$K$122,BC$1,0),""),"NA")</f>
        <v>0.60182299477095202</v>
      </c>
      <c r="BD12" s="256">
        <f>IFERROR(IF($C12&lt;&gt;"",HLOOKUP(Model_Input2!$C12,Trend!$B$1:$K$122,BD$1,0),""),"NA")</f>
        <v>-2.229843389361952E-3</v>
      </c>
      <c r="BE12" s="256">
        <f>IFERROR(IF($C12&lt;&gt;"",HLOOKUP(Model_Input2!$C12,Trend!$B$1:$K$122,BE$1,0),""),"NA")</f>
        <v>8.4825328934499983E-2</v>
      </c>
      <c r="BF12" s="256">
        <f>IFERROR(IF($C12&lt;&gt;"",HLOOKUP(Model_Input2!$C12,Trend!$B$1:$K$122,BF$1,0),""),"NA")</f>
        <v>4.0150221028335958E-2</v>
      </c>
      <c r="BG12" s="256">
        <f>IFERROR(IF($C12&lt;&gt;"",HLOOKUP(Model_Input2!$C12,Trend!$B$1:$K$122,BG$1,0),""),"NA")</f>
        <v>5.625464550706117E-2</v>
      </c>
      <c r="BH12" s="256">
        <f>IFERROR(IF($C12&lt;&gt;"",HLOOKUP(Model_Input2!$C12,Trend!$B$1:$K$122,BH$1,0),""),"NA")</f>
        <v>3.5951334646028663E-2</v>
      </c>
      <c r="BI12" s="256">
        <f>IFERROR(IF($C12&lt;&gt;"",HLOOKUP(Model_Input2!$C12,Trend!$B$1:$K$122,BI$1,0),""),"NA")</f>
        <v>7.8240118924980767E-5</v>
      </c>
      <c r="BJ12" s="256">
        <f>IFERROR(IF($C12&lt;&gt;"",HLOOKUP(Model_Input2!$C12,Trend!$B$1:$K$122,BJ$1,0),""),"NA")</f>
        <v>9.3888142709976921E-4</v>
      </c>
      <c r="BK12" s="256">
        <f>IFERROR(IF($C12&lt;&gt;"",HLOOKUP(Model_Input2!$C12,Trend!$B$1:$K$122,BK$1,0),""),"NA")</f>
        <v>5.1586318411203987E-2</v>
      </c>
      <c r="BL12" s="256">
        <f>IFERROR(IF($C12&lt;&gt;"",HLOOKUP(Model_Input2!$C12,Trend!$B$1:$K$122,BL$1,0),""),"NA")</f>
        <v>0.39817700522904798</v>
      </c>
      <c r="BM12" s="256">
        <f>IFERROR(IF($C12&lt;&gt;"",HLOOKUP(Model_Input2!$C12,Trend!$B$1:$K$122,BM$1,0),""),"NA")</f>
        <v>0.12805299464055184</v>
      </c>
      <c r="BN12" s="256">
        <f>IFERROR(IF($C12&lt;&gt;"",HLOOKUP(Model_Input2!$C12,Trend!$B$1:$K$122,BN$1,0),""),"NA")</f>
        <v>5.7584727528785837E-2</v>
      </c>
      <c r="BO12" s="256">
        <f>IFERROR(IF($C12&lt;&gt;"",HLOOKUP(Model_Input2!$C12,Trend!$B$1:$K$122,BO$1,0),""),"NA")</f>
        <v>0.32274888786623718</v>
      </c>
      <c r="BP12" s="256">
        <f>IFERROR(IF($C12&lt;&gt;"",HLOOKUP(Model_Input2!$C12,Trend!$B$1:$K$122,BP$1,0),""),"NA")</f>
        <v>0.62205305289593471</v>
      </c>
      <c r="BQ12" s="256">
        <f>IFERROR(IF($C12&lt;&gt;"",HLOOKUP(Model_Input2!$C12,Trend!$B$1:$K$122,BQ$1,0),""),"NA")</f>
        <v>0.59970177366190547</v>
      </c>
      <c r="BR12" s="256">
        <f>IFERROR(IF($C12&lt;&gt;"",HLOOKUP(Model_Input2!$C12,Trend!$B$1:$K$122,BR$1,0),""),"NA")</f>
        <v>0.51678902551931882</v>
      </c>
      <c r="BS12" s="256">
        <f>IFERROR(IF($C12&lt;&gt;"",HLOOKUP(Model_Input2!$C12,Trend!$B$1:$K$122,BS$1,0),""),"NA")</f>
        <v>0.49822003729445669</v>
      </c>
      <c r="BT12" s="256">
        <f>IFERROR(IF($C12&lt;&gt;"",HLOOKUP(Model_Input2!$C12,Trend!$B$1:$K$122,BT$1,0),""),"NA")</f>
        <v>3.4452990111442448E-2</v>
      </c>
      <c r="BU12" s="256">
        <f>IFERROR(IF($C12&lt;&gt;"",HLOOKUP(Model_Input2!$C12,Trend!$B$1:$K$122,BU$1,0),""),"NA")</f>
        <v>5.538593525270618E-2</v>
      </c>
      <c r="BV12" s="256">
        <f>IFERROR(IF($C12&lt;&gt;"",HLOOKUP(Model_Input2!$C12,Trend!$B$1:$K$122,BV$1,0),""),"NA")</f>
        <v>5.7450205459732472E-2</v>
      </c>
      <c r="BW12" s="256">
        <f>IFERROR(IF($C12&lt;&gt;"",HLOOKUP(Model_Input2!$C12,Trend!$B$1:$K$122,BW$1,0),""),"NA")</f>
        <v>0.62205305289593471</v>
      </c>
      <c r="BX12" s="256">
        <f>IFERROR(IF($C12&lt;&gt;"",HLOOKUP(Model_Input2!$C12,Trend!$B$1:$K$122,BX$1,0),""),"NA")</f>
        <v>0.59970177366190547</v>
      </c>
      <c r="BY12" s="256">
        <f>IFERROR(IF($C12&lt;&gt;"",HLOOKUP(Model_Input2!$C12,Trend!$B$1:$K$122,BY$1,0),""),"NA")</f>
        <v>0</v>
      </c>
      <c r="BZ12" s="256">
        <f>IFERROR(IF($C12&lt;&gt;"",HLOOKUP(Model_Input2!$C12,Trend!$B$1:$K$122,BZ$1,0),""),"NA")</f>
        <v>0.37352064040182076</v>
      </c>
      <c r="CA12" s="256">
        <f>IFERROR(IF($C12&lt;&gt;"",HLOOKUP(Model_Input2!$C12,Trend!$B$1:$K$122,CA$1,0),""),"NA")</f>
        <v>2.6777585936273739E-2</v>
      </c>
      <c r="CB12" s="256">
        <f>IFERROR(IF($C12&lt;&gt;"",HLOOKUP(Model_Input2!$C12,Trend!$B$1:$K$122,CB$1,0),""),"NA")</f>
        <v>4.30471095859302E-2</v>
      </c>
      <c r="CC12" s="256">
        <f>IFERROR(IF($C12&lt;&gt;"",HLOOKUP(Model_Input2!$C12,Trend!$B$1:$K$122,CC$1,0),""),"NA")</f>
        <v>4.4651503651163396E-2</v>
      </c>
      <c r="CD12" s="38">
        <f>IFERROR(IF($C12&lt;&gt;"",HLOOKUP(Model_Input2!$C12,Trend!$B$1:$K$122,CD$1,0),""),"NA")</f>
        <v>0</v>
      </c>
      <c r="CE12" s="38">
        <f>IFERROR(IF($C12&lt;&gt;"",HLOOKUP(Model_Input2!$C12,Trend!$B$1:$K$122,CE$1,0),""),"NA")</f>
        <v>1.7120696362575376</v>
      </c>
      <c r="CF12" s="38">
        <f>IFERROR(IF($C12&lt;&gt;"",HLOOKUP(Model_Input2!$C12,Trend!$B$1:$K$122,CF$1,0),""),"NA")</f>
        <v>2.9974807910316161</v>
      </c>
      <c r="CG12" s="38">
        <f>IFERROR(IF($C12&lt;&gt;"",HLOOKUP(Model_Input2!$C12,Trend!$B$1:$K$122,CG$1,0),""),"NA")</f>
        <v>2.9748561042108452</v>
      </c>
      <c r="CH12" s="38">
        <f>IFERROR(IF($C12&lt;&gt;"",HLOOKUP(Model_Input2!$C12,Trend!$B$1:$K$122,CH$1,0),""),"NA")</f>
        <v>3.0981326590157559</v>
      </c>
      <c r="CI12" s="38">
        <f>IFERROR(IF($C12&lt;&gt;"",HLOOKUP(Model_Input2!$C12,Trend!$B$1:$K$122,CI$1,0),""),"NA")</f>
        <v>1.5519586849729183</v>
      </c>
      <c r="CJ12" s="38">
        <f>IFERROR(IF($C12&lt;&gt;"",HLOOKUP(Model_Input2!$C12,Trend!$B$1:$K$122,CJ$1,0),""),"NA")</f>
        <v>1.2646429021287315</v>
      </c>
      <c r="CK12" s="256">
        <f>IFERROR(IF($C12&lt;&gt;"",HLOOKUP(Model_Input2!$C12,Trend!$B$1:$K$122,CK$1,0),""),"NA")</f>
        <v>1.1110929559974511E-3</v>
      </c>
      <c r="CL12" s="256">
        <f>IFERROR(IF($C12&lt;&gt;"",HLOOKUP(Model_Input2!$C12,Trend!$B$1:$K$122,CL$1,0),""),"NA")</f>
        <v>1.6189962223421477E-3</v>
      </c>
      <c r="CM12" s="256">
        <f>IFERROR(IF($C12&lt;&gt;"",HLOOKUP(Model_Input2!$C12,Trend!$B$1:$K$122,CM$1,0),""),"NA")</f>
        <v>7.1797455598941922E-3</v>
      </c>
      <c r="CN12" s="256">
        <f>IFERROR(IF($C12&lt;&gt;"",HLOOKUP(Model_Input2!$C12,Trend!$B$1:$K$122,CN$1,0),""),"NA")</f>
        <v>0.22549492998551426</v>
      </c>
      <c r="CO12" s="256">
        <f>IFERROR(IF($C12&lt;&gt;"",HLOOKUP(Model_Input2!$C12,Trend!$B$1:$K$122,CO$1,0),""),"NA")</f>
        <v>9.3826340630410551E-2</v>
      </c>
      <c r="CP12" s="256">
        <f>IFERROR(IF($C12&lt;&gt;"",HLOOKUP(Model_Input2!$C12,Trend!$B$1:$K$122,CP$1,0),""),"NA")</f>
        <v>0.10354123589918078</v>
      </c>
      <c r="CQ12" s="256">
        <f>IFERROR(IF($C12&lt;&gt;"",HLOOKUP(Model_Input2!$C12,Trend!$B$1:$K$122,CQ$1,0),""),"NA")</f>
        <v>1.8969184975065462E-3</v>
      </c>
      <c r="CR12" s="256">
        <f>IFERROR(IF($C12&lt;&gt;"",HLOOKUP(Model_Input2!$C12,Trend!$B$1:$K$122,CR$1,0),""),"NA")</f>
        <v>0</v>
      </c>
      <c r="CS12" s="256">
        <f>IFERROR(IF($C12&lt;&gt;"",HLOOKUP(Model_Input2!$C12,Trend!$B$1:$K$122,CS$1,0),""),"NA")</f>
        <v>0.20678863431872413</v>
      </c>
      <c r="CT12" s="38">
        <f>IFERROR(IF($C12&lt;&gt;"",HLOOKUP(Model_Input2!$C12,Trend!$B$1:$K$122,CT$1,0),""),"NA")</f>
        <v>18.681458395816762</v>
      </c>
      <c r="CU12" s="38">
        <f>IFERROR(IF($C12&lt;&gt;"",HLOOKUP(Model_Input2!$C12,Trend!$B$1:$K$122,CU$1,0),""),"NA")</f>
        <v>19.538089171974523</v>
      </c>
      <c r="CV12" s="38">
        <f>IFERROR(IF($C12&lt;&gt;"",HLOOKUP(Model_Input2!$C12,Trend!$B$1:$K$122,CV$1,0),""),"NA")</f>
        <v>54.621252624303992</v>
      </c>
      <c r="CW12" s="38">
        <f>IFERROR(IF($C12&lt;&gt;"",HLOOKUP(Model_Input2!$C12,Trend!$B$1:$K$122,CW$1,0),""),"NA")</f>
        <v>6.682380620425235</v>
      </c>
      <c r="CX12" s="256">
        <f>IFERROR(IF($C12&lt;&gt;"",HLOOKUP(Model_Input2!$C12,Trend!$B$1:$K$122,CX$1,0),""),"NA")</f>
        <v>0.15758907549835191</v>
      </c>
      <c r="CY12" s="256">
        <f>IFERROR(IF($C12&lt;&gt;"",HLOOKUP(Model_Input2!$C12,Trend!$B$1:$K$122,CY$1,0),""),"NA")</f>
        <v>0</v>
      </c>
      <c r="CZ12" s="38">
        <f>IFERROR(IF($C12&lt;&gt;"",HLOOKUP(Model_Input2!$C12,Trend!$B$1:$K$122,CZ$1,0),""),"NA")</f>
        <v>0.15412023230262126</v>
      </c>
      <c r="DA12" s="38">
        <f>IFERROR(IF($C12&lt;&gt;"",HLOOKUP(Model_Input2!$C12,Trend!$B$1:$K$122,DA$1,0),""),"NA")</f>
        <v>0.15721593774767634</v>
      </c>
      <c r="DB12" s="256">
        <f>IFERROR(IF($C12&lt;&gt;"",HLOOKUP(Model_Input2!$C12,Trend!$B$1:$K$122,DB$1,0),""),"NA")</f>
        <v>0.2460100719063964</v>
      </c>
      <c r="DC12" s="256">
        <f>IFERROR(IF($C12&lt;&gt;"",HLOOKUP(Model_Input2!$C12,Trend!$B$1:$K$122,DC$1,0),""),"NA")</f>
        <v>0.24070011153737728</v>
      </c>
      <c r="DD12" s="256">
        <f>IFERROR(IF($C12&lt;&gt;"",HLOOKUP(Model_Input2!$C12,Trend!$B$1:$K$122,DD$1,0),""),"NA")</f>
        <v>0</v>
      </c>
      <c r="DE12" s="256">
        <f>IFERROR(IF($C12&lt;&gt;"",HLOOKUP(Model_Input2!$C12,Trend!$B$1:$K$122,DE$1,0),""),"NA")</f>
        <v>0</v>
      </c>
      <c r="DF12" s="256">
        <f>IFERROR(IF($C12&lt;&gt;"",HLOOKUP(Model_Input2!$C12,Trend!$B$1:$K$122,DF$1,0),""),"NA")</f>
        <v>0</v>
      </c>
      <c r="DG12" s="256">
        <f>IFERROR(IF($C12&lt;&gt;"",HLOOKUP(Model_Input2!$C12,Trend!$B$1:$K$122,DG$1,0),""),"NA")</f>
        <v>0</v>
      </c>
      <c r="DH12" s="256">
        <f>IFERROR(IF($C12&lt;&gt;"",HLOOKUP(Model_Input2!$C12,Trend!$B$1:$K$122,DH$1,0),""),"NA")</f>
        <v>0</v>
      </c>
      <c r="DI12" s="256">
        <f>IFERROR(IF($C12&lt;&gt;"",HLOOKUP(Model_Input2!$C12,Trend!$B$1:$K$122,DI$1,0),""),"NA")</f>
        <v>0</v>
      </c>
      <c r="DJ12" s="38">
        <f>IFERROR(IF($C12&lt;&gt;"",HLOOKUP(Model_Input2!$C12,Trend!$B$1:$K$122,DJ$1,0),""),"NA")</f>
        <v>0</v>
      </c>
      <c r="DK12" s="38">
        <f>IFERROR(IF($C12&lt;&gt;"",HLOOKUP(Model_Input2!$C12,Trend!$B$1:$K$122,DK$1,0),""),"NA")</f>
        <v>0</v>
      </c>
      <c r="DL12" s="256">
        <f>IFERROR(IF($C12&lt;&gt;"",HLOOKUP(Model_Input2!$C12,Trend!$B$1:$K$122,DL$1,0),""),"NA")</f>
        <v>0</v>
      </c>
      <c r="DM12" s="256">
        <f>IFERROR(IF($C12&lt;&gt;"",HLOOKUP(Model_Input2!$C12,Trend!$B$1:$K$122,DM$1,0),""),"NA")</f>
        <v>0</v>
      </c>
      <c r="DN12" s="256">
        <f>IFERROR(IF($C12&lt;&gt;"",HLOOKUP(Model_Input2!$C12,Trend!$B$1:$K$122,DN$1,0),""),"NA")</f>
        <v>0</v>
      </c>
      <c r="DO12" s="256">
        <f>IFERROR(IF($C12&lt;&gt;"",HLOOKUP(Model_Input2!$C12,Trend!$B$1:$K$122,DO$1,0),""),"NA")</f>
        <v>0</v>
      </c>
      <c r="DP12" s="256">
        <f>IFERROR(IF($C12&lt;&gt;"",HLOOKUP(Model_Input2!$C12,Trend!$B$1:$K$122,DP$1,0),""),"NA")</f>
        <v>0</v>
      </c>
      <c r="DQ12" s="256">
        <f>IFERROR(IF($C12&lt;&gt;"",HLOOKUP(Model_Input2!$C12,Trend!$B$1:$K$122,DQ$1,0),""),"NA")</f>
        <v>0</v>
      </c>
      <c r="DR12" s="256">
        <f>IFERROR(IF($C12&lt;&gt;"",HLOOKUP(Model_Input2!$C12,Trend!$B$1:$K$122,DR$1,0),""),"NA")</f>
        <v>0</v>
      </c>
      <c r="DS12" s="256">
        <f>IFERROR(IF($C12&lt;&gt;"",HLOOKUP(Model_Input2!$C12,Trend!$B$1:$K$122,DS$1,0),""),"NA")</f>
        <v>0</v>
      </c>
      <c r="DT12" s="256">
        <f>IFERROR(IF($C12&lt;&gt;"",HLOOKUP(Model_Input2!$C12,Trend!$B$1:$K$122,DT$1,0),""),"NA")</f>
        <v>6.9314079422382657E-2</v>
      </c>
      <c r="DU12" s="256">
        <f>IFERROR(IF($C12&lt;&gt;"",HLOOKUP(Model_Input2!$C12,Trend!$B$1:$K$122,DU$1,0),""),"NA")</f>
        <v>1.2036885889185371</v>
      </c>
      <c r="DV12" s="256">
        <f>IFERROR(IF($C12&lt;&gt;"",HLOOKUP(Model_Input2!$C12,Trend!$B$1:$K$122,DV$1,0),""),"NA")</f>
        <v>2.0071452875127593</v>
      </c>
      <c r="DW12" s="256">
        <f>IFERROR(IF($C12&lt;&gt;"",HLOOKUP(Model_Input2!$C12,Trend!$B$1:$K$122,DW$1,0),""),"NA")</f>
        <v>2.2735507246376816</v>
      </c>
      <c r="DX12" s="256">
        <f>IFERROR(IF($C12&lt;&gt;"",HLOOKUP(Model_Input2!$C12,Trend!$B$1:$K$122,DX$1,0),""),"NA")</f>
        <v>0.13092179900113449</v>
      </c>
      <c r="DY12" s="256">
        <f>IFERROR(IF($C12&lt;&gt;"",HLOOKUP(Model_Input2!$C12,Trend!$B$1:$K$122,DY$1,0),""),"NA")</f>
        <v>0.49705615942028958</v>
      </c>
    </row>
    <row r="13" spans="1:129" x14ac:dyDescent="0.25">
      <c r="A13" t="str">
        <f t="shared" si="2"/>
        <v>NITIN SPINNERS LTD3132017</v>
      </c>
      <c r="B13" t="str">
        <f>IF(C13&lt;&gt;"",'Data Sheet'!$B$1,"")</f>
        <v>NITIN SPINNERS LTD</v>
      </c>
      <c r="C13" s="255">
        <f>'Data Sheet'!K16</f>
        <v>42825</v>
      </c>
      <c r="D13" s="9">
        <f>IF($C13&lt;&gt;"",HLOOKUP(Model_Input2!$C13,'Data Sheet'!$B$16:$K$31,D$1,0),"")</f>
        <v>933.38</v>
      </c>
      <c r="E13" s="9">
        <f>IFERROR(IF($C13&lt;&gt;"",HLOOKUP(Model_Input2!$C13,'Data Sheet'!$B$16:$K$31,E$1,0),""),"NA")</f>
        <v>617.14</v>
      </c>
      <c r="F13" s="9">
        <f>IFERROR(IF($C13&lt;&gt;"",HLOOKUP(Model_Input2!$C13,'Data Sheet'!$B$16:$K$31,F$1,0),""),"NA")</f>
        <v>28.12</v>
      </c>
      <c r="G13" s="9">
        <f>IFERROR(IF($C13&lt;&gt;"",HLOOKUP(Model_Input2!$C13,'Data Sheet'!$B$16:$K$31,G$1,0),""),"NA")</f>
        <v>92.11</v>
      </c>
      <c r="H13" s="9">
        <f>IFERROR(IF($C13&lt;&gt;"",HLOOKUP(Model_Input2!$C13,'Data Sheet'!$B$16:$K$31,H$1,0),""),"NA")</f>
        <v>34.229999999999997</v>
      </c>
      <c r="I13" s="9">
        <f>IFERROR(IF($C13&lt;&gt;"",HLOOKUP(Model_Input2!$C13,'Data Sheet'!$B$16:$K$31,I$1,0),""),"NA")</f>
        <v>52.16</v>
      </c>
      <c r="J13" s="9">
        <f>IFERROR(IF($C13&lt;&gt;"",HLOOKUP(Model_Input2!$C13,'Data Sheet'!$B$16:$K$31,J$1,0),""),"NA")</f>
        <v>32.67</v>
      </c>
      <c r="K13" s="9">
        <f>IFERROR(IF($C13&lt;&gt;"",HLOOKUP(Model_Input2!$C13,'Data Sheet'!$B$16:$K$31,K$1,0),""),"NA")</f>
        <v>7.0000000000000007E-2</v>
      </c>
      <c r="L13" s="9">
        <f>IFERROR(IF($C13&lt;&gt;"",HLOOKUP(Model_Input2!$C13,'Data Sheet'!$B$16:$K$31,L$1,0),""),"NA")</f>
        <v>0.79</v>
      </c>
      <c r="M13" s="9">
        <f>IFERROR(IF($C13&lt;&gt;"",HLOOKUP(Model_Input2!$C13,'Data Sheet'!$B$16:$K$31,M$1,0),""),"NA")</f>
        <v>41.65</v>
      </c>
      <c r="N13" s="9">
        <f>IFERROR(IF($C13&lt;&gt;"",HLOOKUP(Model_Input2!$C13,'Data Sheet'!$B$16:$K$31,N$1,0),""),"NA")</f>
        <v>22.24</v>
      </c>
      <c r="O13" s="9">
        <f>IFERROR(IF($C13&lt;&gt;"",HLOOKUP(Model_Input2!$C13,'Data Sheet'!$B$16:$K$31,O$1,0),""),"NA")</f>
        <v>70.02</v>
      </c>
      <c r="P13" s="9">
        <f>IFERROR(IF($C13&lt;&gt;"",HLOOKUP(Model_Input2!$C13,'Data Sheet'!$B$16:$K$31,P$1,0),""),"NA")</f>
        <v>12.87</v>
      </c>
      <c r="Q13" s="9">
        <f>IFERROR(IF($C13&lt;&gt;"",HLOOKUP(Model_Input2!$C13,'Data Sheet'!$B$16:$K$31,Q$1,0),""),"NA")</f>
        <v>57.15</v>
      </c>
      <c r="R13" s="9">
        <f>IFERROR(IF($C13&lt;&gt;"",HLOOKUP(Model_Input2!$C13,'Data Sheet'!$B$16:$K$31,R$1,0),""),"NA")</f>
        <v>5.5</v>
      </c>
      <c r="S13">
        <f>IFERROR(IF($C13&lt;&gt;"",HLOOKUP(Model_Input2!$C13,'Data Sheet'!$B$56:$K$72,S$1,0),""),"NA")</f>
        <v>45.83</v>
      </c>
      <c r="T13">
        <f>IFERROR(IF($C13&lt;&gt;"",HLOOKUP(Model_Input2!$C13,'Data Sheet'!$B$56:$K$72,T$1,0),""),"NA")</f>
        <v>210.34</v>
      </c>
      <c r="U13">
        <f>IFERROR(IF($C13&lt;&gt;"",HLOOKUP(Model_Input2!$C13,'Data Sheet'!$B$56:$K$72,U$1,0),""),"NA")</f>
        <v>563.49</v>
      </c>
      <c r="V13">
        <f>IFERROR(IF($C13&lt;&gt;"",HLOOKUP(Model_Input2!$C13,'Data Sheet'!$B$56:$K$72,V$1,0),""),"NA")</f>
        <v>106.68</v>
      </c>
      <c r="W13">
        <f>IFERROR(IF($C13&lt;&gt;"",HLOOKUP(Model_Input2!$C13,'Data Sheet'!$B$56:$K$72,W$1,0),""),"NA")</f>
        <v>926.34</v>
      </c>
      <c r="X13">
        <f>IFERROR(IF($C13&lt;&gt;"",HLOOKUP(Model_Input2!$C13,'Data Sheet'!$B$56:$K$72,X$1,0),""),"NA")</f>
        <v>614.29</v>
      </c>
      <c r="Y13">
        <f>IFERROR(IF($C13&lt;&gt;"",HLOOKUP(Model_Input2!$C13,'Data Sheet'!$B$56:$K$72,Y$1,0),""),"NA")</f>
        <v>0</v>
      </c>
      <c r="Z13">
        <f>IFERROR(IF($C13&lt;&gt;"",HLOOKUP(Model_Input2!$C13,'Data Sheet'!$B$56:$K$72,Z$1,0),""),"NA")</f>
        <v>0</v>
      </c>
      <c r="AA13">
        <f>IFERROR(IF($C13&lt;&gt;"",HLOOKUP(Model_Input2!$C13,'Data Sheet'!$B$56:$K$72,AA$1,0),""),"NA")</f>
        <v>312.05</v>
      </c>
      <c r="AB13">
        <f>IFERROR(IF($C13&lt;&gt;"",HLOOKUP(Model_Input2!$C13,'Data Sheet'!$B$56:$K$72,AB$1,0),""),"NA")</f>
        <v>926.34</v>
      </c>
      <c r="AC13">
        <f>IFERROR(IF($C13&lt;&gt;"",HLOOKUP(Model_Input2!$C13,'Data Sheet'!$B$56:$K$72,AC$1,0),""),"NA")</f>
        <v>48.33</v>
      </c>
      <c r="AD13">
        <f>IFERROR(IF($C13&lt;&gt;"",HLOOKUP(Model_Input2!$C13,'Data Sheet'!$B$56:$K$72,AD$1,0),""),"NA")</f>
        <v>170.04</v>
      </c>
      <c r="AE13">
        <f>IFERROR(IF($C13&lt;&gt;"",HLOOKUP(Model_Input2!$C13,'Data Sheet'!$B$56:$K$72,AE$1,0),""),"NA")</f>
        <v>1.27</v>
      </c>
      <c r="AF13">
        <f>IFERROR(IF($C13&lt;&gt;"",HLOOKUP(Model_Input2!$C13,'Data Sheet'!$B$56:$K$72,AF$1,0),""),"NA")</f>
        <v>45833945</v>
      </c>
      <c r="AG13">
        <f>IFERROR(IF($C13&lt;&gt;"",HLOOKUP(Model_Input2!$C13,'Data Sheet'!$B$56:$K$72,AG$1,0),""),"NA")</f>
        <v>0</v>
      </c>
      <c r="AH13">
        <f>IFERROR(IF($C13&lt;&gt;"",HLOOKUP(Model_Input2!$C13,'Data Sheet'!$B$56:$K$72,AH$1,0),""),"NA")</f>
        <v>10</v>
      </c>
      <c r="AI13">
        <f>IFERROR(IF($C13&lt;&gt;"",HLOOKUP(Model_Input2!$C13,'Data Sheet'!$B$81:$K$85,AI$1,0),""),"NA")</f>
        <v>59.16</v>
      </c>
      <c r="AJ13">
        <f>IFERROR(IF($C13&lt;&gt;"",HLOOKUP(Model_Input2!$C13,'Data Sheet'!$B$81:$K$85,AJ$1,0),""),"NA")</f>
        <v>-242.12</v>
      </c>
      <c r="AK13">
        <f>IFERROR(IF($C13&lt;&gt;"",HLOOKUP(Model_Input2!$C13,'Data Sheet'!$B$81:$K$85,AK$1,0),""),"NA")</f>
        <v>183.66</v>
      </c>
      <c r="AL13">
        <f>IFERROR(IF($C13&lt;&gt;"",HLOOKUP(Model_Input2!$C13,'Data Sheet'!$B$81:$K$85,AL$1,0),""),"NA")</f>
        <v>0.7</v>
      </c>
      <c r="AM13" s="38">
        <f>IFERROR(IF($C13&lt;&gt;"",HLOOKUP(Model_Input2!$C13,Trend!$B$1:$K$3,AM$1,0),""),"NA")</f>
        <v>130.18</v>
      </c>
      <c r="AN13" s="38">
        <f>IFERROR(IF($C13&lt;&gt;"",HLOOKUP(Model_Input2!$C13,Trend!$B$1:$K$3,AN$1,0),""),"NA")</f>
        <v>4.5833944999999998</v>
      </c>
      <c r="AO13" s="38">
        <f>IFERROR(IF($C13&lt;&gt;"",HLOOKUP(Model_Input2!$C13,Trend!$B$1:$K$122,AO$1,0),""),"NA")</f>
        <v>819.66000000000008</v>
      </c>
      <c r="AP13" s="38">
        <f>IFERROR(IF($C13&lt;&gt;"",HLOOKUP(Model_Input2!$C13,Trend!$B$1:$K$122,AP$1,0),""),"NA")</f>
        <v>57.15</v>
      </c>
      <c r="AQ13" s="38">
        <f>IFERROR(IF($C13&lt;&gt;"",HLOOKUP(Model_Input2!$C13,Trend!$B$1:$K$122,AQ$1,0),""),"NA")</f>
        <v>59.16</v>
      </c>
      <c r="AR13" s="38">
        <f>IFERROR(IF($C13&lt;&gt;"",HLOOKUP(Model_Input2!$C13,Trend!$B$1:$K$122,AR$1,0),""),"NA")</f>
        <v>256.80999999999995</v>
      </c>
      <c r="AS13" s="38">
        <f>IFERROR(IF($C13&lt;&gt;"",HLOOKUP(Model_Input2!$C13,Trend!$B$1:$K$122,AS$1,0),""),"NA")</f>
        <v>5.5</v>
      </c>
      <c r="AT13" s="38">
        <f>IFERROR(IF($C13&lt;&gt;"",HLOOKUP(Model_Input2!$C13,Trend!$B$1:$K$122,AT$1,0),""),"NA")</f>
        <v>-197.64999999999995</v>
      </c>
      <c r="AU13" s="38">
        <f>IFERROR(IF($C13&lt;&gt;"",HLOOKUP(Model_Input2!$C13,Trend!$B$1:$K$122,AU$1,0),""),"NA")</f>
        <v>1158.88629601</v>
      </c>
      <c r="AV13" s="256">
        <f>IFERROR(IF($C13&lt;&gt;"",HLOOKUP(Model_Input2!$C13,Trend!$B$1:$K$122,AV$1,0),""),"NA")</f>
        <v>0.21712937003664246</v>
      </c>
      <c r="AW13" s="256">
        <f>IFERROR(IF($C13&lt;&gt;"",HLOOKUP(Model_Input2!$C13,Trend!$B$1:$K$122,AW$1,0),""),"NA")</f>
        <v>0.29415760869565222</v>
      </c>
      <c r="AX13" s="256">
        <f>IFERROR(IF($C13&lt;&gt;"",HLOOKUP(Model_Input2!$C13,Trend!$B$1:$K$122,AX$1,0),""),"NA")</f>
        <v>5.1779553879448881E-2</v>
      </c>
      <c r="AY13" s="256">
        <f>IFERROR(IF($C13&lt;&gt;"",HLOOKUP(Model_Input2!$C13,Trend!$B$1:$K$122,AY$1,0),""),"NA")</f>
        <v>0.18217660545544151</v>
      </c>
      <c r="AZ13" s="256">
        <f>IFERROR(IF($C13&lt;&gt;"",HLOOKUP(Model_Input2!$C13,Trend!$B$1:$K$122,AZ$1,0),""),"NA")</f>
        <v>6.1229081403072705E-2</v>
      </c>
      <c r="BA13" s="256">
        <f>IFERROR(IF($C13&lt;&gt;"",HLOOKUP(Model_Input2!$C13,Trend!$B$1:$K$122,BA$1,0),""),"NA")</f>
        <v>0.18380462724935734</v>
      </c>
      <c r="BB13" s="38">
        <f>IFERROR(IF($C13&lt;&gt;"",HLOOKUP(Model_Input2!$C13,Trend!$B$1:$K$122,BB$1,0),""),"NA")</f>
        <v>2.009999999999998</v>
      </c>
      <c r="BC13" s="256">
        <f>IFERROR(IF($C13&lt;&gt;"",HLOOKUP(Model_Input2!$C13,Trend!$B$1:$K$122,BC$1,0),""),"NA")</f>
        <v>0.66118836915297086</v>
      </c>
      <c r="BD13" s="256">
        <f>IFERROR(IF($C13&lt;&gt;"",HLOOKUP(Model_Input2!$C13,Trend!$B$1:$K$122,BD$1,0),""),"NA")</f>
        <v>3.0127065075317663E-2</v>
      </c>
      <c r="BE13" s="256">
        <f>IFERROR(IF($C13&lt;&gt;"",HLOOKUP(Model_Input2!$C13,Trend!$B$1:$K$122,BE$1,0),""),"NA")</f>
        <v>9.8684351496710884E-2</v>
      </c>
      <c r="BF13" s="256">
        <f>IFERROR(IF($C13&lt;&gt;"",HLOOKUP(Model_Input2!$C13,Trend!$B$1:$K$122,BF$1,0),""),"NA")</f>
        <v>3.6673166341682911E-2</v>
      </c>
      <c r="BG13" s="256">
        <f>IFERROR(IF($C13&lt;&gt;"",HLOOKUP(Model_Input2!$C13,Trend!$B$1:$K$122,BG$1,0),""),"NA")</f>
        <v>5.5882920139707297E-2</v>
      </c>
      <c r="BH13" s="256">
        <f>IFERROR(IF($C13&lt;&gt;"",HLOOKUP(Model_Input2!$C13,Trend!$B$1:$K$122,BH$1,0),""),"NA")</f>
        <v>3.5001821337504554E-2</v>
      </c>
      <c r="BI13" s="256">
        <f>IFERROR(IF($C13&lt;&gt;"",HLOOKUP(Model_Input2!$C13,Trend!$B$1:$K$122,BI$1,0),""),"NA")</f>
        <v>7.4996250187490637E-5</v>
      </c>
      <c r="BJ13" s="256">
        <f>IFERROR(IF($C13&lt;&gt;"",HLOOKUP(Model_Input2!$C13,Trend!$B$1:$K$122,BJ$1,0),""),"NA")</f>
        <v>8.4638625211596566E-4</v>
      </c>
      <c r="BK13" s="256">
        <f>IFERROR(IF($C13&lt;&gt;"",HLOOKUP(Model_Input2!$C13,Trend!$B$1:$K$122,BK$1,0),""),"NA")</f>
        <v>4.4622768861556923E-2</v>
      </c>
      <c r="BL13" s="256">
        <f>IFERROR(IF($C13&lt;&gt;"",HLOOKUP(Model_Input2!$C13,Trend!$B$1:$K$122,BL$1,0),""),"NA")</f>
        <v>0.33881163084702914</v>
      </c>
      <c r="BM13" s="256">
        <f>IFERROR(IF($C13&lt;&gt;"",HLOOKUP(Model_Input2!$C13,Trend!$B$1:$K$122,BM$1,0),""),"NA")</f>
        <v>9.8845057747112636E-2</v>
      </c>
      <c r="BN13" s="256">
        <f>IFERROR(IF($C13&lt;&gt;"",HLOOKUP(Model_Input2!$C13,Trend!$B$1:$K$122,BN$1,0),""),"NA")</f>
        <v>6.1229081403072705E-2</v>
      </c>
      <c r="BO13" s="256">
        <f>IFERROR(IF($C13&lt;&gt;"",HLOOKUP(Model_Input2!$C13,Trend!$B$1:$K$122,BO$1,0),""),"NA")</f>
        <v>0.18380462724935734</v>
      </c>
      <c r="BP13" s="256">
        <f>IFERROR(IF($C13&lt;&gt;"",HLOOKUP(Model_Input2!$C13,Trend!$B$1:$K$122,BP$1,0),""),"NA")</f>
        <v>0.67851976596066232</v>
      </c>
      <c r="BQ13" s="256">
        <f>IFERROR(IF($C13&lt;&gt;"",HLOOKUP(Model_Input2!$C13,Trend!$B$1:$K$122,BQ$1,0),""),"NA")</f>
        <v>0.66313664529222527</v>
      </c>
      <c r="BR13" s="256">
        <f>IFERROR(IF($C13&lt;&gt;"",HLOOKUP(Model_Input2!$C13,Trend!$B$1:$K$122,BR$1,0),""),"NA")</f>
        <v>0.67340204418350502</v>
      </c>
      <c r="BS13" s="256">
        <f>IFERROR(IF($C13&lt;&gt;"",HLOOKUP(Model_Input2!$C13,Trend!$B$1:$K$122,BS$1,0),""),"NA")</f>
        <v>0.65813495039533731</v>
      </c>
      <c r="BT13" s="256">
        <f>IFERROR(IF($C13&lt;&gt;"",HLOOKUP(Model_Input2!$C13,Trend!$B$1:$K$122,BT$1,0),""),"NA")</f>
        <v>0.27723082237623325</v>
      </c>
      <c r="BU13" s="256">
        <f>IFERROR(IF($C13&lt;&gt;"",HLOOKUP(Model_Input2!$C13,Trend!$B$1:$K$122,BU$1,0),""),"NA")</f>
        <v>0.40858179272599987</v>
      </c>
      <c r="BV13" s="256">
        <f>IFERROR(IF($C13&lt;&gt;"",HLOOKUP(Model_Input2!$C13,Trend!$B$1:$K$122,BV$1,0),""),"NA")</f>
        <v>0.41805987400087902</v>
      </c>
      <c r="BW13" s="256">
        <f>IFERROR(IF($C13&lt;&gt;"",HLOOKUP(Model_Input2!$C13,Trend!$B$1:$K$122,BW$1,0),""),"NA")</f>
        <v>0.67851976596066232</v>
      </c>
      <c r="BX13" s="256">
        <f>IFERROR(IF($C13&lt;&gt;"",HLOOKUP(Model_Input2!$C13,Trend!$B$1:$K$122,BX$1,0),""),"NA")</f>
        <v>0.66313664529222527</v>
      </c>
      <c r="BY13" s="256">
        <f>IFERROR(IF($C13&lt;&gt;"",HLOOKUP(Model_Input2!$C13,Trend!$B$1:$K$122,BY$1,0),""),"NA")</f>
        <v>0</v>
      </c>
      <c r="BZ13" s="256">
        <f>IFERROR(IF($C13&lt;&gt;"",HLOOKUP(Model_Input2!$C13,Trend!$B$1:$K$122,BZ$1,0),""),"NA")</f>
        <v>0.33686335470777468</v>
      </c>
      <c r="CA13" s="256">
        <f>IFERROR(IF($C13&lt;&gt;"",HLOOKUP(Model_Input2!$C13,Trend!$B$1:$K$122,CA$1,0),""),"NA")</f>
        <v>0</v>
      </c>
      <c r="CB13" s="256">
        <f>IFERROR(IF($C13&lt;&gt;"",HLOOKUP(Model_Input2!$C13,Trend!$B$1:$K$122,CB$1,0),""),"NA")</f>
        <v>0</v>
      </c>
      <c r="CC13" s="256">
        <f>IFERROR(IF($C13&lt;&gt;"",HLOOKUP(Model_Input2!$C13,Trend!$B$1:$K$122,CC$1,0),""),"NA")</f>
        <v>0</v>
      </c>
      <c r="CD13" s="38">
        <f>IFERROR(IF($C13&lt;&gt;"",HLOOKUP(Model_Input2!$C13,Trend!$B$1:$K$122,CD$1,0),""),"NA")</f>
        <v>0</v>
      </c>
      <c r="CE13" s="38">
        <f>IFERROR(IF($C13&lt;&gt;"",HLOOKUP(Model_Input2!$C13,Trend!$B$1:$K$122,CE$1,0),""),"NA")</f>
        <v>2.1996720927509075</v>
      </c>
      <c r="CF13" s="38">
        <f>IFERROR(IF($C13&lt;&gt;"",HLOOKUP(Model_Input2!$C13,Trend!$B$1:$K$122,CF$1,0),""),"NA")</f>
        <v>2.9251031121109858</v>
      </c>
      <c r="CG13" s="38">
        <f>IFERROR(IF($C13&lt;&gt;"",HLOOKUP(Model_Input2!$C13,Trend!$B$1:$K$122,CG$1,0),""),"NA")</f>
        <v>4.1483812949640289</v>
      </c>
      <c r="CH13" s="38">
        <f>IFERROR(IF($C13&lt;&gt;"",HLOOKUP(Model_Input2!$C13,Trend!$B$1:$K$122,CH$1,0),""),"NA")</f>
        <v>3.6161142990982551</v>
      </c>
      <c r="CI13" s="38">
        <f>IFERROR(IF($C13&lt;&gt;"",HLOOKUP(Model_Input2!$C13,Trend!$B$1:$K$122,CI$1,0),""),"NA")</f>
        <v>1.3311773528308963</v>
      </c>
      <c r="CJ13" s="38">
        <f>IFERROR(IF($C13&lt;&gt;"",HLOOKUP(Model_Input2!$C13,Trend!$B$1:$K$122,CJ$1,0),""),"NA")</f>
        <v>0.55455568053993243</v>
      </c>
      <c r="CK13" s="256">
        <f>IFERROR(IF($C13&lt;&gt;"",HLOOKUP(Model_Input2!$C13,Trend!$B$1:$K$122,CK$1,0),""),"NA")</f>
        <v>8.9467901428347187E-4</v>
      </c>
      <c r="CL13" s="256">
        <f>IFERROR(IF($C13&lt;&gt;"",HLOOKUP(Model_Input2!$C13,Trend!$B$1:$K$122,CL$1,0),""),"NA")</f>
        <v>2.2538110702940602E-3</v>
      </c>
      <c r="CM13" s="256">
        <f>IFERROR(IF($C13&lt;&gt;"",HLOOKUP(Model_Input2!$C13,Trend!$B$1:$K$122,CM$1,0),""),"NA")</f>
        <v>1.1904761904761904E-2</v>
      </c>
      <c r="CN13" s="256">
        <f>IFERROR(IF($C13&lt;&gt;"",HLOOKUP(Model_Input2!$C13,Trend!$B$1:$K$122,CN$1,0),""),"NA")</f>
        <v>0.18932012990470107</v>
      </c>
      <c r="CO13" s="256">
        <f>IFERROR(IF($C13&lt;&gt;"",HLOOKUP(Model_Input2!$C13,Trend!$B$1:$K$122,CO$1,0),""),"NA")</f>
        <v>6.349666127999512E-2</v>
      </c>
      <c r="CP13" s="256">
        <f>IFERROR(IF($C13&lt;&gt;"",HLOOKUP(Model_Input2!$C13,Trend!$B$1:$K$122,CP$1,0),""),"NA")</f>
        <v>6.78018525452148E-2</v>
      </c>
      <c r="CQ13" s="256">
        <f>IFERROR(IF($C13&lt;&gt;"",HLOOKUP(Model_Input2!$C13,Trend!$B$1:$K$122,CQ$1,0),""),"NA")</f>
        <v>2.128492942357708E-3</v>
      </c>
      <c r="CR13" s="256">
        <f>IFERROR(IF($C13&lt;&gt;"",HLOOKUP(Model_Input2!$C13,Trend!$B$1:$K$122,CR$1,0),""),"NA")</f>
        <v>0</v>
      </c>
      <c r="CS13" s="256">
        <f>IFERROR(IF($C13&lt;&gt;"",HLOOKUP(Model_Input2!$C13,Trend!$B$1:$K$122,CS$1,0),""),"NA")</f>
        <v>0.22002828430007071</v>
      </c>
      <c r="CT13" s="38">
        <f>IFERROR(IF($C13&lt;&gt;"",HLOOKUP(Model_Input2!$C13,Trend!$B$1:$K$122,CT$1,0),""),"NA")</f>
        <v>18.89953716599884</v>
      </c>
      <c r="CU13" s="38">
        <f>IFERROR(IF($C13&lt;&gt;"",HLOOKUP(Model_Input2!$C13,Trend!$B$1:$K$122,CU$1,0),""),"NA")</f>
        <v>19.31264225118974</v>
      </c>
      <c r="CV13" s="38">
        <f>IFERROR(IF($C13&lt;&gt;"",HLOOKUP(Model_Input2!$C13,Trend!$B$1:$K$122,CV$1,0),""),"NA")</f>
        <v>66.494460991236153</v>
      </c>
      <c r="CW13" s="38">
        <f>IFERROR(IF($C13&lt;&gt;"",HLOOKUP(Model_Input2!$C13,Trend!$B$1:$K$122,CW$1,0),""),"NA")</f>
        <v>5.4891790167019527</v>
      </c>
      <c r="CX13" s="256">
        <f>IFERROR(IF($C13&lt;&gt;"",HLOOKUP(Model_Input2!$C13,Trend!$B$1:$K$122,CX$1,0),""),"NA")</f>
        <v>6.3864239911911383E-2</v>
      </c>
      <c r="CY13" s="256">
        <f>IFERROR(IF($C13&lt;&gt;"",HLOOKUP(Model_Input2!$C13,Trend!$B$1:$K$122,CY$1,0),""),"NA")</f>
        <v>0</v>
      </c>
      <c r="CZ13" s="38">
        <f>IFERROR(IF($C13&lt;&gt;"",HLOOKUP(Model_Input2!$C13,Trend!$B$1:$K$122,CZ$1,0),""),"NA")</f>
        <v>9.9596260552281032E-2</v>
      </c>
      <c r="DA13" s="38">
        <f>IFERROR(IF($C13&lt;&gt;"",HLOOKUP(Model_Input2!$C13,Trend!$B$1:$K$122,DA$1,0),""),"NA")</f>
        <v>0.11802179808627132</v>
      </c>
      <c r="DB13" s="256">
        <f>IFERROR(IF($C13&lt;&gt;"",HLOOKUP(Model_Input2!$C13,Trend!$B$1:$K$122,DB$1,0),""),"NA")</f>
        <v>0.15018964983965233</v>
      </c>
      <c r="DC13" s="256">
        <f>IFERROR(IF($C13&lt;&gt;"",HLOOKUP(Model_Input2!$C13,Trend!$B$1:$K$122,DC$1,0),""),"NA")</f>
        <v>0.18207653292810488</v>
      </c>
      <c r="DD13" s="256">
        <f>IFERROR(IF($C13&lt;&gt;"",HLOOKUP(Model_Input2!$C13,Trend!$B$1:$K$122,DD$1,0),""),"NA")</f>
        <v>0</v>
      </c>
      <c r="DE13" s="256">
        <f>IFERROR(IF($C13&lt;&gt;"",HLOOKUP(Model_Input2!$C13,Trend!$B$1:$K$122,DE$1,0),""),"NA")</f>
        <v>0</v>
      </c>
      <c r="DF13" s="256">
        <f>IFERROR(IF($C13&lt;&gt;"",HLOOKUP(Model_Input2!$C13,Trend!$B$1:$K$122,DF$1,0),""),"NA")</f>
        <v>0</v>
      </c>
      <c r="DG13" s="256">
        <f>IFERROR(IF($C13&lt;&gt;"",HLOOKUP(Model_Input2!$C13,Trend!$B$1:$K$122,DG$1,0),""),"NA")</f>
        <v>0</v>
      </c>
      <c r="DH13" s="256">
        <f>IFERROR(IF($C13&lt;&gt;"",HLOOKUP(Model_Input2!$C13,Trend!$B$1:$K$122,DH$1,0),""),"NA")</f>
        <v>0</v>
      </c>
      <c r="DI13" s="256">
        <f>IFERROR(IF($C13&lt;&gt;"",HLOOKUP(Model_Input2!$C13,Trend!$B$1:$K$122,DI$1,0),""),"NA")</f>
        <v>0</v>
      </c>
      <c r="DJ13" s="38">
        <f>IFERROR(IF($C13&lt;&gt;"",HLOOKUP(Model_Input2!$C13,Trend!$B$1:$K$122,DJ$1,0),""),"NA")</f>
        <v>0</v>
      </c>
      <c r="DK13" s="38">
        <f>IFERROR(IF($C13&lt;&gt;"",HLOOKUP(Model_Input2!$C13,Trend!$B$1:$K$122,DK$1,0),""),"NA")</f>
        <v>0</v>
      </c>
      <c r="DL13" s="256">
        <f>IFERROR(IF($C13&lt;&gt;"",HLOOKUP(Model_Input2!$C13,Trend!$B$1:$K$122,DL$1,0),""),"NA")</f>
        <v>0</v>
      </c>
      <c r="DM13" s="256">
        <f>IFERROR(IF($C13&lt;&gt;"",HLOOKUP(Model_Input2!$C13,Trend!$B$1:$K$122,DM$1,0),""),"NA")</f>
        <v>0</v>
      </c>
      <c r="DN13" s="256">
        <f>IFERROR(IF($C13&lt;&gt;"",HLOOKUP(Model_Input2!$C13,Trend!$B$1:$K$122,DN$1,0),""),"NA")</f>
        <v>0</v>
      </c>
      <c r="DO13" s="256">
        <f>IFERROR(IF($C13&lt;&gt;"",HLOOKUP(Model_Input2!$C13,Trend!$B$1:$K$122,DO$1,0),""),"NA")</f>
        <v>0</v>
      </c>
      <c r="DP13" s="256">
        <f>IFERROR(IF($C13&lt;&gt;"",HLOOKUP(Model_Input2!$C13,Trend!$B$1:$K$122,DP$1,0),""),"NA")</f>
        <v>0</v>
      </c>
      <c r="DQ13" s="256">
        <f>IFERROR(IF($C13&lt;&gt;"",HLOOKUP(Model_Input2!$C13,Trend!$B$1:$K$122,DQ$1,0),""),"NA")</f>
        <v>0</v>
      </c>
      <c r="DR13" s="256">
        <f>IFERROR(IF($C13&lt;&gt;"",HLOOKUP(Model_Input2!$C13,Trend!$B$1:$K$122,DR$1,0),""),"NA")</f>
        <v>0</v>
      </c>
      <c r="DS13" s="256">
        <f>IFERROR(IF($C13&lt;&gt;"",HLOOKUP(Model_Input2!$C13,Trend!$B$1:$K$122,DS$1,0),""),"NA")</f>
        <v>0</v>
      </c>
      <c r="DT13" s="256">
        <f>IFERROR(IF($C13&lt;&gt;"",HLOOKUP(Model_Input2!$C13,Trend!$B$1:$K$122,DT$1,0),""),"NA")</f>
        <v>6.1694410259731845E-2</v>
      </c>
      <c r="DU13" s="256">
        <f>IFERROR(IF($C13&lt;&gt;"",HLOOKUP(Model_Input2!$C13,Trend!$B$1:$K$122,DU$1,0),""),"NA")</f>
        <v>1.0075998013688279</v>
      </c>
      <c r="DV13" s="256">
        <f>IFERROR(IF($C13&lt;&gt;"",HLOOKUP(Model_Input2!$C13,Trend!$B$1:$K$122,DV$1,0),""),"NA")</f>
        <v>1.5194452131729315</v>
      </c>
      <c r="DW13" s="256">
        <f>IFERROR(IF($C13&lt;&gt;"",HLOOKUP(Model_Input2!$C13,Trend!$B$1:$K$122,DW$1,0),""),"NA")</f>
        <v>1.0351706036745407</v>
      </c>
      <c r="DX13" s="256">
        <f>IFERROR(IF($C13&lt;&gt;"",HLOOKUP(Model_Input2!$C13,Trend!$B$1:$K$122,DX$1,0),""),"NA")</f>
        <v>6.3382545158456358E-2</v>
      </c>
      <c r="DY13" s="256">
        <f>IFERROR(IF($C13&lt;&gt;"",HLOOKUP(Model_Input2!$C13,Trend!$B$1:$K$122,DY$1,0),""),"NA")</f>
        <v>4.4936132983377073</v>
      </c>
    </row>
    <row r="14" spans="1:129" x14ac:dyDescent="0.25">
      <c r="A14" t="str">
        <f t="shared" si="2"/>
        <v/>
      </c>
      <c r="B14" t="str">
        <f>IF(C14&lt;&gt;"",'Data Sheet'!$B$1,"")</f>
        <v/>
      </c>
      <c r="D14" s="9" t="str">
        <f>IF(C14&lt;&gt;"",HLOOKUP(Model_Input2!$C14,'Data Sheet'!$B$16:$K$31,D$1,0),"")</f>
        <v/>
      </c>
      <c r="E14" s="9" t="str">
        <f>IFERROR(IF($C14&lt;&gt;"",HLOOKUP(Model_Input2!$C14,'Data Sheet'!$B$16:$K$31,E$1,0),""),"NA")</f>
        <v/>
      </c>
      <c r="F14" s="9" t="str">
        <f>IFERROR(IF($C14&lt;&gt;"",HLOOKUP(Model_Input2!$C14,'Data Sheet'!$B$16:$K$31,F$1,0),""),"NA")</f>
        <v/>
      </c>
      <c r="G14" s="9" t="str">
        <f>IFERROR(IF($C14&lt;&gt;"",HLOOKUP(Model_Input2!$C14,'Data Sheet'!$B$16:$K$31,G$1,0),""),"NA")</f>
        <v/>
      </c>
      <c r="H14" s="9" t="str">
        <f>IFERROR(IF($C14&lt;&gt;"",HLOOKUP(Model_Input2!$C14,'Data Sheet'!$B$16:$K$31,H$1,0),""),"NA")</f>
        <v/>
      </c>
      <c r="I14" s="9" t="str">
        <f>IFERROR(IF($C14&lt;&gt;"",HLOOKUP(Model_Input2!$C14,'Data Sheet'!$B$16:$K$31,I$1,0),""),"NA")</f>
        <v/>
      </c>
      <c r="J14" s="9" t="str">
        <f>IFERROR(IF($C14&lt;&gt;"",HLOOKUP(Model_Input2!$C14,'Data Sheet'!$B$16:$K$31,J$1,0),""),"NA")</f>
        <v/>
      </c>
      <c r="K14" s="9" t="str">
        <f>IFERROR(IF($C14&lt;&gt;"",HLOOKUP(Model_Input2!$C14,'Data Sheet'!$B$16:$K$31,K$1,0),""),"NA")</f>
        <v/>
      </c>
      <c r="L14" s="9" t="str">
        <f>IFERROR(IF($C14&lt;&gt;"",HLOOKUP(Model_Input2!$C14,'Data Sheet'!$B$16:$K$31,L$1,0),""),"NA")</f>
        <v/>
      </c>
      <c r="M14" s="9" t="str">
        <f>IFERROR(IF($C14&lt;&gt;"",HLOOKUP(Model_Input2!$C14,'Data Sheet'!$B$16:$K$31,M$1,0),""),"NA")</f>
        <v/>
      </c>
      <c r="N14" s="9" t="str">
        <f>IFERROR(IF($C14&lt;&gt;"",HLOOKUP(Model_Input2!$C14,'Data Sheet'!$B$16:$K$31,N$1,0),""),"NA")</f>
        <v/>
      </c>
      <c r="O14" s="9" t="str">
        <f>IFERROR(IF($C14&lt;&gt;"",HLOOKUP(Model_Input2!$C14,'Data Sheet'!$B$16:$K$31,O$1,0),""),"NA")</f>
        <v/>
      </c>
      <c r="P14" s="9" t="str">
        <f>IFERROR(IF($C14&lt;&gt;"",HLOOKUP(Model_Input2!$C14,'Data Sheet'!$B$16:$K$31,P$1,0),""),"NA")</f>
        <v/>
      </c>
      <c r="Q14" s="9" t="str">
        <f>IFERROR(IF($C14&lt;&gt;"",HLOOKUP(Model_Input2!$C14,'Data Sheet'!$B$16:$K$31,Q$1,0),""),"NA")</f>
        <v/>
      </c>
      <c r="R14" s="9" t="str">
        <f>IFERROR(IF($C14&lt;&gt;"",HLOOKUP(Model_Input2!$C14,'Data Sheet'!$B$16:$K$31,R$1,0),""),"NA")</f>
        <v/>
      </c>
      <c r="S14" t="str">
        <f>IFERROR(IF($C14&lt;&gt;"",HLOOKUP(Model_Input2!$C14,'Data Sheet'!$B$56:$K$72,S$1,0),""),"NA")</f>
        <v/>
      </c>
      <c r="T14" t="str">
        <f>IFERROR(IF($C14&lt;&gt;"",HLOOKUP(Model_Input2!$C14,'Data Sheet'!$B$56:$K$72,T$1,0),""),"NA")</f>
        <v/>
      </c>
      <c r="U14" t="str">
        <f>IFERROR(IF($C14&lt;&gt;"",HLOOKUP(Model_Input2!$C14,'Data Sheet'!$B$56:$K$72,U$1,0),""),"NA")</f>
        <v/>
      </c>
      <c r="V14" t="str">
        <f>IFERROR(IF($C14&lt;&gt;"",HLOOKUP(Model_Input2!$C14,'Data Sheet'!$B$56:$K$72,V$1,0),""),"NA")</f>
        <v/>
      </c>
      <c r="W14" t="str">
        <f>IFERROR(IF($C14&lt;&gt;"",HLOOKUP(Model_Input2!$C14,'Data Sheet'!$B$56:$K$72,W$1,0),""),"NA")</f>
        <v/>
      </c>
      <c r="X14" t="str">
        <f>IFERROR(IF($C14&lt;&gt;"",HLOOKUP(Model_Input2!$C14,'Data Sheet'!$B$56:$K$72,X$1,0),""),"NA")</f>
        <v/>
      </c>
      <c r="Y14" t="str">
        <f>IFERROR(IF($C14&lt;&gt;"",HLOOKUP(Model_Input2!$C14,'Data Sheet'!$B$56:$K$72,Y$1,0),""),"NA")</f>
        <v/>
      </c>
      <c r="Z14" t="str">
        <f>IFERROR(IF($C14&lt;&gt;"",HLOOKUP(Model_Input2!$C14,'Data Sheet'!$B$56:$K$72,Z$1,0),""),"NA")</f>
        <v/>
      </c>
      <c r="AA14" t="str">
        <f>IFERROR(IF($C14&lt;&gt;"",HLOOKUP(Model_Input2!$C14,'Data Sheet'!$B$56:$K$72,AA$1,0),""),"NA")</f>
        <v/>
      </c>
      <c r="AB14" t="str">
        <f>IFERROR(IF($C14&lt;&gt;"",HLOOKUP(Model_Input2!$C14,'Data Sheet'!$B$56:$K$72,AB$1,0),""),"NA")</f>
        <v/>
      </c>
      <c r="AC14" t="str">
        <f>IFERROR(IF($C14&lt;&gt;"",HLOOKUP(Model_Input2!$C14,'Data Sheet'!$B$56:$K$72,AC$1,0),""),"NA")</f>
        <v/>
      </c>
      <c r="AD14" t="str">
        <f>IFERROR(IF($C14&lt;&gt;"",HLOOKUP(Model_Input2!$C14,'Data Sheet'!$B$56:$K$72,AD$1,0),""),"NA")</f>
        <v/>
      </c>
      <c r="AE14" t="str">
        <f>IFERROR(IF($C14&lt;&gt;"",HLOOKUP(Model_Input2!$C14,'Data Sheet'!$B$56:$K$72,AE$1,0),""),"NA")</f>
        <v/>
      </c>
      <c r="AF14" t="str">
        <f>IFERROR(IF($C14&lt;&gt;"",HLOOKUP(Model_Input2!$C14,'Data Sheet'!$B$56:$K$72,AF$1,0),""),"NA")</f>
        <v/>
      </c>
      <c r="AG14" t="str">
        <f>IFERROR(IF($C14&lt;&gt;"",HLOOKUP(Model_Input2!$C14,'Data Sheet'!$B$56:$K$72,AG$1,0),""),"NA")</f>
        <v/>
      </c>
      <c r="AH14" t="str">
        <f>IFERROR(IF($C14&lt;&gt;"",HLOOKUP(Model_Input2!$C14,'Data Sheet'!$B$56:$K$72,AH$1,0),""),"NA")</f>
        <v/>
      </c>
      <c r="AI14" t="str">
        <f>IFERROR(IF($C14&lt;&gt;"",HLOOKUP(Model_Input2!$C14,'Data Sheet'!$B$81:$K$85,AI$1,0),""),"NA")</f>
        <v/>
      </c>
      <c r="AJ14" t="str">
        <f>IFERROR(IF($C14&lt;&gt;"",HLOOKUP(Model_Input2!$C14,'Data Sheet'!$B$81:$K$85,AJ$1,0),""),"NA")</f>
        <v/>
      </c>
      <c r="AK14" t="str">
        <f>IFERROR(IF($C14&lt;&gt;"",HLOOKUP(Model_Input2!$C14,'Data Sheet'!$B$81:$K$85,AK$1,0),""),"NA")</f>
        <v/>
      </c>
      <c r="AL14" t="str">
        <f>IFERROR(IF($C14&lt;&gt;"",HLOOKUP(Model_Input2!$C14,'Data Sheet'!$B$81:$K$85,AL$1,0),""),"NA")</f>
        <v/>
      </c>
      <c r="AM14" s="38" t="str">
        <f>IFERROR(IF($C14&lt;&gt;"",HLOOKUP(Model_Input2!$C14,Trend!$B$1:$K$3,AM$1,0),""),"NA")</f>
        <v/>
      </c>
      <c r="AN14" s="38" t="str">
        <f>IFERROR(IF($C14&lt;&gt;"",HLOOKUP(Model_Input2!$C14,Trend!$B$1:$K$3,AN$1,0),""),"NA")</f>
        <v/>
      </c>
      <c r="AO14" s="38" t="str">
        <f>IFERROR(IF($C14&lt;&gt;"",HLOOKUP(Model_Input2!$C14,Trend!$B$1:$K$122,AO$1,0),""),"NA")</f>
        <v/>
      </c>
      <c r="AP14" s="38" t="str">
        <f>IFERROR(IF($C14&lt;&gt;"",HLOOKUP(Model_Input2!$C14,Trend!$B$1:$K$122,AP$1,0),""),"NA")</f>
        <v/>
      </c>
      <c r="AQ14" s="38" t="str">
        <f>IFERROR(IF($C14&lt;&gt;"",HLOOKUP(Model_Input2!$C14,Trend!$B$1:$K$122,AQ$1,0),""),"NA")</f>
        <v/>
      </c>
      <c r="AR14" s="38" t="str">
        <f>IFERROR(IF($C14&lt;&gt;"",HLOOKUP(Model_Input2!$C14,Trend!$B$1:$K$122,AR$1,0),""),"NA")</f>
        <v/>
      </c>
      <c r="AS14" s="38" t="str">
        <f>IFERROR(IF($C14&lt;&gt;"",HLOOKUP(Model_Input2!$C14,Trend!$B$1:$K$122,AS$1,0),""),"NA")</f>
        <v/>
      </c>
      <c r="AT14" s="38" t="str">
        <f>IFERROR(IF($C14&lt;&gt;"",HLOOKUP(Model_Input2!$C14,Trend!$B$1:$K$122,AT$1,0),""),"NA")</f>
        <v/>
      </c>
      <c r="AU14" s="38" t="str">
        <f>IFERROR(IF($C14&lt;&gt;"",HLOOKUP(Model_Input2!$C14,Trend!$B$1:$K$122,AU$1,0),""),"NA")</f>
        <v/>
      </c>
      <c r="AV14" s="256" t="str">
        <f>IFERROR(IF($C14&lt;&gt;"",HLOOKUP(Model_Input2!$C14,Trend!$B$1:$K$122,AV$1,0),""),"NA")</f>
        <v/>
      </c>
      <c r="AW14" s="256" t="str">
        <f>IFERROR(IF($C14&lt;&gt;"",HLOOKUP(Model_Input2!$C14,Trend!$B$1:$K$122,AW$1,0),""),"NA")</f>
        <v/>
      </c>
      <c r="AX14" s="256" t="str">
        <f>IFERROR(IF($C14&lt;&gt;"",HLOOKUP(Model_Input2!$C14,Trend!$B$1:$K$122,AX$1,0),""),"NA")</f>
        <v/>
      </c>
      <c r="AY14" s="256" t="str">
        <f>IFERROR(IF($C14&lt;&gt;"",HLOOKUP(Model_Input2!$C14,Trend!$B$1:$K$122,AY$1,0),""),"NA")</f>
        <v/>
      </c>
      <c r="AZ14" s="256" t="str">
        <f>IFERROR(IF($C14&lt;&gt;"",HLOOKUP(Model_Input2!$C14,Trend!$B$1:$K$122,AZ$1,0),""),"NA")</f>
        <v/>
      </c>
      <c r="BA14" s="256" t="str">
        <f>IFERROR(IF($C14&lt;&gt;"",HLOOKUP(Model_Input2!$C14,Trend!$B$1:$K$122,BA$1,0),""),"NA")</f>
        <v/>
      </c>
      <c r="BB14" s="38" t="str">
        <f>IFERROR(IF($C14&lt;&gt;"",HLOOKUP(Model_Input2!$C14,Trend!$B$1:$K$122,BB$1,0),""),"NA")</f>
        <v/>
      </c>
      <c r="BC14" s="256" t="str">
        <f>IFERROR(IF($C14&lt;&gt;"",HLOOKUP(Model_Input2!$C14,Trend!$B$1:$K$122,BC$1,0),""),"NA")</f>
        <v/>
      </c>
      <c r="BD14" s="256" t="str">
        <f>IFERROR(IF($C14&lt;&gt;"",HLOOKUP(Model_Input2!$C14,Trend!$B$1:$K$122,BD$1,0),""),"NA")</f>
        <v/>
      </c>
      <c r="BE14" s="256" t="str">
        <f>IFERROR(IF($C14&lt;&gt;"",HLOOKUP(Model_Input2!$C14,Trend!$B$1:$K$122,BE$1,0),""),"NA")</f>
        <v/>
      </c>
      <c r="BF14" s="256" t="str">
        <f>IFERROR(IF($C14&lt;&gt;"",HLOOKUP(Model_Input2!$C14,Trend!$B$1:$K$122,BF$1,0),""),"NA")</f>
        <v/>
      </c>
      <c r="BG14" s="256" t="str">
        <f>IFERROR(IF($C14&lt;&gt;"",HLOOKUP(Model_Input2!$C14,Trend!$B$1:$K$122,BG$1,0),""),"NA")</f>
        <v/>
      </c>
      <c r="BH14" s="256" t="str">
        <f>IFERROR(IF($C14&lt;&gt;"",HLOOKUP(Model_Input2!$C14,Trend!$B$1:$K$122,BH$1,0),""),"NA")</f>
        <v/>
      </c>
      <c r="BI14" s="256" t="str">
        <f>IFERROR(IF($C14&lt;&gt;"",HLOOKUP(Model_Input2!$C14,Trend!$B$1:$K$122,BI$1,0),""),"NA")</f>
        <v/>
      </c>
      <c r="BJ14" s="256" t="str">
        <f>IFERROR(IF($C14&lt;&gt;"",HLOOKUP(Model_Input2!$C14,Trend!$B$1:$K$122,BJ$1,0),""),"NA")</f>
        <v/>
      </c>
      <c r="BK14" s="256" t="str">
        <f>IFERROR(IF($C14&lt;&gt;"",HLOOKUP(Model_Input2!$C14,Trend!$B$1:$K$122,BK$1,0),""),"NA")</f>
        <v/>
      </c>
      <c r="BL14" s="256" t="str">
        <f>IFERROR(IF($C14&lt;&gt;"",HLOOKUP(Model_Input2!$C14,Trend!$B$1:$K$122,BL$1,0),""),"NA")</f>
        <v/>
      </c>
      <c r="BM14" s="256" t="str">
        <f>IFERROR(IF($C14&lt;&gt;"",HLOOKUP(Model_Input2!$C14,Trend!$B$1:$K$122,BM$1,0),""),"NA")</f>
        <v/>
      </c>
      <c r="BN14" s="256" t="str">
        <f>IFERROR(IF($C14&lt;&gt;"",HLOOKUP(Model_Input2!$C14,Trend!$B$1:$K$122,BN$1,0),""),"NA")</f>
        <v/>
      </c>
      <c r="BO14" s="256" t="str">
        <f>IFERROR(IF($C14&lt;&gt;"",HLOOKUP(Model_Input2!$C14,Trend!$B$1:$K$122,BO$1,0),""),"NA")</f>
        <v/>
      </c>
      <c r="BP14" s="256" t="str">
        <f>IFERROR(IF($C14&lt;&gt;"",HLOOKUP(Model_Input2!$C14,Trend!$B$1:$K$122,BP$1,0),""),"NA")</f>
        <v/>
      </c>
      <c r="BQ14" s="256" t="str">
        <f>IFERROR(IF($C14&lt;&gt;"",HLOOKUP(Model_Input2!$C14,Trend!$B$1:$K$122,BQ$1,0),""),"NA")</f>
        <v/>
      </c>
      <c r="BR14" s="256" t="str">
        <f>IFERROR(IF($C14&lt;&gt;"",HLOOKUP(Model_Input2!$C14,Trend!$B$1:$K$122,BR$1,0),""),"NA")</f>
        <v/>
      </c>
      <c r="BS14" s="256" t="str">
        <f>IFERROR(IF($C14&lt;&gt;"",HLOOKUP(Model_Input2!$C14,Trend!$B$1:$K$122,BS$1,0),""),"NA")</f>
        <v/>
      </c>
      <c r="BT14" s="256" t="str">
        <f>IFERROR(IF($C14&lt;&gt;"",HLOOKUP(Model_Input2!$C14,Trend!$B$1:$K$122,BT$1,0),""),"NA")</f>
        <v/>
      </c>
      <c r="BU14" s="256" t="str">
        <f>IFERROR(IF($C14&lt;&gt;"",HLOOKUP(Model_Input2!$C14,Trend!$B$1:$K$122,BU$1,0),""),"NA")</f>
        <v/>
      </c>
      <c r="BV14" s="256" t="str">
        <f>IFERROR(IF($C14&lt;&gt;"",HLOOKUP(Model_Input2!$C14,Trend!$B$1:$K$122,BV$1,0),""),"NA")</f>
        <v/>
      </c>
      <c r="BW14" s="256" t="str">
        <f>IFERROR(IF($C14&lt;&gt;"",HLOOKUP(Model_Input2!$C14,Trend!$B$1:$K$122,BW$1,0),""),"NA")</f>
        <v/>
      </c>
      <c r="BX14" s="256" t="str">
        <f>IFERROR(IF($C14&lt;&gt;"",HLOOKUP(Model_Input2!$C14,Trend!$B$1:$K$122,BX$1,0),""),"NA")</f>
        <v/>
      </c>
      <c r="BY14" s="256" t="str">
        <f>IFERROR(IF($C14&lt;&gt;"",HLOOKUP(Model_Input2!$C14,Trend!$B$1:$K$122,BY$1,0),""),"NA")</f>
        <v/>
      </c>
      <c r="BZ14" s="256" t="str">
        <f>IFERROR(IF($C14&lt;&gt;"",HLOOKUP(Model_Input2!$C14,Trend!$B$1:$K$122,BZ$1,0),""),"NA")</f>
        <v/>
      </c>
      <c r="CA14" s="256" t="str">
        <f>IFERROR(IF($C14&lt;&gt;"",HLOOKUP(Model_Input2!$C14,Trend!$B$1:$K$122,CA$1,0),""),"NA")</f>
        <v/>
      </c>
      <c r="CB14" s="256" t="str">
        <f>IFERROR(IF($C14&lt;&gt;"",HLOOKUP(Model_Input2!$C14,Trend!$B$1:$K$122,CB$1,0),""),"NA")</f>
        <v/>
      </c>
      <c r="CC14" s="256" t="str">
        <f>IFERROR(IF($C14&lt;&gt;"",HLOOKUP(Model_Input2!$C14,Trend!$B$1:$K$122,CC$1,0),""),"NA")</f>
        <v/>
      </c>
      <c r="CD14" s="38" t="str">
        <f>IFERROR(IF($C14&lt;&gt;"",HLOOKUP(Model_Input2!$C14,Trend!$B$1:$K$122,CD$1,0),""),"NA")</f>
        <v/>
      </c>
      <c r="CE14" s="38" t="str">
        <f>IFERROR(IF($C14&lt;&gt;"",HLOOKUP(Model_Input2!$C14,Trend!$B$1:$K$122,CE$1,0),""),"NA")</f>
        <v/>
      </c>
      <c r="CF14" s="38" t="str">
        <f>IFERROR(IF($C14&lt;&gt;"",HLOOKUP(Model_Input2!$C14,Trend!$B$1:$K$122,CF$1,0),""),"NA")</f>
        <v/>
      </c>
      <c r="CG14" s="38" t="str">
        <f>IFERROR(IF($C14&lt;&gt;"",HLOOKUP(Model_Input2!$C14,Trend!$B$1:$K$122,CG$1,0),""),"NA")</f>
        <v/>
      </c>
      <c r="CH14" s="38" t="str">
        <f>IFERROR(IF($C14&lt;&gt;"",HLOOKUP(Model_Input2!$C14,Trend!$B$1:$K$122,CH$1,0),""),"NA")</f>
        <v/>
      </c>
      <c r="CI14" s="38" t="str">
        <f>IFERROR(IF($C14&lt;&gt;"",HLOOKUP(Model_Input2!$C14,Trend!$B$1:$K$122,CI$1,0),""),"NA")</f>
        <v/>
      </c>
      <c r="CJ14" s="38" t="str">
        <f>IFERROR(IF($C14&lt;&gt;"",HLOOKUP(Model_Input2!$C14,Trend!$B$1:$K$122,CJ$1,0),""),"NA")</f>
        <v/>
      </c>
      <c r="CK14" s="256" t="str">
        <f>IFERROR(IF($C14&lt;&gt;"",HLOOKUP(Model_Input2!$C14,Trend!$B$1:$K$122,CK$1,0),""),"NA")</f>
        <v/>
      </c>
      <c r="CL14" s="256" t="str">
        <f>IFERROR(IF($C14&lt;&gt;"",HLOOKUP(Model_Input2!$C14,Trend!$B$1:$K$122,CL$1,0),""),"NA")</f>
        <v/>
      </c>
      <c r="CM14" s="256" t="str">
        <f>IFERROR(IF($C14&lt;&gt;"",HLOOKUP(Model_Input2!$C14,Trend!$B$1:$K$122,CM$1,0),""),"NA")</f>
        <v/>
      </c>
      <c r="CN14" s="256" t="str">
        <f>IFERROR(IF($C14&lt;&gt;"",HLOOKUP(Model_Input2!$C14,Trend!$B$1:$K$122,CN$1,0),""),"NA")</f>
        <v/>
      </c>
      <c r="CO14" s="256" t="str">
        <f>IFERROR(IF($C14&lt;&gt;"",HLOOKUP(Model_Input2!$C14,Trend!$B$1:$K$122,CO$1,0),""),"NA")</f>
        <v/>
      </c>
      <c r="CP14" s="256" t="str">
        <f>IFERROR(IF($C14&lt;&gt;"",HLOOKUP(Model_Input2!$C14,Trend!$B$1:$K$122,CP$1,0),""),"NA")</f>
        <v/>
      </c>
      <c r="CQ14" s="256" t="str">
        <f>IFERROR(IF($C14&lt;&gt;"",HLOOKUP(Model_Input2!$C14,Trend!$B$1:$K$122,CQ$1,0),""),"NA")</f>
        <v/>
      </c>
      <c r="CR14" s="256" t="str">
        <f>IFERROR(IF($C14&lt;&gt;"",HLOOKUP(Model_Input2!$C14,Trend!$B$1:$K$122,CR$1,0),""),"NA")</f>
        <v/>
      </c>
      <c r="CS14" s="256" t="str">
        <f>IFERROR(IF($C14&lt;&gt;"",HLOOKUP(Model_Input2!$C14,Trend!$B$1:$K$122,CS$1,0),""),"NA")</f>
        <v/>
      </c>
      <c r="CT14" s="38" t="str">
        <f>IFERROR(IF($C14&lt;&gt;"",HLOOKUP(Model_Input2!$C14,Trend!$B$1:$K$122,CT$1,0),""),"NA")</f>
        <v/>
      </c>
      <c r="CU14" s="38" t="str">
        <f>IFERROR(IF($C14&lt;&gt;"",HLOOKUP(Model_Input2!$C14,Trend!$B$1:$K$122,CU$1,0),""),"NA")</f>
        <v/>
      </c>
      <c r="CV14" s="38" t="str">
        <f>IFERROR(IF($C14&lt;&gt;"",HLOOKUP(Model_Input2!$C14,Trend!$B$1:$K$122,CV$1,0),""),"NA")</f>
        <v/>
      </c>
      <c r="CW14" s="38" t="str">
        <f>IFERROR(IF($C14&lt;&gt;"",HLOOKUP(Model_Input2!$C14,Trend!$B$1:$K$122,CW$1,0),""),"NA")</f>
        <v/>
      </c>
      <c r="CX14" s="256" t="str">
        <f>IFERROR(IF($C14&lt;&gt;"",HLOOKUP(Model_Input2!$C14,Trend!$B$1:$K$122,CX$1,0),""),"NA")</f>
        <v/>
      </c>
      <c r="CY14" s="256" t="str">
        <f>IFERROR(IF($C14&lt;&gt;"",HLOOKUP(Model_Input2!$C14,Trend!$B$1:$K$122,CY$1,0),""),"NA")</f>
        <v/>
      </c>
      <c r="CZ14" s="38" t="str">
        <f>IFERROR(IF($C14&lt;&gt;"",HLOOKUP(Model_Input2!$C14,Trend!$B$1:$K$122,CZ$1,0),""),"NA")</f>
        <v/>
      </c>
      <c r="DA14" s="38" t="str">
        <f>IFERROR(IF($C14&lt;&gt;"",HLOOKUP(Model_Input2!$C14,Trend!$B$1:$K$122,DA$1,0),""),"NA")</f>
        <v/>
      </c>
      <c r="DB14" s="256" t="str">
        <f>IFERROR(IF($C14&lt;&gt;"",HLOOKUP(Model_Input2!$C14,Trend!$B$1:$K$122,DB$1,0),""),"NA")</f>
        <v/>
      </c>
      <c r="DC14" s="256" t="str">
        <f>IFERROR(IF($C14&lt;&gt;"",HLOOKUP(Model_Input2!$C14,Trend!$B$1:$K$122,DC$1,0),""),"NA")</f>
        <v/>
      </c>
      <c r="DD14" s="256" t="str">
        <f>IFERROR(IF($C14&lt;&gt;"",HLOOKUP(Model_Input2!$C14,Trend!$B$1:$K$122,DD$1,0),""),"NA")</f>
        <v/>
      </c>
      <c r="DE14" s="256" t="str">
        <f>IFERROR(IF($C14&lt;&gt;"",HLOOKUP(Model_Input2!$C14,Trend!$B$1:$K$122,DE$1,0),""),"NA")</f>
        <v/>
      </c>
      <c r="DF14" s="256" t="str">
        <f>IFERROR(IF($C14&lt;&gt;"",HLOOKUP(Model_Input2!$C14,Trend!$B$1:$K$122,DF$1,0),""),"NA")</f>
        <v/>
      </c>
      <c r="DG14" s="256" t="str">
        <f>IFERROR(IF($C14&lt;&gt;"",HLOOKUP(Model_Input2!$C14,Trend!$B$1:$K$122,DG$1,0),""),"NA")</f>
        <v/>
      </c>
      <c r="DH14" s="256" t="str">
        <f>IFERROR(IF($C14&lt;&gt;"",HLOOKUP(Model_Input2!$C14,Trend!$B$1:$K$122,DH$1,0),""),"NA")</f>
        <v/>
      </c>
      <c r="DI14" s="256" t="str">
        <f>IFERROR(IF($C14&lt;&gt;"",HLOOKUP(Model_Input2!$C14,Trend!$B$1:$K$122,DI$1,0),""),"NA")</f>
        <v/>
      </c>
      <c r="DJ14" s="38" t="str">
        <f>IFERROR(IF($C14&lt;&gt;"",HLOOKUP(Model_Input2!$C14,Trend!$B$1:$K$122,DJ$1,0),""),"NA")</f>
        <v/>
      </c>
      <c r="DK14" s="38" t="str">
        <f>IFERROR(IF($C14&lt;&gt;"",HLOOKUP(Model_Input2!$C14,Trend!$B$1:$K$122,DK$1,0),""),"NA")</f>
        <v/>
      </c>
      <c r="DL14" s="256" t="str">
        <f>IFERROR(IF($C14&lt;&gt;"",HLOOKUP(Model_Input2!$C14,Trend!$B$1:$K$122,DL$1,0),""),"NA")</f>
        <v/>
      </c>
      <c r="DM14" s="256" t="str">
        <f>IFERROR(IF($C14&lt;&gt;"",HLOOKUP(Model_Input2!$C14,Trend!$B$1:$K$122,DM$1,0),""),"NA")</f>
        <v/>
      </c>
      <c r="DN14" s="256" t="str">
        <f>IFERROR(IF($C14&lt;&gt;"",HLOOKUP(Model_Input2!$C14,Trend!$B$1:$K$122,DN$1,0),""),"NA")</f>
        <v/>
      </c>
      <c r="DO14" s="256" t="str">
        <f>IFERROR(IF($C14&lt;&gt;"",HLOOKUP(Model_Input2!$C14,Trend!$B$1:$K$122,DO$1,0),""),"NA")</f>
        <v/>
      </c>
      <c r="DP14" s="256" t="str">
        <f>IFERROR(IF($C14&lt;&gt;"",HLOOKUP(Model_Input2!$C14,Trend!$B$1:$K$122,DP$1,0),""),"NA")</f>
        <v/>
      </c>
      <c r="DQ14" s="256" t="str">
        <f>IFERROR(IF($C14&lt;&gt;"",HLOOKUP(Model_Input2!$C14,Trend!$B$1:$K$122,DQ$1,0),""),"NA")</f>
        <v/>
      </c>
      <c r="DR14" s="256" t="str">
        <f>IFERROR(IF($C14&lt;&gt;"",HLOOKUP(Model_Input2!$C14,Trend!$B$1:$K$122,DR$1,0),""),"NA")</f>
        <v/>
      </c>
      <c r="DS14" s="256" t="str">
        <f>IFERROR(IF($C14&lt;&gt;"",HLOOKUP(Model_Input2!$C14,Trend!$B$1:$K$122,DS$1,0),""),"NA")</f>
        <v/>
      </c>
      <c r="DT14" s="256" t="str">
        <f>IFERROR(IF($C14&lt;&gt;"",HLOOKUP(Model_Input2!$C14,Trend!$B$1:$K$122,DT$1,0),""),"NA")</f>
        <v/>
      </c>
      <c r="DU14" s="256" t="str">
        <f>IFERROR(IF($C14&lt;&gt;"",HLOOKUP(Model_Input2!$C14,Trend!$B$1:$K$122,DU$1,0),""),"NA")</f>
        <v/>
      </c>
      <c r="DV14" s="256" t="str">
        <f>IFERROR(IF($C14&lt;&gt;"",HLOOKUP(Model_Input2!$C14,Trend!$B$1:$K$122,DV$1,0),""),"NA")</f>
        <v/>
      </c>
      <c r="DW14" s="256" t="str">
        <f>IFERROR(IF($C14&lt;&gt;"",HLOOKUP(Model_Input2!$C14,Trend!$B$1:$K$122,DW$1,0),""),"NA")</f>
        <v/>
      </c>
      <c r="DX14" s="256" t="str">
        <f>IFERROR(IF($C14&lt;&gt;"",HLOOKUP(Model_Input2!$C14,Trend!$B$1:$K$122,DX$1,0),""),"NA")</f>
        <v/>
      </c>
      <c r="DY14" s="256" t="str">
        <f>IFERROR(IF($C14&lt;&gt;"",HLOOKUP(Model_Input2!$C14,Trend!$B$1:$K$122,DY$1,0),""),"NA")</f>
        <v/>
      </c>
    </row>
    <row r="15" spans="1:129" x14ac:dyDescent="0.25">
      <c r="A15" t="str">
        <f t="shared" si="2"/>
        <v/>
      </c>
      <c r="B15" t="str">
        <f>IF(C15&lt;&gt;"",'Data Sheet'!$B$1,"")</f>
        <v/>
      </c>
      <c r="D15" s="9" t="str">
        <f>IF(C15&lt;&gt;"",HLOOKUP(Model_Input2!$C15,'Data Sheet'!$B$16:$K$31,D$1,0),"")</f>
        <v/>
      </c>
      <c r="E15" s="9" t="str">
        <f>IFERROR(IF($C15&lt;&gt;"",HLOOKUP(Model_Input2!$C15,'Data Sheet'!$B$16:$K$31,E$1,0),""),"NA")</f>
        <v/>
      </c>
      <c r="F15" s="9" t="str">
        <f>IFERROR(IF($C15&lt;&gt;"",HLOOKUP(Model_Input2!$C15,'Data Sheet'!$B$16:$K$31,F$1,0),""),"NA")</f>
        <v/>
      </c>
      <c r="G15" s="9" t="str">
        <f>IFERROR(IF($C15&lt;&gt;"",HLOOKUP(Model_Input2!$C15,'Data Sheet'!$B$16:$K$31,G$1,0),""),"NA")</f>
        <v/>
      </c>
      <c r="H15" s="9" t="str">
        <f>IFERROR(IF($C15&lt;&gt;"",HLOOKUP(Model_Input2!$C15,'Data Sheet'!$B$16:$K$31,H$1,0),""),"NA")</f>
        <v/>
      </c>
      <c r="I15" s="9" t="str">
        <f>IFERROR(IF($C15&lt;&gt;"",HLOOKUP(Model_Input2!$C15,'Data Sheet'!$B$16:$K$31,I$1,0),""),"NA")</f>
        <v/>
      </c>
      <c r="J15" s="9" t="str">
        <f>IFERROR(IF($C15&lt;&gt;"",HLOOKUP(Model_Input2!$C15,'Data Sheet'!$B$16:$K$31,J$1,0),""),"NA")</f>
        <v/>
      </c>
      <c r="K15" s="9" t="str">
        <f>IFERROR(IF($C15&lt;&gt;"",HLOOKUP(Model_Input2!$C15,'Data Sheet'!$B$16:$K$31,K$1,0),""),"NA")</f>
        <v/>
      </c>
      <c r="L15" s="9" t="str">
        <f>IFERROR(IF($C15&lt;&gt;"",HLOOKUP(Model_Input2!$C15,'Data Sheet'!$B$16:$K$31,L$1,0),""),"NA")</f>
        <v/>
      </c>
      <c r="M15" s="9" t="str">
        <f>IFERROR(IF($C15&lt;&gt;"",HLOOKUP(Model_Input2!$C15,'Data Sheet'!$B$16:$K$31,M$1,0),""),"NA")</f>
        <v/>
      </c>
      <c r="N15" s="9" t="str">
        <f>IFERROR(IF($C15&lt;&gt;"",HLOOKUP(Model_Input2!$C15,'Data Sheet'!$B$16:$K$31,N$1,0),""),"NA")</f>
        <v/>
      </c>
      <c r="O15" s="9" t="str">
        <f>IFERROR(IF($C15&lt;&gt;"",HLOOKUP(Model_Input2!$C15,'Data Sheet'!$B$16:$K$31,O$1,0),""),"NA")</f>
        <v/>
      </c>
      <c r="P15" s="9" t="str">
        <f>IFERROR(IF($C15&lt;&gt;"",HLOOKUP(Model_Input2!$C15,'Data Sheet'!$B$16:$K$31,P$1,0),""),"NA")</f>
        <v/>
      </c>
      <c r="Q15" s="9" t="str">
        <f>IFERROR(IF($C15&lt;&gt;"",HLOOKUP(Model_Input2!$C15,'Data Sheet'!$B$16:$K$31,Q$1,0),""),"NA")</f>
        <v/>
      </c>
      <c r="R15" s="9" t="str">
        <f>IFERROR(IF($C15&lt;&gt;"",HLOOKUP(Model_Input2!$C15,'Data Sheet'!$B$16:$K$31,R$1,0),""),"NA")</f>
        <v/>
      </c>
      <c r="S15" t="str">
        <f>IFERROR(IF($C15&lt;&gt;"",HLOOKUP(Model_Input2!$C15,'Data Sheet'!$B$56:$K$72,S$1,0),""),"NA")</f>
        <v/>
      </c>
      <c r="T15" t="str">
        <f>IFERROR(IF($C15&lt;&gt;"",HLOOKUP(Model_Input2!$C15,'Data Sheet'!$B$56:$K$72,T$1,0),""),"NA")</f>
        <v/>
      </c>
      <c r="U15" t="str">
        <f>IFERROR(IF($C15&lt;&gt;"",HLOOKUP(Model_Input2!$C15,'Data Sheet'!$B$56:$K$72,U$1,0),""),"NA")</f>
        <v/>
      </c>
      <c r="V15" t="str">
        <f>IFERROR(IF($C15&lt;&gt;"",HLOOKUP(Model_Input2!$C15,'Data Sheet'!$B$56:$K$72,V$1,0),""),"NA")</f>
        <v/>
      </c>
      <c r="W15" t="str">
        <f>IFERROR(IF($C15&lt;&gt;"",HLOOKUP(Model_Input2!$C15,'Data Sheet'!$B$56:$K$72,W$1,0),""),"NA")</f>
        <v/>
      </c>
      <c r="X15" t="str">
        <f>IFERROR(IF($C15&lt;&gt;"",HLOOKUP(Model_Input2!$C15,'Data Sheet'!$B$56:$K$72,X$1,0),""),"NA")</f>
        <v/>
      </c>
      <c r="Y15" t="str">
        <f>IFERROR(IF($C15&lt;&gt;"",HLOOKUP(Model_Input2!$C15,'Data Sheet'!$B$56:$K$72,Y$1,0),""),"NA")</f>
        <v/>
      </c>
      <c r="Z15" t="str">
        <f>IFERROR(IF($C15&lt;&gt;"",HLOOKUP(Model_Input2!$C15,'Data Sheet'!$B$56:$K$72,Z$1,0),""),"NA")</f>
        <v/>
      </c>
      <c r="AA15" t="str">
        <f>IFERROR(IF($C15&lt;&gt;"",HLOOKUP(Model_Input2!$C15,'Data Sheet'!$B$56:$K$72,AA$1,0),""),"NA")</f>
        <v/>
      </c>
      <c r="AB15" t="str">
        <f>IFERROR(IF($C15&lt;&gt;"",HLOOKUP(Model_Input2!$C15,'Data Sheet'!$B$56:$K$72,AB$1,0),""),"NA")</f>
        <v/>
      </c>
      <c r="AC15" t="str">
        <f>IFERROR(IF($C15&lt;&gt;"",HLOOKUP(Model_Input2!$C15,'Data Sheet'!$B$56:$K$72,AC$1,0),""),"NA")</f>
        <v/>
      </c>
      <c r="AD15" t="str">
        <f>IFERROR(IF($C15&lt;&gt;"",HLOOKUP(Model_Input2!$C15,'Data Sheet'!$B$56:$K$72,AD$1,0),""),"NA")</f>
        <v/>
      </c>
      <c r="AE15" t="str">
        <f>IFERROR(IF($C15&lt;&gt;"",HLOOKUP(Model_Input2!$C15,'Data Sheet'!$B$56:$K$72,AE$1,0),""),"NA")</f>
        <v/>
      </c>
      <c r="AF15" t="str">
        <f>IFERROR(IF($C15&lt;&gt;"",HLOOKUP(Model_Input2!$C15,'Data Sheet'!$B$56:$K$72,AF$1,0),""),"NA")</f>
        <v/>
      </c>
      <c r="AG15" t="str">
        <f>IFERROR(IF($C15&lt;&gt;"",HLOOKUP(Model_Input2!$C15,'Data Sheet'!$B$56:$K$72,AG$1,0),""),"NA")</f>
        <v/>
      </c>
      <c r="AH15" t="str">
        <f>IFERROR(IF($C15&lt;&gt;"",HLOOKUP(Model_Input2!$C15,'Data Sheet'!$B$56:$K$72,AH$1,0),""),"NA")</f>
        <v/>
      </c>
      <c r="AI15" t="str">
        <f>IFERROR(IF($C15&lt;&gt;"",HLOOKUP(Model_Input2!$C15,'Data Sheet'!$B$81:$K$85,AI$1,0),""),"NA")</f>
        <v/>
      </c>
      <c r="AJ15" t="str">
        <f>IFERROR(IF($C15&lt;&gt;"",HLOOKUP(Model_Input2!$C15,'Data Sheet'!$B$81:$K$85,AJ$1,0),""),"NA")</f>
        <v/>
      </c>
      <c r="AK15" t="str">
        <f>IFERROR(IF($C15&lt;&gt;"",HLOOKUP(Model_Input2!$C15,'Data Sheet'!$B$81:$K$85,AK$1,0),""),"NA")</f>
        <v/>
      </c>
      <c r="AL15" t="str">
        <f>IFERROR(IF($C15&lt;&gt;"",HLOOKUP(Model_Input2!$C15,'Data Sheet'!$B$81:$K$85,AL$1,0),""),"NA")</f>
        <v/>
      </c>
      <c r="AM15" s="38" t="str">
        <f>IFERROR(IF($C15&lt;&gt;"",HLOOKUP(Model_Input2!$C15,Trend!$B$1:$K$3,AM$1,0),""),"NA")</f>
        <v/>
      </c>
      <c r="AN15" s="38" t="str">
        <f>IFERROR(IF($C15&lt;&gt;"",HLOOKUP(Model_Input2!$C15,Trend!$B$1:$K$3,AN$1,0),""),"NA")</f>
        <v/>
      </c>
      <c r="AO15" s="38" t="str">
        <f>IFERROR(IF($C15&lt;&gt;"",HLOOKUP(Model_Input2!$C15,Trend!$B$1:$K$122,AO$1,0),""),"NA")</f>
        <v/>
      </c>
      <c r="AP15" s="38" t="str">
        <f>IFERROR(IF($C15&lt;&gt;"",HLOOKUP(Model_Input2!$C15,Trend!$B$1:$K$122,AP$1,0),""),"NA")</f>
        <v/>
      </c>
      <c r="AQ15" s="38" t="str">
        <f>IFERROR(IF($C15&lt;&gt;"",HLOOKUP(Model_Input2!$C15,Trend!$B$1:$K$122,AQ$1,0),""),"NA")</f>
        <v/>
      </c>
      <c r="AR15" s="38" t="str">
        <f>IFERROR(IF($C15&lt;&gt;"",HLOOKUP(Model_Input2!$C15,Trend!$B$1:$K$122,AR$1,0),""),"NA")</f>
        <v/>
      </c>
      <c r="AS15" s="38" t="str">
        <f>IFERROR(IF($C15&lt;&gt;"",HLOOKUP(Model_Input2!$C15,Trend!$B$1:$K$122,AS$1,0),""),"NA")</f>
        <v/>
      </c>
      <c r="AT15" s="38" t="str">
        <f>IFERROR(IF($C15&lt;&gt;"",HLOOKUP(Model_Input2!$C15,Trend!$B$1:$K$122,AT$1,0),""),"NA")</f>
        <v/>
      </c>
      <c r="AU15" s="38" t="str">
        <f>IFERROR(IF($C15&lt;&gt;"",HLOOKUP(Model_Input2!$C15,Trend!$B$1:$K$122,AU$1,0),""),"NA")</f>
        <v/>
      </c>
      <c r="AV15" s="256" t="str">
        <f>IFERROR(IF($C15&lt;&gt;"",HLOOKUP(Model_Input2!$C15,Trend!$B$1:$K$122,AV$1,0),""),"NA")</f>
        <v/>
      </c>
      <c r="AW15" s="256" t="str">
        <f>IFERROR(IF($C15&lt;&gt;"",HLOOKUP(Model_Input2!$C15,Trend!$B$1:$K$122,AW$1,0),""),"NA")</f>
        <v/>
      </c>
      <c r="AX15" s="256" t="str">
        <f>IFERROR(IF($C15&lt;&gt;"",HLOOKUP(Model_Input2!$C15,Trend!$B$1:$K$122,AX$1,0),""),"NA")</f>
        <v/>
      </c>
      <c r="AY15" s="256" t="str">
        <f>IFERROR(IF($C15&lt;&gt;"",HLOOKUP(Model_Input2!$C15,Trend!$B$1:$K$122,AY$1,0),""),"NA")</f>
        <v/>
      </c>
      <c r="AZ15" s="256" t="str">
        <f>IFERROR(IF($C15&lt;&gt;"",HLOOKUP(Model_Input2!$C15,Trend!$B$1:$K$122,AZ$1,0),""),"NA")</f>
        <v/>
      </c>
      <c r="BA15" s="256" t="str">
        <f>IFERROR(IF($C15&lt;&gt;"",HLOOKUP(Model_Input2!$C15,Trend!$B$1:$K$122,BA$1,0),""),"NA")</f>
        <v/>
      </c>
      <c r="BB15" s="38" t="str">
        <f>IFERROR(IF($C15&lt;&gt;"",HLOOKUP(Model_Input2!$C15,Trend!$B$1:$K$122,BB$1,0),""),"NA")</f>
        <v/>
      </c>
      <c r="BC15" s="256" t="str">
        <f>IFERROR(IF($C15&lt;&gt;"",HLOOKUP(Model_Input2!$C15,Trend!$B$1:$K$122,BC$1,0),""),"NA")</f>
        <v/>
      </c>
      <c r="BD15" s="256" t="str">
        <f>IFERROR(IF($C15&lt;&gt;"",HLOOKUP(Model_Input2!$C15,Trend!$B$1:$K$122,BD$1,0),""),"NA")</f>
        <v/>
      </c>
      <c r="BE15" s="256" t="str">
        <f>IFERROR(IF($C15&lt;&gt;"",HLOOKUP(Model_Input2!$C15,Trend!$B$1:$K$122,BE$1,0),""),"NA")</f>
        <v/>
      </c>
      <c r="BF15" s="256" t="str">
        <f>IFERROR(IF($C15&lt;&gt;"",HLOOKUP(Model_Input2!$C15,Trend!$B$1:$K$122,BF$1,0),""),"NA")</f>
        <v/>
      </c>
      <c r="BG15" s="256" t="str">
        <f>IFERROR(IF($C15&lt;&gt;"",HLOOKUP(Model_Input2!$C15,Trend!$B$1:$K$122,BG$1,0),""),"NA")</f>
        <v/>
      </c>
      <c r="BH15" s="256" t="str">
        <f>IFERROR(IF($C15&lt;&gt;"",HLOOKUP(Model_Input2!$C15,Trend!$B$1:$K$122,BH$1,0),""),"NA")</f>
        <v/>
      </c>
      <c r="BI15" s="256" t="str">
        <f>IFERROR(IF($C15&lt;&gt;"",HLOOKUP(Model_Input2!$C15,Trend!$B$1:$K$122,BI$1,0),""),"NA")</f>
        <v/>
      </c>
      <c r="BJ15" s="256" t="str">
        <f>IFERROR(IF($C15&lt;&gt;"",HLOOKUP(Model_Input2!$C15,Trend!$B$1:$K$122,BJ$1,0),""),"NA")</f>
        <v/>
      </c>
      <c r="BK15" s="256" t="str">
        <f>IFERROR(IF($C15&lt;&gt;"",HLOOKUP(Model_Input2!$C15,Trend!$B$1:$K$122,BK$1,0),""),"NA")</f>
        <v/>
      </c>
      <c r="BL15" s="256" t="str">
        <f>IFERROR(IF($C15&lt;&gt;"",HLOOKUP(Model_Input2!$C15,Trend!$B$1:$K$122,BL$1,0),""),"NA")</f>
        <v/>
      </c>
      <c r="BM15" s="256" t="str">
        <f>IFERROR(IF($C15&lt;&gt;"",HLOOKUP(Model_Input2!$C15,Trend!$B$1:$K$122,BM$1,0),""),"NA")</f>
        <v/>
      </c>
      <c r="BN15" s="256" t="str">
        <f>IFERROR(IF($C15&lt;&gt;"",HLOOKUP(Model_Input2!$C15,Trend!$B$1:$K$122,BN$1,0),""),"NA")</f>
        <v/>
      </c>
      <c r="BO15" s="256" t="str">
        <f>IFERROR(IF($C15&lt;&gt;"",HLOOKUP(Model_Input2!$C15,Trend!$B$1:$K$122,BO$1,0),""),"NA")</f>
        <v/>
      </c>
      <c r="BP15" s="256" t="str">
        <f>IFERROR(IF($C15&lt;&gt;"",HLOOKUP(Model_Input2!$C15,Trend!$B$1:$K$122,BP$1,0),""),"NA")</f>
        <v/>
      </c>
      <c r="BQ15" s="256" t="str">
        <f>IFERROR(IF($C15&lt;&gt;"",HLOOKUP(Model_Input2!$C15,Trend!$B$1:$K$122,BQ$1,0),""),"NA")</f>
        <v/>
      </c>
      <c r="BR15" s="256" t="str">
        <f>IFERROR(IF($C15&lt;&gt;"",HLOOKUP(Model_Input2!$C15,Trend!$B$1:$K$122,BR$1,0),""),"NA")</f>
        <v/>
      </c>
      <c r="BS15" s="256" t="str">
        <f>IFERROR(IF($C15&lt;&gt;"",HLOOKUP(Model_Input2!$C15,Trend!$B$1:$K$122,BS$1,0),""),"NA")</f>
        <v/>
      </c>
      <c r="BT15" s="256" t="str">
        <f>IFERROR(IF($C15&lt;&gt;"",HLOOKUP(Model_Input2!$C15,Trend!$B$1:$K$122,BT$1,0),""),"NA")</f>
        <v/>
      </c>
      <c r="BU15" s="256" t="str">
        <f>IFERROR(IF($C15&lt;&gt;"",HLOOKUP(Model_Input2!$C15,Trend!$B$1:$K$122,BU$1,0),""),"NA")</f>
        <v/>
      </c>
      <c r="BV15" s="256" t="str">
        <f>IFERROR(IF($C15&lt;&gt;"",HLOOKUP(Model_Input2!$C15,Trend!$B$1:$K$122,BV$1,0),""),"NA")</f>
        <v/>
      </c>
      <c r="BW15" s="256" t="str">
        <f>IFERROR(IF($C15&lt;&gt;"",HLOOKUP(Model_Input2!$C15,Trend!$B$1:$K$122,BW$1,0),""),"NA")</f>
        <v/>
      </c>
      <c r="BX15" s="256" t="str">
        <f>IFERROR(IF($C15&lt;&gt;"",HLOOKUP(Model_Input2!$C15,Trend!$B$1:$K$122,BX$1,0),""),"NA")</f>
        <v/>
      </c>
      <c r="BY15" s="256" t="str">
        <f>IFERROR(IF($C15&lt;&gt;"",HLOOKUP(Model_Input2!$C15,Trend!$B$1:$K$122,BY$1,0),""),"NA")</f>
        <v/>
      </c>
      <c r="BZ15" s="256" t="str">
        <f>IFERROR(IF($C15&lt;&gt;"",HLOOKUP(Model_Input2!$C15,Trend!$B$1:$K$122,BZ$1,0),""),"NA")</f>
        <v/>
      </c>
      <c r="CA15" s="256" t="str">
        <f>IFERROR(IF($C15&lt;&gt;"",HLOOKUP(Model_Input2!$C15,Trend!$B$1:$K$122,CA$1,0),""),"NA")</f>
        <v/>
      </c>
      <c r="CB15" s="256" t="str">
        <f>IFERROR(IF($C15&lt;&gt;"",HLOOKUP(Model_Input2!$C15,Trend!$B$1:$K$122,CB$1,0),""),"NA")</f>
        <v/>
      </c>
      <c r="CC15" s="256" t="str">
        <f>IFERROR(IF($C15&lt;&gt;"",HLOOKUP(Model_Input2!$C15,Trend!$B$1:$K$122,CC$1,0),""),"NA")</f>
        <v/>
      </c>
      <c r="CD15" s="38" t="str">
        <f>IFERROR(IF($C15&lt;&gt;"",HLOOKUP(Model_Input2!$C15,Trend!$B$1:$K$122,CD$1,0),""),"NA")</f>
        <v/>
      </c>
      <c r="CE15" s="38" t="str">
        <f>IFERROR(IF($C15&lt;&gt;"",HLOOKUP(Model_Input2!$C15,Trend!$B$1:$K$122,CE$1,0),""),"NA")</f>
        <v/>
      </c>
      <c r="CF15" s="38" t="str">
        <f>IFERROR(IF($C15&lt;&gt;"",HLOOKUP(Model_Input2!$C15,Trend!$B$1:$K$122,CF$1,0),""),"NA")</f>
        <v/>
      </c>
      <c r="CG15" s="38" t="str">
        <f>IFERROR(IF($C15&lt;&gt;"",HLOOKUP(Model_Input2!$C15,Trend!$B$1:$K$122,CG$1,0),""),"NA")</f>
        <v/>
      </c>
      <c r="CH15" s="38" t="str">
        <f>IFERROR(IF($C15&lt;&gt;"",HLOOKUP(Model_Input2!$C15,Trend!$B$1:$K$122,CH$1,0),""),"NA")</f>
        <v/>
      </c>
      <c r="CI15" s="38" t="str">
        <f>IFERROR(IF($C15&lt;&gt;"",HLOOKUP(Model_Input2!$C15,Trend!$B$1:$K$122,CI$1,0),""),"NA")</f>
        <v/>
      </c>
      <c r="CJ15" s="38" t="str">
        <f>IFERROR(IF($C15&lt;&gt;"",HLOOKUP(Model_Input2!$C15,Trend!$B$1:$K$122,CJ$1,0),""),"NA")</f>
        <v/>
      </c>
      <c r="CK15" s="256" t="str">
        <f>IFERROR(IF($C15&lt;&gt;"",HLOOKUP(Model_Input2!$C15,Trend!$B$1:$K$122,CK$1,0),""),"NA")</f>
        <v/>
      </c>
      <c r="CL15" s="256" t="str">
        <f>IFERROR(IF($C15&lt;&gt;"",HLOOKUP(Model_Input2!$C15,Trend!$B$1:$K$122,CL$1,0),""),"NA")</f>
        <v/>
      </c>
      <c r="CM15" s="256" t="str">
        <f>IFERROR(IF($C15&lt;&gt;"",HLOOKUP(Model_Input2!$C15,Trend!$B$1:$K$122,CM$1,0),""),"NA")</f>
        <v/>
      </c>
      <c r="CN15" s="256" t="str">
        <f>IFERROR(IF($C15&lt;&gt;"",HLOOKUP(Model_Input2!$C15,Trend!$B$1:$K$122,CN$1,0),""),"NA")</f>
        <v/>
      </c>
      <c r="CO15" s="256" t="str">
        <f>IFERROR(IF($C15&lt;&gt;"",HLOOKUP(Model_Input2!$C15,Trend!$B$1:$K$122,CO$1,0),""),"NA")</f>
        <v/>
      </c>
      <c r="CP15" s="256" t="str">
        <f>IFERROR(IF($C15&lt;&gt;"",HLOOKUP(Model_Input2!$C15,Trend!$B$1:$K$122,CP$1,0),""),"NA")</f>
        <v/>
      </c>
      <c r="CQ15" s="256" t="str">
        <f>IFERROR(IF($C15&lt;&gt;"",HLOOKUP(Model_Input2!$C15,Trend!$B$1:$K$122,CQ$1,0),""),"NA")</f>
        <v/>
      </c>
      <c r="CR15" s="256" t="str">
        <f>IFERROR(IF($C15&lt;&gt;"",HLOOKUP(Model_Input2!$C15,Trend!$B$1:$K$122,CR$1,0),""),"NA")</f>
        <v/>
      </c>
      <c r="CS15" s="256" t="str">
        <f>IFERROR(IF($C15&lt;&gt;"",HLOOKUP(Model_Input2!$C15,Trend!$B$1:$K$122,CS$1,0),""),"NA")</f>
        <v/>
      </c>
      <c r="CT15" s="38" t="str">
        <f>IFERROR(IF($C15&lt;&gt;"",HLOOKUP(Model_Input2!$C15,Trend!$B$1:$K$122,CT$1,0),""),"NA")</f>
        <v/>
      </c>
      <c r="CU15" s="38" t="str">
        <f>IFERROR(IF($C15&lt;&gt;"",HLOOKUP(Model_Input2!$C15,Trend!$B$1:$K$122,CU$1,0),""),"NA")</f>
        <v/>
      </c>
      <c r="CV15" s="38" t="str">
        <f>IFERROR(IF($C15&lt;&gt;"",HLOOKUP(Model_Input2!$C15,Trend!$B$1:$K$122,CV$1,0),""),"NA")</f>
        <v/>
      </c>
      <c r="CW15" s="38" t="str">
        <f>IFERROR(IF($C15&lt;&gt;"",HLOOKUP(Model_Input2!$C15,Trend!$B$1:$K$122,CW$1,0),""),"NA")</f>
        <v/>
      </c>
      <c r="CX15" s="256" t="str">
        <f>IFERROR(IF($C15&lt;&gt;"",HLOOKUP(Model_Input2!$C15,Trend!$B$1:$K$122,CX$1,0),""),"NA")</f>
        <v/>
      </c>
      <c r="CY15" s="256" t="str">
        <f>IFERROR(IF($C15&lt;&gt;"",HLOOKUP(Model_Input2!$C15,Trend!$B$1:$K$122,CY$1,0),""),"NA")</f>
        <v/>
      </c>
      <c r="CZ15" s="38" t="str">
        <f>IFERROR(IF($C15&lt;&gt;"",HLOOKUP(Model_Input2!$C15,Trend!$B$1:$K$122,CZ$1,0),""),"NA")</f>
        <v/>
      </c>
      <c r="DA15" s="38" t="str">
        <f>IFERROR(IF($C15&lt;&gt;"",HLOOKUP(Model_Input2!$C15,Trend!$B$1:$K$122,DA$1,0),""),"NA")</f>
        <v/>
      </c>
      <c r="DB15" s="256" t="str">
        <f>IFERROR(IF($C15&lt;&gt;"",HLOOKUP(Model_Input2!$C15,Trend!$B$1:$K$122,DB$1,0),""),"NA")</f>
        <v/>
      </c>
      <c r="DC15" s="256" t="str">
        <f>IFERROR(IF($C15&lt;&gt;"",HLOOKUP(Model_Input2!$C15,Trend!$B$1:$K$122,DC$1,0),""),"NA")</f>
        <v/>
      </c>
      <c r="DD15" s="256" t="str">
        <f>IFERROR(IF($C15&lt;&gt;"",HLOOKUP(Model_Input2!$C15,Trend!$B$1:$K$122,DD$1,0),""),"NA")</f>
        <v/>
      </c>
      <c r="DE15" s="256" t="str">
        <f>IFERROR(IF($C15&lt;&gt;"",HLOOKUP(Model_Input2!$C15,Trend!$B$1:$K$122,DE$1,0),""),"NA")</f>
        <v/>
      </c>
      <c r="DF15" s="256" t="str">
        <f>IFERROR(IF($C15&lt;&gt;"",HLOOKUP(Model_Input2!$C15,Trend!$B$1:$K$122,DF$1,0),""),"NA")</f>
        <v/>
      </c>
      <c r="DG15" s="256" t="str">
        <f>IFERROR(IF($C15&lt;&gt;"",HLOOKUP(Model_Input2!$C15,Trend!$B$1:$K$122,DG$1,0),""),"NA")</f>
        <v/>
      </c>
      <c r="DH15" s="256" t="str">
        <f>IFERROR(IF($C15&lt;&gt;"",HLOOKUP(Model_Input2!$C15,Trend!$B$1:$K$122,DH$1,0),""),"NA")</f>
        <v/>
      </c>
      <c r="DI15" s="256" t="str">
        <f>IFERROR(IF($C15&lt;&gt;"",HLOOKUP(Model_Input2!$C15,Trend!$B$1:$K$122,DI$1,0),""),"NA")</f>
        <v/>
      </c>
      <c r="DJ15" s="38" t="str">
        <f>IFERROR(IF($C15&lt;&gt;"",HLOOKUP(Model_Input2!$C15,Trend!$B$1:$K$122,DJ$1,0),""),"NA")</f>
        <v/>
      </c>
      <c r="DK15" s="38" t="str">
        <f>IFERROR(IF($C15&lt;&gt;"",HLOOKUP(Model_Input2!$C15,Trend!$B$1:$K$122,DK$1,0),""),"NA")</f>
        <v/>
      </c>
      <c r="DL15" s="256" t="str">
        <f>IFERROR(IF($C15&lt;&gt;"",HLOOKUP(Model_Input2!$C15,Trend!$B$1:$K$122,DL$1,0),""),"NA")</f>
        <v/>
      </c>
      <c r="DM15" s="256" t="str">
        <f>IFERROR(IF($C15&lt;&gt;"",HLOOKUP(Model_Input2!$C15,Trend!$B$1:$K$122,DM$1,0),""),"NA")</f>
        <v/>
      </c>
      <c r="DN15" s="256" t="str">
        <f>IFERROR(IF($C15&lt;&gt;"",HLOOKUP(Model_Input2!$C15,Trend!$B$1:$K$122,DN$1,0),""),"NA")</f>
        <v/>
      </c>
      <c r="DO15" s="256" t="str">
        <f>IFERROR(IF($C15&lt;&gt;"",HLOOKUP(Model_Input2!$C15,Trend!$B$1:$K$122,DO$1,0),""),"NA")</f>
        <v/>
      </c>
      <c r="DP15" s="256" t="str">
        <f>IFERROR(IF($C15&lt;&gt;"",HLOOKUP(Model_Input2!$C15,Trend!$B$1:$K$122,DP$1,0),""),"NA")</f>
        <v/>
      </c>
      <c r="DQ15" s="256" t="str">
        <f>IFERROR(IF($C15&lt;&gt;"",HLOOKUP(Model_Input2!$C15,Trend!$B$1:$K$122,DQ$1,0),""),"NA")</f>
        <v/>
      </c>
      <c r="DR15" s="256" t="str">
        <f>IFERROR(IF($C15&lt;&gt;"",HLOOKUP(Model_Input2!$C15,Trend!$B$1:$K$122,DR$1,0),""),"NA")</f>
        <v/>
      </c>
      <c r="DS15" s="256" t="str">
        <f>IFERROR(IF($C15&lt;&gt;"",HLOOKUP(Model_Input2!$C15,Trend!$B$1:$K$122,DS$1,0),""),"NA")</f>
        <v/>
      </c>
      <c r="DT15" s="256" t="str">
        <f>IFERROR(IF($C15&lt;&gt;"",HLOOKUP(Model_Input2!$C15,Trend!$B$1:$K$122,DT$1,0),""),"NA")</f>
        <v/>
      </c>
      <c r="DU15" s="256" t="str">
        <f>IFERROR(IF($C15&lt;&gt;"",HLOOKUP(Model_Input2!$C15,Trend!$B$1:$K$122,DU$1,0),""),"NA")</f>
        <v/>
      </c>
      <c r="DV15" s="256" t="str">
        <f>IFERROR(IF($C15&lt;&gt;"",HLOOKUP(Model_Input2!$C15,Trend!$B$1:$K$122,DV$1,0),""),"NA")</f>
        <v/>
      </c>
      <c r="DW15" s="256" t="str">
        <f>IFERROR(IF($C15&lt;&gt;"",HLOOKUP(Model_Input2!$C15,Trend!$B$1:$K$122,DW$1,0),""),"NA")</f>
        <v/>
      </c>
      <c r="DX15" s="256" t="str">
        <f>IFERROR(IF($C15&lt;&gt;"",HLOOKUP(Model_Input2!$C15,Trend!$B$1:$K$122,DX$1,0),""),"NA")</f>
        <v/>
      </c>
      <c r="DY15" s="256" t="str">
        <f>IFERROR(IF($C15&lt;&gt;"",HLOOKUP(Model_Input2!$C15,Trend!$B$1:$K$122,DY$1,0),""),"NA")</f>
        <v/>
      </c>
    </row>
    <row r="16" spans="1:129" x14ac:dyDescent="0.25">
      <c r="A16" t="str">
        <f t="shared" si="2"/>
        <v/>
      </c>
      <c r="B16" t="str">
        <f>IF(C16&lt;&gt;"",'Data Sheet'!$B$1,"")</f>
        <v/>
      </c>
      <c r="D16" s="9" t="str">
        <f>IF(C16&lt;&gt;"",HLOOKUP(Model_Input2!$C16,'Data Sheet'!$B$16:$K$31,D$1,0),"")</f>
        <v/>
      </c>
      <c r="E16" s="9" t="str">
        <f>IFERROR(IF($C16&lt;&gt;"",HLOOKUP(Model_Input2!$C16,'Data Sheet'!$B$16:$K$31,E$1,0),""),"NA")</f>
        <v/>
      </c>
      <c r="F16" s="9" t="str">
        <f>IFERROR(IF($C16&lt;&gt;"",HLOOKUP(Model_Input2!$C16,'Data Sheet'!$B$16:$K$31,F$1,0),""),"NA")</f>
        <v/>
      </c>
      <c r="G16" s="9" t="str">
        <f>IFERROR(IF($C16&lt;&gt;"",HLOOKUP(Model_Input2!$C16,'Data Sheet'!$B$16:$K$31,G$1,0),""),"NA")</f>
        <v/>
      </c>
      <c r="H16" s="9" t="str">
        <f>IFERROR(IF($C16&lt;&gt;"",HLOOKUP(Model_Input2!$C16,'Data Sheet'!$B$16:$K$31,H$1,0),""),"NA")</f>
        <v/>
      </c>
      <c r="I16" s="9" t="str">
        <f>IFERROR(IF($C16&lt;&gt;"",HLOOKUP(Model_Input2!$C16,'Data Sheet'!$B$16:$K$31,I$1,0),""),"NA")</f>
        <v/>
      </c>
      <c r="J16" s="9" t="str">
        <f>IFERROR(IF($C16&lt;&gt;"",HLOOKUP(Model_Input2!$C16,'Data Sheet'!$B$16:$K$31,J$1,0),""),"NA")</f>
        <v/>
      </c>
      <c r="K16" s="9" t="str">
        <f>IFERROR(IF($C16&lt;&gt;"",HLOOKUP(Model_Input2!$C16,'Data Sheet'!$B$16:$K$31,K$1,0),""),"NA")</f>
        <v/>
      </c>
      <c r="L16" s="9" t="str">
        <f>IFERROR(IF($C16&lt;&gt;"",HLOOKUP(Model_Input2!$C16,'Data Sheet'!$B$16:$K$31,L$1,0),""),"NA")</f>
        <v/>
      </c>
      <c r="M16" s="9" t="str">
        <f>IFERROR(IF($C16&lt;&gt;"",HLOOKUP(Model_Input2!$C16,'Data Sheet'!$B$16:$K$31,M$1,0),""),"NA")</f>
        <v/>
      </c>
      <c r="N16" s="9" t="str">
        <f>IFERROR(IF($C16&lt;&gt;"",HLOOKUP(Model_Input2!$C16,'Data Sheet'!$B$16:$K$31,N$1,0),""),"NA")</f>
        <v/>
      </c>
      <c r="O16" s="9" t="str">
        <f>IFERROR(IF($C16&lt;&gt;"",HLOOKUP(Model_Input2!$C16,'Data Sheet'!$B$16:$K$31,O$1,0),""),"NA")</f>
        <v/>
      </c>
      <c r="P16" s="9" t="str">
        <f>IFERROR(IF($C16&lt;&gt;"",HLOOKUP(Model_Input2!$C16,'Data Sheet'!$B$16:$K$31,P$1,0),""),"NA")</f>
        <v/>
      </c>
      <c r="Q16" s="9" t="str">
        <f>IFERROR(IF($C16&lt;&gt;"",HLOOKUP(Model_Input2!$C16,'Data Sheet'!$B$16:$K$31,Q$1,0),""),"NA")</f>
        <v/>
      </c>
      <c r="R16" s="9" t="str">
        <f>IFERROR(IF($C16&lt;&gt;"",HLOOKUP(Model_Input2!$C16,'Data Sheet'!$B$16:$K$31,R$1,0),""),"NA")</f>
        <v/>
      </c>
      <c r="S16" t="str">
        <f>IFERROR(IF($C16&lt;&gt;"",HLOOKUP(Model_Input2!$C16,'Data Sheet'!$B$56:$K$72,S$1,0),""),"NA")</f>
        <v/>
      </c>
      <c r="T16" t="str">
        <f>IFERROR(IF($C16&lt;&gt;"",HLOOKUP(Model_Input2!$C16,'Data Sheet'!$B$56:$K$72,T$1,0),""),"NA")</f>
        <v/>
      </c>
      <c r="U16" t="str">
        <f>IFERROR(IF($C16&lt;&gt;"",HLOOKUP(Model_Input2!$C16,'Data Sheet'!$B$56:$K$72,U$1,0),""),"NA")</f>
        <v/>
      </c>
      <c r="V16" t="str">
        <f>IFERROR(IF($C16&lt;&gt;"",HLOOKUP(Model_Input2!$C16,'Data Sheet'!$B$56:$K$72,V$1,0),""),"NA")</f>
        <v/>
      </c>
      <c r="W16" t="str">
        <f>IFERROR(IF($C16&lt;&gt;"",HLOOKUP(Model_Input2!$C16,'Data Sheet'!$B$56:$K$72,W$1,0),""),"NA")</f>
        <v/>
      </c>
      <c r="X16" t="str">
        <f>IFERROR(IF($C16&lt;&gt;"",HLOOKUP(Model_Input2!$C16,'Data Sheet'!$B$56:$K$72,X$1,0),""),"NA")</f>
        <v/>
      </c>
      <c r="Y16" t="str">
        <f>IFERROR(IF($C16&lt;&gt;"",HLOOKUP(Model_Input2!$C16,'Data Sheet'!$B$56:$K$72,Y$1,0),""),"NA")</f>
        <v/>
      </c>
      <c r="Z16" t="str">
        <f>IFERROR(IF($C16&lt;&gt;"",HLOOKUP(Model_Input2!$C16,'Data Sheet'!$B$56:$K$72,Z$1,0),""),"NA")</f>
        <v/>
      </c>
      <c r="AA16" t="str">
        <f>IFERROR(IF($C16&lt;&gt;"",HLOOKUP(Model_Input2!$C16,'Data Sheet'!$B$56:$K$72,AA$1,0),""),"NA")</f>
        <v/>
      </c>
      <c r="AB16" t="str">
        <f>IFERROR(IF($C16&lt;&gt;"",HLOOKUP(Model_Input2!$C16,'Data Sheet'!$B$56:$K$72,AB$1,0),""),"NA")</f>
        <v/>
      </c>
      <c r="AC16" t="str">
        <f>IFERROR(IF($C16&lt;&gt;"",HLOOKUP(Model_Input2!$C16,'Data Sheet'!$B$56:$K$72,AC$1,0),""),"NA")</f>
        <v/>
      </c>
      <c r="AD16" t="str">
        <f>IFERROR(IF($C16&lt;&gt;"",HLOOKUP(Model_Input2!$C16,'Data Sheet'!$B$56:$K$72,AD$1,0),""),"NA")</f>
        <v/>
      </c>
      <c r="AE16" t="str">
        <f>IFERROR(IF($C16&lt;&gt;"",HLOOKUP(Model_Input2!$C16,'Data Sheet'!$B$56:$K$72,AE$1,0),""),"NA")</f>
        <v/>
      </c>
      <c r="AF16" t="str">
        <f>IFERROR(IF($C16&lt;&gt;"",HLOOKUP(Model_Input2!$C16,'Data Sheet'!$B$56:$K$72,AF$1,0),""),"NA")</f>
        <v/>
      </c>
      <c r="AG16" t="str">
        <f>IFERROR(IF($C16&lt;&gt;"",HLOOKUP(Model_Input2!$C16,'Data Sheet'!$B$56:$K$72,AG$1,0),""),"NA")</f>
        <v/>
      </c>
      <c r="AH16" t="str">
        <f>IFERROR(IF($C16&lt;&gt;"",HLOOKUP(Model_Input2!$C16,'Data Sheet'!$B$56:$K$72,AH$1,0),""),"NA")</f>
        <v/>
      </c>
      <c r="AI16" t="str">
        <f>IFERROR(IF($C16&lt;&gt;"",HLOOKUP(Model_Input2!$C16,'Data Sheet'!$B$81:$K$85,AI$1,0),""),"NA")</f>
        <v/>
      </c>
      <c r="AJ16" t="str">
        <f>IFERROR(IF($C16&lt;&gt;"",HLOOKUP(Model_Input2!$C16,'Data Sheet'!$B$81:$K$85,AJ$1,0),""),"NA")</f>
        <v/>
      </c>
      <c r="AK16" t="str">
        <f>IFERROR(IF($C16&lt;&gt;"",HLOOKUP(Model_Input2!$C16,'Data Sheet'!$B$81:$K$85,AK$1,0),""),"NA")</f>
        <v/>
      </c>
      <c r="AL16" t="str">
        <f>IFERROR(IF($C16&lt;&gt;"",HLOOKUP(Model_Input2!$C16,'Data Sheet'!$B$81:$K$85,AL$1,0),""),"NA")</f>
        <v/>
      </c>
      <c r="AM16" s="38" t="str">
        <f>IFERROR(IF($C16&lt;&gt;"",HLOOKUP(Model_Input2!$C16,Trend!$B$1:$K$3,AM$1,0),""),"NA")</f>
        <v/>
      </c>
      <c r="AN16" s="38" t="str">
        <f>IFERROR(IF($C16&lt;&gt;"",HLOOKUP(Model_Input2!$C16,Trend!$B$1:$K$3,AN$1,0),""),"NA")</f>
        <v/>
      </c>
      <c r="AO16" s="38" t="str">
        <f>IFERROR(IF($C16&lt;&gt;"",HLOOKUP(Model_Input2!$C16,Trend!$B$1:$K$122,AO$1,0),""),"NA")</f>
        <v/>
      </c>
      <c r="AP16" s="38" t="str">
        <f>IFERROR(IF($C16&lt;&gt;"",HLOOKUP(Model_Input2!$C16,Trend!$B$1:$K$122,AP$1,0),""),"NA")</f>
        <v/>
      </c>
      <c r="AQ16" s="38" t="str">
        <f>IFERROR(IF($C16&lt;&gt;"",HLOOKUP(Model_Input2!$C16,Trend!$B$1:$K$122,AQ$1,0),""),"NA")</f>
        <v/>
      </c>
      <c r="AR16" s="38" t="str">
        <f>IFERROR(IF($C16&lt;&gt;"",HLOOKUP(Model_Input2!$C16,Trend!$B$1:$K$122,AR$1,0),""),"NA")</f>
        <v/>
      </c>
      <c r="AS16" s="38" t="str">
        <f>IFERROR(IF($C16&lt;&gt;"",HLOOKUP(Model_Input2!$C16,Trend!$B$1:$K$122,AS$1,0),""),"NA")</f>
        <v/>
      </c>
      <c r="AT16" s="38" t="str">
        <f>IFERROR(IF($C16&lt;&gt;"",HLOOKUP(Model_Input2!$C16,Trend!$B$1:$K$122,AT$1,0),""),"NA")</f>
        <v/>
      </c>
      <c r="AU16" s="38" t="str">
        <f>IFERROR(IF($C16&lt;&gt;"",HLOOKUP(Model_Input2!$C16,Trend!$B$1:$K$122,AU$1,0),""),"NA")</f>
        <v/>
      </c>
      <c r="AV16" s="256" t="str">
        <f>IFERROR(IF($C16&lt;&gt;"",HLOOKUP(Model_Input2!$C16,Trend!$B$1:$K$122,AV$1,0),""),"NA")</f>
        <v/>
      </c>
      <c r="AW16" s="256" t="str">
        <f>IFERROR(IF($C16&lt;&gt;"",HLOOKUP(Model_Input2!$C16,Trend!$B$1:$K$122,AW$1,0),""),"NA")</f>
        <v/>
      </c>
      <c r="AX16" s="256" t="str">
        <f>IFERROR(IF($C16&lt;&gt;"",HLOOKUP(Model_Input2!$C16,Trend!$B$1:$K$122,AX$1,0),""),"NA")</f>
        <v/>
      </c>
      <c r="AY16" s="256" t="str">
        <f>IFERROR(IF($C16&lt;&gt;"",HLOOKUP(Model_Input2!$C16,Trend!$B$1:$K$122,AY$1,0),""),"NA")</f>
        <v/>
      </c>
      <c r="AZ16" s="256" t="str">
        <f>IFERROR(IF($C16&lt;&gt;"",HLOOKUP(Model_Input2!$C16,Trend!$B$1:$K$122,AZ$1,0),""),"NA")</f>
        <v/>
      </c>
      <c r="BA16" s="256" t="str">
        <f>IFERROR(IF($C16&lt;&gt;"",HLOOKUP(Model_Input2!$C16,Trend!$B$1:$K$122,BA$1,0),""),"NA")</f>
        <v/>
      </c>
      <c r="BB16" s="38" t="str">
        <f>IFERROR(IF($C16&lt;&gt;"",HLOOKUP(Model_Input2!$C16,Trend!$B$1:$K$122,BB$1,0),""),"NA")</f>
        <v/>
      </c>
      <c r="BC16" s="256" t="str">
        <f>IFERROR(IF($C16&lt;&gt;"",HLOOKUP(Model_Input2!$C16,Trend!$B$1:$K$122,BC$1,0),""),"NA")</f>
        <v/>
      </c>
      <c r="BD16" s="256" t="str">
        <f>IFERROR(IF($C16&lt;&gt;"",HLOOKUP(Model_Input2!$C16,Trend!$B$1:$K$122,BD$1,0),""),"NA")</f>
        <v/>
      </c>
      <c r="BE16" s="256" t="str">
        <f>IFERROR(IF($C16&lt;&gt;"",HLOOKUP(Model_Input2!$C16,Trend!$B$1:$K$122,BE$1,0),""),"NA")</f>
        <v/>
      </c>
      <c r="BF16" s="256" t="str">
        <f>IFERROR(IF($C16&lt;&gt;"",HLOOKUP(Model_Input2!$C16,Trend!$B$1:$K$122,BF$1,0),""),"NA")</f>
        <v/>
      </c>
      <c r="BG16" s="256" t="str">
        <f>IFERROR(IF($C16&lt;&gt;"",HLOOKUP(Model_Input2!$C16,Trend!$B$1:$K$122,BG$1,0),""),"NA")</f>
        <v/>
      </c>
      <c r="BH16" s="256" t="str">
        <f>IFERROR(IF($C16&lt;&gt;"",HLOOKUP(Model_Input2!$C16,Trend!$B$1:$K$122,BH$1,0),""),"NA")</f>
        <v/>
      </c>
      <c r="BI16" s="256" t="str">
        <f>IFERROR(IF($C16&lt;&gt;"",HLOOKUP(Model_Input2!$C16,Trend!$B$1:$K$122,BI$1,0),""),"NA")</f>
        <v/>
      </c>
      <c r="BJ16" s="256" t="str">
        <f>IFERROR(IF($C16&lt;&gt;"",HLOOKUP(Model_Input2!$C16,Trend!$B$1:$K$122,BJ$1,0),""),"NA")</f>
        <v/>
      </c>
      <c r="BK16" s="256" t="str">
        <f>IFERROR(IF($C16&lt;&gt;"",HLOOKUP(Model_Input2!$C16,Trend!$B$1:$K$122,BK$1,0),""),"NA")</f>
        <v/>
      </c>
      <c r="BL16" s="256" t="str">
        <f>IFERROR(IF($C16&lt;&gt;"",HLOOKUP(Model_Input2!$C16,Trend!$B$1:$K$122,BL$1,0),""),"NA")</f>
        <v/>
      </c>
      <c r="BM16" s="256" t="str">
        <f>IFERROR(IF($C16&lt;&gt;"",HLOOKUP(Model_Input2!$C16,Trend!$B$1:$K$122,BM$1,0),""),"NA")</f>
        <v/>
      </c>
      <c r="BN16" s="256" t="str">
        <f>IFERROR(IF($C16&lt;&gt;"",HLOOKUP(Model_Input2!$C16,Trend!$B$1:$K$122,BN$1,0),""),"NA")</f>
        <v/>
      </c>
      <c r="BO16" s="256" t="str">
        <f>IFERROR(IF($C16&lt;&gt;"",HLOOKUP(Model_Input2!$C16,Trend!$B$1:$K$122,BO$1,0),""),"NA")</f>
        <v/>
      </c>
      <c r="BP16" s="256" t="str">
        <f>IFERROR(IF($C16&lt;&gt;"",HLOOKUP(Model_Input2!$C16,Trend!$B$1:$K$122,BP$1,0),""),"NA")</f>
        <v/>
      </c>
      <c r="BQ16" s="256" t="str">
        <f>IFERROR(IF($C16&lt;&gt;"",HLOOKUP(Model_Input2!$C16,Trend!$B$1:$K$122,BQ$1,0),""),"NA")</f>
        <v/>
      </c>
      <c r="BR16" s="256" t="str">
        <f>IFERROR(IF($C16&lt;&gt;"",HLOOKUP(Model_Input2!$C16,Trend!$B$1:$K$122,BR$1,0),""),"NA")</f>
        <v/>
      </c>
      <c r="BS16" s="256" t="str">
        <f>IFERROR(IF($C16&lt;&gt;"",HLOOKUP(Model_Input2!$C16,Trend!$B$1:$K$122,BS$1,0),""),"NA")</f>
        <v/>
      </c>
      <c r="BT16" s="256" t="str">
        <f>IFERROR(IF($C16&lt;&gt;"",HLOOKUP(Model_Input2!$C16,Trend!$B$1:$K$122,BT$1,0),""),"NA")</f>
        <v/>
      </c>
      <c r="BU16" s="256" t="str">
        <f>IFERROR(IF($C16&lt;&gt;"",HLOOKUP(Model_Input2!$C16,Trend!$B$1:$K$122,BU$1,0),""),"NA")</f>
        <v/>
      </c>
      <c r="BV16" s="256" t="str">
        <f>IFERROR(IF($C16&lt;&gt;"",HLOOKUP(Model_Input2!$C16,Trend!$B$1:$K$122,BV$1,0),""),"NA")</f>
        <v/>
      </c>
      <c r="BW16" s="256" t="str">
        <f>IFERROR(IF($C16&lt;&gt;"",HLOOKUP(Model_Input2!$C16,Trend!$B$1:$K$122,BW$1,0),""),"NA")</f>
        <v/>
      </c>
      <c r="BX16" s="256" t="str">
        <f>IFERROR(IF($C16&lt;&gt;"",HLOOKUP(Model_Input2!$C16,Trend!$B$1:$K$122,BX$1,0),""),"NA")</f>
        <v/>
      </c>
      <c r="BY16" s="256" t="str">
        <f>IFERROR(IF($C16&lt;&gt;"",HLOOKUP(Model_Input2!$C16,Trend!$B$1:$K$122,BY$1,0),""),"NA")</f>
        <v/>
      </c>
      <c r="BZ16" s="256" t="str">
        <f>IFERROR(IF($C16&lt;&gt;"",HLOOKUP(Model_Input2!$C16,Trend!$B$1:$K$122,BZ$1,0),""),"NA")</f>
        <v/>
      </c>
      <c r="CA16" s="256" t="str">
        <f>IFERROR(IF($C16&lt;&gt;"",HLOOKUP(Model_Input2!$C16,Trend!$B$1:$K$122,CA$1,0),""),"NA")</f>
        <v/>
      </c>
      <c r="CB16" s="256" t="str">
        <f>IFERROR(IF($C16&lt;&gt;"",HLOOKUP(Model_Input2!$C16,Trend!$B$1:$K$122,CB$1,0),""),"NA")</f>
        <v/>
      </c>
      <c r="CC16" s="256" t="str">
        <f>IFERROR(IF($C16&lt;&gt;"",HLOOKUP(Model_Input2!$C16,Trend!$B$1:$K$122,CC$1,0),""),"NA")</f>
        <v/>
      </c>
      <c r="CD16" s="38" t="str">
        <f>IFERROR(IF($C16&lt;&gt;"",HLOOKUP(Model_Input2!$C16,Trend!$B$1:$K$122,CD$1,0),""),"NA")</f>
        <v/>
      </c>
      <c r="CE16" s="38" t="str">
        <f>IFERROR(IF($C16&lt;&gt;"",HLOOKUP(Model_Input2!$C16,Trend!$B$1:$K$122,CE$1,0),""),"NA")</f>
        <v/>
      </c>
      <c r="CF16" s="38" t="str">
        <f>IFERROR(IF($C16&lt;&gt;"",HLOOKUP(Model_Input2!$C16,Trend!$B$1:$K$122,CF$1,0),""),"NA")</f>
        <v/>
      </c>
      <c r="CG16" s="38" t="str">
        <f>IFERROR(IF($C16&lt;&gt;"",HLOOKUP(Model_Input2!$C16,Trend!$B$1:$K$122,CG$1,0),""),"NA")</f>
        <v/>
      </c>
      <c r="CH16" s="38" t="str">
        <f>IFERROR(IF($C16&lt;&gt;"",HLOOKUP(Model_Input2!$C16,Trend!$B$1:$K$122,CH$1,0),""),"NA")</f>
        <v/>
      </c>
      <c r="CI16" s="38" t="str">
        <f>IFERROR(IF($C16&lt;&gt;"",HLOOKUP(Model_Input2!$C16,Trend!$B$1:$K$122,CI$1,0),""),"NA")</f>
        <v/>
      </c>
      <c r="CJ16" s="38" t="str">
        <f>IFERROR(IF($C16&lt;&gt;"",HLOOKUP(Model_Input2!$C16,Trend!$B$1:$K$122,CJ$1,0),""),"NA")</f>
        <v/>
      </c>
      <c r="CK16" s="256" t="str">
        <f>IFERROR(IF($C16&lt;&gt;"",HLOOKUP(Model_Input2!$C16,Trend!$B$1:$K$122,CK$1,0),""),"NA")</f>
        <v/>
      </c>
      <c r="CL16" s="256" t="str">
        <f>IFERROR(IF($C16&lt;&gt;"",HLOOKUP(Model_Input2!$C16,Trend!$B$1:$K$122,CL$1,0),""),"NA")</f>
        <v/>
      </c>
      <c r="CM16" s="256" t="str">
        <f>IFERROR(IF($C16&lt;&gt;"",HLOOKUP(Model_Input2!$C16,Trend!$B$1:$K$122,CM$1,0),""),"NA")</f>
        <v/>
      </c>
      <c r="CN16" s="256" t="str">
        <f>IFERROR(IF($C16&lt;&gt;"",HLOOKUP(Model_Input2!$C16,Trend!$B$1:$K$122,CN$1,0),""),"NA")</f>
        <v/>
      </c>
      <c r="CO16" s="256" t="str">
        <f>IFERROR(IF($C16&lt;&gt;"",HLOOKUP(Model_Input2!$C16,Trend!$B$1:$K$122,CO$1,0),""),"NA")</f>
        <v/>
      </c>
      <c r="CP16" s="256" t="str">
        <f>IFERROR(IF($C16&lt;&gt;"",HLOOKUP(Model_Input2!$C16,Trend!$B$1:$K$122,CP$1,0),""),"NA")</f>
        <v/>
      </c>
      <c r="CQ16" s="256" t="str">
        <f>IFERROR(IF($C16&lt;&gt;"",HLOOKUP(Model_Input2!$C16,Trend!$B$1:$K$122,CQ$1,0),""),"NA")</f>
        <v/>
      </c>
      <c r="CR16" s="256" t="str">
        <f>IFERROR(IF($C16&lt;&gt;"",HLOOKUP(Model_Input2!$C16,Trend!$B$1:$K$122,CR$1,0),""),"NA")</f>
        <v/>
      </c>
      <c r="CS16" s="256" t="str">
        <f>IFERROR(IF($C16&lt;&gt;"",HLOOKUP(Model_Input2!$C16,Trend!$B$1:$K$122,CS$1,0),""),"NA")</f>
        <v/>
      </c>
      <c r="CT16" s="38" t="str">
        <f>IFERROR(IF($C16&lt;&gt;"",HLOOKUP(Model_Input2!$C16,Trend!$B$1:$K$122,CT$1,0),""),"NA")</f>
        <v/>
      </c>
      <c r="CU16" s="38" t="str">
        <f>IFERROR(IF($C16&lt;&gt;"",HLOOKUP(Model_Input2!$C16,Trend!$B$1:$K$122,CU$1,0),""),"NA")</f>
        <v/>
      </c>
      <c r="CV16" s="38" t="str">
        <f>IFERROR(IF($C16&lt;&gt;"",HLOOKUP(Model_Input2!$C16,Trend!$B$1:$K$122,CV$1,0),""),"NA")</f>
        <v/>
      </c>
      <c r="CW16" s="38" t="str">
        <f>IFERROR(IF($C16&lt;&gt;"",HLOOKUP(Model_Input2!$C16,Trend!$B$1:$K$122,CW$1,0),""),"NA")</f>
        <v/>
      </c>
      <c r="CX16" s="256" t="str">
        <f>IFERROR(IF($C16&lt;&gt;"",HLOOKUP(Model_Input2!$C16,Trend!$B$1:$K$122,CX$1,0),""),"NA")</f>
        <v/>
      </c>
      <c r="CY16" s="256" t="str">
        <f>IFERROR(IF($C16&lt;&gt;"",HLOOKUP(Model_Input2!$C16,Trend!$B$1:$K$122,CY$1,0),""),"NA")</f>
        <v/>
      </c>
      <c r="CZ16" s="38" t="str">
        <f>IFERROR(IF($C16&lt;&gt;"",HLOOKUP(Model_Input2!$C16,Trend!$B$1:$K$122,CZ$1,0),""),"NA")</f>
        <v/>
      </c>
      <c r="DA16" s="38" t="str">
        <f>IFERROR(IF($C16&lt;&gt;"",HLOOKUP(Model_Input2!$C16,Trend!$B$1:$K$122,DA$1,0),""),"NA")</f>
        <v/>
      </c>
      <c r="DB16" s="256" t="str">
        <f>IFERROR(IF($C16&lt;&gt;"",HLOOKUP(Model_Input2!$C16,Trend!$B$1:$K$122,DB$1,0),""),"NA")</f>
        <v/>
      </c>
      <c r="DC16" s="256" t="str">
        <f>IFERROR(IF($C16&lt;&gt;"",HLOOKUP(Model_Input2!$C16,Trend!$B$1:$K$122,DC$1,0),""),"NA")</f>
        <v/>
      </c>
      <c r="DD16" s="256" t="str">
        <f>IFERROR(IF($C16&lt;&gt;"",HLOOKUP(Model_Input2!$C16,Trend!$B$1:$K$122,DD$1,0),""),"NA")</f>
        <v/>
      </c>
      <c r="DE16" s="256" t="str">
        <f>IFERROR(IF($C16&lt;&gt;"",HLOOKUP(Model_Input2!$C16,Trend!$B$1:$K$122,DE$1,0),""),"NA")</f>
        <v/>
      </c>
      <c r="DF16" s="256" t="str">
        <f>IFERROR(IF($C16&lt;&gt;"",HLOOKUP(Model_Input2!$C16,Trend!$B$1:$K$122,DF$1,0),""),"NA")</f>
        <v/>
      </c>
      <c r="DG16" s="256" t="str">
        <f>IFERROR(IF($C16&lt;&gt;"",HLOOKUP(Model_Input2!$C16,Trend!$B$1:$K$122,DG$1,0),""),"NA")</f>
        <v/>
      </c>
      <c r="DH16" s="256" t="str">
        <f>IFERROR(IF($C16&lt;&gt;"",HLOOKUP(Model_Input2!$C16,Trend!$B$1:$K$122,DH$1,0),""),"NA")</f>
        <v/>
      </c>
      <c r="DI16" s="256" t="str">
        <f>IFERROR(IF($C16&lt;&gt;"",HLOOKUP(Model_Input2!$C16,Trend!$B$1:$K$122,DI$1,0),""),"NA")</f>
        <v/>
      </c>
      <c r="DJ16" s="38" t="str">
        <f>IFERROR(IF($C16&lt;&gt;"",HLOOKUP(Model_Input2!$C16,Trend!$B$1:$K$122,DJ$1,0),""),"NA")</f>
        <v/>
      </c>
      <c r="DK16" s="38" t="str">
        <f>IFERROR(IF($C16&lt;&gt;"",HLOOKUP(Model_Input2!$C16,Trend!$B$1:$K$122,DK$1,0),""),"NA")</f>
        <v/>
      </c>
      <c r="DL16" s="256" t="str">
        <f>IFERROR(IF($C16&lt;&gt;"",HLOOKUP(Model_Input2!$C16,Trend!$B$1:$K$122,DL$1,0),""),"NA")</f>
        <v/>
      </c>
      <c r="DM16" s="256" t="str">
        <f>IFERROR(IF($C16&lt;&gt;"",HLOOKUP(Model_Input2!$C16,Trend!$B$1:$K$122,DM$1,0),""),"NA")</f>
        <v/>
      </c>
      <c r="DN16" s="256" t="str">
        <f>IFERROR(IF($C16&lt;&gt;"",HLOOKUP(Model_Input2!$C16,Trend!$B$1:$K$122,DN$1,0),""),"NA")</f>
        <v/>
      </c>
      <c r="DO16" s="256" t="str">
        <f>IFERROR(IF($C16&lt;&gt;"",HLOOKUP(Model_Input2!$C16,Trend!$B$1:$K$122,DO$1,0),""),"NA")</f>
        <v/>
      </c>
      <c r="DP16" s="256" t="str">
        <f>IFERROR(IF($C16&lt;&gt;"",HLOOKUP(Model_Input2!$C16,Trend!$B$1:$K$122,DP$1,0),""),"NA")</f>
        <v/>
      </c>
      <c r="DQ16" s="256" t="str">
        <f>IFERROR(IF($C16&lt;&gt;"",HLOOKUP(Model_Input2!$C16,Trend!$B$1:$K$122,DQ$1,0),""),"NA")</f>
        <v/>
      </c>
      <c r="DR16" s="256" t="str">
        <f>IFERROR(IF($C16&lt;&gt;"",HLOOKUP(Model_Input2!$C16,Trend!$B$1:$K$122,DR$1,0),""),"NA")</f>
        <v/>
      </c>
      <c r="DS16" s="256" t="str">
        <f>IFERROR(IF($C16&lt;&gt;"",HLOOKUP(Model_Input2!$C16,Trend!$B$1:$K$122,DS$1,0),""),"NA")</f>
        <v/>
      </c>
      <c r="DT16" s="256" t="str">
        <f>IFERROR(IF($C16&lt;&gt;"",HLOOKUP(Model_Input2!$C16,Trend!$B$1:$K$122,DT$1,0),""),"NA")</f>
        <v/>
      </c>
      <c r="DU16" s="256" t="str">
        <f>IFERROR(IF($C16&lt;&gt;"",HLOOKUP(Model_Input2!$C16,Trend!$B$1:$K$122,DU$1,0),""),"NA")</f>
        <v/>
      </c>
      <c r="DV16" s="256" t="str">
        <f>IFERROR(IF($C16&lt;&gt;"",HLOOKUP(Model_Input2!$C16,Trend!$B$1:$K$122,DV$1,0),""),"NA")</f>
        <v/>
      </c>
      <c r="DW16" s="256" t="str">
        <f>IFERROR(IF($C16&lt;&gt;"",HLOOKUP(Model_Input2!$C16,Trend!$B$1:$K$122,DW$1,0),""),"NA")</f>
        <v/>
      </c>
      <c r="DX16" s="256" t="str">
        <f>IFERROR(IF($C16&lt;&gt;"",HLOOKUP(Model_Input2!$C16,Trend!$B$1:$K$122,DX$1,0),""),"NA")</f>
        <v/>
      </c>
      <c r="DY16" s="256" t="str">
        <f>IFERROR(IF($C16&lt;&gt;"",HLOOKUP(Model_Input2!$C16,Trend!$B$1:$K$122,DY$1,0),""),"NA")</f>
        <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topLeftCell="A53" workbookViewId="0">
      <selection activeCell="A83" sqref="A83"/>
    </sheetView>
  </sheetViews>
  <sheetFormatPr defaultRowHeight="15" x14ac:dyDescent="0.25"/>
  <cols>
    <col min="1" max="1" width="38.5703125" customWidth="1"/>
  </cols>
  <sheetData>
    <row r="1" spans="1:2" x14ac:dyDescent="0.25">
      <c r="A1" s="245" t="s">
        <v>359</v>
      </c>
      <c r="B1" s="245" t="s">
        <v>360</v>
      </c>
    </row>
    <row r="2" spans="1:2" x14ac:dyDescent="0.25">
      <c r="A2" t="s">
        <v>361</v>
      </c>
      <c r="B2" s="85">
        <f>Trend!R17</f>
        <v>0.2095322286197967</v>
      </c>
    </row>
    <row r="3" spans="1:2" x14ac:dyDescent="0.25">
      <c r="A3" t="s">
        <v>362</v>
      </c>
      <c r="B3" s="85">
        <f>Trend!Q17</f>
        <v>0.21500371014602315</v>
      </c>
    </row>
    <row r="4" spans="1:2" x14ac:dyDescent="0.25">
      <c r="A4" t="s">
        <v>363</v>
      </c>
      <c r="B4" s="85">
        <f>Trend!P17</f>
        <v>0.38250940991425231</v>
      </c>
    </row>
    <row r="5" spans="1:2" x14ac:dyDescent="0.25">
      <c r="A5" t="s">
        <v>364</v>
      </c>
      <c r="B5" s="85" t="e">
        <f>Trend!R18</f>
        <v>#NUM!</v>
      </c>
    </row>
    <row r="6" spans="1:2" x14ac:dyDescent="0.25">
      <c r="A6" t="s">
        <v>365</v>
      </c>
      <c r="B6" s="85">
        <f>Trend!Q18</f>
        <v>2.7151276884976996</v>
      </c>
    </row>
    <row r="7" spans="1:2" x14ac:dyDescent="0.25">
      <c r="A7" t="s">
        <v>366</v>
      </c>
      <c r="B7" s="85">
        <f>Trend!P18</f>
        <v>0.28186806611695414</v>
      </c>
    </row>
    <row r="8" spans="1:2" x14ac:dyDescent="0.25">
      <c r="A8" t="s">
        <v>367</v>
      </c>
      <c r="B8" s="85">
        <f>Trend!O19</f>
        <v>5.8143290501130436E-2</v>
      </c>
    </row>
    <row r="9" spans="1:2" x14ac:dyDescent="0.25">
      <c r="A9" t="s">
        <v>368</v>
      </c>
      <c r="B9" s="85">
        <f>Trend!N19</f>
        <v>5.6513874573051195E-2</v>
      </c>
    </row>
    <row r="10" spans="1:2" x14ac:dyDescent="0.25">
      <c r="A10" t="s">
        <v>369</v>
      </c>
      <c r="B10" s="85">
        <f>Trend!M19</f>
        <v>5.525052660658171E-2</v>
      </c>
    </row>
    <row r="11" spans="1:2" x14ac:dyDescent="0.25">
      <c r="A11" t="s">
        <v>370</v>
      </c>
      <c r="B11" s="85">
        <f>Trend!O20</f>
        <v>0.18097186247253058</v>
      </c>
    </row>
    <row r="12" spans="1:2" x14ac:dyDescent="0.25">
      <c r="A12" t="s">
        <v>371</v>
      </c>
      <c r="B12" s="85">
        <f>Trend!N20</f>
        <v>0.16366539339921987</v>
      </c>
    </row>
    <row r="13" spans="1:2" x14ac:dyDescent="0.25">
      <c r="A13" t="s">
        <v>372</v>
      </c>
      <c r="B13" s="85">
        <f>Trend!M20</f>
        <v>0.1635890396767844</v>
      </c>
    </row>
    <row r="14" spans="1:2" x14ac:dyDescent="0.25">
      <c r="A14" t="s">
        <v>373</v>
      </c>
      <c r="B14" s="85">
        <f>Trend!O34</f>
        <v>0.37396692906404572</v>
      </c>
    </row>
    <row r="15" spans="1:2" x14ac:dyDescent="0.25">
      <c r="A15" t="s">
        <v>374</v>
      </c>
      <c r="B15" s="85">
        <f>Trend!N34</f>
        <v>0.37278441358960379</v>
      </c>
    </row>
    <row r="16" spans="1:2" x14ac:dyDescent="0.25">
      <c r="A16" t="s">
        <v>375</v>
      </c>
      <c r="B16" s="85">
        <f>Trend!M34</f>
        <v>0.36731672364377232</v>
      </c>
    </row>
    <row r="17" spans="1:2" x14ac:dyDescent="0.25">
      <c r="A17" t="s">
        <v>376</v>
      </c>
      <c r="B17" s="85">
        <f>Trend!O35</f>
        <v>8.7167438237398892E-2</v>
      </c>
    </row>
    <row r="18" spans="1:2" x14ac:dyDescent="0.25">
      <c r="A18" t="s">
        <v>377</v>
      </c>
      <c r="B18" s="85">
        <f>Trend!N35</f>
        <v>0.10876331372905676</v>
      </c>
    </row>
    <row r="19" spans="1:2" x14ac:dyDescent="0.25">
      <c r="A19" t="s">
        <v>378</v>
      </c>
      <c r="B19" s="85">
        <f>Trend!M35</f>
        <v>0.11517576573776717</v>
      </c>
    </row>
    <row r="20" spans="1:2" x14ac:dyDescent="0.25">
      <c r="A20" t="s">
        <v>379</v>
      </c>
      <c r="B20" s="85">
        <f>Trend!O36</f>
        <v>2.507868754868495E-2</v>
      </c>
    </row>
    <row r="21" spans="1:2" x14ac:dyDescent="0.25">
      <c r="A21" t="s">
        <v>380</v>
      </c>
      <c r="B21" s="85">
        <f>Trend!N36</f>
        <v>4.5564785060328628E-2</v>
      </c>
    </row>
    <row r="22" spans="1:2" x14ac:dyDescent="0.25">
      <c r="A22" t="s">
        <v>381</v>
      </c>
      <c r="B22" s="85">
        <f>Trend!M36</f>
        <v>6.141009703373735E-2</v>
      </c>
    </row>
    <row r="23" spans="1:2" x14ac:dyDescent="0.25">
      <c r="A23" t="s">
        <v>382</v>
      </c>
      <c r="B23" s="85">
        <f>Trend!O37</f>
        <v>0.29489805004006769</v>
      </c>
    </row>
    <row r="24" spans="1:2" x14ac:dyDescent="0.25">
      <c r="A24" t="s">
        <v>383</v>
      </c>
      <c r="B24" s="85">
        <f>Trend!N37</f>
        <v>0.28983224383712686</v>
      </c>
    </row>
    <row r="25" spans="1:2" x14ac:dyDescent="0.25">
      <c r="A25" t="s">
        <v>384</v>
      </c>
      <c r="B25" s="85">
        <f>Trend!M37</f>
        <v>0.24714225232853515</v>
      </c>
    </row>
    <row r="26" spans="1:2" x14ac:dyDescent="0.25">
      <c r="A26" t="s">
        <v>385</v>
      </c>
      <c r="B26" s="85">
        <f>Trend!O41</f>
        <v>0.74572060592217793</v>
      </c>
    </row>
    <row r="27" spans="1:2" x14ac:dyDescent="0.25">
      <c r="A27" t="s">
        <v>386</v>
      </c>
      <c r="B27" s="85">
        <f>Trend!N41</f>
        <v>0.56096683210972231</v>
      </c>
    </row>
    <row r="28" spans="1:2" x14ac:dyDescent="0.25">
      <c r="A28" t="s">
        <v>387</v>
      </c>
      <c r="B28" s="85">
        <f>Trend!M41</f>
        <v>0.62970736004439243</v>
      </c>
    </row>
    <row r="29" spans="1:2" x14ac:dyDescent="0.25">
      <c r="A29" t="s">
        <v>388</v>
      </c>
      <c r="B29" s="85">
        <f>Trend!O42</f>
        <v>0.71873407872584516</v>
      </c>
    </row>
    <row r="30" spans="1:2" x14ac:dyDescent="0.25">
      <c r="A30" t="s">
        <v>389</v>
      </c>
      <c r="B30" s="85">
        <f>Trend!N42</f>
        <v>0.54028373308972966</v>
      </c>
    </row>
    <row r="31" spans="1:2" x14ac:dyDescent="0.25">
      <c r="A31" t="s">
        <v>390</v>
      </c>
      <c r="B31" s="85">
        <f>Trend!M42</f>
        <v>0.61078839157413845</v>
      </c>
    </row>
    <row r="32" spans="1:2" x14ac:dyDescent="0.25">
      <c r="A32" t="s">
        <v>391</v>
      </c>
      <c r="B32" s="85">
        <f>Trend!O45</f>
        <v>0.1430707800944219</v>
      </c>
    </row>
    <row r="33" spans="1:2" x14ac:dyDescent="0.25">
      <c r="A33" t="s">
        <v>392</v>
      </c>
      <c r="B33" s="85">
        <f>Trend!N45</f>
        <v>0.23762014462228714</v>
      </c>
    </row>
    <row r="34" spans="1:2" x14ac:dyDescent="0.25">
      <c r="A34" t="s">
        <v>393</v>
      </c>
      <c r="B34" s="85">
        <f>Trend!M45</f>
        <v>0.34430265914352293</v>
      </c>
    </row>
    <row r="35" spans="1:2" x14ac:dyDescent="0.25">
      <c r="A35" t="s">
        <v>394</v>
      </c>
      <c r="B35" s="85">
        <f>Trend!O52</f>
        <v>3.7044383899653394E-2</v>
      </c>
    </row>
    <row r="36" spans="1:2" x14ac:dyDescent="0.25">
      <c r="A36" t="s">
        <v>395</v>
      </c>
      <c r="B36" s="85">
        <f>Trend!N52</f>
        <v>3.1083953781851314E-2</v>
      </c>
    </row>
    <row r="37" spans="1:2" x14ac:dyDescent="0.25">
      <c r="A37" t="s">
        <v>396</v>
      </c>
      <c r="B37" s="85">
        <f>Trend!M52</f>
        <v>1.4883834550387798E-2</v>
      </c>
    </row>
    <row r="38" spans="1:2" x14ac:dyDescent="0.25">
      <c r="A38" t="s">
        <v>397</v>
      </c>
      <c r="B38" s="38">
        <f>Trend!O54</f>
        <v>2.6687775518825414</v>
      </c>
    </row>
    <row r="39" spans="1:2" x14ac:dyDescent="0.25">
      <c r="A39" t="s">
        <v>398</v>
      </c>
      <c r="B39" s="38">
        <f>Trend!N54</f>
        <v>1.9131194077249212</v>
      </c>
    </row>
    <row r="40" spans="1:2" x14ac:dyDescent="0.25">
      <c r="A40" t="s">
        <v>398</v>
      </c>
      <c r="B40" s="38">
        <f>Trend!M54</f>
        <v>2.0589890638703321</v>
      </c>
    </row>
    <row r="41" spans="1:2" x14ac:dyDescent="0.25">
      <c r="A41" t="s">
        <v>399</v>
      </c>
      <c r="B41" s="38">
        <f>Trend!O55</f>
        <v>3.9062004695687831</v>
      </c>
    </row>
    <row r="42" spans="1:2" x14ac:dyDescent="0.25">
      <c r="A42" t="s">
        <v>400</v>
      </c>
      <c r="B42" s="38">
        <f>Trend!N55</f>
        <v>2.9038113693385457</v>
      </c>
    </row>
    <row r="43" spans="1:2" x14ac:dyDescent="0.25">
      <c r="A43" t="s">
        <v>401</v>
      </c>
      <c r="B43" s="38">
        <f>Trend!M55</f>
        <v>2.9493257205231895</v>
      </c>
    </row>
    <row r="44" spans="1:2" x14ac:dyDescent="0.25">
      <c r="A44" t="s">
        <v>402</v>
      </c>
      <c r="B44" s="85">
        <f>Trend!O64</f>
        <v>8.178842308249884E-2</v>
      </c>
    </row>
    <row r="45" spans="1:2" x14ac:dyDescent="0.25">
      <c r="A45" t="s">
        <v>403</v>
      </c>
      <c r="B45" s="85">
        <f>Trend!N64</f>
        <v>8.7682640032814826E-2</v>
      </c>
    </row>
    <row r="46" spans="1:2" x14ac:dyDescent="0.25">
      <c r="A46" t="s">
        <v>404</v>
      </c>
      <c r="B46" s="85">
        <f>Trend!M64</f>
        <v>7.3384900369943315E-2</v>
      </c>
    </row>
    <row r="47" spans="1:2" x14ac:dyDescent="0.25">
      <c r="A47" t="s">
        <v>405</v>
      </c>
      <c r="B47" s="85">
        <f>Trend!O65</f>
        <v>9.1191491282120479E-2</v>
      </c>
    </row>
    <row r="48" spans="1:2" x14ac:dyDescent="0.25">
      <c r="A48" t="s">
        <v>406</v>
      </c>
      <c r="B48" s="85">
        <f>Trend!N65</f>
        <v>9.6696516476109412E-2</v>
      </c>
    </row>
    <row r="49" spans="1:2" x14ac:dyDescent="0.25">
      <c r="A49" t="s">
        <v>407</v>
      </c>
      <c r="B49" s="85">
        <f>Trend!M65</f>
        <v>7.9462429555052241E-2</v>
      </c>
    </row>
    <row r="50" spans="1:2" x14ac:dyDescent="0.25">
      <c r="A50" t="s">
        <v>408</v>
      </c>
      <c r="B50" s="85">
        <f>Trend!O69</f>
        <v>0.24508565127354412</v>
      </c>
    </row>
    <row r="51" spans="1:2" x14ac:dyDescent="0.25">
      <c r="A51" t="s">
        <v>409</v>
      </c>
      <c r="B51" s="85">
        <f>Trend!N69</f>
        <v>0.20840538727874516</v>
      </c>
    </row>
    <row r="52" spans="1:2" x14ac:dyDescent="0.25">
      <c r="A52" t="s">
        <v>410</v>
      </c>
      <c r="B52" s="85">
        <f>Trend!M69</f>
        <v>0.21176473892805189</v>
      </c>
    </row>
    <row r="53" spans="1:2" x14ac:dyDescent="0.25">
      <c r="A53" t="s">
        <v>411</v>
      </c>
      <c r="B53" s="47">
        <f>Trend!O70</f>
        <v>20.390994264221749</v>
      </c>
    </row>
    <row r="54" spans="1:2" x14ac:dyDescent="0.25">
      <c r="A54" t="s">
        <v>412</v>
      </c>
      <c r="B54" s="47">
        <f>Trend!N70</f>
        <v>20.612278783707325</v>
      </c>
    </row>
    <row r="55" spans="1:2" x14ac:dyDescent="0.25">
      <c r="A55" t="s">
        <v>413</v>
      </c>
      <c r="B55" s="47">
        <f>Trend!M70</f>
        <v>20.504299389530967</v>
      </c>
    </row>
    <row r="56" spans="1:2" x14ac:dyDescent="0.25">
      <c r="A56" t="s">
        <v>414</v>
      </c>
      <c r="B56" s="38">
        <f>Trend!O71</f>
        <v>19.102296871505992</v>
      </c>
    </row>
    <row r="57" spans="1:2" x14ac:dyDescent="0.25">
      <c r="A57" t="s">
        <v>415</v>
      </c>
      <c r="B57" s="38">
        <f>Trend!N71</f>
        <v>17.925979834821952</v>
      </c>
    </row>
    <row r="58" spans="1:2" x14ac:dyDescent="0.25">
      <c r="A58" t="s">
        <v>416</v>
      </c>
      <c r="B58" s="38">
        <f>Trend!M71</f>
        <v>18.034113179319643</v>
      </c>
    </row>
    <row r="59" spans="1:2" x14ac:dyDescent="0.25">
      <c r="A59" t="s">
        <v>417</v>
      </c>
      <c r="B59" s="47">
        <f>Trend!O72</f>
        <v>67.143496133104691</v>
      </c>
    </row>
    <row r="60" spans="1:2" x14ac:dyDescent="0.25">
      <c r="A60" t="s">
        <v>418</v>
      </c>
      <c r="B60" s="47">
        <f>Trend!N72</f>
        <v>59.349074759434856</v>
      </c>
    </row>
    <row r="61" spans="1:2" x14ac:dyDescent="0.25">
      <c r="A61" t="s">
        <v>419</v>
      </c>
      <c r="B61" s="47">
        <f>Trend!M72</f>
        <v>58.961265469837429</v>
      </c>
    </row>
    <row r="62" spans="1:2" x14ac:dyDescent="0.25">
      <c r="A62" t="s">
        <v>420</v>
      </c>
      <c r="B62" s="38">
        <f>Trend!O73</f>
        <v>5.6195092758857808</v>
      </c>
    </row>
    <row r="63" spans="1:2" x14ac:dyDescent="0.25">
      <c r="A63" t="s">
        <v>421</v>
      </c>
      <c r="B63" s="38">
        <f>Trend!N73</f>
        <v>6.2140022944255717</v>
      </c>
    </row>
    <row r="64" spans="1:2" x14ac:dyDescent="0.25">
      <c r="A64" t="s">
        <v>422</v>
      </c>
      <c r="B64" s="38">
        <f>Trend!M73</f>
        <v>6.2388406491170683</v>
      </c>
    </row>
    <row r="65" spans="1:2" x14ac:dyDescent="0.25">
      <c r="A65" t="s">
        <v>423</v>
      </c>
      <c r="B65" s="85">
        <f>Trend!O74</f>
        <v>0.1160808948333603</v>
      </c>
    </row>
    <row r="66" spans="1:2" x14ac:dyDescent="0.25">
      <c r="A66" t="s">
        <v>424</v>
      </c>
      <c r="B66" s="85">
        <f>Trend!N74</f>
        <v>0.15646251957411922</v>
      </c>
    </row>
    <row r="67" spans="1:2" x14ac:dyDescent="0.25">
      <c r="A67" t="s">
        <v>425</v>
      </c>
      <c r="B67" s="85">
        <f>Trend!M74</f>
        <v>9.8060295073738035E-2</v>
      </c>
    </row>
    <row r="68" spans="1:2" x14ac:dyDescent="0.25">
      <c r="A68" t="s">
        <v>426</v>
      </c>
      <c r="B68" s="85">
        <f>Trend!O96</f>
        <v>3.0916287844160485E-2</v>
      </c>
    </row>
    <row r="69" spans="1:2" x14ac:dyDescent="0.25">
      <c r="A69" t="s">
        <v>427</v>
      </c>
      <c r="B69" s="85">
        <f>Trend!N96</f>
        <v>6.6936557022567594E-2</v>
      </c>
    </row>
    <row r="70" spans="1:2" x14ac:dyDescent="0.25">
      <c r="A70" t="s">
        <v>428</v>
      </c>
      <c r="B70" s="85">
        <f>Trend!M96</f>
        <v>6.5978500226222286E-2</v>
      </c>
    </row>
    <row r="71" spans="1:2" x14ac:dyDescent="0.25">
      <c r="A71" t="s">
        <v>429</v>
      </c>
      <c r="B71" s="38">
        <f>Trend!O97</f>
        <v>0.99184927557702951</v>
      </c>
    </row>
    <row r="72" spans="1:2" x14ac:dyDescent="0.25">
      <c r="A72" t="s">
        <v>430</v>
      </c>
      <c r="B72" s="38">
        <f>Trend!N97</f>
        <v>1.1637912004867019</v>
      </c>
    </row>
    <row r="73" spans="1:2" x14ac:dyDescent="0.25">
      <c r="A73" t="s">
        <v>431</v>
      </c>
      <c r="B73" s="38">
        <f>Trend!M97</f>
        <v>1.0728586176368415</v>
      </c>
    </row>
    <row r="74" spans="1:2" x14ac:dyDescent="0.25">
      <c r="A74" t="s">
        <v>432</v>
      </c>
      <c r="B74" s="38">
        <f>Trend!O99</f>
        <v>22.947276933812255</v>
      </c>
    </row>
    <row r="75" spans="1:2" x14ac:dyDescent="0.25">
      <c r="A75" t="s">
        <v>433</v>
      </c>
      <c r="B75" s="38">
        <f>Trend!N99</f>
        <v>2.6346063502885277</v>
      </c>
    </row>
    <row r="76" spans="1:2" x14ac:dyDescent="0.25">
      <c r="A76" t="s">
        <v>434</v>
      </c>
      <c r="B76" s="38">
        <f>Trend!M99</f>
        <v>1.465130416729074</v>
      </c>
    </row>
    <row r="77" spans="1:2" x14ac:dyDescent="0.25">
      <c r="A77" t="s">
        <v>435</v>
      </c>
      <c r="B77" s="85">
        <f>Trend!O100</f>
        <v>0.10474271603546545</v>
      </c>
    </row>
    <row r="78" spans="1:2" x14ac:dyDescent="0.25">
      <c r="A78" t="s">
        <v>436</v>
      </c>
      <c r="B78" s="85">
        <f>Trend!N100</f>
        <v>0.12863743553006637</v>
      </c>
    </row>
    <row r="79" spans="1:2" x14ac:dyDescent="0.25">
      <c r="A79" t="s">
        <v>437</v>
      </c>
      <c r="B79" s="85">
        <f>Trend!M100</f>
        <v>8.8835249643974545E-2</v>
      </c>
    </row>
    <row r="80" spans="1:2" x14ac:dyDescent="0.25">
      <c r="A80" t="s">
        <v>438</v>
      </c>
      <c r="B80" s="38">
        <f>Trend!O103</f>
        <v>20.224912820719876</v>
      </c>
    </row>
    <row r="81" spans="1:2" x14ac:dyDescent="0.25">
      <c r="A81" t="s">
        <v>439</v>
      </c>
      <c r="B81" s="38">
        <f>Trend!N103</f>
        <v>0.27753246103790136</v>
      </c>
    </row>
    <row r="82" spans="1:2" x14ac:dyDescent="0.25">
      <c r="A82" t="s">
        <v>440</v>
      </c>
      <c r="B82" s="38">
        <f>Trend!M103</f>
        <v>-2.0888069285652584</v>
      </c>
    </row>
    <row r="83" spans="1:2" x14ac:dyDescent="0.25">
      <c r="A83" t="s">
        <v>441</v>
      </c>
      <c r="B83" s="85">
        <f>Trend!O109</f>
        <v>9.3831094947321975E-2</v>
      </c>
    </row>
    <row r="84" spans="1:2" x14ac:dyDescent="0.25">
      <c r="A84" t="s">
        <v>442</v>
      </c>
      <c r="B84" s="85">
        <f>Trend!N109</f>
        <v>0.21756005232303632</v>
      </c>
    </row>
    <row r="85" spans="1:2" x14ac:dyDescent="0.25">
      <c r="A85" t="s">
        <v>443</v>
      </c>
      <c r="B85" s="85">
        <f>Trend!M109</f>
        <v>0.22770746701805611</v>
      </c>
    </row>
    <row r="86" spans="1:2" x14ac:dyDescent="0.25">
      <c r="A86" t="s">
        <v>444</v>
      </c>
      <c r="B86" s="85">
        <f>Trend!O110</f>
        <v>0.10359920224721549</v>
      </c>
    </row>
    <row r="87" spans="1:2" x14ac:dyDescent="0.25">
      <c r="A87" t="s">
        <v>445</v>
      </c>
      <c r="B87" s="85">
        <f>Trend!N110</f>
        <v>0.16227541296594789</v>
      </c>
    </row>
    <row r="88" spans="1:2" x14ac:dyDescent="0.25">
      <c r="A88" t="s">
        <v>446</v>
      </c>
      <c r="B88" s="85">
        <f>Trend!M110</f>
        <v>0.14289922019129872</v>
      </c>
    </row>
    <row r="89" spans="1:2" x14ac:dyDescent="0.25">
      <c r="A89" t="s">
        <v>447</v>
      </c>
      <c r="B89" s="85">
        <f>Trend!O120</f>
        <v>0.1452679783906799</v>
      </c>
    </row>
    <row r="90" spans="1:2" x14ac:dyDescent="0.25">
      <c r="A90" t="s">
        <v>448</v>
      </c>
      <c r="B90" s="85">
        <f>Trend!N120</f>
        <v>0.19696522683774018</v>
      </c>
    </row>
    <row r="91" spans="1:2" x14ac:dyDescent="0.25">
      <c r="A91" t="s">
        <v>449</v>
      </c>
      <c r="B91" s="85">
        <f>Trend!M120</f>
        <v>9.5061024871155864E-2</v>
      </c>
    </row>
    <row r="92" spans="1:2" x14ac:dyDescent="0.25">
      <c r="A92" t="s">
        <v>450</v>
      </c>
      <c r="B92" s="38">
        <f>Trend!O111</f>
        <v>1.112228711088364</v>
      </c>
    </row>
    <row r="93" spans="1:2" x14ac:dyDescent="0.25">
      <c r="A93" t="s">
        <v>451</v>
      </c>
      <c r="B93" s="38">
        <f>Trend!N111</f>
        <v>1.3365499537529462</v>
      </c>
    </row>
    <row r="94" spans="1:2" x14ac:dyDescent="0.25">
      <c r="A94" t="s">
        <v>452</v>
      </c>
      <c r="B94" s="38">
        <f>Trend!M111</f>
        <v>1.2147907732299346</v>
      </c>
    </row>
    <row r="95" spans="1:2" x14ac:dyDescent="0.25">
      <c r="A95" t="s">
        <v>453</v>
      </c>
      <c r="B95" s="85">
        <f>Trend!O112</f>
        <v>3.5406054919119967E-2</v>
      </c>
    </row>
    <row r="96" spans="1:2" x14ac:dyDescent="0.25">
      <c r="A96" t="s">
        <v>454</v>
      </c>
      <c r="B96" s="85">
        <f>Trend!N112</f>
        <v>7.6616174791166114E-2</v>
      </c>
    </row>
    <row r="97" spans="1:2" x14ac:dyDescent="0.25">
      <c r="A97" t="s">
        <v>455</v>
      </c>
      <c r="B97" s="85">
        <f>Trend!M112</f>
        <v>7.4675031474308581E-2</v>
      </c>
    </row>
    <row r="98" spans="1:2" x14ac:dyDescent="0.25">
      <c r="A98" t="s">
        <v>456</v>
      </c>
      <c r="B98" s="85">
        <f>Trend!O113</f>
        <v>0.13083023660625268</v>
      </c>
    </row>
    <row r="99" spans="1:2" x14ac:dyDescent="0.25">
      <c r="A99" t="s">
        <v>457</v>
      </c>
      <c r="B99" s="85">
        <f>Trend!N113</f>
        <v>0.18091632306347</v>
      </c>
    </row>
    <row r="100" spans="1:2" x14ac:dyDescent="0.25">
      <c r="A100" t="s">
        <v>458</v>
      </c>
      <c r="B100" s="85">
        <f>Trend!M113</f>
        <v>0.11127630834077372</v>
      </c>
    </row>
    <row r="101" spans="1:2" x14ac:dyDescent="0.25">
      <c r="A101" t="s">
        <v>459</v>
      </c>
      <c r="B101" s="85">
        <f>Trend!O114</f>
        <v>3.0148814811543346E-2</v>
      </c>
    </row>
    <row r="102" spans="1:2" x14ac:dyDescent="0.25">
      <c r="A102" t="s">
        <v>460</v>
      </c>
      <c r="B102" s="85">
        <f>Trend!N114</f>
        <v>5.4833452338334697E-3</v>
      </c>
    </row>
    <row r="103" spans="1:2" x14ac:dyDescent="0.25">
      <c r="A103" t="s">
        <v>461</v>
      </c>
      <c r="B103" s="85">
        <f>Trend!M114</f>
        <v>-0.14828607672090319</v>
      </c>
    </row>
    <row r="104" spans="1:2" x14ac:dyDescent="0.25">
      <c r="A104" t="s">
        <v>462</v>
      </c>
      <c r="B104" s="38">
        <f>Trend!O115</f>
        <v>0.4758328490017727</v>
      </c>
    </row>
    <row r="105" spans="1:2" x14ac:dyDescent="0.25">
      <c r="A105" t="s">
        <v>463</v>
      </c>
      <c r="B105" s="38">
        <f>Trend!N115</f>
        <v>-0.89563521708155813</v>
      </c>
    </row>
    <row r="106" spans="1:2" x14ac:dyDescent="0.25">
      <c r="A106" t="s">
        <v>464</v>
      </c>
      <c r="B106" s="38">
        <f>Trend!M115</f>
        <v>2.176245864836396</v>
      </c>
    </row>
    <row r="107" spans="1:2" x14ac:dyDescent="0.25">
      <c r="A107" t="s">
        <v>465</v>
      </c>
      <c r="B107" s="85">
        <f>Trend!O116</f>
        <v>-5.3577446563263097E-2</v>
      </c>
    </row>
    <row r="108" spans="1:2" x14ac:dyDescent="0.25">
      <c r="A108" t="s">
        <v>466</v>
      </c>
      <c r="B108" s="85">
        <f>Trend!N116</f>
        <v>-0.11834950082776877</v>
      </c>
    </row>
    <row r="109" spans="1:2" x14ac:dyDescent="0.25">
      <c r="A109" t="s">
        <v>467</v>
      </c>
      <c r="B109" s="85">
        <f>Trend!M116</f>
        <v>0.20338570214417406</v>
      </c>
    </row>
    <row r="110" spans="1:2" x14ac:dyDescent="0.25">
      <c r="A110" t="s">
        <v>468</v>
      </c>
      <c r="B110" s="85">
        <f>Trend!O117</f>
        <v>-0.39019153079400132</v>
      </c>
    </row>
    <row r="111" spans="1:2" x14ac:dyDescent="0.25">
      <c r="A111" t="s">
        <v>469</v>
      </c>
      <c r="B111" s="85">
        <f>Trend!N117</f>
        <v>-0.45648284336498152</v>
      </c>
    </row>
    <row r="112" spans="1:2" x14ac:dyDescent="0.25">
      <c r="A112" t="s">
        <v>470</v>
      </c>
      <c r="B112" s="85">
        <f>Trend!M117</f>
        <v>0.21239648715140133</v>
      </c>
    </row>
    <row r="113" spans="1:2" x14ac:dyDescent="0.25">
      <c r="A113" t="s">
        <v>471</v>
      </c>
      <c r="B113" s="85">
        <f>Trend!O118</f>
        <v>-0.48853562434981679</v>
      </c>
    </row>
    <row r="114" spans="1:2" x14ac:dyDescent="0.25">
      <c r="A114" t="s">
        <v>472</v>
      </c>
      <c r="B114" s="85">
        <f>Trend!N118</f>
        <v>-0.81193808032980697</v>
      </c>
    </row>
    <row r="115" spans="1:2" x14ac:dyDescent="0.25">
      <c r="A115" t="s">
        <v>473</v>
      </c>
      <c r="B115" s="85">
        <f>Trend!M118</f>
        <v>-0.34233486275537461</v>
      </c>
    </row>
    <row r="116" spans="1:2" x14ac:dyDescent="0.25">
      <c r="A116" t="s">
        <v>474</v>
      </c>
      <c r="B116" s="85">
        <f>Trend!N121</f>
        <v>1.9390750416658518E-2</v>
      </c>
    </row>
    <row r="117" spans="1:2" x14ac:dyDescent="0.25">
      <c r="A117" t="s">
        <v>475</v>
      </c>
      <c r="B117" s="85">
        <f>Trend!M121</f>
        <v>1.6740178915500243E-2</v>
      </c>
    </row>
    <row r="118" spans="1:2" x14ac:dyDescent="0.25">
      <c r="A118" t="s">
        <v>476</v>
      </c>
      <c r="B118" s="85">
        <f>Trend!O122</f>
        <v>4.106755626760146E-2</v>
      </c>
    </row>
    <row r="119" spans="1:2" x14ac:dyDescent="0.25">
      <c r="A119" t="s">
        <v>477</v>
      </c>
      <c r="B119" s="85">
        <f>Trend!N122</f>
        <v>8.213511253520292E-2</v>
      </c>
    </row>
    <row r="120" spans="1:2" x14ac:dyDescent="0.25">
      <c r="A120" t="s">
        <v>478</v>
      </c>
      <c r="B120" s="85">
        <f>Trend!M122</f>
        <v>0.10392271487322012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8"/>
  <sheetViews>
    <sheetView topLeftCell="A52" zoomScaleNormal="100" workbookViewId="0">
      <selection activeCell="A70" sqref="A70"/>
    </sheetView>
  </sheetViews>
  <sheetFormatPr defaultColWidth="14.42578125" defaultRowHeight="12" x14ac:dyDescent="0.2"/>
  <cols>
    <col min="1" max="1" width="17.28515625" style="101" customWidth="1"/>
    <col min="2" max="2" width="16.28515625" style="101" customWidth="1"/>
    <col min="3" max="4" width="14.42578125" style="101"/>
    <col min="5" max="5" width="12.28515625" style="101" customWidth="1"/>
    <col min="6" max="6" width="14.7109375" style="101" customWidth="1"/>
    <col min="7" max="7" width="14.42578125" style="101"/>
    <col min="8" max="8" width="11.140625" style="101" customWidth="1"/>
    <col min="9" max="9" width="10.7109375" style="101" customWidth="1"/>
    <col min="10" max="10" width="14.42578125" style="101"/>
    <col min="11" max="11" width="11.85546875" style="101" customWidth="1"/>
    <col min="12" max="12" width="14.42578125" style="101"/>
    <col min="13" max="13" width="13.28515625" style="101" customWidth="1"/>
    <col min="14" max="14" width="15.28515625" style="101" customWidth="1"/>
    <col min="15" max="16384" width="14.42578125" style="101"/>
  </cols>
  <sheetData>
    <row r="1" spans="1:35" ht="14.25" customHeight="1" x14ac:dyDescent="0.2">
      <c r="A1" s="422" t="s">
        <v>184</v>
      </c>
      <c r="B1" s="422"/>
      <c r="C1" s="422"/>
      <c r="D1" s="422"/>
      <c r="E1" s="422"/>
      <c r="F1" s="422"/>
      <c r="G1" s="422"/>
      <c r="H1" s="422"/>
      <c r="I1" s="422"/>
      <c r="J1" s="422"/>
      <c r="K1" s="422" t="s">
        <v>185</v>
      </c>
      <c r="L1" s="422"/>
      <c r="M1" s="422"/>
      <c r="N1" s="422"/>
      <c r="O1" s="422"/>
      <c r="P1" s="422"/>
      <c r="Q1" s="422"/>
      <c r="R1" s="422"/>
      <c r="S1" s="422"/>
      <c r="T1" s="422"/>
      <c r="U1" s="422"/>
      <c r="V1" s="422"/>
      <c r="W1" s="422"/>
      <c r="X1" s="422"/>
      <c r="Y1" s="422"/>
      <c r="Z1" s="422"/>
      <c r="AA1" s="422"/>
      <c r="AB1" s="422"/>
      <c r="AC1" s="422"/>
      <c r="AD1" s="422"/>
      <c r="AE1" s="422"/>
      <c r="AF1" s="422"/>
      <c r="AG1" s="422"/>
      <c r="AH1" s="422"/>
      <c r="AI1" s="422"/>
    </row>
    <row r="2" spans="1:35" ht="15.75" customHeight="1" x14ac:dyDescent="0.2">
      <c r="A2" s="102"/>
      <c r="B2" s="103" t="s">
        <v>186</v>
      </c>
      <c r="C2" s="103" t="s">
        <v>187</v>
      </c>
      <c r="D2" s="103" t="s">
        <v>188</v>
      </c>
      <c r="E2" s="103" t="s">
        <v>189</v>
      </c>
      <c r="F2" s="103" t="s">
        <v>190</v>
      </c>
      <c r="G2" s="103" t="s">
        <v>191</v>
      </c>
      <c r="H2" s="103" t="s">
        <v>192</v>
      </c>
      <c r="I2" s="103" t="s">
        <v>193</v>
      </c>
      <c r="J2" s="103" t="s">
        <v>194</v>
      </c>
      <c r="K2" s="103" t="s">
        <v>195</v>
      </c>
      <c r="L2" s="103" t="s">
        <v>196</v>
      </c>
      <c r="M2" s="103" t="s">
        <v>197</v>
      </c>
      <c r="N2" s="103" t="s">
        <v>145</v>
      </c>
      <c r="O2" s="103" t="s">
        <v>198</v>
      </c>
      <c r="P2" s="103" t="s">
        <v>199</v>
      </c>
      <c r="Q2" s="103" t="s">
        <v>200</v>
      </c>
      <c r="R2" s="103" t="s">
        <v>201</v>
      </c>
      <c r="S2" s="103" t="s">
        <v>202</v>
      </c>
      <c r="T2" s="103" t="s">
        <v>203</v>
      </c>
      <c r="U2" s="103" t="s">
        <v>204</v>
      </c>
      <c r="V2" s="103" t="s">
        <v>205</v>
      </c>
      <c r="W2" s="103" t="s">
        <v>206</v>
      </c>
      <c r="X2" s="103" t="s">
        <v>207</v>
      </c>
      <c r="Y2" s="103" t="s">
        <v>208</v>
      </c>
      <c r="Z2" s="103" t="s">
        <v>209</v>
      </c>
      <c r="AA2" s="103" t="s">
        <v>210</v>
      </c>
      <c r="AB2" s="103" t="s">
        <v>211</v>
      </c>
      <c r="AC2" s="103" t="s">
        <v>212</v>
      </c>
      <c r="AD2" s="103" t="s">
        <v>213</v>
      </c>
      <c r="AE2" s="103" t="s">
        <v>214</v>
      </c>
      <c r="AF2" s="103" t="s">
        <v>215</v>
      </c>
      <c r="AG2" s="103" t="s">
        <v>216</v>
      </c>
      <c r="AH2" s="103" t="s">
        <v>217</v>
      </c>
      <c r="AI2" s="103" t="s">
        <v>218</v>
      </c>
    </row>
    <row r="3" spans="1:35" ht="12.75" customHeight="1" x14ac:dyDescent="0.2">
      <c r="A3" s="104" t="s">
        <v>219</v>
      </c>
      <c r="B3" s="105">
        <f>MIN(Other_input_data!H85:M85)</f>
        <v>2.1164265575043126</v>
      </c>
      <c r="C3" s="105">
        <f>MIN(Other_input_data!G87:L87)</f>
        <v>0.32685642753288713</v>
      </c>
      <c r="D3" s="105">
        <f>MIN(Other_input_data!G91:L91)</f>
        <v>2.6473572560186653</v>
      </c>
      <c r="E3" s="105">
        <f>MIN(Other_input_data!G90:L90)</f>
        <v>6.6134433831426559E-2</v>
      </c>
      <c r="F3" s="106">
        <f>MIN(Other_input_data!G92:L92)</f>
        <v>0</v>
      </c>
      <c r="G3" s="107">
        <f>MIN(Other_input_data!G93:L93)</f>
        <v>249.61931566999999</v>
      </c>
      <c r="H3" s="106">
        <f>MIN('Financial Analysis'!F61:K61)</f>
        <v>-0.10393047237563757</v>
      </c>
      <c r="I3" s="108">
        <f>MIN('Financial Analysis'!F127:K127)</f>
        <v>-0.98816277322670787</v>
      </c>
      <c r="J3" s="109">
        <f>1/B4</f>
        <v>9.4762342622718918E-2</v>
      </c>
      <c r="K3" s="109">
        <f>MIN('Financial Analysis'!F27:K27)</f>
        <v>0.80763402547405483</v>
      </c>
      <c r="L3" s="109">
        <f>MIN(F60:K60)</f>
        <v>0.10548680831193091</v>
      </c>
      <c r="M3" s="109"/>
      <c r="N3" s="109">
        <f>MIN('Financial Analysis'!F31:K31)</f>
        <v>7.0044361428904967E-4</v>
      </c>
      <c r="O3" s="109">
        <f>MIN('Financial Analysis'!F32:K32)</f>
        <v>0</v>
      </c>
      <c r="P3" s="110">
        <f>MIN('Financial Analysis'!F111:K111)</f>
        <v>1.0143540669856459</v>
      </c>
      <c r="Q3" s="110">
        <f>MIN(Analysis2!F47:K47)</f>
        <v>1.3384264538198403</v>
      </c>
      <c r="R3" s="110">
        <f>MIN(F54:K54)</f>
        <v>2.67506207875133</v>
      </c>
      <c r="S3" s="111">
        <f>MIN(F49:K49)</f>
        <v>0.19500757668837285</v>
      </c>
      <c r="T3" s="110">
        <f>MIN(F51:K51)</f>
        <v>52.843305893434902</v>
      </c>
      <c r="U3" s="110"/>
      <c r="V3" s="110"/>
      <c r="W3" s="110"/>
      <c r="X3" s="112">
        <f>MIN('Financial Analysis'!B34:K34)</f>
        <v>0.14477618052995864</v>
      </c>
      <c r="Y3" s="111">
        <f>MIN('Financial Analysis'!F33:K33)</f>
        <v>4.3194022881158069E-2</v>
      </c>
      <c r="Z3" s="110">
        <f>MIN('Financial Analysis'!F75:K75)</f>
        <v>1.0072874626231598</v>
      </c>
      <c r="AA3" s="111">
        <f>MIN('Financial Analysis'!F69:K69)</f>
        <v>8.6380650734235525E-4</v>
      </c>
      <c r="AB3" s="110">
        <f>MIN('Financial Analysis'!F76:K76)</f>
        <v>2.7011022424933482</v>
      </c>
      <c r="AC3" s="111">
        <f>MIN('Financial Analysis'!F73:K73)</f>
        <v>3.4618047542118624E-3</v>
      </c>
      <c r="AD3" s="111">
        <f>MIN('Financial Analysis'!F71:K71)</f>
        <v>6.3174205852553789E-2</v>
      </c>
      <c r="AE3" s="109"/>
      <c r="AF3" s="109"/>
      <c r="AG3" s="109"/>
      <c r="AH3" s="109"/>
      <c r="AI3" s="109"/>
    </row>
    <row r="4" spans="1:35" ht="12.75" customHeight="1" x14ac:dyDescent="0.2">
      <c r="A4" s="104" t="s">
        <v>220</v>
      </c>
      <c r="B4" s="105">
        <f>MAX(Other_input_data!H85:M85)</f>
        <v>10.552715058779622</v>
      </c>
      <c r="C4" s="105">
        <f>MAX(Other_input_data!G87:L87)</f>
        <v>2.32918099703322</v>
      </c>
      <c r="D4" s="105">
        <f>MAX(Other_input_data!G91:L91)</f>
        <v>8.6542177283996704</v>
      </c>
      <c r="E4" s="105">
        <f>MAX(Other_input_data!G90:L90)</f>
        <v>0.63925335448584708</v>
      </c>
      <c r="F4" s="106">
        <f>MAX(Other_input_data!G92:L92)</f>
        <v>4.6733215336791901E-2</v>
      </c>
      <c r="G4" s="107">
        <f>MAX(Other_input_data!G93:L93)</f>
        <v>1158.88629601</v>
      </c>
      <c r="H4" s="106">
        <f>MAX('Financial Analysis'!F61:K61)</f>
        <v>0.12321781536419785</v>
      </c>
      <c r="I4" s="105">
        <f>MAX('Financial Analysis'!F127:K127)</f>
        <v>0.87097780701449423</v>
      </c>
      <c r="J4" s="106">
        <f>1/B3</f>
        <v>0.4724945434341925</v>
      </c>
      <c r="K4" s="106">
        <f>MAX('Financial Analysis'!F27:K27)</f>
        <v>0.89481671725426104</v>
      </c>
      <c r="L4" s="106">
        <f>MAX(F60:K60)</f>
        <v>0.19308268829094485</v>
      </c>
      <c r="M4" s="106"/>
      <c r="N4" s="106">
        <f>MAX('Financial Analysis'!F31:K31)</f>
        <v>7.1220870704836806E-2</v>
      </c>
      <c r="O4" s="106">
        <f>MAX('Financial Analysis'!F32:K32)</f>
        <v>0.33051010587102986</v>
      </c>
      <c r="P4" s="113">
        <f>MAX('Financial Analysis'!F111:K111)</f>
        <v>4.1483812949640289</v>
      </c>
      <c r="Q4" s="113">
        <f>MAX(Analysis2!F47:K47)</f>
        <v>2.8723747980613892</v>
      </c>
      <c r="R4" s="113">
        <f>MAX(F54:K54)</f>
        <v>9.8831058020477816</v>
      </c>
      <c r="S4" s="114">
        <f>MAX(F49:K49)</f>
        <v>0.24307728227877656</v>
      </c>
      <c r="T4" s="113">
        <f>MAX(F51:K51)</f>
        <v>67.018271494227108</v>
      </c>
      <c r="U4" s="113"/>
      <c r="V4" s="113"/>
      <c r="W4" s="113"/>
      <c r="X4" s="115">
        <f>MAX('Financial Analysis'!B34:K34)</f>
        <v>0.2517966550753436</v>
      </c>
      <c r="Y4" s="114">
        <f>MAX('Financial Analysis'!F33:K33)</f>
        <v>6.5566856456924102E-2</v>
      </c>
      <c r="Z4" s="113">
        <f>MAX('Financial Analysis'!F75:K75)</f>
        <v>1.3743280893817016</v>
      </c>
      <c r="AA4" s="114">
        <f>MAX('Financial Analysis'!F69:K69)</f>
        <v>9.7880843159879563E-2</v>
      </c>
      <c r="AB4" s="113">
        <f>MAX('Financial Analysis'!F76:K76)</f>
        <v>4.0076159704592662</v>
      </c>
      <c r="AC4" s="114">
        <f>MAX('Financial Analysis'!F73:K73)</f>
        <v>0.26438616495629036</v>
      </c>
      <c r="AD4" s="114">
        <f>MAX('Financial Analysis'!F71:K71)</f>
        <v>0.22563552434822182</v>
      </c>
      <c r="AE4" s="106"/>
      <c r="AF4" s="106"/>
      <c r="AG4" s="106"/>
      <c r="AH4" s="106"/>
      <c r="AI4" s="106"/>
    </row>
    <row r="5" spans="1:35" ht="12.75" customHeight="1" x14ac:dyDescent="0.2">
      <c r="A5" s="116" t="s">
        <v>221</v>
      </c>
      <c r="B5" s="117">
        <f>AVERAGE(Other_input_data!G85:L85)</f>
        <v>20.225791920304612</v>
      </c>
      <c r="C5" s="117">
        <f>AVERAGE(Other_input_data!G87:L87)</f>
        <v>1.0325554299642885</v>
      </c>
      <c r="D5" s="117">
        <f>AVERAGE(Other_input_data!G91:L91)</f>
        <v>5.1594360900165199</v>
      </c>
      <c r="E5" s="117">
        <f>AVERAGE(Other_input_data!G90:L90)</f>
        <v>0.27315119375942326</v>
      </c>
      <c r="F5" s="118">
        <f>AVERAGE(Other_input_data!G92:L92)</f>
        <v>1.6158958680548771E-2</v>
      </c>
      <c r="G5" s="119"/>
      <c r="H5" s="118">
        <f>AVERAGE('Financial Analysis'!F61:K61)</f>
        <v>7.0241714125346784E-3</v>
      </c>
      <c r="I5" s="117"/>
      <c r="J5" s="118">
        <f>1/B5</f>
        <v>4.9441821805558228E-2</v>
      </c>
      <c r="K5" s="118">
        <f>AVERAGE('Financial Analysis'!F27:K27)</f>
        <v>0.84295442250097319</v>
      </c>
      <c r="L5" s="118">
        <f>AVERAGE(F60:K60)</f>
        <v>0.15901218586169075</v>
      </c>
      <c r="M5" s="118"/>
      <c r="N5" s="118">
        <f>AVERAGE('Financial Analysis'!F31:K31)</f>
        <v>4.8146402791826692E-2</v>
      </c>
      <c r="O5" s="118">
        <f>AVERAGE('Financial Analysis'!F32:K32)</f>
        <v>0.23353289447824119</v>
      </c>
      <c r="P5" s="120">
        <f>AVERAGE('Financial Analysis'!F111:K111)</f>
        <v>2.8761716813525844</v>
      </c>
      <c r="Q5" s="120">
        <f>AVERAGE(Analysis2!F47:K47)</f>
        <v>2.0729953061143322</v>
      </c>
      <c r="R5" s="120">
        <f>AVERAGE(F54:K54)</f>
        <v>4.0670271081234182</v>
      </c>
      <c r="S5" s="121">
        <f>AVERAGE(F49:K49)</f>
        <v>0.21418403644541706</v>
      </c>
      <c r="T5" s="120">
        <f>AVERAGE(F51:K51)</f>
        <v>60.412675537913351</v>
      </c>
      <c r="U5" s="120"/>
      <c r="V5" s="120"/>
      <c r="W5" s="120"/>
      <c r="X5" s="122">
        <f>AVERAGE('Financial Analysis'!B34:K34)</f>
        <v>0.17781064200162383</v>
      </c>
      <c r="Y5" s="121">
        <f>AVERAGE('Financial Analysis'!F33:K33)</f>
        <v>5.4259001036602438E-2</v>
      </c>
      <c r="Z5" s="120">
        <f>AVERAGE('Financial Analysis'!F75:K75)</f>
        <v>1.1753639599026575</v>
      </c>
      <c r="AA5" s="121">
        <f>AVERAGE('Financial Analysis'!F69:K69)</f>
        <v>5.592443193669671E-2</v>
      </c>
      <c r="AB5" s="120">
        <f>AVERAGE('Financial Analysis'!F76:K76)</f>
        <v>3.4495832420379351</v>
      </c>
      <c r="AC5" s="121">
        <f>AVERAGE('Financial Analysis'!F73:K73)</f>
        <v>0.18187701106156554</v>
      </c>
      <c r="AD5" s="121">
        <f>AVERAGE('Financial Analysis'!F71:K71)</f>
        <v>0.14575854511371553</v>
      </c>
      <c r="AE5" s="118"/>
      <c r="AF5" s="118"/>
      <c r="AG5" s="118"/>
      <c r="AH5" s="118"/>
      <c r="AI5" s="118"/>
    </row>
    <row r="6" spans="1:35" ht="12.75" customHeight="1" x14ac:dyDescent="0.2">
      <c r="A6" s="123" t="s">
        <v>222</v>
      </c>
      <c r="B6" s="124">
        <f>'Data Sheet'!B8/'Profit &amp; Loss'!L13</f>
        <v>10.552715058779622</v>
      </c>
      <c r="C6" s="124">
        <f>Other_input_data!L87</f>
        <v>2.32918099703322</v>
      </c>
      <c r="D6" s="124" t="e">
        <f>Other_input_data!M91</f>
        <v>#DIV/0!</v>
      </c>
      <c r="E6" s="124" t="e">
        <f>Other_input_data!M90</f>
        <v>#DIV/0!</v>
      </c>
      <c r="F6" s="125" t="e">
        <f>Other_input_data!M92</f>
        <v>#DIV/0!</v>
      </c>
      <c r="G6" s="126">
        <f>Other_input_data!M93</f>
        <v>0</v>
      </c>
      <c r="H6" s="125">
        <f>'Financial Analysis'!L61</f>
        <v>3.5623587206343954E-2</v>
      </c>
      <c r="I6" s="124">
        <f>'Financial Analysis'!L127</f>
        <v>-0.46624912975129218</v>
      </c>
      <c r="J6" s="125">
        <f>1/B6</f>
        <v>9.4762342622718918E-2</v>
      </c>
      <c r="K6" s="125">
        <f>'Financial Analysis'!L27</f>
        <v>0.86863636363636365</v>
      </c>
      <c r="L6" s="125">
        <f>L60</f>
        <v>0.14346782660866961</v>
      </c>
      <c r="M6" s="125"/>
      <c r="N6" s="125">
        <f>'Financial Analysis'!L31</f>
        <v>4.68444055944056E-2</v>
      </c>
      <c r="O6" s="125">
        <f>'Financial Analysis'!L32</f>
        <v>0.18380462724935734</v>
      </c>
      <c r="P6" s="127">
        <f>'Financial Analysis'!L111</f>
        <v>3.189077082613204</v>
      </c>
      <c r="Q6" s="127">
        <f>Analysis2!L47</f>
        <v>2.1996720927509075</v>
      </c>
      <c r="R6" s="127">
        <f>K54</f>
        <v>2.9251031121109858</v>
      </c>
      <c r="S6" s="128">
        <f>K49</f>
        <v>0.22002828430007071</v>
      </c>
      <c r="T6" s="127">
        <f>K51</f>
        <v>66.494460991236153</v>
      </c>
      <c r="U6" s="127"/>
      <c r="V6" s="127"/>
      <c r="W6" s="127"/>
      <c r="X6" s="129">
        <f>'Financial Analysis'!K34</f>
        <v>0.18217660545544151</v>
      </c>
      <c r="Y6" s="128">
        <f>'Financial Analysis'!K33</f>
        <v>5.1779553879448881E-2</v>
      </c>
      <c r="Z6" s="127">
        <f>'Financial Analysis'!L75</f>
        <v>1.0075998013688279</v>
      </c>
      <c r="AA6" s="128">
        <f>'Financial Analysis'!K69</f>
        <v>6.1694410259731845E-2</v>
      </c>
      <c r="AB6" s="127">
        <f>'Financial Analysis'!K76</f>
        <v>3.6161142990982551</v>
      </c>
      <c r="AC6" s="128">
        <f>'Financial Analysis'!K73</f>
        <v>0.22309403911465039</v>
      </c>
      <c r="AD6" s="128">
        <f>'Financial Analysis'!K71</f>
        <v>0.11255886587121487</v>
      </c>
      <c r="AE6" s="125"/>
      <c r="AF6" s="125"/>
      <c r="AG6" s="125"/>
      <c r="AH6" s="125"/>
      <c r="AI6" s="125"/>
    </row>
    <row r="7" spans="1:35" ht="12.75" customHeight="1" x14ac:dyDescent="0.2">
      <c r="A7" s="116" t="s">
        <v>223</v>
      </c>
      <c r="B7" s="130">
        <f>(B5-B6)/B5</f>
        <v>0.47825454249898702</v>
      </c>
      <c r="C7" s="130">
        <f>(C5-C6)/C5</f>
        <v>-1.2557442723571519</v>
      </c>
      <c r="D7" s="130" t="e">
        <f>(D5-D6)/D5</f>
        <v>#DIV/0!</v>
      </c>
      <c r="E7" s="130" t="e">
        <f>(E5-E6)/E5</f>
        <v>#DIV/0!</v>
      </c>
      <c r="F7" s="131"/>
      <c r="G7" s="131"/>
      <c r="H7" s="131"/>
      <c r="I7" s="130">
        <f>1-I6-(B6/100)</f>
        <v>1.3607219791634961</v>
      </c>
      <c r="J7" s="130">
        <f>(J6-J5)/J6</f>
        <v>0.47825454249898697</v>
      </c>
      <c r="K7" s="132">
        <f>K5-K6</f>
        <v>-2.5681941135390463E-2</v>
      </c>
      <c r="L7" s="132">
        <f>L6-L5</f>
        <v>-1.5544359253021139E-2</v>
      </c>
      <c r="M7" s="132"/>
      <c r="N7" s="132">
        <f>N6-N5</f>
        <v>-1.3019971974210925E-3</v>
      </c>
      <c r="O7" s="132">
        <f>O5-O6</f>
        <v>4.9728267228883849E-2</v>
      </c>
      <c r="P7" s="133" t="str">
        <f>IF(P6&gt;4,"Positive","Negative")</f>
        <v>Negative</v>
      </c>
      <c r="Q7" s="133" t="str">
        <f>IF(Q6&lt;0.5,"Positive","Negative")</f>
        <v>Negative</v>
      </c>
      <c r="R7" s="133" t="str">
        <f>IF(R6&gt;1,"Positive","Negative")</f>
        <v>Positive</v>
      </c>
      <c r="S7" s="132">
        <f>S5-S6</f>
        <v>-5.8442478546536503E-3</v>
      </c>
      <c r="T7" s="134">
        <f>T5-T6</f>
        <v>-6.0817854533228015</v>
      </c>
      <c r="U7" s="133"/>
      <c r="V7" s="133"/>
      <c r="W7" s="133"/>
      <c r="X7" s="135">
        <f>X5-X6</f>
        <v>-4.3659634538176784E-3</v>
      </c>
      <c r="Y7" s="135">
        <f>Y5-Y6</f>
        <v>2.4794471571535567E-3</v>
      </c>
      <c r="Z7" s="135">
        <f>Z6-Z5</f>
        <v>-0.16776415853382964</v>
      </c>
      <c r="AA7" s="135">
        <f>AA6-AA5</f>
        <v>5.7699783230351354E-3</v>
      </c>
      <c r="AB7" s="135">
        <f>AB5-AB6</f>
        <v>-0.16653105706032001</v>
      </c>
      <c r="AC7" s="135">
        <f>AC6-AC5</f>
        <v>4.1217028053084859E-2</v>
      </c>
      <c r="AD7" s="135">
        <f>AD6-AD5</f>
        <v>-3.3199679242500654E-2</v>
      </c>
      <c r="AE7" s="133"/>
      <c r="AF7" s="133"/>
      <c r="AG7" s="133"/>
      <c r="AH7" s="133"/>
      <c r="AI7" s="133"/>
    </row>
    <row r="8" spans="1:35" ht="12.75" customHeight="1" x14ac:dyDescent="0.2">
      <c r="A8" s="116" t="s">
        <v>224</v>
      </c>
      <c r="B8" s="130">
        <f>(10-B6)/10</f>
        <v>-5.5271505877962215E-2</v>
      </c>
      <c r="C8" s="131"/>
      <c r="D8" s="131"/>
      <c r="E8" s="131"/>
      <c r="F8" s="131"/>
      <c r="G8" s="131"/>
      <c r="H8" s="131"/>
      <c r="I8" s="130">
        <f>(1-I6)/1</f>
        <v>1.4662491297512923</v>
      </c>
      <c r="J8" s="130">
        <f>(J6-0.08)/0.08</f>
        <v>0.18452928278398645</v>
      </c>
    </row>
    <row r="9" spans="1:35" ht="8.25" customHeight="1" x14ac:dyDescent="0.2">
      <c r="A9" s="136"/>
      <c r="B9" s="136"/>
      <c r="C9" s="136"/>
      <c r="D9" s="136"/>
      <c r="E9" s="137"/>
      <c r="F9" s="138"/>
      <c r="G9" s="138"/>
      <c r="H9" s="138"/>
      <c r="I9" s="138"/>
      <c r="J9" s="138"/>
      <c r="K9" s="138"/>
      <c r="L9" s="138"/>
      <c r="M9" s="138"/>
      <c r="N9" s="138"/>
      <c r="O9" s="138"/>
    </row>
    <row r="10" spans="1:35" ht="13.5" customHeight="1" x14ac:dyDescent="0.2">
      <c r="A10" s="139"/>
      <c r="B10" s="139" t="s">
        <v>225</v>
      </c>
      <c r="C10" s="139" t="s">
        <v>226</v>
      </c>
      <c r="D10" s="139" t="s">
        <v>227</v>
      </c>
      <c r="E10" s="139" t="s">
        <v>228</v>
      </c>
      <c r="F10" s="140" t="s">
        <v>146</v>
      </c>
      <c r="G10" s="140" t="s">
        <v>145</v>
      </c>
      <c r="H10" s="140" t="s">
        <v>229</v>
      </c>
      <c r="I10" s="140" t="s">
        <v>157</v>
      </c>
      <c r="J10" s="140" t="s">
        <v>162</v>
      </c>
      <c r="K10" s="140" t="s">
        <v>230</v>
      </c>
      <c r="L10" s="140" t="s">
        <v>181</v>
      </c>
      <c r="M10" s="140" t="s">
        <v>231</v>
      </c>
      <c r="N10" s="140" t="s">
        <v>232</v>
      </c>
      <c r="O10" s="140" t="s">
        <v>233</v>
      </c>
      <c r="P10" s="140" t="s">
        <v>234</v>
      </c>
      <c r="Q10" s="140" t="s">
        <v>235</v>
      </c>
    </row>
    <row r="11" spans="1:35" ht="13.5" customHeight="1" x14ac:dyDescent="0.2">
      <c r="A11" s="141" t="s">
        <v>236</v>
      </c>
      <c r="B11" s="142">
        <f>AVERAGE('Financial Analysis'!D108:L108)</f>
        <v>11.41326074101281</v>
      </c>
      <c r="C11" s="142">
        <f>Other_input_data!L48-Other_input_data!C48</f>
        <v>168.11</v>
      </c>
      <c r="D11" s="142">
        <f>Other_input_data!L43-Other_input_data!C43</f>
        <v>548.72724458000005</v>
      </c>
      <c r="E11" s="143">
        <f>D11/C11</f>
        <v>3.2640963927190532</v>
      </c>
      <c r="F11" s="113">
        <f>SUM('Data Sheet'!B82:K82)</f>
        <v>521.84999999999991</v>
      </c>
      <c r="G11" s="113">
        <f>SUM('Data Sheet'!B30:K30)</f>
        <v>180.51</v>
      </c>
      <c r="H11" s="144">
        <f>F11/G11</f>
        <v>2.8909755692205414</v>
      </c>
      <c r="I11" s="113">
        <f>SUM('Financial Analysis'!C45:K45)</f>
        <v>570.29999999999995</v>
      </c>
      <c r="J11" s="127">
        <f>SUM('Data Sheet'!B31:K31)</f>
        <v>18.100000000000001</v>
      </c>
      <c r="K11" s="127">
        <f>F11-I11</f>
        <v>-48.450000000000045</v>
      </c>
      <c r="L11" s="145">
        <f>F11-I11-J11</f>
        <v>-66.55000000000004</v>
      </c>
      <c r="M11" s="105">
        <f>K11/F11</f>
        <v>-9.2842770911181483E-2</v>
      </c>
      <c r="N11" s="130">
        <f>'Financial Analysis'!N3</f>
        <v>0.2095322286197967</v>
      </c>
      <c r="O11" s="130" t="e">
        <f>'Financial Analysis'!N8</f>
        <v>#NUM!</v>
      </c>
      <c r="P11" s="146">
        <f>'Financial Analysis'!N13</f>
        <v>0.19285560002388502</v>
      </c>
      <c r="Q11" s="146">
        <f>'Financial Analysis'!N14</f>
        <v>0.16902031829192232</v>
      </c>
    </row>
    <row r="12" spans="1:35" ht="13.5" customHeight="1" x14ac:dyDescent="0.2">
      <c r="A12" s="141" t="s">
        <v>237</v>
      </c>
      <c r="B12" s="142">
        <f>AVERAGE('Financial Analysis'!H108:L108)</f>
        <v>5.6016704931053596</v>
      </c>
      <c r="C12" s="142">
        <f>Other_input_data!L48-Other_input_data!G48</f>
        <v>169.51000000000002</v>
      </c>
      <c r="D12" s="142">
        <f>Other_input_data!L43-Other_input_data!H43</f>
        <v>550.92401889999996</v>
      </c>
      <c r="E12" s="143">
        <f>D12/C12</f>
        <v>3.2500974508878526</v>
      </c>
      <c r="F12" s="110">
        <f>SUM('Data Sheet'!G82:K82)</f>
        <v>379.59000000000003</v>
      </c>
      <c r="G12" s="110">
        <f>SUM('Data Sheet'!G30:K30)</f>
        <v>191.19</v>
      </c>
      <c r="H12" s="144">
        <f>F12/G12</f>
        <v>1.9854071865683354</v>
      </c>
      <c r="I12" s="110">
        <f>SUM('Financial Analysis'!G45:K45)</f>
        <v>541.33999999999992</v>
      </c>
      <c r="J12" s="127">
        <f>SUM('Data Sheet'!G31:K31)</f>
        <v>18.100000000000001</v>
      </c>
      <c r="K12" s="127">
        <f>F12-I12</f>
        <v>-161.74999999999989</v>
      </c>
      <c r="L12" s="145">
        <f>F12-I12-J12</f>
        <v>-179.84999999999988</v>
      </c>
      <c r="M12" s="105">
        <f>K12/F12</f>
        <v>-0.42611765325746165</v>
      </c>
      <c r="N12" s="130">
        <f>'Financial Analysis'!O3</f>
        <v>0.21500371014602315</v>
      </c>
      <c r="O12" s="130">
        <f>'Financial Analysis'!O8</f>
        <v>2.7151276884976996</v>
      </c>
      <c r="P12" s="146">
        <f>'Financial Analysis'!O13</f>
        <v>0.13068846593466588</v>
      </c>
      <c r="Q12" s="146">
        <f>'Financial Analysis'!O14</f>
        <v>0.20037460409465346</v>
      </c>
    </row>
    <row r="13" spans="1:35" ht="13.5" customHeight="1" x14ac:dyDescent="0.2">
      <c r="A13" s="141" t="s">
        <v>238</v>
      </c>
      <c r="B13" s="142">
        <f>AVERAGE('Financial Analysis'!J108:L108)</f>
        <v>7.7213920672693037</v>
      </c>
      <c r="C13" s="142">
        <f>Other_input_data!L48-Other_input_data!I48</f>
        <v>124.62</v>
      </c>
      <c r="D13" s="142">
        <f>Other_input_data!L43-Other_input_data!J43</f>
        <v>418.87642335500004</v>
      </c>
      <c r="E13" s="143">
        <f>D13/C13</f>
        <v>3.3612295245947683</v>
      </c>
      <c r="F13" s="113">
        <f>SUM('Data Sheet'!I82:K82)</f>
        <v>204.07</v>
      </c>
      <c r="G13" s="113">
        <f>SUM('Data Sheet'!I30:K30)</f>
        <v>142.27000000000001</v>
      </c>
      <c r="H13" s="144">
        <f>F13/G13</f>
        <v>1.4343853236803259</v>
      </c>
      <c r="I13" s="113">
        <f>SUM('Financial Analysis'!I45:K45)</f>
        <v>511.04999999999995</v>
      </c>
      <c r="J13" s="127">
        <f>SUM('Data Sheet'!I31:K31)</f>
        <v>14.66</v>
      </c>
      <c r="K13" s="127">
        <f>F13-I13</f>
        <v>-306.97999999999996</v>
      </c>
      <c r="L13" s="145">
        <f>F13-I13-J13</f>
        <v>-321.64</v>
      </c>
      <c r="M13" s="105">
        <f>K13/F13</f>
        <v>-1.5042877444014306</v>
      </c>
      <c r="N13" s="130">
        <f>'Financial Analysis'!P3</f>
        <v>0.38250940991425231</v>
      </c>
      <c r="O13" s="130">
        <f>'Financial Analysis'!P8</f>
        <v>0.28186806611695414</v>
      </c>
      <c r="P13" s="146">
        <f>'Financial Analysis'!P13</f>
        <v>9.3478486480572442E-2</v>
      </c>
      <c r="Q13" s="146">
        <f>'Financial Analysis'!P14</f>
        <v>0.44089919015539603</v>
      </c>
    </row>
    <row r="14" spans="1:35" ht="13.5" customHeight="1" x14ac:dyDescent="0.2">
      <c r="A14" s="141" t="s">
        <v>239</v>
      </c>
      <c r="B14" s="142">
        <f>'Financial Analysis'!L108</f>
        <v>10.085637187457742</v>
      </c>
      <c r="C14" s="142">
        <f>Other_input_data!L48-Other_input_data!K48</f>
        <v>50.53000000000003</v>
      </c>
      <c r="D14" s="142">
        <f>Other_input_data!L43-Other_input_data!K43</f>
        <v>296.17895258999999</v>
      </c>
      <c r="E14" s="143">
        <f>D14/C14</f>
        <v>5.8614477061151753</v>
      </c>
      <c r="F14" s="127">
        <f>'Data Sheet'!K82</f>
        <v>59.16</v>
      </c>
      <c r="G14" s="127">
        <f>'Data Sheet'!K30</f>
        <v>57.15</v>
      </c>
      <c r="H14" s="144">
        <f>F14/G14</f>
        <v>1.0351706036745407</v>
      </c>
      <c r="I14" s="127">
        <f>'Financial Analysis'!K45</f>
        <v>256.80999999999995</v>
      </c>
      <c r="J14" s="127">
        <f>'Data Sheet'!K31</f>
        <v>5.5</v>
      </c>
      <c r="K14" s="127">
        <f>F14-I14</f>
        <v>-197.64999999999995</v>
      </c>
      <c r="L14" s="145">
        <f>F14-I14-J14</f>
        <v>-203.14999999999995</v>
      </c>
      <c r="M14" s="105">
        <f>K14/F14</f>
        <v>-3.3409398242055435</v>
      </c>
      <c r="N14" s="130">
        <f>'Financial Analysis'!K3</f>
        <v>0.21712937003664246</v>
      </c>
      <c r="O14" s="130">
        <f>'Financial Analysis'!K8</f>
        <v>0.29415760869565211</v>
      </c>
      <c r="P14" s="146">
        <f>'Financial Analysis'!L13</f>
        <v>0.23133757961783435</v>
      </c>
      <c r="Q14" s="146">
        <f>'Financial Analysis'!L14</f>
        <v>0.48170094109445788</v>
      </c>
    </row>
    <row r="15" spans="1:35" ht="11.25" customHeight="1" x14ac:dyDescent="0.2">
      <c r="A15" s="423" t="s">
        <v>240</v>
      </c>
      <c r="B15" s="423"/>
      <c r="C15" s="423"/>
      <c r="D15" s="423"/>
      <c r="E15" s="137"/>
      <c r="F15" s="138"/>
      <c r="G15" s="138"/>
      <c r="H15" s="138"/>
      <c r="I15" s="138"/>
      <c r="J15" s="138"/>
      <c r="K15" s="138"/>
      <c r="L15" s="138"/>
      <c r="M15" s="138"/>
      <c r="N15" s="138"/>
      <c r="O15" s="138"/>
    </row>
    <row r="16" spans="1:35" ht="6.75" customHeight="1" x14ac:dyDescent="0.2">
      <c r="A16" s="147"/>
      <c r="B16" s="147"/>
      <c r="C16" s="147"/>
      <c r="D16" s="147"/>
      <c r="E16" s="147"/>
      <c r="F16" s="147"/>
      <c r="G16" s="147"/>
      <c r="H16" s="147"/>
      <c r="I16" s="147"/>
      <c r="J16" s="147"/>
    </row>
    <row r="17" spans="1:20" ht="14.25" customHeight="1" x14ac:dyDescent="0.2">
      <c r="A17" s="148" t="str">
        <f>'Data Sheet'!A1</f>
        <v>COMPANY NAME</v>
      </c>
      <c r="B17" s="149" t="s">
        <v>241</v>
      </c>
      <c r="C17" s="149" t="s">
        <v>242</v>
      </c>
      <c r="D17" s="149" t="s">
        <v>197</v>
      </c>
      <c r="E17" s="149" t="s">
        <v>145</v>
      </c>
      <c r="F17" s="149" t="s">
        <v>243</v>
      </c>
      <c r="G17" s="149" t="s">
        <v>244</v>
      </c>
      <c r="H17" s="149" t="s">
        <v>245</v>
      </c>
      <c r="I17" s="149" t="s">
        <v>246</v>
      </c>
      <c r="J17" s="149" t="s">
        <v>247</v>
      </c>
      <c r="K17" s="149" t="s">
        <v>246</v>
      </c>
      <c r="L17" s="149" t="s">
        <v>248</v>
      </c>
      <c r="M17" s="149" t="s">
        <v>146</v>
      </c>
      <c r="N17" s="149" t="s">
        <v>181</v>
      </c>
      <c r="O17" s="149" t="s">
        <v>249</v>
      </c>
      <c r="P17" s="149" t="s">
        <v>250</v>
      </c>
      <c r="Q17" s="149" t="s">
        <v>251</v>
      </c>
      <c r="S17" s="150" t="s">
        <v>252</v>
      </c>
      <c r="T17" s="150"/>
    </row>
    <row r="18" spans="1:20" ht="10.5" customHeight="1" x14ac:dyDescent="0.2">
      <c r="A18" s="151" t="s">
        <v>253</v>
      </c>
      <c r="B18" s="130">
        <f>POWER(Other_input_data!L32/Other_input_data!C32,1/9)-1</f>
        <v>0.18423455355672536</v>
      </c>
      <c r="C18" s="130">
        <f>POWER(Other_input_data!L34/Other_input_data!C34,1/9)-1</f>
        <v>0.14946840868582578</v>
      </c>
      <c r="D18" s="130">
        <f>POWER(Other_input_data!L37/Other_input_data!C37,1/9)-1</f>
        <v>0.25070780562496187</v>
      </c>
      <c r="E18" s="130">
        <f>POWER(Other_input_data!L41/Other_input_data!C41,1/9)-1</f>
        <v>-2.3333709642695215</v>
      </c>
      <c r="F18" s="152">
        <f>IFERROR(POWER(Other_input_data!L42/Other_input_data!C42,1/9)-1,0)</f>
        <v>0</v>
      </c>
      <c r="G18" s="152">
        <f>AVERAGE(B70:K70)</f>
        <v>7.9096426476225612E-2</v>
      </c>
      <c r="H18" s="152">
        <f>L74</f>
        <v>0.11204715737691567</v>
      </c>
      <c r="I18" s="152">
        <f>POWER(K87/B87,1/9)-1</f>
        <v>-6.5468661185836829E-2</v>
      </c>
      <c r="J18" s="152">
        <f>SUM(B87:K87)/SUM('Data Sheet'!B17:K17)</f>
        <v>-1.6391538454322938E-2</v>
      </c>
      <c r="K18" s="152">
        <f>POWER(K87/B87,1/9)-1</f>
        <v>-6.5468661185836829E-2</v>
      </c>
      <c r="L18" s="152">
        <f>POWER(K89/B89,1/9)-1</f>
        <v>0.32333969894561165</v>
      </c>
      <c r="M18" s="130">
        <f>(Other_input_data!L77/Other_input_data!C77)^(1/9)-1</f>
        <v>0.14226552144521087</v>
      </c>
      <c r="N18" s="130">
        <f>(Other_input_data!L78/Other_input_data!C77)^(1/9)-1</f>
        <v>-2.3060947875335431</v>
      </c>
      <c r="O18" s="153">
        <f>(Other_input_data!L48/Other_input_data!C48)^(1/9)-1</f>
        <v>0.12597236564706837</v>
      </c>
      <c r="P18" s="153">
        <f>(Other_input_data!L82/Other_input_data!D82)^(1/9)-1</f>
        <v>0.4614986298062933</v>
      </c>
      <c r="S18" s="154" t="s">
        <v>254</v>
      </c>
      <c r="T18" s="155">
        <v>0.1</v>
      </c>
    </row>
    <row r="19" spans="1:20" ht="10.5" customHeight="1" x14ac:dyDescent="0.2">
      <c r="A19" s="151" t="s">
        <v>255</v>
      </c>
      <c r="B19" s="130">
        <f>POWER(Other_input_data!L32/Other_input_data!G32,1/5)-1</f>
        <v>0.16858977851854107</v>
      </c>
      <c r="C19" s="130">
        <f>POWER(Other_input_data!L34/Other_input_data!G34,1/5)-1</f>
        <v>0.17366915574944719</v>
      </c>
      <c r="D19" s="130">
        <f>POWER(Other_input_data!L37/Other_input_data!G37,1/5)-1</f>
        <v>0.34194747614210175</v>
      </c>
      <c r="E19" s="130">
        <f>POWER(Other_input_data!L41/Other_input_data!G41,1/5)-1</f>
        <v>1.8574523436596615</v>
      </c>
      <c r="F19" s="152">
        <f>IFERROR(POWER(Other_input_data!L42/Other_input_data!G42,1/5)-1,0)</f>
        <v>0</v>
      </c>
      <c r="G19" s="152">
        <f>AVERAGE(G70:K70)</f>
        <v>0.11496273971529732</v>
      </c>
      <c r="H19" s="152">
        <f>L73</f>
        <v>0.1117629009460715</v>
      </c>
      <c r="I19" s="152">
        <f>POWER(K87/F87,1/5)-1</f>
        <v>-0.11619806718711412</v>
      </c>
      <c r="J19" s="152">
        <f>SUM(G87:K87)/SUM('Data Sheet'!G17:K17)</f>
        <v>7.7708137615938849E-3</v>
      </c>
      <c r="K19" s="152">
        <f>POWER(K87/F87,1/5)-1</f>
        <v>-0.11619806718711412</v>
      </c>
      <c r="L19" s="152">
        <f>POWER(K89/G89,1/5)-1</f>
        <v>0.67140903390627282</v>
      </c>
      <c r="M19" s="130">
        <f>(Other_input_data!L77/Other_input_data!G77)^(1/5)-1</f>
        <v>-1.6157247989895929E-2</v>
      </c>
      <c r="N19" s="130">
        <f>(Other_input_data!L78/Other_input_data!G78)^(1/5)-1</f>
        <v>-2.2778468026675585</v>
      </c>
      <c r="O19" s="153">
        <f>(Other_input_data!L48/Other_input_data!G48)^(1/5)-1</f>
        <v>0.24205811521511622</v>
      </c>
      <c r="P19" s="153">
        <f>(Other_input_data!L82/Other_input_data!H82)^(1/5)-1</f>
        <v>0.67396713282215504</v>
      </c>
      <c r="S19" s="156" t="s">
        <v>256</v>
      </c>
      <c r="T19" s="105">
        <f>('Profit &amp; Loss'!K10/'Data Sheet'!K93)/T18</f>
        <v>152.76887032089425</v>
      </c>
    </row>
    <row r="20" spans="1:20" ht="10.5" customHeight="1" x14ac:dyDescent="0.2">
      <c r="A20" s="151" t="s">
        <v>257</v>
      </c>
      <c r="B20" s="130">
        <f>POWER(Other_input_data!L32/Other_input_data!I32,1/3)-1</f>
        <v>0.24101985740434118</v>
      </c>
      <c r="C20" s="130">
        <f>POWER(Other_input_data!L34/Other_input_data!I34,1/3)-1</f>
        <v>0.19662959595418883</v>
      </c>
      <c r="D20" s="130">
        <f>POWER(Other_input_data!L37/Other_input_data!I37,1/3)-1</f>
        <v>9.9452016909197694E-2</v>
      </c>
      <c r="E20" s="130">
        <f>POWER(Other_input_data!L41/Other_input_data!I41,1/3)-1</f>
        <v>0.17992372948508928</v>
      </c>
      <c r="F20" s="152">
        <f>IFERROR(POWER(Other_input_data!L42/Other_input_data!I42,1/3)-1,0)</f>
        <v>0.16932369156790106</v>
      </c>
      <c r="G20" s="152">
        <f>AVERAGE(I70:K70)</f>
        <v>0.10595042392809613</v>
      </c>
      <c r="I20" s="152">
        <f>POWER(K87/H87,1/3)-1</f>
        <v>-1.7512275239756048</v>
      </c>
      <c r="J20" s="152">
        <f>SUM(I87:K87)/SUM('Data Sheet'!I17:K17)</f>
        <v>3.3418380571195367E-3</v>
      </c>
      <c r="K20" s="152">
        <f>POWER(K87/H87,1/3)-1</f>
        <v>-1.7512275239756048</v>
      </c>
      <c r="L20" s="152">
        <f>POWER(K89/H89,1/3)-1</f>
        <v>1.0087824652893937</v>
      </c>
      <c r="M20" s="130">
        <f>(Other_input_data!L77/Other_input_data!I77)^(1/3)-1</f>
        <v>-0.11935002187898114</v>
      </c>
      <c r="N20" s="130">
        <f>(Other_input_data!L78/Other_input_data!I78)^(1/3)-1</f>
        <v>-2.4689943326292183</v>
      </c>
      <c r="O20" s="153">
        <f>(Other_input_data!L48/Other_input_data!I48)^(1/3)-1</f>
        <v>0.24876045880766684</v>
      </c>
      <c r="P20" s="153">
        <f>(Other_input_data!L82/Other_input_data!J82)^(1/3)-1</f>
        <v>0.491446031472905</v>
      </c>
      <c r="S20" s="157" t="s">
        <v>258</v>
      </c>
      <c r="T20" s="106">
        <f>('Profit &amp; Loss'!K10/'Data Sheet'!K93)/'Data Sheet'!B8</f>
        <v>0.15006765257455232</v>
      </c>
    </row>
    <row r="21" spans="1:20" ht="10.5" customHeight="1" x14ac:dyDescent="0.2">
      <c r="A21" s="151" t="s">
        <v>259</v>
      </c>
      <c r="B21" s="130">
        <f>POWER(Other_input_data!L32/Other_input_data!K32,1/1)-1</f>
        <v>0.21712937003664234</v>
      </c>
      <c r="C21" s="130">
        <f>POWER(Other_input_data!L34/Other_input_data!K34,1/1)-1</f>
        <v>3.5663992140166911E-2</v>
      </c>
      <c r="D21" s="130">
        <f>POWER(Other_input_data!L37/Other_input_data!K37,1/1)-1</f>
        <v>-6.0393115388532204E-2</v>
      </c>
      <c r="E21" s="130">
        <f>POWER(Other_input_data!L41/Other_input_data!K41,1/1)-1</f>
        <v>0.29474399637517035</v>
      </c>
      <c r="F21" s="158">
        <f>POWER(Other_input_data!L42/Other_input_data!K42,1/1)-1</f>
        <v>0.20087336244541487</v>
      </c>
      <c r="G21" s="152">
        <f>K70</f>
        <v>9.1870025486145854E-2</v>
      </c>
      <c r="I21" s="152">
        <f>POWER(K87/J87,1/1)-1</f>
        <v>-1.6214260010217501</v>
      </c>
      <c r="J21" s="152">
        <f>K87/'Data Sheet'!K17</f>
        <v>-7.1394447170773914E-3</v>
      </c>
      <c r="K21" s="152">
        <f>POWER(K87/J87,1/1)-1</f>
        <v>-1.6214260010217501</v>
      </c>
      <c r="L21" s="152">
        <f>POWER(K89/J89,1/1)-1</f>
        <v>0.98566198901769364</v>
      </c>
      <c r="M21" s="130">
        <f>(Other_input_data!L77/Other_input_data!K77)^(1/1)-1</f>
        <v>-0.41075697211155382</v>
      </c>
      <c r="N21" s="130">
        <f>(Other_input_data!L78/Other_input_data!K78)^(1/1)-1</f>
        <v>-3.5194391332058625</v>
      </c>
      <c r="O21" s="153">
        <f>(Other_input_data!L48/Other_input_data!K48)^(1/1)-1</f>
        <v>0.24572067691110688</v>
      </c>
      <c r="P21" s="153">
        <f>(Other_input_data!L82/Other_input_data!K82)^(1/1)-1</f>
        <v>0.97086416811987997</v>
      </c>
    </row>
    <row r="22" spans="1:20" s="163" customFormat="1" ht="9" customHeight="1" x14ac:dyDescent="0.2">
      <c r="A22" s="159"/>
      <c r="B22" s="160"/>
      <c r="C22" s="160"/>
      <c r="D22" s="160"/>
      <c r="E22" s="160"/>
      <c r="F22" s="161"/>
      <c r="G22" s="161"/>
      <c r="H22" s="161"/>
      <c r="I22" s="160"/>
      <c r="J22" s="160"/>
      <c r="K22" s="162"/>
      <c r="L22" s="162"/>
    </row>
    <row r="23" spans="1:20" s="163" customFormat="1" ht="26.25" customHeight="1" x14ac:dyDescent="0.2">
      <c r="A23" s="164" t="s">
        <v>260</v>
      </c>
      <c r="B23" s="164" t="s">
        <v>261</v>
      </c>
      <c r="C23" s="164" t="s">
        <v>262</v>
      </c>
      <c r="D23" s="164" t="s">
        <v>263</v>
      </c>
      <c r="E23" s="164" t="s">
        <v>264</v>
      </c>
      <c r="F23" s="164" t="s">
        <v>265</v>
      </c>
      <c r="G23" s="164" t="s">
        <v>266</v>
      </c>
      <c r="H23" s="164" t="s">
        <v>267</v>
      </c>
      <c r="I23" s="164" t="s">
        <v>268</v>
      </c>
      <c r="J23" s="164" t="s">
        <v>269</v>
      </c>
      <c r="K23" s="164" t="s">
        <v>270</v>
      </c>
      <c r="L23" s="164" t="s">
        <v>271</v>
      </c>
    </row>
    <row r="24" spans="1:20" s="163" customFormat="1" ht="15.75" customHeight="1" x14ac:dyDescent="0.2">
      <c r="A24" s="131">
        <f>1-'Financial Analysis'!K27</f>
        <v>0.14262144035655355</v>
      </c>
      <c r="B24" s="131">
        <f>'Financial Analysis'!K31</f>
        <v>6.1229081403072705E-2</v>
      </c>
      <c r="C24" s="131">
        <f>'Financial Analysis'!K32</f>
        <v>0.18380462724935734</v>
      </c>
      <c r="D24" s="131">
        <f>'Financial Analysis'!K33</f>
        <v>5.1779553879448881E-2</v>
      </c>
      <c r="E24" s="131">
        <f>'Financial Analysis'!K34</f>
        <v>0.18217660545544151</v>
      </c>
      <c r="F24" s="165">
        <f>Analysis2!K48</f>
        <v>4.1483812949640297</v>
      </c>
      <c r="G24" s="165">
        <f>K47</f>
        <v>2.1996720927509075</v>
      </c>
      <c r="H24" s="165">
        <f>K54</f>
        <v>2.9251031121109858</v>
      </c>
      <c r="I24" s="166">
        <f>F13/3</f>
        <v>68.023333333333326</v>
      </c>
      <c r="J24" s="167">
        <f>F12/G12</f>
        <v>1.9854071865683354</v>
      </c>
      <c r="K24" s="168">
        <f>IF(F12&lt;0,-M12,M12)</f>
        <v>-0.42611765325746165</v>
      </c>
      <c r="L24" s="169">
        <v>0.1847</v>
      </c>
    </row>
    <row r="25" spans="1:20" s="163" customFormat="1" ht="4.5" customHeight="1" x14ac:dyDescent="0.2">
      <c r="A25" s="160"/>
      <c r="B25" s="160"/>
      <c r="C25" s="160"/>
      <c r="D25" s="160"/>
      <c r="E25" s="160"/>
      <c r="F25" s="170"/>
      <c r="G25" s="170"/>
      <c r="H25" s="170"/>
      <c r="I25" s="171"/>
      <c r="J25" s="172"/>
      <c r="K25" s="173"/>
      <c r="L25" s="162"/>
    </row>
    <row r="26" spans="1:20" s="163" customFormat="1" ht="21.75" customHeight="1" x14ac:dyDescent="0.2">
      <c r="A26" s="164" t="s">
        <v>272</v>
      </c>
      <c r="B26" s="164" t="s">
        <v>273</v>
      </c>
      <c r="C26" s="164" t="s">
        <v>274</v>
      </c>
      <c r="D26" s="164" t="s">
        <v>275</v>
      </c>
      <c r="E26" s="164" t="s">
        <v>276</v>
      </c>
      <c r="F26" s="164" t="s">
        <v>277</v>
      </c>
      <c r="G26" s="164" t="s">
        <v>278</v>
      </c>
      <c r="H26" s="164" t="s">
        <v>279</v>
      </c>
      <c r="I26" s="164" t="s">
        <v>280</v>
      </c>
      <c r="J26" s="164" t="s">
        <v>281</v>
      </c>
      <c r="K26" s="164" t="s">
        <v>282</v>
      </c>
      <c r="L26" s="164" t="s">
        <v>283</v>
      </c>
      <c r="M26" s="164" t="s">
        <v>284</v>
      </c>
      <c r="N26" s="164" t="s">
        <v>285</v>
      </c>
      <c r="O26" s="164" t="s">
        <v>286</v>
      </c>
    </row>
    <row r="27" spans="1:20" s="163" customFormat="1" ht="13.5" customHeight="1" x14ac:dyDescent="0.2">
      <c r="A27" s="174">
        <f>B19</f>
        <v>0.16858977851854107</v>
      </c>
      <c r="B27" s="174">
        <f>E19</f>
        <v>1.8574523436596615</v>
      </c>
      <c r="C27" s="131">
        <f>'Financial Analysis'!O8</f>
        <v>2.7151276884976996</v>
      </c>
      <c r="D27" s="174">
        <f>F19</f>
        <v>0</v>
      </c>
      <c r="E27" s="175"/>
      <c r="F27" s="176">
        <f>C27/A27</f>
        <v>16.104936564698654</v>
      </c>
      <c r="G27" s="177">
        <f>H5</f>
        <v>7.0241714125346784E-3</v>
      </c>
      <c r="H27" s="177">
        <f>G19</f>
        <v>0.11496273971529732</v>
      </c>
      <c r="I27" s="131">
        <f>H19</f>
        <v>0.1117629009460715</v>
      </c>
      <c r="J27" s="131">
        <f>I19</f>
        <v>-0.11619806718711412</v>
      </c>
      <c r="K27" s="178">
        <f>J19</f>
        <v>7.7708137615938849E-3</v>
      </c>
      <c r="L27" s="179"/>
      <c r="M27" s="175"/>
      <c r="N27" s="175"/>
      <c r="O27" s="175"/>
    </row>
    <row r="28" spans="1:20" s="163" customFormat="1" ht="5.25" customHeight="1" x14ac:dyDescent="0.2">
      <c r="A28" s="180"/>
      <c r="B28" s="180"/>
      <c r="C28" s="160"/>
      <c r="D28" s="180"/>
      <c r="E28" s="181"/>
      <c r="F28" s="182"/>
      <c r="G28" s="183"/>
      <c r="H28" s="183"/>
      <c r="I28" s="160"/>
      <c r="J28" s="160"/>
      <c r="K28" s="184"/>
      <c r="L28" s="162"/>
      <c r="M28" s="181"/>
      <c r="N28" s="181"/>
      <c r="O28" s="181"/>
    </row>
    <row r="29" spans="1:20" s="163" customFormat="1" ht="27.75" customHeight="1" x14ac:dyDescent="0.2">
      <c r="A29" s="164" t="s">
        <v>186</v>
      </c>
      <c r="B29" s="164" t="s">
        <v>193</v>
      </c>
      <c r="C29" s="164" t="s">
        <v>287</v>
      </c>
      <c r="D29" s="164" t="s">
        <v>187</v>
      </c>
      <c r="E29" s="164" t="s">
        <v>189</v>
      </c>
      <c r="F29" s="164" t="s">
        <v>190</v>
      </c>
      <c r="G29" s="164" t="s">
        <v>192</v>
      </c>
      <c r="H29" s="164" t="s">
        <v>244</v>
      </c>
      <c r="I29" s="164" t="s">
        <v>245</v>
      </c>
      <c r="J29" s="164" t="s">
        <v>246</v>
      </c>
      <c r="K29" s="164" t="s">
        <v>247</v>
      </c>
      <c r="L29" s="164" t="s">
        <v>218</v>
      </c>
      <c r="M29" s="164" t="s">
        <v>288</v>
      </c>
      <c r="N29" s="164" t="s">
        <v>289</v>
      </c>
    </row>
    <row r="30" spans="1:20" s="163" customFormat="1" ht="15.75" customHeight="1" x14ac:dyDescent="0.2">
      <c r="A30" s="185">
        <f>B6</f>
        <v>10.552715058779622</v>
      </c>
      <c r="B30" s="134">
        <f>I6</f>
        <v>-0.46624912975129218</v>
      </c>
      <c r="C30" s="132">
        <f>J6</f>
        <v>9.4762342622718918E-2</v>
      </c>
      <c r="D30" s="134">
        <f>C6</f>
        <v>2.32918099703322</v>
      </c>
      <c r="E30" s="134" t="e">
        <f>E6</f>
        <v>#DIV/0!</v>
      </c>
      <c r="F30" s="132" t="e">
        <f>F6</f>
        <v>#DIV/0!</v>
      </c>
      <c r="G30" s="132">
        <f>H6</f>
        <v>3.5623587206343954E-2</v>
      </c>
      <c r="H30" s="135">
        <f>G21</f>
        <v>9.1870025486145854E-2</v>
      </c>
      <c r="I30" s="186">
        <f>L74</f>
        <v>0.11204715737691567</v>
      </c>
      <c r="J30" s="135">
        <f>I21</f>
        <v>-1.6214260010217501</v>
      </c>
      <c r="K30" s="186">
        <f>J21</f>
        <v>-7.1394447170773914E-3</v>
      </c>
      <c r="L30" s="133" t="s">
        <v>290</v>
      </c>
      <c r="M30" s="134">
        <f>H5/B19</f>
        <v>4.1664278073431232E-2</v>
      </c>
      <c r="N30" s="175"/>
    </row>
    <row r="31" spans="1:20" s="163" customFormat="1" ht="6.75" customHeight="1" x14ac:dyDescent="0.2">
      <c r="A31" s="187"/>
      <c r="B31" s="188"/>
      <c r="C31" s="189"/>
      <c r="D31" s="188"/>
      <c r="E31" s="188"/>
      <c r="F31" s="189"/>
      <c r="G31" s="189"/>
      <c r="H31" s="190"/>
      <c r="I31" s="191"/>
      <c r="J31" s="190"/>
      <c r="K31" s="191"/>
      <c r="L31" s="192"/>
      <c r="M31" s="188"/>
    </row>
    <row r="32" spans="1:20" s="163" customFormat="1" ht="24.75" customHeight="1" x14ac:dyDescent="0.2">
      <c r="A32" s="164" t="s">
        <v>291</v>
      </c>
      <c r="B32" s="164" t="s">
        <v>292</v>
      </c>
      <c r="C32" s="164" t="s">
        <v>293</v>
      </c>
      <c r="D32" s="164" t="s">
        <v>294</v>
      </c>
      <c r="E32" s="164" t="s">
        <v>295</v>
      </c>
      <c r="F32" s="164" t="s">
        <v>296</v>
      </c>
      <c r="G32" s="164" t="s">
        <v>297</v>
      </c>
      <c r="H32" s="164" t="s">
        <v>298</v>
      </c>
      <c r="I32" s="164" t="s">
        <v>299</v>
      </c>
      <c r="J32" s="164" t="s">
        <v>300</v>
      </c>
      <c r="K32" s="164" t="s">
        <v>301</v>
      </c>
      <c r="L32" s="164" t="s">
        <v>302</v>
      </c>
      <c r="M32" s="164" t="s">
        <v>303</v>
      </c>
      <c r="N32" s="164" t="s">
        <v>304</v>
      </c>
      <c r="O32" s="164" t="s">
        <v>305</v>
      </c>
    </row>
    <row r="33" spans="1:35" s="163" customFormat="1" ht="13.5" customHeight="1" x14ac:dyDescent="0.2">
      <c r="A33" s="193" t="str">
        <f>IF(B19&lt;B21,"+VE","-VE")</f>
        <v>+VE</v>
      </c>
      <c r="B33" s="193" t="str">
        <f>IF(E19&lt;E21,"+VE","-VE")</f>
        <v>-VE</v>
      </c>
      <c r="C33" s="193" t="str">
        <f>IF(N6&lt;N5,"+VE","-VE")</f>
        <v>+VE</v>
      </c>
      <c r="D33" s="193" t="str">
        <f>IF(N6&gt;N5,"+VE","-VE")</f>
        <v>-VE</v>
      </c>
      <c r="E33" s="193" t="str">
        <f>IF(Y6&gt;Y5,"-VE","+VE")</f>
        <v>+VE</v>
      </c>
      <c r="F33" s="193" t="str">
        <f>IF(X6&gt;X5,"-VE","+VE")</f>
        <v>-VE</v>
      </c>
      <c r="G33" s="193" t="str">
        <f>IF(H6&gt;H5,"+VE","-VE")</f>
        <v>+VE</v>
      </c>
      <c r="H33" s="193" t="str">
        <f>IF(G21&gt;G20,"+VE","-VE")</f>
        <v>-VE</v>
      </c>
      <c r="I33" s="193" t="str">
        <f>IF('Financial Analysis'!N35&lt;0,"+VE","-VE")</f>
        <v>-VE</v>
      </c>
      <c r="J33" s="193" t="str">
        <f>IF(I21&gt;I20,"+VE","-VE")</f>
        <v>+VE</v>
      </c>
      <c r="K33" s="193" t="str">
        <f>IF(J21&gt;J19,"+VE","-VE")</f>
        <v>-VE</v>
      </c>
      <c r="L33" s="193" t="str">
        <f>IF(Q6&lt;Q5,"+VE","-VE")</f>
        <v>-VE</v>
      </c>
      <c r="M33" s="193" t="str">
        <f>IF('Financial Analysis'!M75&gt;0,"+VE","-VE")</f>
        <v>-VE</v>
      </c>
      <c r="N33" s="193"/>
      <c r="O33" s="193" t="str">
        <f>IF(E21&gt;B21,"+VE","-VE")</f>
        <v>+VE</v>
      </c>
    </row>
    <row r="34" spans="1:35" x14ac:dyDescent="0.2">
      <c r="H34" s="192"/>
      <c r="M34" s="192"/>
      <c r="N34" s="192"/>
    </row>
    <row r="35" spans="1:35" x14ac:dyDescent="0.2">
      <c r="H35" s="192"/>
      <c r="I35" s="192"/>
      <c r="J35" s="192"/>
      <c r="K35" s="192"/>
      <c r="L35" s="192"/>
      <c r="M35" s="192"/>
      <c r="N35" s="192"/>
    </row>
    <row r="36" spans="1:35" x14ac:dyDescent="0.2">
      <c r="H36" s="192"/>
      <c r="I36" s="192"/>
      <c r="J36" s="192"/>
      <c r="K36" s="192"/>
      <c r="L36" s="192"/>
      <c r="M36" s="192"/>
      <c r="N36" s="192"/>
    </row>
    <row r="37" spans="1:35" x14ac:dyDescent="0.2">
      <c r="H37" s="192"/>
      <c r="I37" s="192"/>
      <c r="J37" s="192"/>
      <c r="K37" s="192"/>
      <c r="L37" s="192"/>
      <c r="M37" s="192"/>
      <c r="N37" s="192"/>
    </row>
    <row r="38" spans="1:35" x14ac:dyDescent="0.2">
      <c r="H38" s="192"/>
      <c r="I38" s="192"/>
      <c r="J38" s="192"/>
      <c r="K38" s="192"/>
      <c r="L38" s="192"/>
      <c r="M38" s="192"/>
      <c r="N38" s="192"/>
    </row>
    <row r="39" spans="1:35" x14ac:dyDescent="0.2">
      <c r="B39" s="188"/>
      <c r="C39" s="189"/>
      <c r="D39" s="188"/>
      <c r="E39" s="188"/>
      <c r="F39" s="189"/>
      <c r="G39" s="189"/>
      <c r="H39" s="192"/>
      <c r="I39" s="192"/>
      <c r="J39" s="192"/>
      <c r="K39" s="192"/>
      <c r="L39" s="192"/>
      <c r="M39" s="192"/>
      <c r="N39" s="192"/>
    </row>
    <row r="40" spans="1:35" x14ac:dyDescent="0.2">
      <c r="A40" s="187"/>
      <c r="B40" s="188"/>
      <c r="C40" s="189"/>
      <c r="D40" s="188"/>
      <c r="E40" s="188"/>
      <c r="F40" s="189"/>
      <c r="G40" s="189"/>
      <c r="H40" s="192"/>
      <c r="I40" s="192"/>
      <c r="J40" s="192"/>
      <c r="K40" s="192"/>
      <c r="L40" s="192"/>
      <c r="M40" s="192"/>
      <c r="N40" s="192"/>
    </row>
    <row r="41" spans="1:35" x14ac:dyDescent="0.2">
      <c r="A41" s="138"/>
      <c r="B41" s="194"/>
    </row>
    <row r="42" spans="1:35" x14ac:dyDescent="0.2">
      <c r="A42" s="148" t="str">
        <f>'Data Sheet'!A1</f>
        <v>COMPANY NAME</v>
      </c>
      <c r="B42" s="195">
        <f>'Data Sheet'!B16</f>
        <v>39538</v>
      </c>
      <c r="C42" s="195">
        <f>'Data Sheet'!C16</f>
        <v>39903</v>
      </c>
      <c r="D42" s="195">
        <f>'Data Sheet'!D16</f>
        <v>40268</v>
      </c>
      <c r="E42" s="195">
        <f>'Data Sheet'!E16</f>
        <v>40633</v>
      </c>
      <c r="F42" s="195">
        <f>'Data Sheet'!F16</f>
        <v>40999</v>
      </c>
      <c r="G42" s="195">
        <f>'Data Sheet'!G16</f>
        <v>41364</v>
      </c>
      <c r="H42" s="195">
        <f>'Data Sheet'!H16</f>
        <v>41729</v>
      </c>
      <c r="I42" s="195">
        <f>'Data Sheet'!I16</f>
        <v>42094</v>
      </c>
      <c r="J42" s="195">
        <f>'Data Sheet'!J16</f>
        <v>42460</v>
      </c>
      <c r="K42" s="195">
        <f>'Data Sheet'!K16</f>
        <v>42825</v>
      </c>
      <c r="L42" s="195">
        <f>'Data Sheet'!K16</f>
        <v>42825</v>
      </c>
      <c r="M42" s="101" t="s">
        <v>306</v>
      </c>
    </row>
    <row r="43" spans="1:35" x14ac:dyDescent="0.2">
      <c r="A43" s="151" t="s">
        <v>307</v>
      </c>
      <c r="B43" s="196">
        <f>Other_input_data!C72/(Other_input_data!C46+Other_input_data!C47)</f>
        <v>4.2179196002725412</v>
      </c>
      <c r="C43" s="196">
        <f>Other_input_data!D72/(Other_input_data!D46+Other_input_data!D47)</f>
        <v>5.8002434406275363</v>
      </c>
      <c r="D43" s="196">
        <f>Other_input_data!E72/(Other_input_data!E46+Other_input_data!E47)</f>
        <v>5.4110036427584474</v>
      </c>
      <c r="E43" s="196">
        <f>Other_input_data!F72/(Other_input_data!F46+Other_input_data!F47)</f>
        <v>4.7339895773016796</v>
      </c>
      <c r="F43" s="196">
        <f>Other_input_data!G72/(Other_input_data!G46+Other_input_data!G47)</f>
        <v>4.0076159704592662</v>
      </c>
      <c r="G43" s="196">
        <f>Other_input_data!H72/(Other_input_data!H46+Other_input_data!H47)</f>
        <v>3.6095842841551744</v>
      </c>
      <c r="H43" s="196">
        <f>Other_input_data!I72/(Other_input_data!I46+Other_input_data!I47)</f>
        <v>2.7011022424933482</v>
      </c>
      <c r="I43" s="196">
        <f>Other_input_data!J72/(Other_input_data!J46+Other_input_data!J47)</f>
        <v>3.6649499970058086</v>
      </c>
      <c r="J43" s="196">
        <f>Other_input_data!K72/(Other_input_data!K46+Other_input_data!K47)</f>
        <v>3.0981326590157559</v>
      </c>
      <c r="K43" s="196">
        <f>Other_input_data!L72/(Other_input_data!L46+Other_input_data!L47)</f>
        <v>3.6161142990982551</v>
      </c>
      <c r="L43" s="196">
        <f>Other_input_data!L72/(Other_input_data!L46+Other_input_data!L47)</f>
        <v>3.6161142990982551</v>
      </c>
      <c r="M43" s="197">
        <f t="shared" ref="M43:M57" si="0">(L43/C43)^(1/9)-1</f>
        <v>-5.1145661854201552E-2</v>
      </c>
      <c r="N43" s="197"/>
      <c r="O43" s="197"/>
      <c r="P43" s="197"/>
      <c r="Q43" s="197"/>
      <c r="R43" s="197"/>
      <c r="S43" s="197"/>
      <c r="T43" s="197"/>
      <c r="U43" s="197"/>
      <c r="V43" s="197"/>
      <c r="W43" s="197"/>
      <c r="X43" s="197"/>
      <c r="Y43" s="197"/>
      <c r="Z43" s="197"/>
      <c r="AA43" s="197"/>
      <c r="AB43" s="197"/>
      <c r="AC43" s="197"/>
      <c r="AD43" s="197"/>
      <c r="AE43" s="197"/>
      <c r="AF43" s="197"/>
      <c r="AG43" s="197"/>
      <c r="AH43" s="197"/>
      <c r="AI43" s="197"/>
    </row>
    <row r="44" spans="1:35" ht="24" x14ac:dyDescent="0.2">
      <c r="A44" s="151" t="s">
        <v>308</v>
      </c>
      <c r="B44" s="196">
        <f>Other_input_data!C51/Other_input_data!C41</f>
        <v>-62.317016317016375</v>
      </c>
      <c r="C44" s="196">
        <f>Other_input_data!D51/Other_input_data!D41</f>
        <v>-21.219702338766808</v>
      </c>
      <c r="D44" s="196">
        <f>Other_input_data!E51/Other_input_data!E41</f>
        <v>453.69117647058471</v>
      </c>
      <c r="E44" s="196">
        <f>Other_input_data!F51/Other_input_data!F41</f>
        <v>42.14094955489599</v>
      </c>
      <c r="F44" s="196">
        <f>Other_input_data!G51/Other_input_data!G41</f>
        <v>829.73333333329197</v>
      </c>
      <c r="G44" s="196">
        <f>Other_input_data!H51/Other_input_data!H41</f>
        <v>14.613861386138606</v>
      </c>
      <c r="H44" s="196">
        <f>Other_input_data!I51/Other_input_data!I41</f>
        <v>5.0609370508766887</v>
      </c>
      <c r="I44" s="196">
        <f>Other_input_data!J51/Other_input_data!J41</f>
        <v>9.232853307298015</v>
      </c>
      <c r="J44" s="196">
        <f>Other_input_data!K51/Other_input_data!K41</f>
        <v>7.9762120525600348</v>
      </c>
      <c r="K44" s="196">
        <f>Other_input_data!L51/Other_input_data!L41</f>
        <v>9.859842519685035</v>
      </c>
      <c r="L44" s="196">
        <f>Other_input_data!L51/Other_input_data!L41</f>
        <v>9.859842519685035</v>
      </c>
      <c r="M44" s="197">
        <f t="shared" si="0"/>
        <v>-1.9183633026842872</v>
      </c>
      <c r="N44" s="197"/>
      <c r="O44" s="197"/>
      <c r="P44" s="197"/>
      <c r="Q44" s="197"/>
      <c r="R44" s="197"/>
      <c r="S44" s="197"/>
      <c r="T44" s="197"/>
      <c r="U44" s="197"/>
      <c r="V44" s="197"/>
      <c r="W44" s="197"/>
      <c r="X44" s="197"/>
      <c r="Y44" s="197"/>
      <c r="Z44" s="197"/>
      <c r="AA44" s="197"/>
      <c r="AB44" s="197"/>
      <c r="AC44" s="197"/>
      <c r="AD44" s="197"/>
      <c r="AE44" s="197"/>
      <c r="AF44" s="197"/>
      <c r="AG44" s="197"/>
      <c r="AH44" s="197"/>
      <c r="AI44" s="197"/>
    </row>
    <row r="45" spans="1:35" ht="24" x14ac:dyDescent="0.2">
      <c r="A45" s="151" t="s">
        <v>309</v>
      </c>
      <c r="B45" s="196">
        <f>Other_input_data!C58/Other_input_data!C41</f>
        <v>-15.850815850815867</v>
      </c>
      <c r="C45" s="196">
        <f>Other_input_data!D58/Other_input_data!D41</f>
        <v>-4.2600992204110506</v>
      </c>
      <c r="D45" s="196">
        <f>Other_input_data!E58/Other_input_data!E41</f>
        <v>136.82352941176364</v>
      </c>
      <c r="E45" s="196">
        <f>Other_input_data!F58/Other_input_data!F41</f>
        <v>17.96735905044504</v>
      </c>
      <c r="F45" s="196">
        <f>Other_input_data!G58/Other_input_data!G41</f>
        <v>347.03333333331608</v>
      </c>
      <c r="G45" s="196">
        <f>Other_input_data!H58/Other_input_data!H41</f>
        <v>6.6789250353606748</v>
      </c>
      <c r="H45" s="196">
        <f>Other_input_data!I58/Other_input_data!I41</f>
        <v>2.7372808278240872</v>
      </c>
      <c r="I45" s="196">
        <f>Other_input_data!J58/Other_input_data!J41</f>
        <v>3.1369294605809106</v>
      </c>
      <c r="J45" s="196">
        <f>Other_input_data!K58/Other_input_data!K41</f>
        <v>3.5926597190756673</v>
      </c>
      <c r="K45" s="196">
        <f>Other_input_data!L58/Other_input_data!L41</f>
        <v>3.5935258092738391</v>
      </c>
      <c r="L45" s="196">
        <f>Other_input_data!L58/Other_input_data!L41</f>
        <v>3.5935258092738391</v>
      </c>
      <c r="M45" s="197">
        <f t="shared" si="0"/>
        <v>-1.9812710946916283</v>
      </c>
      <c r="N45" s="197"/>
      <c r="O45" s="197"/>
      <c r="P45" s="197"/>
      <c r="Q45" s="197"/>
      <c r="R45" s="197"/>
      <c r="S45" s="197"/>
      <c r="T45" s="197"/>
      <c r="U45" s="197"/>
      <c r="V45" s="197"/>
      <c r="W45" s="197"/>
      <c r="X45" s="197"/>
      <c r="Y45" s="197"/>
      <c r="Z45" s="197"/>
      <c r="AA45" s="197"/>
      <c r="AB45" s="197"/>
      <c r="AC45" s="197"/>
      <c r="AD45" s="197"/>
      <c r="AE45" s="197"/>
      <c r="AF45" s="197"/>
      <c r="AG45" s="197"/>
      <c r="AH45" s="197"/>
      <c r="AI45" s="197"/>
    </row>
    <row r="46" spans="1:35" x14ac:dyDescent="0.2">
      <c r="A46" s="151" t="s">
        <v>310</v>
      </c>
      <c r="B46" s="196">
        <f>Other_input_data!C71/Other_input_data!C41</f>
        <v>-66.05361305361312</v>
      </c>
      <c r="C46" s="196">
        <f>Other_input_data!D71/Other_input_data!D41</f>
        <v>-25.154500354358582</v>
      </c>
      <c r="D46" s="196">
        <f>Other_input_data!E71/Other_input_data!E41</f>
        <v>516.41176470587834</v>
      </c>
      <c r="E46" s="196">
        <f>Other_input_data!F71/Other_input_data!F41</f>
        <v>47.838278931750565</v>
      </c>
      <c r="F46" s="196">
        <f>Other_input_data!G71/Other_input_data!G41</f>
        <v>868.79999999995675</v>
      </c>
      <c r="G46" s="196">
        <f>Other_input_data!H71/Other_input_data!H41</f>
        <v>18.601131541725589</v>
      </c>
      <c r="H46" s="196">
        <f>Other_input_data!I71/Other_input_data!I41</f>
        <v>6.4323081345214144</v>
      </c>
      <c r="I46" s="196">
        <f>Other_input_data!J71/Other_input_data!J41</f>
        <v>10.862094215279463</v>
      </c>
      <c r="J46" s="196">
        <f>Other_input_data!K71/Other_input_data!K41</f>
        <v>9.7748074309016744</v>
      </c>
      <c r="K46" s="196">
        <f>Other_input_data!L71/Other_input_data!L41</f>
        <v>11.726509186351702</v>
      </c>
      <c r="L46" s="196">
        <f>Other_input_data!L71/Other_input_data!L41</f>
        <v>11.726509186351702</v>
      </c>
      <c r="M46" s="197">
        <f t="shared" si="0"/>
        <v>-1.9186975568304967</v>
      </c>
      <c r="N46" s="197"/>
      <c r="O46" s="197"/>
      <c r="P46" s="197"/>
      <c r="Q46" s="197"/>
      <c r="R46" s="197"/>
      <c r="S46" s="197"/>
      <c r="T46" s="197"/>
      <c r="U46" s="197"/>
      <c r="V46" s="197"/>
      <c r="W46" s="197"/>
      <c r="X46" s="197"/>
      <c r="Y46" s="197"/>
      <c r="Z46" s="197"/>
      <c r="AA46" s="197"/>
      <c r="AB46" s="197"/>
      <c r="AC46" s="197"/>
      <c r="AD46" s="197"/>
      <c r="AE46" s="197"/>
      <c r="AF46" s="197"/>
      <c r="AG46" s="197"/>
      <c r="AH46" s="197"/>
      <c r="AI46" s="197"/>
    </row>
    <row r="47" spans="1:35" x14ac:dyDescent="0.2">
      <c r="A47" s="198" t="s">
        <v>266</v>
      </c>
      <c r="B47" s="196">
        <f>Other_input_data!C51/Other_input_data!C48</f>
        <v>3.0358846241199178</v>
      </c>
      <c r="C47" s="196">
        <f>Other_input_data!D51/Other_input_data!D48</f>
        <v>4.0493643494725458</v>
      </c>
      <c r="D47" s="196">
        <f>Other_input_data!E51/Other_input_data!E48</f>
        <v>3.8752669262655446</v>
      </c>
      <c r="E47" s="196">
        <f>Other_input_data!F51/Other_input_data!F48</f>
        <v>3.2892877822814128</v>
      </c>
      <c r="F47" s="196">
        <f>Other_input_data!G51/Other_input_data!G48</f>
        <v>2.8723747980613892</v>
      </c>
      <c r="G47" s="196">
        <f>Other_input_data!H51/Other_input_data!H48</f>
        <v>2.0502033931937693</v>
      </c>
      <c r="H47" s="196">
        <f>Other_input_data!I51/Other_input_data!I48</f>
        <v>1.3384264538198403</v>
      </c>
      <c r="I47" s="196">
        <f>Other_input_data!J51/Other_input_data!J48</f>
        <v>2.265225462602551</v>
      </c>
      <c r="J47" s="196">
        <f>Other_input_data!K51/Other_input_data!K48</f>
        <v>1.7120696362575376</v>
      </c>
      <c r="K47" s="196">
        <f>Other_input_data!L51/Other_input_data!L48</f>
        <v>2.1996720927509075</v>
      </c>
      <c r="L47" s="196">
        <f>Other_input_data!L51/Other_input_data!L48</f>
        <v>2.1996720927509075</v>
      </c>
      <c r="M47" s="197">
        <f t="shared" si="0"/>
        <v>-6.5558014946221599E-2</v>
      </c>
      <c r="N47" s="197"/>
      <c r="O47" s="197"/>
      <c r="P47" s="197"/>
      <c r="Q47" s="197"/>
      <c r="R47" s="197"/>
      <c r="S47" s="197"/>
      <c r="T47" s="197"/>
      <c r="U47" s="197"/>
      <c r="V47" s="197"/>
      <c r="W47" s="197"/>
      <c r="X47" s="197"/>
      <c r="Y47" s="197"/>
      <c r="Z47" s="197"/>
      <c r="AA47" s="197"/>
      <c r="AB47" s="197"/>
      <c r="AC47" s="197"/>
      <c r="AD47" s="197"/>
      <c r="AE47" s="197"/>
      <c r="AF47" s="197"/>
      <c r="AG47" s="197"/>
      <c r="AH47" s="197"/>
      <c r="AI47" s="197"/>
    </row>
    <row r="48" spans="1:35" x14ac:dyDescent="0.2">
      <c r="A48" s="198" t="s">
        <v>265</v>
      </c>
      <c r="B48" s="196">
        <f>Other_input_data!C37/Other_input_data!C38</f>
        <v>0.84441398217957531</v>
      </c>
      <c r="C48" s="196">
        <f>Other_input_data!D37/Other_input_data!D38</f>
        <v>3.5146443514643605E-2</v>
      </c>
      <c r="D48" s="196">
        <f>Other_input_data!E37/Other_input_data!E38</f>
        <v>1.0660066006600664</v>
      </c>
      <c r="E48" s="196">
        <f>Other_input_data!F37/Other_input_data!F38</f>
        <v>1.4596007604562748</v>
      </c>
      <c r="F48" s="196">
        <f>Other_input_data!G37/Other_input_data!G38</f>
        <v>1.0143540669856466</v>
      </c>
      <c r="G48" s="196">
        <f>Other_input_data!H37/Other_input_data!H38</f>
        <v>1.7682167704137681</v>
      </c>
      <c r="H48" s="196">
        <f>Other_input_data!I37/Other_input_data!I38</f>
        <v>3.9759450171821307</v>
      </c>
      <c r="I48" s="196">
        <f>Other_input_data!J37/Other_input_data!J38</f>
        <v>3.3766578249336887</v>
      </c>
      <c r="J48" s="196">
        <f>Other_input_data!K37/Other_input_data!K38</f>
        <v>2.9745531657073614</v>
      </c>
      <c r="K48" s="196">
        <f>Other_input_data!L37/Other_input_data!L38</f>
        <v>4.1483812949640297</v>
      </c>
      <c r="L48" s="196">
        <f>Other_input_data!L37/Other_input_data!L38</f>
        <v>4.1483812949640297</v>
      </c>
      <c r="M48" s="197">
        <f t="shared" si="0"/>
        <v>0.69911166017858406</v>
      </c>
      <c r="N48" s="197"/>
      <c r="O48" s="197"/>
      <c r="P48" s="197"/>
      <c r="Q48" s="197"/>
      <c r="R48" s="197"/>
      <c r="S48" s="197"/>
      <c r="T48" s="197"/>
      <c r="U48" s="197"/>
      <c r="V48" s="197"/>
      <c r="W48" s="197"/>
      <c r="X48" s="197"/>
      <c r="Y48" s="197"/>
      <c r="Z48" s="197"/>
      <c r="AA48" s="197"/>
      <c r="AB48" s="197"/>
      <c r="AC48" s="197"/>
      <c r="AD48" s="197"/>
      <c r="AE48" s="197"/>
      <c r="AF48" s="197"/>
      <c r="AG48" s="197"/>
      <c r="AH48" s="197"/>
      <c r="AI48" s="197"/>
    </row>
    <row r="49" spans="1:35" s="199" customFormat="1" x14ac:dyDescent="0.2">
      <c r="A49" s="151" t="s">
        <v>311</v>
      </c>
      <c r="B49" s="196">
        <f>Other_input_data!C58/Other_input_data!C32</f>
        <v>0.33372595210051043</v>
      </c>
      <c r="C49" s="196">
        <f>Other_input_data!D58/Other_input_data!D32</f>
        <v>0.22919129141724176</v>
      </c>
      <c r="D49" s="196">
        <f>Other_input_data!E58/Other_input_data!E32</f>
        <v>0.30813048517966551</v>
      </c>
      <c r="E49" s="196">
        <f>Other_input_data!F58/Other_input_data!F32</f>
        <v>0.29470456536552125</v>
      </c>
      <c r="F49" s="196">
        <f>Other_input_data!G58/Other_input_data!G32</f>
        <v>0.24307728227877656</v>
      </c>
      <c r="G49" s="196">
        <f>Other_input_data!H58/Other_input_data!H32</f>
        <v>0.21172514292119715</v>
      </c>
      <c r="H49" s="196">
        <f>Other_input_data!I58/Other_input_data!I32</f>
        <v>0.19500757668837285</v>
      </c>
      <c r="I49" s="196">
        <f>Other_input_data!J58/Other_input_data!J32</f>
        <v>0.20847729816536084</v>
      </c>
      <c r="J49" s="196">
        <f>Other_input_data!K58/Other_input_data!K32</f>
        <v>0.20678863431872413</v>
      </c>
      <c r="K49" s="196">
        <f>Other_input_data!L58/Other_input_data!L32</f>
        <v>0.22002828430007071</v>
      </c>
      <c r="L49" s="196">
        <f>Other_input_data!L58/Other_input_data!L32</f>
        <v>0.22002828430007071</v>
      </c>
      <c r="M49" s="197">
        <f t="shared" si="0"/>
        <v>-4.5231712280321412E-3</v>
      </c>
      <c r="N49" s="197"/>
      <c r="O49" s="197"/>
      <c r="P49" s="197"/>
      <c r="Q49" s="197"/>
      <c r="R49" s="197"/>
      <c r="S49" s="197"/>
      <c r="T49" s="197"/>
      <c r="U49" s="197"/>
      <c r="V49" s="197"/>
      <c r="W49" s="197"/>
      <c r="X49" s="197"/>
      <c r="Y49" s="197"/>
      <c r="Z49" s="197"/>
      <c r="AA49" s="197"/>
      <c r="AB49" s="197"/>
      <c r="AC49" s="197"/>
      <c r="AD49" s="197"/>
      <c r="AE49" s="197"/>
      <c r="AF49" s="197"/>
      <c r="AG49" s="197"/>
      <c r="AH49" s="197"/>
      <c r="AI49" s="197"/>
    </row>
    <row r="50" spans="1:35" s="199" customFormat="1" x14ac:dyDescent="0.2">
      <c r="A50" s="151" t="s">
        <v>46</v>
      </c>
      <c r="B50" s="200">
        <f>IFERROR((Other_input_data!C7/Other_input_data!C32)*365,"NA")</f>
        <v>21.11969964664311</v>
      </c>
      <c r="C50" s="200">
        <f>IFERROR((Other_input_data!D7/Other_input_data!D32)*365,"NA")</f>
        <v>21.209440652762421</v>
      </c>
      <c r="D50" s="200">
        <f>IFERROR((Other_input_data!E7/Other_input_data!E32)*365,"NA")</f>
        <v>11.362808411988741</v>
      </c>
      <c r="E50" s="200">
        <f>IFERROR((Other_input_data!F7/Other_input_data!F32)*365,"NA")</f>
        <v>31.390781660663876</v>
      </c>
      <c r="F50" s="200">
        <f>IFERROR((Other_input_data!G7/Other_input_data!G32)*365,"NA")</f>
        <v>15.765818351622695</v>
      </c>
      <c r="G50" s="200">
        <f>IFERROR((Other_input_data!H7/Other_input_data!H32)*365,"NA")</f>
        <v>22.944961327205473</v>
      </c>
      <c r="H50" s="200">
        <f>IFERROR((Other_input_data!I7/Other_input_data!I32)*365,"NA")</f>
        <v>18.603534422738257</v>
      </c>
      <c r="I50" s="200">
        <f>IFERROR((Other_input_data!J7/Other_input_data!J32)*365,"NA")</f>
        <v>23.931902606777296</v>
      </c>
      <c r="J50" s="200">
        <f>IFERROR((Other_input_data!K7/Other_input_data!K32)*365,"NA")</f>
        <v>18.681458395816762</v>
      </c>
      <c r="K50" s="200">
        <f>IFERROR((Other_input_data!L7/Other_input_data!L32)*365,"NA")</f>
        <v>18.89953716599884</v>
      </c>
      <c r="L50" s="200">
        <f>IFERROR((Other_input_data!L7/Other_input_data!L32)*365,"NA")</f>
        <v>18.89953716599884</v>
      </c>
      <c r="M50" s="197">
        <f t="shared" si="0"/>
        <v>-1.2730381374041588E-2</v>
      </c>
      <c r="N50" s="197"/>
      <c r="O50" s="197"/>
      <c r="P50" s="197"/>
      <c r="Q50" s="197"/>
      <c r="R50" s="197"/>
      <c r="S50" s="197"/>
      <c r="T50" s="197"/>
      <c r="U50" s="197"/>
      <c r="V50" s="197"/>
      <c r="W50" s="197"/>
      <c r="X50" s="197"/>
      <c r="Y50" s="197"/>
      <c r="Z50" s="197"/>
      <c r="AA50" s="197"/>
      <c r="AB50" s="197"/>
      <c r="AC50" s="197"/>
      <c r="AD50" s="197"/>
      <c r="AE50" s="197"/>
      <c r="AF50" s="197"/>
      <c r="AG50" s="197"/>
      <c r="AH50" s="197"/>
      <c r="AI50" s="197"/>
    </row>
    <row r="51" spans="1:35" s="199" customFormat="1" x14ac:dyDescent="0.2">
      <c r="A51" s="151" t="s">
        <v>312</v>
      </c>
      <c r="B51" s="200">
        <f>IFERROR((Other_input_data!C6/Other_input_data!C32)*365,"NA")</f>
        <v>87.327002355712608</v>
      </c>
      <c r="C51" s="200">
        <f>IFERROR((Other_input_data!D6/Other_input_data!D32)*365,"NA")</f>
        <v>57.031684904869032</v>
      </c>
      <c r="D51" s="200">
        <f>IFERROR((Other_input_data!E6/Other_input_data!E32)*365,"NA")</f>
        <v>91.905779102500418</v>
      </c>
      <c r="E51" s="200">
        <f>IFERROR((Other_input_data!F6/Other_input_data!F32)*365,"NA")</f>
        <v>72.694441740484763</v>
      </c>
      <c r="F51" s="200">
        <f>IFERROR((Other_input_data!G6/Other_input_data!G32)*365,"NA")</f>
        <v>65.730679430305855</v>
      </c>
      <c r="G51" s="200">
        <f>IFERROR((Other_input_data!H6/Other_input_data!H32)*365,"NA")</f>
        <v>67.018271494227108</v>
      </c>
      <c r="H51" s="200">
        <f>IFERROR((Other_input_data!I6/Other_input_data!I32)*365,"NA")</f>
        <v>52.843305893434902</v>
      </c>
      <c r="I51" s="200">
        <f>IFERROR((Other_input_data!J6/Other_input_data!J32)*365,"NA")</f>
        <v>55.768082793972134</v>
      </c>
      <c r="J51" s="200">
        <f>IFERROR((Other_input_data!K6/Other_input_data!K32)*365,"NA")</f>
        <v>54.621252624303992</v>
      </c>
      <c r="K51" s="200">
        <f>IFERROR((Other_input_data!L6/Other_input_data!L32)*365,"NA")</f>
        <v>66.494460991236153</v>
      </c>
      <c r="L51" s="200">
        <f>IFERROR((Other_input_data!L6/Other_input_data!L32)*365,"NA")</f>
        <v>66.494460991236153</v>
      </c>
      <c r="M51" s="197">
        <f t="shared" si="0"/>
        <v>1.7203150026708913E-2</v>
      </c>
      <c r="N51" s="197"/>
      <c r="O51" s="197"/>
      <c r="P51" s="197"/>
      <c r="Q51" s="197"/>
      <c r="R51" s="197"/>
      <c r="S51" s="197"/>
      <c r="T51" s="197"/>
      <c r="U51" s="197"/>
      <c r="V51" s="197"/>
      <c r="W51" s="197"/>
      <c r="X51" s="197"/>
      <c r="Y51" s="197"/>
      <c r="Z51" s="197"/>
      <c r="AA51" s="197"/>
      <c r="AB51" s="197"/>
      <c r="AC51" s="197"/>
      <c r="AD51" s="197"/>
      <c r="AE51" s="197"/>
      <c r="AF51" s="197"/>
      <c r="AG51" s="197"/>
      <c r="AH51" s="197"/>
      <c r="AI51" s="197"/>
    </row>
    <row r="52" spans="1:35" s="199" customFormat="1" x14ac:dyDescent="0.2">
      <c r="A52" s="151" t="s">
        <v>313</v>
      </c>
      <c r="B52" s="196">
        <f t="shared" ref="B52:L52" si="1">365/B51</f>
        <v>4.1796923076923074</v>
      </c>
      <c r="C52" s="196">
        <f t="shared" si="1"/>
        <v>6.3999511957052215</v>
      </c>
      <c r="D52" s="196">
        <f t="shared" si="1"/>
        <v>3.9714586347494407</v>
      </c>
      <c r="E52" s="196">
        <f t="shared" si="1"/>
        <v>5.0210166177908118</v>
      </c>
      <c r="F52" s="196">
        <f t="shared" si="1"/>
        <v>5.5529625307921693</v>
      </c>
      <c r="G52" s="196">
        <f t="shared" si="1"/>
        <v>5.4462759462759465</v>
      </c>
      <c r="H52" s="196">
        <f t="shared" si="1"/>
        <v>6.9072135785007074</v>
      </c>
      <c r="I52" s="196">
        <f t="shared" si="1"/>
        <v>6.5449623102240153</v>
      </c>
      <c r="J52" s="196">
        <f t="shared" si="1"/>
        <v>6.682380620425235</v>
      </c>
      <c r="K52" s="196">
        <f t="shared" si="1"/>
        <v>5.4891790167019527</v>
      </c>
      <c r="L52" s="196">
        <f t="shared" si="1"/>
        <v>5.4891790167019527</v>
      </c>
      <c r="M52" s="197">
        <f t="shared" si="0"/>
        <v>-1.6912206795915985E-2</v>
      </c>
      <c r="N52" s="197"/>
      <c r="O52" s="197"/>
      <c r="P52" s="197"/>
      <c r="Q52" s="197"/>
      <c r="R52" s="197"/>
      <c r="S52" s="197"/>
      <c r="T52" s="197"/>
      <c r="U52" s="197"/>
      <c r="V52" s="197"/>
      <c r="W52" s="197"/>
      <c r="X52" s="197"/>
      <c r="Y52" s="197"/>
      <c r="Z52" s="197"/>
      <c r="AA52" s="197"/>
      <c r="AB52" s="197"/>
      <c r="AC52" s="197"/>
      <c r="AD52" s="197"/>
      <c r="AE52" s="197"/>
      <c r="AF52" s="197"/>
      <c r="AG52" s="197"/>
      <c r="AH52" s="197"/>
      <c r="AI52" s="197"/>
    </row>
    <row r="53" spans="1:35" s="199" customFormat="1" ht="24" x14ac:dyDescent="0.2">
      <c r="A53" s="151" t="s">
        <v>314</v>
      </c>
      <c r="B53" s="196">
        <f>(Other_input_data!C7+Other_input_data!C8)/(Other_input_data!C10)</f>
        <v>0.76044915782907041</v>
      </c>
      <c r="C53" s="196">
        <f>(Other_input_data!D7+Other_input_data!D8)/(Other_input_data!D10)</f>
        <v>0.28404178674351582</v>
      </c>
      <c r="D53" s="196">
        <f>(Other_input_data!E7+Other_input_data!E8)/(Other_input_data!E10)</f>
        <v>0.22274325908558032</v>
      </c>
      <c r="E53" s="196">
        <f>(Other_input_data!F7+Other_input_data!F8)/(Other_input_data!F10)</f>
        <v>0.92395833333333344</v>
      </c>
      <c r="F53" s="196">
        <f>(Other_input_data!G7+Other_input_data!G8)/(Other_input_data!G10)</f>
        <v>1.585324232081911</v>
      </c>
      <c r="G53" s="196">
        <f>(Other_input_data!H7+Other_input_data!H8)/(Other_input_data!H10)</f>
        <v>0.50230578219226674</v>
      </c>
      <c r="H53" s="196">
        <f>(Other_input_data!I7+Other_input_data!I8)/(Other_input_data!I10)</f>
        <v>0.52295116327813873</v>
      </c>
      <c r="I53" s="196">
        <f>(Other_input_data!J7+Other_input_data!J8)/(Other_input_data!J10)</f>
        <v>0.61573033707865166</v>
      </c>
      <c r="J53" s="196">
        <f>(Other_input_data!K7+Other_input_data!K8)/(Other_input_data!K10)</f>
        <v>0.50157450560523997</v>
      </c>
      <c r="K53" s="196">
        <f>(Other_input_data!L7+Other_input_data!L8)/(Other_input_data!L10)</f>
        <v>0.46494188226471689</v>
      </c>
      <c r="L53" s="196">
        <f>(Other_input_data!L7+Other_input_data!L8)/(Other_input_data!L10)</f>
        <v>0.46494188226471689</v>
      </c>
      <c r="M53" s="197">
        <f t="shared" si="0"/>
        <v>5.6281330299320809E-2</v>
      </c>
      <c r="N53" s="197"/>
      <c r="O53" s="197"/>
      <c r="P53" s="197"/>
      <c r="Q53" s="197"/>
      <c r="R53" s="197"/>
      <c r="S53" s="197"/>
      <c r="T53" s="197"/>
      <c r="U53" s="197"/>
      <c r="V53" s="197"/>
      <c r="W53" s="197"/>
      <c r="X53" s="197"/>
      <c r="Y53" s="197"/>
      <c r="Z53" s="197"/>
      <c r="AA53" s="197"/>
      <c r="AB53" s="197"/>
      <c r="AC53" s="197"/>
      <c r="AD53" s="197"/>
      <c r="AE53" s="197"/>
      <c r="AF53" s="197"/>
      <c r="AG53" s="197"/>
      <c r="AH53" s="197"/>
      <c r="AI53" s="197"/>
    </row>
    <row r="54" spans="1:35" s="199" customFormat="1" x14ac:dyDescent="0.2">
      <c r="A54" s="151" t="s">
        <v>267</v>
      </c>
      <c r="B54" s="196">
        <f>Other_input_data!C9/Other_input_data!C10</f>
        <v>5.2420461634435433</v>
      </c>
      <c r="C54" s="196">
        <f>Other_input_data!D9/Other_input_data!D10</f>
        <v>2.0826729106628239</v>
      </c>
      <c r="D54" s="196">
        <f>Other_input_data!E9/Other_input_data!E10</f>
        <v>3.1814771395076202</v>
      </c>
      <c r="E54" s="196">
        <f>Other_input_data!F9/Other_input_data!F10</f>
        <v>4.1536458333333339</v>
      </c>
      <c r="F54" s="196">
        <f>Other_input_data!G9/Other_input_data!G10</f>
        <v>9.8831058020477816</v>
      </c>
      <c r="G54" s="196">
        <f>Other_input_data!H9/Other_input_data!H10</f>
        <v>2.67506207875133</v>
      </c>
      <c r="H54" s="196">
        <f>Other_input_data!I9/Other_input_data!I10</f>
        <v>2.9960176063718298</v>
      </c>
      <c r="I54" s="196">
        <f>Other_input_data!J9/Other_input_data!J10</f>
        <v>2.9253932584269666</v>
      </c>
      <c r="J54" s="196">
        <f>Other_input_data!K9/Other_input_data!K10</f>
        <v>2.9974807910316161</v>
      </c>
      <c r="K54" s="196">
        <f>Other_input_data!L9/Other_input_data!L10</f>
        <v>2.9251031121109858</v>
      </c>
      <c r="L54" s="196">
        <f>Other_input_data!L9/Other_input_data!L10</f>
        <v>2.9251031121109858</v>
      </c>
      <c r="M54" s="197">
        <f t="shared" si="0"/>
        <v>3.846322980271899E-2</v>
      </c>
      <c r="N54" s="197"/>
      <c r="O54" s="197"/>
      <c r="P54" s="197"/>
      <c r="Q54" s="197"/>
      <c r="R54" s="197"/>
      <c r="S54" s="197"/>
      <c r="T54" s="197"/>
      <c r="U54" s="197"/>
      <c r="V54" s="197"/>
      <c r="W54" s="197"/>
      <c r="X54" s="197"/>
      <c r="Y54" s="197"/>
      <c r="Z54" s="197"/>
      <c r="AA54" s="197"/>
      <c r="AB54" s="197"/>
      <c r="AC54" s="197"/>
      <c r="AD54" s="197"/>
      <c r="AE54" s="197"/>
      <c r="AF54" s="197"/>
      <c r="AG54" s="197"/>
      <c r="AH54" s="197"/>
      <c r="AI54" s="197"/>
    </row>
    <row r="55" spans="1:35" s="199" customFormat="1" x14ac:dyDescent="0.2">
      <c r="A55" s="201" t="s">
        <v>315</v>
      </c>
      <c r="B55" s="196">
        <f>Other_input_data!C30/Other_input_data!C78</f>
        <v>0</v>
      </c>
      <c r="C55" s="196">
        <f>Other_input_data!D30/Other_input_data!D78</f>
        <v>-2.6788235294117584</v>
      </c>
      <c r="D55" s="196">
        <f>Other_input_data!E30/Other_input_data!E78</f>
        <v>8.1666666666604506</v>
      </c>
      <c r="E55" s="196">
        <f>Other_input_data!F30/Other_input_data!F78</f>
        <v>-1.0248582642825662E-2</v>
      </c>
      <c r="F55" s="196">
        <f>Other_input_data!G30/Other_input_data!G78</f>
        <v>0.10636097224616448</v>
      </c>
      <c r="G55" s="196">
        <f>Other_input_data!H30/Other_input_data!H78</f>
        <v>7.2635135135135226E-2</v>
      </c>
      <c r="H55" s="196">
        <f>Other_input_data!I30/Other_input_data!I78</f>
        <v>0.38925421010425015</v>
      </c>
      <c r="I55" s="196">
        <f>Other_input_data!J30/Other_input_data!J78</f>
        <v>-1.2370326978378954</v>
      </c>
      <c r="J55" s="196">
        <f>Other_input_data!K30/Other_input_data!K78</f>
        <v>0.27979604843849559</v>
      </c>
      <c r="K55" s="196">
        <f>Other_input_data!L30/Other_input_data!L78</f>
        <v>-1.299316974449785</v>
      </c>
      <c r="L55" s="196">
        <f>Other_input_data!L30/Other_input_data!L78</f>
        <v>-1.299316974449785</v>
      </c>
      <c r="M55" s="197">
        <f t="shared" si="0"/>
        <v>-7.7246571547400555E-2</v>
      </c>
      <c r="N55" s="197"/>
      <c r="O55" s="197"/>
      <c r="P55" s="197"/>
      <c r="Q55" s="197"/>
      <c r="R55" s="197"/>
      <c r="S55" s="197"/>
      <c r="T55" s="197"/>
      <c r="U55" s="197"/>
      <c r="V55" s="197"/>
      <c r="W55" s="197"/>
      <c r="X55" s="197"/>
      <c r="Y55" s="197"/>
      <c r="Z55" s="197"/>
      <c r="AA55" s="197"/>
      <c r="AB55" s="197"/>
      <c r="AC55" s="197"/>
      <c r="AD55" s="197"/>
      <c r="AE55" s="197"/>
      <c r="AF55" s="197"/>
      <c r="AG55" s="197"/>
      <c r="AH55" s="197"/>
      <c r="AI55" s="197"/>
    </row>
    <row r="56" spans="1:35" s="199" customFormat="1" x14ac:dyDescent="0.2">
      <c r="A56" s="201" t="s">
        <v>316</v>
      </c>
      <c r="B56" s="196">
        <f>Other_input_data!C78/Other_input_data!C41</f>
        <v>-4.16550116550117</v>
      </c>
      <c r="C56" s="196">
        <f>Other_input_data!D78/Other_input_data!D41</f>
        <v>0.60240963855421836</v>
      </c>
      <c r="D56" s="196">
        <f>Other_input_data!E78/Other_input_data!E41</f>
        <v>8.8235294117706212E-2</v>
      </c>
      <c r="E56" s="196">
        <f>Other_input_data!F78/Other_input_data!F41</f>
        <v>6.8041543026705975</v>
      </c>
      <c r="F56" s="196">
        <f>Other_input_data!G78/Other_input_data!G41</f>
        <v>193.36666666665707</v>
      </c>
      <c r="G56" s="196">
        <f>Other_input_data!H78/Other_input_data!H41</f>
        <v>5.8613861386138577</v>
      </c>
      <c r="H56" s="196">
        <f>Other_input_data!I78/Other_input_data!I41</f>
        <v>1.7921816613969535</v>
      </c>
      <c r="I56" s="196">
        <f>Other_input_data!J78/Other_input_data!J41</f>
        <v>-4.5833536734195715</v>
      </c>
      <c r="J56" s="196">
        <f>Other_input_data!K78/Other_input_data!K41</f>
        <v>1.7772995015858633</v>
      </c>
      <c r="K56" s="196">
        <f>Other_input_data!L78/Other_input_data!L41</f>
        <v>-3.4584426946631646</v>
      </c>
      <c r="L56" s="196">
        <f>Other_input_data!L78/Other_input_data!L41</f>
        <v>-3.4584426946631646</v>
      </c>
      <c r="M56" s="197">
        <f t="shared" si="0"/>
        <v>-2.2143169989929135</v>
      </c>
      <c r="N56" s="197"/>
      <c r="O56" s="197"/>
      <c r="P56" s="197"/>
      <c r="Q56" s="197"/>
      <c r="R56" s="197"/>
      <c r="S56" s="197"/>
      <c r="T56" s="197"/>
      <c r="U56" s="197"/>
      <c r="V56" s="197"/>
      <c r="W56" s="197"/>
      <c r="X56" s="197"/>
      <c r="Y56" s="197"/>
      <c r="Z56" s="197"/>
      <c r="AA56" s="197"/>
      <c r="AB56" s="197"/>
      <c r="AC56" s="197"/>
      <c r="AD56" s="197"/>
      <c r="AE56" s="197"/>
      <c r="AF56" s="197"/>
      <c r="AG56" s="197"/>
      <c r="AH56" s="197"/>
      <c r="AI56" s="197"/>
    </row>
    <row r="57" spans="1:35" s="199" customFormat="1" x14ac:dyDescent="0.2">
      <c r="A57" s="202" t="s">
        <v>229</v>
      </c>
      <c r="B57" s="196">
        <f>Other_input_data!C77/Other_input_data!C41</f>
        <v>-4.16550116550117</v>
      </c>
      <c r="C57" s="196">
        <f>Other_input_data!D77/Other_input_data!D41</f>
        <v>-1.0113394755492546</v>
      </c>
      <c r="D57" s="196">
        <f>Other_input_data!E77/Other_input_data!E41</f>
        <v>0.8088235294117585</v>
      </c>
      <c r="E57" s="196">
        <f>Other_input_data!F77/Other_input_data!F41</f>
        <v>6.7344213649851401</v>
      </c>
      <c r="F57" s="196">
        <f>Other_input_data!G77/Other_input_data!G41</f>
        <v>213.93333333332271</v>
      </c>
      <c r="G57" s="196">
        <f>Other_input_data!H77/Other_input_data!H41</f>
        <v>6.2871287128712838</v>
      </c>
      <c r="H57" s="196">
        <f>Other_input_data!I77/Other_input_data!I41</f>
        <v>2.489795918367347</v>
      </c>
      <c r="I57" s="196">
        <f>Other_input_data!J77/Other_input_data!J41</f>
        <v>1.0864046863558692</v>
      </c>
      <c r="J57" s="196">
        <f>Other_input_data!K77/Other_input_data!K41</f>
        <v>2.2745808790212956</v>
      </c>
      <c r="K57" s="196">
        <f>Other_input_data!L77/Other_input_data!L41</f>
        <v>1.0351706036745401</v>
      </c>
      <c r="L57" s="196">
        <f>Other_input_data!L77/Other_input_data!L41</f>
        <v>1.0351706036745401</v>
      </c>
      <c r="M57" s="197">
        <f t="shared" si="0"/>
        <v>-2.0025911937965275</v>
      </c>
      <c r="N57" s="197"/>
      <c r="O57" s="197"/>
      <c r="P57" s="197"/>
      <c r="Q57" s="197"/>
      <c r="R57" s="197"/>
      <c r="S57" s="197"/>
      <c r="T57" s="197"/>
      <c r="U57" s="197"/>
      <c r="V57" s="197"/>
      <c r="W57" s="197"/>
      <c r="X57" s="197"/>
      <c r="Y57" s="197"/>
      <c r="Z57" s="197"/>
      <c r="AA57" s="197"/>
      <c r="AB57" s="197"/>
      <c r="AC57" s="197"/>
      <c r="AD57" s="197"/>
      <c r="AE57" s="197"/>
      <c r="AF57" s="197"/>
      <c r="AG57" s="197"/>
      <c r="AH57" s="197"/>
      <c r="AI57" s="197"/>
    </row>
    <row r="58" spans="1:35" x14ac:dyDescent="0.2">
      <c r="A58" s="424"/>
      <c r="B58" s="424"/>
      <c r="C58" s="424"/>
      <c r="D58" s="424"/>
      <c r="E58" s="424"/>
      <c r="F58" s="424"/>
      <c r="G58" s="424"/>
      <c r="H58" s="424"/>
      <c r="I58" s="424"/>
      <c r="J58" s="424"/>
      <c r="K58" s="424"/>
      <c r="L58" s="101" t="s">
        <v>317</v>
      </c>
    </row>
    <row r="59" spans="1:35" x14ac:dyDescent="0.2">
      <c r="A59" s="203" t="s">
        <v>260</v>
      </c>
      <c r="B59" s="204">
        <f>Other_input_data!C34/Other_input_data!C32</f>
        <v>0.44302120141342755</v>
      </c>
      <c r="C59" s="205">
        <f>Other_input_data!D34/Other_input_data!D32</f>
        <v>0.35730354215121818</v>
      </c>
      <c r="D59" s="205">
        <f>Other_input_data!E34/Other_input_data!E32</f>
        <v>0.36181487001159135</v>
      </c>
      <c r="E59" s="205">
        <f>Other_input_data!F34/Other_input_data!F32</f>
        <v>0.36498588533047799</v>
      </c>
      <c r="F59" s="205">
        <f>Other_input_data!G34/Other_input_data!G32</f>
        <v>0.33154331076348353</v>
      </c>
      <c r="G59" s="205">
        <f>Other_input_data!H34/Other_input_data!H32</f>
        <v>0.40771213989463068</v>
      </c>
      <c r="H59" s="205">
        <f>Other_input_data!I34/Other_input_data!I32</f>
        <v>0.37793340705246348</v>
      </c>
      <c r="I59" s="205">
        <f>Other_input_data!J34/Other_input_data!J32</f>
        <v>0.37208623290671083</v>
      </c>
      <c r="J59" s="205">
        <f>Other_input_data!K34/Other_input_data!K32</f>
        <v>0.39817700522904798</v>
      </c>
      <c r="K59" s="205">
        <f>Other_input_data!L34/Other_input_data!L32</f>
        <v>0.33881163084702909</v>
      </c>
      <c r="L59" s="205">
        <f>Other_input_data!L34/Other_input_data!L32</f>
        <v>0.33881163084702909</v>
      </c>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row>
    <row r="60" spans="1:35" x14ac:dyDescent="0.2">
      <c r="A60" s="151" t="s">
        <v>318</v>
      </c>
      <c r="B60" s="207">
        <f>Other_input_data!C35/Other_input_data!C32</f>
        <v>0.16396741264232434</v>
      </c>
      <c r="C60" s="208">
        <f>Other_input_data!D35/Other_input_data!D32</f>
        <v>-8.5026880695467186E-3</v>
      </c>
      <c r="D60" s="208">
        <f>Other_input_data!E35/Other_input_data!E32</f>
        <v>0.11525086934923003</v>
      </c>
      <c r="E60" s="208">
        <f>Other_input_data!F35/Other_input_data!F32</f>
        <v>0.18504818456147187</v>
      </c>
      <c r="F60" s="208">
        <f>Other_input_data!G35/Other_input_data!G32</f>
        <v>0.10548680831193091</v>
      </c>
      <c r="G60" s="208">
        <f>Other_input_data!H35/Other_input_data!H32</f>
        <v>0.16318798340993163</v>
      </c>
      <c r="H60" s="208">
        <f>Other_input_data!I35/Other_input_data!I32</f>
        <v>0.19308268829094485</v>
      </c>
      <c r="I60" s="208">
        <f>Other_input_data!J35/Other_input_data!J32</f>
        <v>0.16922153551673241</v>
      </c>
      <c r="J60" s="208">
        <f>Other_input_data!K35/Other_input_data!K32</f>
        <v>0.17962627303193501</v>
      </c>
      <c r="K60" s="208">
        <f>Other_input_data!L35/Other_input_data!L32</f>
        <v>0.14346782660866961</v>
      </c>
      <c r="L60" s="208">
        <f>Other_input_data!L35/Other_input_data!L32</f>
        <v>0.14346782660866961</v>
      </c>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row>
    <row r="61" spans="1:35" x14ac:dyDescent="0.2">
      <c r="A61" s="151" t="s">
        <v>319</v>
      </c>
      <c r="B61" s="207">
        <f>Other_input_data!C41/Other_input_data!C32</f>
        <v>-2.1054181389870415E-2</v>
      </c>
      <c r="C61" s="208">
        <f>Other_input_data!D41/Other_input_data!D32</f>
        <v>-5.3799519579059818E-2</v>
      </c>
      <c r="D61" s="208">
        <f>Other_input_data!E41/Other_input_data!E32</f>
        <v>2.2520284815366956E-3</v>
      </c>
      <c r="E61" s="208">
        <f>Other_input_data!F41/Other_input_data!F32</f>
        <v>1.6402219410104214E-2</v>
      </c>
      <c r="F61" s="208">
        <f>Other_input_data!G41/Other_input_data!G32</f>
        <v>7.0044361428908458E-4</v>
      </c>
      <c r="G61" s="208">
        <f>Other_input_data!H41/Other_input_data!H32</f>
        <v>3.1700482008743432E-2</v>
      </c>
      <c r="H61" s="208">
        <f>Other_input_data!I41/Other_input_data!I32</f>
        <v>7.1241348240979649E-2</v>
      </c>
      <c r="I61" s="208">
        <f>Other_input_data!J41/Other_input_data!J32</f>
        <v>6.6459032880756622E-2</v>
      </c>
      <c r="J61" s="208">
        <f>Other_input_data!K41/Other_input_data!K32</f>
        <v>5.7558647489144195E-2</v>
      </c>
      <c r="K61" s="208">
        <f>Other_input_data!L41/Other_input_data!L32</f>
        <v>6.1229081403072733E-2</v>
      </c>
      <c r="L61" s="208">
        <f>Other_input_data!L41/Other_input_data!L32</f>
        <v>6.1229081403072733E-2</v>
      </c>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row>
    <row r="62" spans="1:35" x14ac:dyDescent="0.2">
      <c r="A62" s="151" t="s">
        <v>320</v>
      </c>
      <c r="B62" s="207">
        <f>Other_input_data!C78/Other_input_data!C32</f>
        <v>8.7701217118178257E-2</v>
      </c>
      <c r="C62" s="208">
        <f>Other_input_data!D78/Other_input_data!D32</f>
        <v>-3.2409349144012022E-2</v>
      </c>
      <c r="D62" s="208">
        <f>Other_input_data!E78/Other_input_data!E32</f>
        <v>1.9870839542984167E-4</v>
      </c>
      <c r="E62" s="208">
        <f>Other_input_data!F78/Other_input_data!F32</f>
        <v>0.11160323177260777</v>
      </c>
      <c r="F62" s="208">
        <f>Other_input_data!G78/Other_input_data!G32</f>
        <v>0.13544244688302592</v>
      </c>
      <c r="G62" s="208">
        <f>Other_input_data!H78/Other_input_data!H32</f>
        <v>0.18580876583342673</v>
      </c>
      <c r="H62" s="208">
        <f>Other_input_data!I78/Other_input_data!I32</f>
        <v>0.12767743785067784</v>
      </c>
      <c r="I62" s="208">
        <f>Other_input_data!J78/Other_input_data!J32</f>
        <v>-0.30460525248592796</v>
      </c>
      <c r="J62" s="208">
        <f>Other_input_data!K78/Other_input_data!K32</f>
        <v>0.10229895549441237</v>
      </c>
      <c r="K62" s="208">
        <f>Other_input_data!L78/Other_input_data!L32</f>
        <v>-0.21175726927939312</v>
      </c>
      <c r="L62" s="208">
        <f>Other_input_data!L78/Other_input_data!L32</f>
        <v>-0.21175726927939312</v>
      </c>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row>
    <row r="63" spans="1:35" x14ac:dyDescent="0.2">
      <c r="A63" s="424"/>
      <c r="B63" s="424"/>
      <c r="C63" s="424"/>
      <c r="D63" s="424"/>
      <c r="E63" s="424"/>
      <c r="F63" s="424"/>
      <c r="G63" s="424"/>
      <c r="H63" s="424"/>
      <c r="I63" s="424"/>
      <c r="J63" s="424"/>
      <c r="K63" s="424"/>
    </row>
    <row r="64" spans="1:35" x14ac:dyDescent="0.2">
      <c r="A64" s="151" t="s">
        <v>321</v>
      </c>
      <c r="B64" s="209">
        <f>Other_input_data!C32/Other_input_data!C63</f>
        <v>0.57332583005064719</v>
      </c>
      <c r="C64" s="196">
        <f>Other_input_data!D32/Other_input_data!D63</f>
        <v>0.7024775679657157</v>
      </c>
      <c r="D64" s="196">
        <f>Other_input_data!E32/Other_input_data!E63</f>
        <v>0.77798103679274444</v>
      </c>
      <c r="E64" s="196">
        <f>Other_input_data!F32/Other_input_data!F63</f>
        <v>1.1094551541659918</v>
      </c>
      <c r="F64" s="196">
        <f>Other_input_data!G32/Other_input_data!G63</f>
        <v>1.2762977531438109</v>
      </c>
      <c r="G64" s="196">
        <f>Other_input_data!H32/Other_input_data!H63</f>
        <v>1.4508993917314514</v>
      </c>
      <c r="H64" s="196">
        <f>Other_input_data!I32/Other_input_data!I63</f>
        <v>1.5874780573434757</v>
      </c>
      <c r="I64" s="196">
        <f>Other_input_data!J32/Other_input_data!J63</f>
        <v>1.1305982467079927</v>
      </c>
      <c r="J64" s="196">
        <f>Other_input_data!K32/Other_input_data!K63</f>
        <v>1.3750336196231014</v>
      </c>
      <c r="K64" s="196">
        <f>Other_input_data!L32/Other_input_data!L63</f>
        <v>1.1387404533587095</v>
      </c>
      <c r="L64" s="196">
        <f>Other_input_data!L32/Other_input_data!L63</f>
        <v>1.1387404533587095</v>
      </c>
    </row>
    <row r="65" spans="1:35" s="199" customFormat="1" x14ac:dyDescent="0.2">
      <c r="A65" s="151" t="s">
        <v>322</v>
      </c>
      <c r="B65" s="209">
        <f>Other_input_data!C32/Other_input_data!C56</f>
        <v>0.85073692121414557</v>
      </c>
      <c r="C65" s="196">
        <f>Other_input_data!D32/Other_input_data!D56</f>
        <v>0.8374952101162344</v>
      </c>
      <c r="D65" s="196">
        <f>Other_input_data!E32/Other_input_data!E56</f>
        <v>1.0232818218788124</v>
      </c>
      <c r="E65" s="196">
        <f>Other_input_data!F32/Other_input_data!F56</f>
        <v>1.6484274711168165</v>
      </c>
      <c r="F65" s="196">
        <f>Other_input_data!G32/Other_input_data!G56</f>
        <v>1.8777675478977596</v>
      </c>
      <c r="G65" s="196">
        <f>Other_input_data!H32/Other_input_data!H56</f>
        <v>2.0942297760458235</v>
      </c>
      <c r="H65" s="196">
        <f>Other_input_data!I32/Other_input_data!I56</f>
        <v>2.5539459233303696</v>
      </c>
      <c r="I65" s="196">
        <f>Other_input_data!J32/Other_input_data!J56</f>
        <v>1.4792676488937948</v>
      </c>
      <c r="J65" s="196">
        <f>Other_input_data!K32/Other_input_data!K56</f>
        <v>2.0071452875127593</v>
      </c>
      <c r="K65" s="196">
        <f>Other_input_data!L32/Other_input_data!L56</f>
        <v>1.5194452131729315</v>
      </c>
      <c r="L65" s="196">
        <f>Other_input_data!L32/Other_input_data!L56</f>
        <v>1.5194452131729315</v>
      </c>
    </row>
    <row r="66" spans="1:35" x14ac:dyDescent="0.2">
      <c r="A66" s="151" t="s">
        <v>323</v>
      </c>
      <c r="B66" s="209">
        <f>Other_input_data!C32/Other_input_data!C72</f>
        <v>0.54858250545190212</v>
      </c>
      <c r="C66" s="196">
        <f>Other_input_data!D32/Other_input_data!D72</f>
        <v>0.61153729568400672</v>
      </c>
      <c r="D66" s="196">
        <f>Other_input_data!E32/Other_input_data!E72</f>
        <v>0.70095410543909742</v>
      </c>
      <c r="E66" s="196">
        <f>Other_input_data!F32/Other_input_data!F72</f>
        <v>1.0052350897793436</v>
      </c>
      <c r="F66" s="196">
        <f>Other_input_data!G32/Other_input_data!G72</f>
        <v>1.2332277569824359</v>
      </c>
      <c r="G66" s="196">
        <f>Other_input_data!H32/Other_input_data!H72</f>
        <v>1.2260520601412825</v>
      </c>
      <c r="H66" s="196">
        <f>Other_input_data!I32/Other_input_data!I72</f>
        <v>1.3743280893817016</v>
      </c>
      <c r="I66" s="196">
        <f>Other_input_data!J32/Other_input_data!J72</f>
        <v>1.0072874626231598</v>
      </c>
      <c r="J66" s="196">
        <f>Other_input_data!K32/Other_input_data!K72</f>
        <v>1.2036885889185371</v>
      </c>
      <c r="K66" s="196">
        <f>Other_input_data!L32/Other_input_data!L72</f>
        <v>1.0075998013688279</v>
      </c>
      <c r="L66" s="196">
        <f>Other_input_data!L32/Other_input_data!L72</f>
        <v>1.0075998013688279</v>
      </c>
    </row>
    <row r="67" spans="1:35" x14ac:dyDescent="0.2">
      <c r="A67" s="151" t="s">
        <v>324</v>
      </c>
      <c r="B67" s="208">
        <f>B61*B66</f>
        <v>-1.1549955577093924E-2</v>
      </c>
      <c r="C67" s="208">
        <f t="shared" ref="C67:L67" si="2">C61*C66</f>
        <v>-3.2900412712477012E-2</v>
      </c>
      <c r="D67" s="208">
        <f t="shared" si="2"/>
        <v>1.5785686096989233E-3</v>
      </c>
      <c r="E67" s="208">
        <f t="shared" si="2"/>
        <v>1.64880865012966E-2</v>
      </c>
      <c r="F67" s="208">
        <f t="shared" si="2"/>
        <v>8.6380650734239829E-4</v>
      </c>
      <c r="G67" s="208">
        <f t="shared" si="2"/>
        <v>3.8866441274291549E-2</v>
      </c>
      <c r="H67" s="208">
        <f t="shared" si="2"/>
        <v>9.7908986013002006E-2</v>
      </c>
      <c r="I67" s="208">
        <f t="shared" si="2"/>
        <v>6.6943350598846485E-2</v>
      </c>
      <c r="J67" s="208">
        <f t="shared" si="2"/>
        <v>6.9282687176267482E-2</v>
      </c>
      <c r="K67" s="208">
        <f t="shared" si="2"/>
        <v>6.169441025973188E-2</v>
      </c>
      <c r="L67" s="208">
        <f t="shared" si="2"/>
        <v>6.169441025973188E-2</v>
      </c>
    </row>
    <row r="68" spans="1:35" x14ac:dyDescent="0.2">
      <c r="A68" s="151" t="s">
        <v>325</v>
      </c>
      <c r="B68" s="208">
        <f>B61*B66*B43</f>
        <v>-4.8716784010901612E-2</v>
      </c>
      <c r="C68" s="208">
        <f t="shared" ref="C68:L68" si="3">C61*C66*C43</f>
        <v>-0.19083040302948359</v>
      </c>
      <c r="D68" s="208">
        <f t="shared" si="3"/>
        <v>8.5416404974250123E-3</v>
      </c>
      <c r="E68" s="208">
        <f t="shared" si="3"/>
        <v>7.8054429646786619E-2</v>
      </c>
      <c r="F68" s="208">
        <f t="shared" si="3"/>
        <v>3.4618047542120346E-3</v>
      </c>
      <c r="G68" s="208">
        <f t="shared" si="3"/>
        <v>0.14029169560472279</v>
      </c>
      <c r="H68" s="208">
        <f t="shared" si="3"/>
        <v>0.2644621816799696</v>
      </c>
      <c r="I68" s="208">
        <f t="shared" si="3"/>
        <v>0.24534403257680121</v>
      </c>
      <c r="J68" s="208">
        <f t="shared" si="3"/>
        <v>0.21464695584516638</v>
      </c>
      <c r="K68" s="208">
        <f t="shared" si="3"/>
        <v>0.22309403911465053</v>
      </c>
      <c r="L68" s="208">
        <f t="shared" si="3"/>
        <v>0.22309403911465053</v>
      </c>
    </row>
    <row r="69" spans="1:35" x14ac:dyDescent="0.2">
      <c r="A69" s="151" t="s">
        <v>326</v>
      </c>
      <c r="B69" s="208">
        <f>Other_input_data!C37/Other_input_data!C65</f>
        <v>3.4665166010129443E-2</v>
      </c>
      <c r="C69" s="208">
        <f>Other_input_data!D37/Other_input_data!D65</f>
        <v>2.2498995580553958E-3</v>
      </c>
      <c r="D69" s="208">
        <f>Other_input_data!E37/Other_input_data!E65</f>
        <v>4.161084200762652E-2</v>
      </c>
      <c r="E69" s="208">
        <f>Other_input_data!F37/Other_input_data!F65</f>
        <v>8.2914844214050501E-2</v>
      </c>
      <c r="F69" s="208">
        <f>Other_input_data!G37/Other_input_data!G65</f>
        <v>6.317420585255383E-2</v>
      </c>
      <c r="G69" s="208">
        <f>Other_input_data!H37/Other_input_data!H65</f>
        <v>0.15707640763751099</v>
      </c>
      <c r="H69" s="208">
        <f>Other_input_data!I37/Other_input_data!I65</f>
        <v>0.22566803198751706</v>
      </c>
      <c r="I69" s="208">
        <f>Other_input_data!J37/Other_input_data!J65</f>
        <v>0.14007996185306099</v>
      </c>
      <c r="J69" s="208">
        <f>Other_input_data!K37/Other_input_data!K65</f>
        <v>0.17605924225852143</v>
      </c>
      <c r="K69" s="208">
        <f>Other_input_data!L37/Other_input_data!L65</f>
        <v>0.1125588658712149</v>
      </c>
      <c r="L69" s="208">
        <f>Other_input_data!L37/Other_input_data!L65</f>
        <v>0.1125588658712149</v>
      </c>
    </row>
    <row r="70" spans="1:35" x14ac:dyDescent="0.2">
      <c r="A70" s="151" t="s">
        <v>327</v>
      </c>
      <c r="B70" s="208">
        <f t="shared" ref="B70:L70" si="4">B85*(1-B78)</f>
        <v>6.5512582459671995E-2</v>
      </c>
      <c r="C70" s="208">
        <f t="shared" si="4"/>
        <v>1.3766731467546251E-3</v>
      </c>
      <c r="D70" s="208">
        <f t="shared" si="4"/>
        <v>2.8295372565186105E-2</v>
      </c>
      <c r="E70" s="208">
        <f t="shared" si="4"/>
        <v>5.7791732161602993E-2</v>
      </c>
      <c r="F70" s="208">
        <f t="shared" si="4"/>
        <v>6.317420585255383E-2</v>
      </c>
      <c r="G70" s="208">
        <f t="shared" si="4"/>
        <v>0.10586560552880869</v>
      </c>
      <c r="H70" s="208">
        <f t="shared" si="4"/>
        <v>0.15109682126338947</v>
      </c>
      <c r="I70" s="208">
        <f t="shared" si="4"/>
        <v>0.10675364652380784</v>
      </c>
      <c r="J70" s="208">
        <f t="shared" si="4"/>
        <v>0.11922759977433471</v>
      </c>
      <c r="K70" s="208">
        <f t="shared" si="4"/>
        <v>9.1870025486145854E-2</v>
      </c>
      <c r="L70" s="208">
        <f t="shared" si="4"/>
        <v>9.1870025486145854E-2</v>
      </c>
    </row>
    <row r="71" spans="1:35" x14ac:dyDescent="0.2">
      <c r="A71" s="151" t="s">
        <v>328</v>
      </c>
      <c r="B71" s="208"/>
      <c r="C71" s="208">
        <f>(Other_input_data!D80-Other_input_data!C80)/(Other_input_data!D63-Other_input_data!C63)</f>
        <v>-1.2684786009374112</v>
      </c>
      <c r="D71" s="208">
        <f>(Other_input_data!E80-Other_input_data!D80)/(Other_input_data!E63-Other_input_data!D63)</f>
        <v>0.70873521196067735</v>
      </c>
      <c r="E71" s="208">
        <f>(Other_input_data!F80-Other_input_data!E80)/(Other_input_data!F63-Other_input_data!E63)</f>
        <v>-0.58753673945966611</v>
      </c>
      <c r="F71" s="208">
        <f>(Other_input_data!G80-Other_input_data!F80)/(Other_input_data!G63-Other_input_data!F63)</f>
        <v>5.887981552140817E-3</v>
      </c>
      <c r="G71" s="208">
        <f>(Other_input_data!H80-Other_input_data!G80)/(Other_input_data!H63-Other_input_data!G63)</f>
        <v>-0.40306440880005767</v>
      </c>
      <c r="H71" s="208">
        <f>(Other_input_data!I80-Other_input_data!H80)/(Other_input_data!I63-Other_input_data!H63)</f>
        <v>73.337584470095891</v>
      </c>
      <c r="I71" s="208">
        <f>(Other_input_data!J80-Other_input_data!I80)/(Other_input_data!J63-Other_input_data!I63)</f>
        <v>4.9352336082004691E-2</v>
      </c>
      <c r="J71" s="208">
        <f>(Other_input_data!K80-Other_input_data!J80)/(Other_input_data!K63-Other_input_data!J63)</f>
        <v>0.66553665594961575</v>
      </c>
      <c r="K71" s="208">
        <f>(Other_input_data!L80-Other_input_data!K80)/(Other_input_data!L63-Other_input_data!K63)</f>
        <v>3.3623822942661204E-2</v>
      </c>
      <c r="L71" s="208">
        <f>(Other_input_data!L80-Other_input_data!K80)/(Other_input_data!L63-Other_input_data!K63)</f>
        <v>3.3623822942661204E-2</v>
      </c>
    </row>
    <row r="72" spans="1:35" ht="15" customHeight="1" x14ac:dyDescent="0.2">
      <c r="A72" s="151" t="s">
        <v>329</v>
      </c>
      <c r="B72" s="419"/>
      <c r="C72" s="420"/>
      <c r="D72" s="421"/>
      <c r="E72" s="208">
        <f>(Other_input_data!F80-Other_input_data!C80)/(Other_input_data!F63-Other_input_data!C63)</f>
        <v>-0.12538518345480046</v>
      </c>
      <c r="F72" s="208">
        <f>(Other_input_data!G80-Other_input_data!D80)/(Other_input_data!G63-Other_input_data!D63)</f>
        <v>-0.54768385175163237</v>
      </c>
      <c r="G72" s="208">
        <f>(Other_input_data!H80-Other_input_data!E80)/(Other_input_data!H63-Other_input_data!E63)</f>
        <v>-0.26724827249624</v>
      </c>
      <c r="H72" s="208">
        <f>(Other_input_data!I80-Other_input_data!F80)/(Other_input_data!I63-Other_input_data!F63)</f>
        <v>-0.39954592732679034</v>
      </c>
      <c r="I72" s="208">
        <f>(Other_input_data!J80-Other_input_data!G80)/(Other_input_data!J63-Other_input_data!G63)</f>
        <v>0.17649987268013856</v>
      </c>
      <c r="J72" s="208">
        <f>(Other_input_data!K80-Other_input_data!H80)/(Other_input_data!K63-Other_input_data!H63)</f>
        <v>0.13564072863362056</v>
      </c>
      <c r="K72" s="208">
        <f>(Other_input_data!L80-Other_input_data!I80)/(Other_input_data!L63-Other_input_data!I63)</f>
        <v>5.6288143373428717E-2</v>
      </c>
      <c r="L72" s="208">
        <f>(Other_input_data!L80-Other_input_data!I80)/(Other_input_data!L63-Other_input_data!I63)</f>
        <v>5.6288143373428717E-2</v>
      </c>
    </row>
    <row r="73" spans="1:35" ht="15" customHeight="1" x14ac:dyDescent="0.2">
      <c r="A73" s="151" t="s">
        <v>330</v>
      </c>
      <c r="B73" s="419"/>
      <c r="C73" s="420"/>
      <c r="D73" s="420"/>
      <c r="E73" s="420"/>
      <c r="F73" s="421"/>
      <c r="G73" s="208">
        <f>(Other_input_data!H80-Other_input_data!C80)/(Other_input_data!H63-Other_input_data!C63)</f>
        <v>-0.19310175738074251</v>
      </c>
      <c r="H73" s="208">
        <f>(Other_input_data!I80-Other_input_data!D80)/(Other_input_data!I63-Other_input_data!D63)</f>
        <v>-0.69932182013849109</v>
      </c>
      <c r="I73" s="208">
        <f>(Other_input_data!J80-Other_input_data!E80)/(Other_input_data!J63-Other_input_data!E63)</f>
        <v>0.30053769443535339</v>
      </c>
      <c r="J73" s="208">
        <f>(Other_input_data!K80-Other_input_data!F80)/(Other_input_data!K63-Other_input_data!F63)</f>
        <v>0.24069568628692514</v>
      </c>
      <c r="K73" s="208">
        <f>(Other_input_data!L80-Other_input_data!G80)/(Other_input_data!L63-Other_input_data!G63)</f>
        <v>0.1117629009460715</v>
      </c>
      <c r="L73" s="208">
        <f>(Other_input_data!L80-Other_input_data!G80)/(Other_input_data!L63-Other_input_data!G63)</f>
        <v>0.1117629009460715</v>
      </c>
    </row>
    <row r="74" spans="1:35" ht="15" customHeight="1" x14ac:dyDescent="0.2">
      <c r="A74" s="151" t="s">
        <v>331</v>
      </c>
      <c r="B74" s="419"/>
      <c r="C74" s="420"/>
      <c r="D74" s="420"/>
      <c r="E74" s="420"/>
      <c r="F74" s="420"/>
      <c r="G74" s="420"/>
      <c r="H74" s="420"/>
      <c r="I74" s="420"/>
      <c r="J74" s="420"/>
      <c r="K74" s="421"/>
      <c r="L74" s="210">
        <f>(Other_input_data!L80-Other_input_data!C80)/(Other_input_data!L63-Other_input_data!C63)</f>
        <v>0.11204715737691567</v>
      </c>
    </row>
    <row r="75" spans="1:35" ht="15" customHeight="1" x14ac:dyDescent="0.2">
      <c r="A75" s="151"/>
      <c r="B75" s="211"/>
      <c r="C75" s="212"/>
      <c r="D75" s="213"/>
      <c r="E75" s="213"/>
      <c r="F75" s="213"/>
      <c r="G75" s="213"/>
      <c r="H75" s="213"/>
      <c r="I75" s="213"/>
      <c r="J75" s="213"/>
      <c r="K75" s="214"/>
    </row>
    <row r="76" spans="1:35" x14ac:dyDescent="0.2">
      <c r="A76" s="215"/>
      <c r="B76" s="216">
        <f>B42</f>
        <v>39538</v>
      </c>
      <c r="C76" s="216">
        <f t="shared" ref="C76:L76" si="5">C42</f>
        <v>39903</v>
      </c>
      <c r="D76" s="216">
        <f t="shared" si="5"/>
        <v>40268</v>
      </c>
      <c r="E76" s="216">
        <f t="shared" si="5"/>
        <v>40633</v>
      </c>
      <c r="F76" s="216">
        <f t="shared" si="5"/>
        <v>40999</v>
      </c>
      <c r="G76" s="216">
        <f t="shared" si="5"/>
        <v>41364</v>
      </c>
      <c r="H76" s="216">
        <f t="shared" si="5"/>
        <v>41729</v>
      </c>
      <c r="I76" s="216">
        <f t="shared" si="5"/>
        <v>42094</v>
      </c>
      <c r="J76" s="216">
        <f t="shared" si="5"/>
        <v>42460</v>
      </c>
      <c r="K76" s="216">
        <f t="shared" si="5"/>
        <v>42825</v>
      </c>
      <c r="L76" s="216">
        <f t="shared" si="5"/>
        <v>42825</v>
      </c>
    </row>
    <row r="77" spans="1:35" x14ac:dyDescent="0.2">
      <c r="A77" s="217" t="s">
        <v>332</v>
      </c>
      <c r="B77" s="218">
        <f>Other_input_data!C101</f>
        <v>0.69920231351898265</v>
      </c>
      <c r="C77" s="219">
        <f>Other_input_data!D101</f>
        <v>0.66111318524514817</v>
      </c>
      <c r="D77" s="219">
        <f>Other_input_data!E101</f>
        <v>0.80205336506411196</v>
      </c>
      <c r="E77" s="219">
        <f>Other_input_data!F101</f>
        <v>1.162423280620092</v>
      </c>
      <c r="F77" s="219">
        <f>Other_input_data!G101</f>
        <v>1.3299844844284514</v>
      </c>
      <c r="G77" s="219">
        <f>Other_input_data!H101</f>
        <v>1.38088933914677</v>
      </c>
      <c r="H77" s="219">
        <f>Other_input_data!I101</f>
        <v>1.6671867247200405</v>
      </c>
      <c r="I77" s="219">
        <f>Other_input_data!J101</f>
        <v>1.3629793935617671</v>
      </c>
      <c r="J77" s="219">
        <f>Other_input_data!K101</f>
        <v>1.8237463797635121</v>
      </c>
      <c r="K77" s="219">
        <f>Other_input_data!L101</f>
        <v>1.8002709428258852</v>
      </c>
      <c r="L77" s="219">
        <f>Other_input_data!L101</f>
        <v>1.8002709428258852</v>
      </c>
    </row>
    <row r="78" spans="1:35" x14ac:dyDescent="0.2">
      <c r="A78" s="220" t="s">
        <v>262</v>
      </c>
      <c r="B78" s="221">
        <f>Other_input_data!C40/Other_input_data!C39</f>
        <v>-0.88986784140969322</v>
      </c>
      <c r="C78" s="221">
        <f>Other_input_data!D40/Other_input_data!D39</f>
        <v>0.38811795316565451</v>
      </c>
      <c r="D78" s="221">
        <f>Other_input_data!E40/Other_input_data!E39</f>
        <v>0.31999999999999829</v>
      </c>
      <c r="E78" s="221">
        <f>Other_input_data!F40/Other_input_data!F39</f>
        <v>0.3029989658738359</v>
      </c>
      <c r="F78" s="221">
        <f>Other_input_data!G40/Other_input_data!G39</f>
        <v>0</v>
      </c>
      <c r="G78" s="221">
        <f>Other_input_data!H40/Other_input_data!H39</f>
        <v>0.32602478551000941</v>
      </c>
      <c r="H78" s="221">
        <f>Other_input_data!I40/Other_input_data!I39</f>
        <v>0.33044649730561976</v>
      </c>
      <c r="I78" s="221">
        <f>Other_input_data!J40/Other_input_data!J39</f>
        <v>0.23790922619047603</v>
      </c>
      <c r="J78" s="221">
        <f>Other_input_data!K40/Other_input_data!K39</f>
        <v>0.32279840441853325</v>
      </c>
      <c r="K78" s="221">
        <f>Other_input_data!L40/Other_input_data!L39</f>
        <v>0.18380462724935726</v>
      </c>
      <c r="L78" s="222">
        <f>Other_input_data!L40/Other_input_data!L39</f>
        <v>0.18380462724935726</v>
      </c>
    </row>
    <row r="79" spans="1:35" ht="24" x14ac:dyDescent="0.2">
      <c r="A79" s="220" t="s">
        <v>333</v>
      </c>
      <c r="B79" s="221"/>
      <c r="C79" s="221">
        <f>(Other_input_data!D46-Other_input_data!C46)/Other_input_data!C46</f>
        <v>0</v>
      </c>
      <c r="D79" s="221">
        <f>(Other_input_data!E46-Other_input_data!D46)/Other_input_data!D46</f>
        <v>0.12245897624295861</v>
      </c>
      <c r="E79" s="221">
        <f>(Other_input_data!F46-Other_input_data!E46)/Other_input_data!E46</f>
        <v>0</v>
      </c>
      <c r="F79" s="221">
        <f>(Other_input_data!G46-Other_input_data!F46)/Other_input_data!F46</f>
        <v>0</v>
      </c>
      <c r="G79" s="221">
        <f>(Other_input_data!H46-Other_input_data!G46)/Other_input_data!G46</f>
        <v>0</v>
      </c>
      <c r="H79" s="221">
        <f>(Other_input_data!I46-Other_input_data!H46)/Other_input_data!H46</f>
        <v>0</v>
      </c>
      <c r="I79" s="221">
        <f>(Other_input_data!J46-Other_input_data!I46)/Other_input_data!I46</f>
        <v>0</v>
      </c>
      <c r="J79" s="221">
        <f>(Other_input_data!K46-Other_input_data!J46)/Other_input_data!J46</f>
        <v>0</v>
      </c>
      <c r="K79" s="221">
        <f>(Other_input_data!L46-Other_input_data!K46)/Other_input_data!K46</f>
        <v>0</v>
      </c>
      <c r="L79" s="221">
        <f>(Other_input_data!L46-Other_input_data!K46)/Other_input_data!K46</f>
        <v>0</v>
      </c>
      <c r="M79" s="197" t="e">
        <f>(L79/F79)^(1/6)-1</f>
        <v>#DIV/0!</v>
      </c>
      <c r="N79" s="197"/>
      <c r="O79" s="197"/>
      <c r="P79" s="197"/>
      <c r="Q79" s="197"/>
      <c r="R79" s="197"/>
      <c r="S79" s="197"/>
      <c r="T79" s="197"/>
      <c r="U79" s="197"/>
      <c r="V79" s="197"/>
      <c r="W79" s="197"/>
      <c r="X79" s="197"/>
      <c r="Y79" s="197"/>
      <c r="Z79" s="197"/>
      <c r="AA79" s="197"/>
      <c r="AB79" s="197"/>
      <c r="AC79" s="197"/>
      <c r="AD79" s="197"/>
      <c r="AE79" s="197"/>
      <c r="AF79" s="197"/>
      <c r="AG79" s="197"/>
      <c r="AH79" s="197"/>
      <c r="AI79" s="197"/>
    </row>
    <row r="80" spans="1:35" ht="36" x14ac:dyDescent="0.2">
      <c r="A80" s="220" t="s">
        <v>334</v>
      </c>
      <c r="B80" s="223"/>
      <c r="C80" s="218">
        <f>((Other_input_data!D6-Other_input_data!C6)/Other_input_data!C6)/((Other_input_data!D32-Other_input_data!C32)/Other_input_data!C32)</f>
        <v>-0.55505399471490768</v>
      </c>
      <c r="D80" s="218">
        <f>((Other_input_data!E6-Other_input_data!D6)/Other_input_data!D6)/((Other_input_data!E32-Other_input_data!D32)/Other_input_data!D32)</f>
        <v>5.6531826968111893</v>
      </c>
      <c r="E80" s="218">
        <f>((Other_input_data!F6-Other_input_data!E6)/Other_input_data!E6)/((Other_input_data!F32-Other_input_data!E32)/Other_input_data!E32)</f>
        <v>0.21174795510593974</v>
      </c>
      <c r="F80" s="218">
        <f>((Other_input_data!G6-Other_input_data!F6)/Other_input_data!F6)/((Other_input_data!G32-Other_input_data!F32)/Other_input_data!F32)</f>
        <v>-1.3607012813460742</v>
      </c>
      <c r="G80" s="218">
        <f>((Other_input_data!H6-Other_input_data!G6)/Other_input_data!G6)/((Other_input_data!H32-Other_input_data!G32)/Other_input_data!G32)</f>
        <v>1.4922609167255609</v>
      </c>
      <c r="H80" s="218">
        <f>((Other_input_data!I6-Other_input_data!H6)/Other_input_data!H6)/((Other_input_data!I32-Other_input_data!H32)/Other_input_data!H32)</f>
        <v>-1.4423809552681641</v>
      </c>
      <c r="I80" s="218">
        <f>((Other_input_data!J6-Other_input_data!I6)/Other_input_data!I6)/((Other_input_data!J32-Other_input_data!I32)/Other_input_data!I32)</f>
        <v>1.2662955354638374</v>
      </c>
      <c r="J80" s="218">
        <f>((Other_input_data!K6-Other_input_data!J6)/Other_input_data!J6)/((Other_input_data!K32-Other_input_data!J32)/Other_input_data!J32)</f>
        <v>0.89514544362571857</v>
      </c>
      <c r="K80" s="218">
        <f>((Other_input_data!L6-Other_input_data!K6)/Other_input_data!K6)/((Other_input_data!L32-Other_input_data!K32)/Other_input_data!K32)</f>
        <v>2.2184973917308684</v>
      </c>
      <c r="L80" s="218">
        <f>((Other_input_data!L6-Other_input_data!K6)/Other_input_data!K6)/((Other_input_data!L32-Other_input_data!K32)/Other_input_data!K32)</f>
        <v>2.2184973917308684</v>
      </c>
    </row>
    <row r="81" spans="1:35" ht="36" x14ac:dyDescent="0.2">
      <c r="A81" s="220" t="s">
        <v>335</v>
      </c>
      <c r="B81" s="223"/>
      <c r="C81" s="218">
        <f>((Other_input_data!D7-Other_input_data!C7)/Other_input_data!C7)/((Other_input_data!D32-Other_input_data!C32)/Other_input_data!C32)</f>
        <v>1.0190467865478732</v>
      </c>
      <c r="D81" s="218">
        <f>((Other_input_data!E7-Other_input_data!D7)/Other_input_data!D7)/((Other_input_data!E32-Other_input_data!D32)/Other_input_data!D32)</f>
        <v>-2.5328229510625677</v>
      </c>
      <c r="E81" s="218">
        <f>((Other_input_data!F7-Other_input_data!E7)/Other_input_data!E7)/((Other_input_data!F32-Other_input_data!E32)/Other_input_data!E32)</f>
        <v>7.646632198204073</v>
      </c>
      <c r="F81" s="218">
        <f>((Other_input_data!G7-Other_input_data!F7)/Other_input_data!F7)/((Other_input_data!G32-Other_input_data!F32)/Other_input_data!F32)</f>
        <v>-11.26634508242469</v>
      </c>
      <c r="G81" s="218">
        <f>((Other_input_data!H7-Other_input_data!G7)/Other_input_data!G7)/((Other_input_data!H32-Other_input_data!G32)/Other_input_data!G32)</f>
        <v>12.443036162923486</v>
      </c>
      <c r="H81" s="218">
        <f>((Other_input_data!I7-Other_input_data!H7)/Other_input_data!H7)/((Other_input_data!I32-Other_input_data!H32)/Other_input_data!H32)</f>
        <v>-1.1848910062947611</v>
      </c>
      <c r="I81" s="218">
        <f>((Other_input_data!J7-Other_input_data!I7)/Other_input_data!I7)/((Other_input_data!J32-Other_input_data!I32)/Other_input_data!I32)</f>
        <v>2.3780338476418685</v>
      </c>
      <c r="J81" s="218">
        <f>((Other_input_data!K7-Other_input_data!J7)/Other_input_data!J7)/((Other_input_data!K32-Other_input_data!J32)/Other_input_data!J32)</f>
        <v>-0.1186461535525916</v>
      </c>
      <c r="K81" s="218">
        <f>((Other_input_data!L7-Other_input_data!K7)/Other_input_data!K7)/((Other_input_data!L32-Other_input_data!K32)/Other_input_data!K32)</f>
        <v>1.0654366085011628</v>
      </c>
      <c r="L81" s="218">
        <f>((Other_input_data!L7-Other_input_data!K7)/Other_input_data!K7)/((Other_input_data!L32-Other_input_data!K32)/Other_input_data!K32)</f>
        <v>1.0654366085011628</v>
      </c>
    </row>
    <row r="82" spans="1:35" x14ac:dyDescent="0.2">
      <c r="A82" s="220" t="s">
        <v>336</v>
      </c>
      <c r="B82" s="223"/>
      <c r="C82" s="223">
        <f>Other_input_data!D30/Other_input_data!D36</f>
        <v>-7.4169381107491965</v>
      </c>
      <c r="D82" s="223">
        <f>Other_input_data!E30/Other_input_data!E36</f>
        <v>2.6273458445038037E-2</v>
      </c>
      <c r="E82" s="223">
        <f>Other_input_data!F30/Other_input_data!F36</f>
        <v>-1.0368409441870388E-2</v>
      </c>
      <c r="F82" s="223">
        <f>Other_input_data!G30/Other_input_data!G36</f>
        <v>0.25729774812343625</v>
      </c>
      <c r="G82" s="223">
        <f>Other_input_data!H30/Other_input_data!H36</f>
        <v>0.245714285714286</v>
      </c>
      <c r="H82" s="223">
        <f>Other_input_data!I30/Other_input_data!I36</f>
        <v>0.97587454764776838</v>
      </c>
      <c r="I82" s="223">
        <f>Other_input_data!J30/Other_input_data!J36</f>
        <v>8.3138869005010729</v>
      </c>
      <c r="J82" s="223">
        <f>Other_input_data!K30/Other_input_data!K36</f>
        <v>0.554853387259858</v>
      </c>
      <c r="K82" s="223">
        <f>Other_input_data!L30/Other_input_data!L36</f>
        <v>6.1659063625450168</v>
      </c>
      <c r="L82" s="223">
        <f>Other_input_data!L30/Other_input_data!L36</f>
        <v>6.1659063625450168</v>
      </c>
    </row>
    <row r="83" spans="1:35" x14ac:dyDescent="0.2">
      <c r="A83" s="220" t="s">
        <v>17</v>
      </c>
      <c r="B83" s="222">
        <f>Other_input_data!C42/Other_input_data!C41</f>
        <v>0</v>
      </c>
      <c r="C83" s="222">
        <f>Other_input_data!D42/Other_input_data!D41</f>
        <v>0</v>
      </c>
      <c r="D83" s="222">
        <f>Other_input_data!E42/Other_input_data!E41</f>
        <v>0</v>
      </c>
      <c r="E83" s="222">
        <f>Other_input_data!F42/Other_input_data!F41</f>
        <v>0</v>
      </c>
      <c r="F83" s="222">
        <f>Other_input_data!G42/Other_input_data!G41</f>
        <v>0</v>
      </c>
      <c r="G83" s="222">
        <f>Other_input_data!H42/Other_input_data!H41</f>
        <v>0</v>
      </c>
      <c r="H83" s="222">
        <f>Other_input_data!I42/Other_input_data!I41</f>
        <v>9.8878988215004307E-2</v>
      </c>
      <c r="I83" s="222">
        <f>Other_input_data!J42/Other_input_data!J41</f>
        <v>0.11178911398584321</v>
      </c>
      <c r="J83" s="222">
        <f>Other_input_data!K42/Other_input_data!K41</f>
        <v>0.10376076121431806</v>
      </c>
      <c r="K83" s="222">
        <f>Other_input_data!L42/Other_input_data!L41</f>
        <v>9.6237970253718233E-2</v>
      </c>
      <c r="L83" s="222">
        <f>Other_input_data!L42/Other_input_data!L41</f>
        <v>9.6237970253718233E-2</v>
      </c>
      <c r="M83" s="197" t="e">
        <f>(L83/F83)^(1/6)-1</f>
        <v>#DIV/0!</v>
      </c>
      <c r="N83" s="197"/>
      <c r="O83" s="197"/>
      <c r="P83" s="197"/>
      <c r="Q83" s="197"/>
      <c r="R83" s="197"/>
      <c r="S83" s="197"/>
      <c r="T83" s="197"/>
      <c r="U83" s="197"/>
      <c r="V83" s="197"/>
      <c r="W83" s="197"/>
      <c r="X83" s="197"/>
      <c r="Y83" s="197"/>
      <c r="Z83" s="197"/>
      <c r="AA83" s="197"/>
      <c r="AB83" s="197"/>
      <c r="AC83" s="197"/>
      <c r="AD83" s="197"/>
      <c r="AE83" s="197"/>
      <c r="AF83" s="197"/>
      <c r="AG83" s="197"/>
      <c r="AH83" s="197"/>
      <c r="AI83" s="197"/>
    </row>
    <row r="84" spans="1:35" x14ac:dyDescent="0.2">
      <c r="A84" s="220" t="s">
        <v>337</v>
      </c>
      <c r="B84" s="224">
        <f>Other_input_data!C8/Other_input_data!C55</f>
        <v>1.0769189349271735E-3</v>
      </c>
      <c r="C84" s="224">
        <f>Other_input_data!D8/Other_input_data!D55</f>
        <v>1.2358057220136639E-3</v>
      </c>
      <c r="D84" s="224">
        <f>Other_input_data!E8/Other_input_data!E55</f>
        <v>2.321424426027811E-4</v>
      </c>
      <c r="E84" s="224">
        <f>Other_input_data!F8/Other_input_data!F55</f>
        <v>3.4248250892900833E-4</v>
      </c>
      <c r="F84" s="224">
        <f>Other_input_data!G8/Other_input_data!G55</f>
        <v>2.3034840195796142E-4</v>
      </c>
      <c r="G84" s="224">
        <f>Other_input_data!H8/Other_input_data!H55</f>
        <v>7.6963250048102036E-4</v>
      </c>
      <c r="H84" s="224">
        <f>Other_input_data!I8/Other_input_data!I55</f>
        <v>1.6885711873469733E-4</v>
      </c>
      <c r="I84" s="224">
        <f>Other_input_data!J8/Other_input_data!J55</f>
        <v>1.1110929559974511E-3</v>
      </c>
      <c r="J84" s="224">
        <f>Other_input_data!K8/Other_input_data!K55</f>
        <v>8.9467901428347187E-4</v>
      </c>
      <c r="K84" s="224">
        <f>Other_input_data!L8/Other_input_data!L55</f>
        <v>1.3709868946607078E-3</v>
      </c>
      <c r="L84" s="225">
        <f>Other_input_data!L8/Other_input_data!L55</f>
        <v>1.3709868946607078E-3</v>
      </c>
    </row>
    <row r="85" spans="1:35" ht="24" x14ac:dyDescent="0.2">
      <c r="A85" s="220" t="s">
        <v>338</v>
      </c>
      <c r="B85" s="221">
        <f>Other_input_data!C37/Other_input_data!C63</f>
        <v>3.4665166010129443E-2</v>
      </c>
      <c r="C85" s="221">
        <f>Other_input_data!D37/Other_input_data!D63</f>
        <v>2.2498995580553958E-3</v>
      </c>
      <c r="D85" s="221">
        <f>Other_input_data!E37/Other_input_data!E63</f>
        <v>4.161084200762652E-2</v>
      </c>
      <c r="E85" s="221">
        <f>Other_input_data!F37/Other_input_data!F63</f>
        <v>8.2914844214050501E-2</v>
      </c>
      <c r="F85" s="221">
        <f>Other_input_data!G37/Other_input_data!G63</f>
        <v>6.317420585255383E-2</v>
      </c>
      <c r="G85" s="221">
        <f>Other_input_data!H37/Other_input_data!H63</f>
        <v>0.15707640763751102</v>
      </c>
      <c r="H85" s="221">
        <f>Other_input_data!I37/Other_input_data!I63</f>
        <v>0.22566803198751706</v>
      </c>
      <c r="I85" s="221">
        <f>Other_input_data!J37/Other_input_data!J63</f>
        <v>0.14007996185306099</v>
      </c>
      <c r="J85" s="221">
        <f>Other_input_data!K37/Other_input_data!K63</f>
        <v>0.17605924225852143</v>
      </c>
      <c r="K85" s="221">
        <f>Other_input_data!L37/Other_input_data!L63</f>
        <v>0.1125588658712149</v>
      </c>
      <c r="L85" s="221">
        <f>Other_input_data!L37/Other_input_data!L63</f>
        <v>0.1125588658712149</v>
      </c>
    </row>
    <row r="86" spans="1:35" x14ac:dyDescent="0.2">
      <c r="A86" s="220" t="s">
        <v>339</v>
      </c>
      <c r="B86" s="221">
        <v>0.1</v>
      </c>
      <c r="C86" s="221">
        <v>0.1</v>
      </c>
      <c r="D86" s="221">
        <v>0.1</v>
      </c>
      <c r="E86" s="221">
        <v>0.1</v>
      </c>
      <c r="F86" s="221">
        <v>0.1</v>
      </c>
      <c r="G86" s="221">
        <v>0.1</v>
      </c>
      <c r="H86" s="221">
        <v>0.1</v>
      </c>
      <c r="I86" s="221">
        <v>0.1</v>
      </c>
      <c r="J86" s="221">
        <v>0.1</v>
      </c>
      <c r="K86" s="221">
        <v>0.1</v>
      </c>
      <c r="L86" s="226">
        <v>0.1</v>
      </c>
    </row>
    <row r="87" spans="1:35" x14ac:dyDescent="0.2">
      <c r="A87" s="220" t="s">
        <v>246</v>
      </c>
      <c r="B87" s="223">
        <f>Other_input_data!C63*(Analysis2!B70-Analysis2!B86)</f>
        <v>-12.256828193832574</v>
      </c>
      <c r="C87" s="223">
        <f>Other_input_data!D63*(Analysis2!C70-Analysis2!C86)</f>
        <v>-36.821019080659163</v>
      </c>
      <c r="D87" s="223">
        <f>Other_input_data!E63*(Analysis2!D70-Analysis2!D86)</f>
        <v>-27.82999999999997</v>
      </c>
      <c r="E87" s="223">
        <f>Other_input_data!F63*(Analysis2!E70-Analysis2!E86)</f>
        <v>-15.633098241985484</v>
      </c>
      <c r="F87" s="223">
        <f>Other_input_data!G63*(Analysis2!F70-Analysis2!F86)</f>
        <v>-12.357999999999986</v>
      </c>
      <c r="G87" s="223">
        <f>Other_input_data!H63*(Analysis2!G70-Analysis2!G86)</f>
        <v>1.8032631077216543</v>
      </c>
      <c r="H87" s="223">
        <f>Other_input_data!I63*(Analysis2!H70-Analysis2!H86)</f>
        <v>15.718404157043867</v>
      </c>
      <c r="I87" s="223">
        <f>Other_input_data!J63*(Analysis2!I70-Analysis2!I86)</f>
        <v>3.6824933035714587</v>
      </c>
      <c r="J87" s="223">
        <f>Other_input_data!K63*(Analysis2!J70-Analysis2!J86)</f>
        <v>10.72342467014421</v>
      </c>
      <c r="K87" s="223">
        <f>Other_input_data!L63*(Analysis2!K70-Analysis2!K86)</f>
        <v>-6.6638149100256951</v>
      </c>
      <c r="L87" s="223">
        <f>Other_input_data!L63*(Analysis2!L70-Analysis2!L86)</f>
        <v>-6.6638149100256951</v>
      </c>
    </row>
    <row r="88" spans="1:35" x14ac:dyDescent="0.2">
      <c r="A88" s="220" t="s">
        <v>247</v>
      </c>
      <c r="B88" s="221">
        <f>B87/Other_input_data!C32</f>
        <v>-6.01532596870464E-2</v>
      </c>
      <c r="C88" s="221">
        <f>C87/Other_input_data!D32</f>
        <v>-0.14039356037922432</v>
      </c>
      <c r="D88" s="221">
        <f>D87/Other_input_data!E32</f>
        <v>-9.216757741347896E-2</v>
      </c>
      <c r="E88" s="221">
        <f>E87/Other_input_data!F32</f>
        <v>-3.8044140567471733E-2</v>
      </c>
      <c r="F88" s="221">
        <f>F87/Other_input_data!G32</f>
        <v>-2.8853607284613555E-2</v>
      </c>
      <c r="G88" s="221">
        <f>G87/Other_input_data!H32</f>
        <v>4.0427376027836661E-3</v>
      </c>
      <c r="H88" s="221">
        <f>H87/Other_input_data!I32</f>
        <v>3.2187418923380978E-2</v>
      </c>
      <c r="I88" s="221">
        <f>I87/Other_input_data!J32</f>
        <v>5.9735158297588827E-3</v>
      </c>
      <c r="J88" s="221">
        <f>J87/Other_input_data!K32</f>
        <v>1.3983367024585927E-2</v>
      </c>
      <c r="K88" s="221">
        <f>K87/Other_input_data!L32</f>
        <v>-7.1394447170773914E-3</v>
      </c>
      <c r="L88" s="221">
        <f>L87/Other_input_data!L32</f>
        <v>-7.1394447170773914E-3</v>
      </c>
    </row>
    <row r="89" spans="1:35" ht="15" customHeight="1" x14ac:dyDescent="0.2">
      <c r="A89" s="227" t="s">
        <v>340</v>
      </c>
      <c r="B89" s="367">
        <f>Other_input_data!C43</f>
        <v>47.939051429999999</v>
      </c>
      <c r="C89" s="228">
        <f>Other_input_data!D43</f>
        <v>19.763629379999998</v>
      </c>
      <c r="D89" s="228">
        <f>Other_input_data!E43</f>
        <v>39.875532149999998</v>
      </c>
      <c r="E89" s="228">
        <f>Other_input_data!F43</f>
        <v>56.92575969</v>
      </c>
      <c r="F89" s="228">
        <f>Other_input_data!G43</f>
        <v>28.325378009999998</v>
      </c>
      <c r="G89" s="228">
        <f>Other_input_data!H43</f>
        <v>45.742277110000003</v>
      </c>
      <c r="H89" s="228">
        <f>Other_input_data!I43</f>
        <v>73.609315669999987</v>
      </c>
      <c r="I89" s="228">
        <f>Other_input_data!J43</f>
        <v>177.78987265499998</v>
      </c>
      <c r="J89" s="228">
        <f>Other_input_data!K43</f>
        <v>300.48734342</v>
      </c>
      <c r="K89" s="228">
        <f>Other_input_data!L43</f>
        <v>596.66629601</v>
      </c>
      <c r="L89" s="228">
        <f>Other_input_data!L43</f>
        <v>596.66629601</v>
      </c>
    </row>
    <row r="90" spans="1:35" ht="15" customHeight="1" x14ac:dyDescent="0.2">
      <c r="A90" s="229" t="s">
        <v>341</v>
      </c>
      <c r="B90" s="230"/>
      <c r="D90" s="231">
        <f t="shared" ref="D90:L90" si="6">D89-C89</f>
        <v>20.11190277</v>
      </c>
      <c r="E90" s="231">
        <f t="shared" si="6"/>
        <v>17.050227540000002</v>
      </c>
      <c r="F90" s="231">
        <f t="shared" si="6"/>
        <v>-28.600381680000002</v>
      </c>
      <c r="G90" s="231">
        <f t="shared" si="6"/>
        <v>17.416899100000006</v>
      </c>
      <c r="H90" s="231">
        <f t="shared" si="6"/>
        <v>27.867038559999983</v>
      </c>
      <c r="I90" s="231">
        <f t="shared" si="6"/>
        <v>104.180556985</v>
      </c>
      <c r="J90" s="231">
        <f t="shared" si="6"/>
        <v>122.69747076500002</v>
      </c>
      <c r="K90" s="231">
        <f t="shared" si="6"/>
        <v>296.17895258999999</v>
      </c>
      <c r="L90" s="231">
        <f t="shared" si="6"/>
        <v>0</v>
      </c>
    </row>
    <row r="91" spans="1:35" x14ac:dyDescent="0.2">
      <c r="A91" s="232" t="s">
        <v>342</v>
      </c>
      <c r="B91" s="233"/>
      <c r="D91" s="233">
        <f t="shared" ref="D91:L91" si="7">D90-C87</f>
        <v>56.932921850659163</v>
      </c>
      <c r="E91" s="233">
        <f t="shared" si="7"/>
        <v>44.880227539999971</v>
      </c>
      <c r="F91" s="233">
        <f t="shared" si="7"/>
        <v>-12.967283438014517</v>
      </c>
      <c r="G91" s="233">
        <f t="shared" si="7"/>
        <v>29.774899099999992</v>
      </c>
      <c r="H91" s="233">
        <f t="shared" si="7"/>
        <v>26.063775452278328</v>
      </c>
      <c r="I91" s="233">
        <f t="shared" si="7"/>
        <v>88.462152827956132</v>
      </c>
      <c r="J91" s="233">
        <f t="shared" si="7"/>
        <v>119.01497746142856</v>
      </c>
      <c r="K91" s="233">
        <f t="shared" si="7"/>
        <v>285.4555279198558</v>
      </c>
      <c r="L91" s="233">
        <f t="shared" si="7"/>
        <v>6.6638149100256951</v>
      </c>
    </row>
    <row r="92" spans="1:35" x14ac:dyDescent="0.2">
      <c r="A92" s="137"/>
      <c r="B92" s="234"/>
      <c r="C92" s="234"/>
      <c r="D92" s="234"/>
      <c r="E92" s="234"/>
      <c r="F92" s="234"/>
      <c r="G92" s="234"/>
      <c r="H92" s="234"/>
      <c r="I92" s="234"/>
      <c r="J92" s="234"/>
      <c r="K92" s="234"/>
    </row>
    <row r="93" spans="1:35" ht="24" x14ac:dyDescent="0.2">
      <c r="A93" s="229" t="s">
        <v>343</v>
      </c>
      <c r="B93" s="235">
        <f>SUM(Other_input_data!C30:L30)/SUM(Other_input_data!C77:L77)</f>
        <v>1.0928427709111814</v>
      </c>
      <c r="C93" s="236" t="s">
        <v>344</v>
      </c>
      <c r="D93" s="237"/>
      <c r="E93" s="237"/>
      <c r="F93" s="237"/>
      <c r="G93" s="237"/>
      <c r="H93" s="237"/>
      <c r="I93" s="237"/>
      <c r="J93" s="237"/>
      <c r="K93" s="237"/>
    </row>
    <row r="94" spans="1:35" ht="24" x14ac:dyDescent="0.2">
      <c r="A94" s="229" t="s">
        <v>345</v>
      </c>
      <c r="B94" s="235">
        <f>SUM(Other_input_data!F30:L30)/SUM(Other_input_data!F77:L77)</f>
        <v>1.1183252923378852</v>
      </c>
      <c r="C94" s="238"/>
      <c r="D94" s="238"/>
      <c r="E94" s="238"/>
      <c r="F94" s="238"/>
      <c r="G94" s="238"/>
      <c r="H94" s="238"/>
      <c r="I94" s="238"/>
      <c r="J94" s="238"/>
      <c r="K94" s="238"/>
    </row>
    <row r="95" spans="1:35" ht="24" x14ac:dyDescent="0.2">
      <c r="A95" s="229" t="s">
        <v>346</v>
      </c>
      <c r="B95" s="235">
        <f>SUM(Other_input_data!H30:L30)/SUM(Other_input_data!H77:L77)</f>
        <v>1.4261176532574618</v>
      </c>
      <c r="C95" s="239"/>
      <c r="D95" s="239"/>
      <c r="E95" s="239"/>
      <c r="F95" s="239"/>
      <c r="G95" s="239"/>
      <c r="H95" s="239"/>
      <c r="I95" s="239"/>
      <c r="J95" s="239"/>
      <c r="K95" s="239"/>
    </row>
    <row r="96" spans="1:35" ht="24" x14ac:dyDescent="0.2">
      <c r="A96" s="229" t="s">
        <v>347</v>
      </c>
      <c r="B96" s="235">
        <f>SUM(Other_input_data!J30:L30)/SUM(Other_input_data!J77:L77)</f>
        <v>2.5042877444014309</v>
      </c>
      <c r="C96" s="240"/>
      <c r="D96" s="240"/>
      <c r="E96" s="240"/>
      <c r="F96" s="240"/>
      <c r="G96" s="240"/>
      <c r="H96" s="240"/>
      <c r="I96" s="240"/>
      <c r="J96" s="240"/>
      <c r="K96" s="240"/>
    </row>
    <row r="97" spans="1:3" ht="24" x14ac:dyDescent="0.2">
      <c r="A97" s="232" t="s">
        <v>348</v>
      </c>
      <c r="B97" s="233">
        <f>SUM(Other_input_data!D30:M30)/SUM(Other_input_data!D36:M36)</f>
        <v>-0.18072388151678243</v>
      </c>
      <c r="C97" s="236" t="s">
        <v>344</v>
      </c>
    </row>
    <row r="98" spans="1:3" x14ac:dyDescent="0.2">
      <c r="B98" s="241"/>
    </row>
    <row r="99" spans="1:3" ht="24" x14ac:dyDescent="0.2">
      <c r="A99" s="119" t="s">
        <v>349</v>
      </c>
      <c r="B99" s="242">
        <f>AVERAGE(I60:K60)</f>
        <v>0.16410521171911233</v>
      </c>
    </row>
    <row r="100" spans="1:3" ht="24" x14ac:dyDescent="0.2">
      <c r="A100" s="119" t="s">
        <v>350</v>
      </c>
      <c r="B100" s="242">
        <f>AVERAGE(G60:K60)</f>
        <v>0.16971726137164272</v>
      </c>
    </row>
    <row r="101" spans="1:3" ht="24" x14ac:dyDescent="0.2">
      <c r="A101" s="119" t="s">
        <v>351</v>
      </c>
      <c r="B101" s="243">
        <f>AVERAGE(I64:K64)</f>
        <v>1.2147907732299346</v>
      </c>
    </row>
    <row r="102" spans="1:3" ht="24" x14ac:dyDescent="0.2">
      <c r="A102" s="119" t="s">
        <v>352</v>
      </c>
      <c r="B102" s="243">
        <f>AVERAGE(G64:K64)</f>
        <v>1.3365499537529462</v>
      </c>
    </row>
    <row r="103" spans="1:3" x14ac:dyDescent="0.2">
      <c r="A103" s="119" t="s">
        <v>353</v>
      </c>
      <c r="B103" s="242">
        <f>AVERAGE(I70:K70)</f>
        <v>0.10595042392809613</v>
      </c>
    </row>
    <row r="104" spans="1:3" x14ac:dyDescent="0.2">
      <c r="A104" s="119" t="s">
        <v>354</v>
      </c>
      <c r="B104" s="242">
        <f>AVERAGE(G70:K70)</f>
        <v>0.11496273971529732</v>
      </c>
    </row>
    <row r="105" spans="1:3" ht="24" x14ac:dyDescent="0.2">
      <c r="A105" s="119" t="s">
        <v>355</v>
      </c>
      <c r="B105" s="243">
        <f>AVERAGE(Other_input_data!J63:L63)</f>
        <v>640.87666666666667</v>
      </c>
    </row>
    <row r="106" spans="1:3" ht="24" x14ac:dyDescent="0.2">
      <c r="A106" s="119" t="s">
        <v>356</v>
      </c>
      <c r="B106" s="243">
        <f>AVERAGE(Other_input_data!G63:L63)</f>
        <v>478.87666666666672</v>
      </c>
    </row>
    <row r="107" spans="1:3" x14ac:dyDescent="0.2">
      <c r="A107" s="119" t="s">
        <v>357</v>
      </c>
      <c r="B107" s="244">
        <f>AVERAGE(I88:K88)</f>
        <v>4.2724793790891386E-3</v>
      </c>
    </row>
    <row r="108" spans="1:3" x14ac:dyDescent="0.2">
      <c r="A108" s="119" t="s">
        <v>358</v>
      </c>
      <c r="B108" s="244">
        <f>AVERAGE(G88:K88)</f>
        <v>9.8095189326864139E-3</v>
      </c>
    </row>
  </sheetData>
  <sheetProtection selectLockedCells="1" selectUnlockedCells="1"/>
  <mergeCells count="8">
    <mergeCell ref="B73:F73"/>
    <mergeCell ref="B74:K74"/>
    <mergeCell ref="A1:J1"/>
    <mergeCell ref="K1:AI1"/>
    <mergeCell ref="A15:D15"/>
    <mergeCell ref="A58:K58"/>
    <mergeCell ref="A63:K63"/>
    <mergeCell ref="B72:D72"/>
  </mergeCells>
  <conditionalFormatting sqref="B7:E7 I7:J8 B8">
    <cfRule type="cellIs" dxfId="99" priority="95" operator="lessThan">
      <formula>-0.2</formula>
    </cfRule>
    <cfRule type="cellIs" dxfId="98" priority="96" operator="between">
      <formula>0</formula>
      <formula>0.1</formula>
    </cfRule>
    <cfRule type="cellIs" dxfId="97" priority="97" operator="between">
      <formula>0.1</formula>
      <formula>0.2</formula>
    </cfRule>
    <cfRule type="cellIs" dxfId="96" priority="98" operator="greaterThan">
      <formula>0.2</formula>
    </cfRule>
  </conditionalFormatting>
  <conditionalFormatting sqref="B7:E7 I7:J8 B8">
    <cfRule type="cellIs" dxfId="95" priority="93" operator="between">
      <formula>0</formula>
      <formula>-0.1</formula>
    </cfRule>
    <cfRule type="cellIs" dxfId="94" priority="94" operator="between">
      <formula>-0.1</formula>
      <formula>-0.2</formula>
    </cfRule>
  </conditionalFormatting>
  <conditionalFormatting sqref="C7 I7:J8 B8">
    <cfRule type="cellIs" dxfId="93" priority="92" operator="between">
      <formula>-0.1</formula>
      <formula>-0.2</formula>
    </cfRule>
  </conditionalFormatting>
  <conditionalFormatting sqref="D7">
    <cfRule type="cellIs" dxfId="92" priority="91" operator="between">
      <formula>-0.1</formula>
      <formula>-0.2</formula>
    </cfRule>
  </conditionalFormatting>
  <conditionalFormatting sqref="E7">
    <cfRule type="cellIs" dxfId="91" priority="90" operator="between">
      <formula>-0.1</formula>
      <formula>-0.2</formula>
    </cfRule>
  </conditionalFormatting>
  <conditionalFormatting sqref="H11">
    <cfRule type="cellIs" dxfId="90" priority="86" operator="lessThan">
      <formula>0</formula>
    </cfRule>
    <cfRule type="cellIs" dxfId="89" priority="87" operator="between">
      <formula>0</formula>
      <formula>0.5</formula>
    </cfRule>
    <cfRule type="cellIs" dxfId="88" priority="88" operator="between">
      <formula>0.5</formula>
      <formula>1</formula>
    </cfRule>
    <cfRule type="cellIs" dxfId="87" priority="89" operator="greaterThanOrEqual">
      <formula>1</formula>
    </cfRule>
  </conditionalFormatting>
  <conditionalFormatting sqref="H12:H14">
    <cfRule type="cellIs" dxfId="86" priority="82" operator="lessThan">
      <formula>0</formula>
    </cfRule>
    <cfRule type="cellIs" dxfId="85" priority="83" operator="between">
      <formula>0</formula>
      <formula>0.5</formula>
    </cfRule>
    <cfRule type="cellIs" dxfId="84" priority="84" operator="between">
      <formula>0.5</formula>
      <formula>1</formula>
    </cfRule>
    <cfRule type="cellIs" dxfId="83" priority="85" operator="greaterThanOrEqual">
      <formula>1</formula>
    </cfRule>
  </conditionalFormatting>
  <conditionalFormatting sqref="L11:L14">
    <cfRule type="cellIs" dxfId="82" priority="80" operator="lessThanOrEqual">
      <formula>0</formula>
    </cfRule>
    <cfRule type="cellIs" dxfId="81" priority="81" operator="greaterThan">
      <formula>0</formula>
    </cfRule>
  </conditionalFormatting>
  <conditionalFormatting sqref="N11:N14">
    <cfRule type="cellIs" dxfId="80" priority="76" operator="lessThan">
      <formula>-0.2</formula>
    </cfRule>
    <cfRule type="cellIs" dxfId="79" priority="77" operator="between">
      <formula>0</formula>
      <formula>0.1</formula>
    </cfRule>
    <cfRule type="cellIs" dxfId="78" priority="78" operator="between">
      <formula>0.1</formula>
      <formula>0.2</formula>
    </cfRule>
    <cfRule type="cellIs" dxfId="77" priority="79" operator="greaterThan">
      <formula>0.2</formula>
    </cfRule>
  </conditionalFormatting>
  <conditionalFormatting sqref="N11:N14">
    <cfRule type="cellIs" dxfId="76" priority="74" operator="between">
      <formula>0</formula>
      <formula>-0.1</formula>
    </cfRule>
    <cfRule type="cellIs" dxfId="75" priority="75" operator="between">
      <formula>-0.1</formula>
      <formula>-0.2</formula>
    </cfRule>
  </conditionalFormatting>
  <conditionalFormatting sqref="N11:N14">
    <cfRule type="cellIs" dxfId="74" priority="73" operator="between">
      <formula>-0.1</formula>
      <formula>-0.2</formula>
    </cfRule>
  </conditionalFormatting>
  <conditionalFormatting sqref="O11:O14">
    <cfRule type="cellIs" dxfId="73" priority="69" operator="lessThan">
      <formula>-0.2</formula>
    </cfRule>
    <cfRule type="cellIs" dxfId="72" priority="70" operator="between">
      <formula>0</formula>
      <formula>0.1</formula>
    </cfRule>
    <cfRule type="cellIs" dxfId="71" priority="71" operator="between">
      <formula>0.1</formula>
      <formula>0.2</formula>
    </cfRule>
    <cfRule type="cellIs" dxfId="70" priority="72" operator="greaterThan">
      <formula>0.2</formula>
    </cfRule>
  </conditionalFormatting>
  <conditionalFormatting sqref="O11:O14">
    <cfRule type="cellIs" dxfId="69" priority="67" operator="between">
      <formula>0</formula>
      <formula>-0.1</formula>
    </cfRule>
    <cfRule type="cellIs" dxfId="68" priority="68" operator="between">
      <formula>-0.1</formula>
      <formula>-0.2</formula>
    </cfRule>
  </conditionalFormatting>
  <conditionalFormatting sqref="O11:O14">
    <cfRule type="cellIs" dxfId="67" priority="66" operator="between">
      <formula>-0.1</formula>
      <formula>-0.2</formula>
    </cfRule>
  </conditionalFormatting>
  <conditionalFormatting sqref="B18:B21">
    <cfRule type="cellIs" dxfId="66" priority="62" operator="lessThan">
      <formula>-0.2</formula>
    </cfRule>
    <cfRule type="cellIs" dxfId="65" priority="63" operator="between">
      <formula>0</formula>
      <formula>0.1</formula>
    </cfRule>
    <cfRule type="cellIs" dxfId="64" priority="64" operator="between">
      <formula>0.1</formula>
      <formula>0.2</formula>
    </cfRule>
    <cfRule type="cellIs" dxfId="63" priority="65" operator="greaterThan">
      <formula>0.2</formula>
    </cfRule>
  </conditionalFormatting>
  <conditionalFormatting sqref="B18:B21">
    <cfRule type="cellIs" dxfId="62" priority="60" operator="between">
      <formula>0</formula>
      <formula>-0.1</formula>
    </cfRule>
    <cfRule type="cellIs" dxfId="61" priority="61" operator="between">
      <formula>-0.1</formula>
      <formula>-0.2</formula>
    </cfRule>
  </conditionalFormatting>
  <conditionalFormatting sqref="D18:E21">
    <cfRule type="cellIs" dxfId="60" priority="56" operator="lessThan">
      <formula>-0.2</formula>
    </cfRule>
    <cfRule type="cellIs" dxfId="59" priority="57" operator="between">
      <formula>0</formula>
      <formula>0.1</formula>
    </cfRule>
    <cfRule type="cellIs" dxfId="58" priority="58" operator="between">
      <formula>0.1</formula>
      <formula>0.2</formula>
    </cfRule>
    <cfRule type="cellIs" dxfId="57" priority="59" operator="greaterThan">
      <formula>0.2</formula>
    </cfRule>
  </conditionalFormatting>
  <conditionalFormatting sqref="D18:E21">
    <cfRule type="cellIs" dxfId="56" priority="54" operator="between">
      <formula>0</formula>
      <formula>-0.1</formula>
    </cfRule>
    <cfRule type="cellIs" dxfId="55" priority="55" operator="between">
      <formula>-0.1</formula>
      <formula>-0.2</formula>
    </cfRule>
  </conditionalFormatting>
  <conditionalFormatting sqref="C18:C21">
    <cfRule type="cellIs" dxfId="54" priority="50" operator="lessThan">
      <formula>-0.2</formula>
    </cfRule>
    <cfRule type="cellIs" dxfId="53" priority="51" operator="between">
      <formula>0</formula>
      <formula>0.1</formula>
    </cfRule>
    <cfRule type="cellIs" dxfId="52" priority="52" operator="between">
      <formula>0.1</formula>
      <formula>0.2</formula>
    </cfRule>
    <cfRule type="cellIs" dxfId="51" priority="53" operator="greaterThan">
      <formula>0.2</formula>
    </cfRule>
  </conditionalFormatting>
  <conditionalFormatting sqref="C18:C21">
    <cfRule type="cellIs" dxfId="50" priority="48" operator="between">
      <formula>0</formula>
      <formula>-0.1</formula>
    </cfRule>
    <cfRule type="cellIs" dxfId="49" priority="49" operator="between">
      <formula>-0.1</formula>
      <formula>-0.2</formula>
    </cfRule>
  </conditionalFormatting>
  <conditionalFormatting sqref="F18">
    <cfRule type="cellIs" dxfId="48" priority="45" operator="lessThan">
      <formula>0.1</formula>
    </cfRule>
    <cfRule type="cellIs" dxfId="47" priority="46" operator="between">
      <formula>0.1</formula>
      <formula>0.2</formula>
    </cfRule>
    <cfRule type="cellIs" dxfId="46" priority="47" operator="greaterThanOrEqual">
      <formula>0.2</formula>
    </cfRule>
  </conditionalFormatting>
  <conditionalFormatting sqref="F19:F21">
    <cfRule type="cellIs" dxfId="45" priority="42" operator="lessThan">
      <formula>0.1</formula>
    </cfRule>
    <cfRule type="cellIs" dxfId="44" priority="43" operator="between">
      <formula>0.1</formula>
      <formula>0.2</formula>
    </cfRule>
    <cfRule type="cellIs" dxfId="43" priority="44" operator="greaterThanOrEqual">
      <formula>0.2</formula>
    </cfRule>
  </conditionalFormatting>
  <conditionalFormatting sqref="M18:N21">
    <cfRule type="cellIs" dxfId="42" priority="38" operator="lessThan">
      <formula>-0.2</formula>
    </cfRule>
    <cfRule type="cellIs" dxfId="41" priority="39" operator="between">
      <formula>0</formula>
      <formula>0.1</formula>
    </cfRule>
    <cfRule type="cellIs" dxfId="40" priority="40" operator="between">
      <formula>0.1</formula>
      <formula>0.2</formula>
    </cfRule>
    <cfRule type="cellIs" dxfId="39" priority="41" operator="greaterThan">
      <formula>0.2</formula>
    </cfRule>
  </conditionalFormatting>
  <conditionalFormatting sqref="M18:N21">
    <cfRule type="cellIs" dxfId="38" priority="36" operator="between">
      <formula>0</formula>
      <formula>-0.1</formula>
    </cfRule>
    <cfRule type="cellIs" dxfId="37" priority="37" operator="between">
      <formula>-0.1</formula>
      <formula>-0.2</formula>
    </cfRule>
  </conditionalFormatting>
  <conditionalFormatting sqref="K7">
    <cfRule type="cellIs" dxfId="36" priority="34" operator="lessThan">
      <formula>0</formula>
    </cfRule>
    <cfRule type="cellIs" dxfId="35" priority="35" operator="greaterThan">
      <formula>0</formula>
    </cfRule>
  </conditionalFormatting>
  <conditionalFormatting sqref="L7:O7">
    <cfRule type="cellIs" dxfId="34" priority="32" operator="lessThan">
      <formula>0</formula>
    </cfRule>
    <cfRule type="cellIs" dxfId="33" priority="33" operator="greaterThan">
      <formula>0</formula>
    </cfRule>
  </conditionalFormatting>
  <conditionalFormatting sqref="P7">
    <cfRule type="expression" dxfId="32" priority="30">
      <formula>$P$7="Negative"</formula>
    </cfRule>
    <cfRule type="expression" dxfId="31" priority="31">
      <formula>$P$7="Positive"</formula>
    </cfRule>
  </conditionalFormatting>
  <conditionalFormatting sqref="Q7:R7">
    <cfRule type="expression" dxfId="30" priority="28">
      <formula>$P$7="Negative"</formula>
    </cfRule>
    <cfRule type="expression" dxfId="29" priority="29">
      <formula>$P$7="Positive"</formula>
    </cfRule>
  </conditionalFormatting>
  <conditionalFormatting sqref="S7">
    <cfRule type="cellIs" dxfId="28" priority="26" operator="lessThan">
      <formula>0</formula>
    </cfRule>
    <cfRule type="cellIs" dxfId="27" priority="27" operator="greaterThan">
      <formula>0</formula>
    </cfRule>
  </conditionalFormatting>
  <conditionalFormatting sqref="T7">
    <cfRule type="cellIs" dxfId="26" priority="24" operator="lessThan">
      <formula>0</formula>
    </cfRule>
    <cfRule type="cellIs" dxfId="25" priority="25" operator="greaterThan">
      <formula>0</formula>
    </cfRule>
  </conditionalFormatting>
  <conditionalFormatting sqref="X7:AD7">
    <cfRule type="cellIs" dxfId="24" priority="22" operator="lessThan">
      <formula>0</formula>
    </cfRule>
    <cfRule type="cellIs" dxfId="23" priority="23" operator="greaterThan">
      <formula>0</formula>
    </cfRule>
  </conditionalFormatting>
  <conditionalFormatting sqref="G18">
    <cfRule type="cellIs" dxfId="22" priority="19" operator="lessThan">
      <formula>0.15</formula>
    </cfRule>
    <cfRule type="cellIs" dxfId="21" priority="20" operator="between">
      <formula>0.15</formula>
      <formula>0.2</formula>
    </cfRule>
    <cfRule type="cellIs" dxfId="20" priority="21" operator="greaterThanOrEqual">
      <formula>0.2</formula>
    </cfRule>
  </conditionalFormatting>
  <conditionalFormatting sqref="G19:G21">
    <cfRule type="cellIs" dxfId="19" priority="16" operator="lessThan">
      <formula>0.15</formula>
    </cfRule>
    <cfRule type="cellIs" dxfId="18" priority="17" operator="between">
      <formula>0.15</formula>
      <formula>0.2</formula>
    </cfRule>
    <cfRule type="cellIs" dxfId="17" priority="18" operator="greaterThanOrEqual">
      <formula>0.2</formula>
    </cfRule>
  </conditionalFormatting>
  <conditionalFormatting sqref="H18:H19">
    <cfRule type="cellIs" dxfId="16" priority="13" operator="lessThan">
      <formula>0.15</formula>
    </cfRule>
    <cfRule type="cellIs" dxfId="15" priority="14" operator="between">
      <formula>0.15</formula>
      <formula>0.2</formula>
    </cfRule>
    <cfRule type="cellIs" dxfId="14" priority="15" operator="greaterThanOrEqual">
      <formula>0.2</formula>
    </cfRule>
  </conditionalFormatting>
  <conditionalFormatting sqref="I18:I21">
    <cfRule type="cellIs" dxfId="13" priority="10" operator="lessThan">
      <formula>0.15</formula>
    </cfRule>
    <cfRule type="cellIs" dxfId="12" priority="11" operator="between">
      <formula>0.15</formula>
      <formula>0.2</formula>
    </cfRule>
    <cfRule type="cellIs" dxfId="11" priority="12" operator="greaterThanOrEqual">
      <formula>0.2</formula>
    </cfRule>
  </conditionalFormatting>
  <conditionalFormatting sqref="J18:J21">
    <cfRule type="cellIs" dxfId="10" priority="7" operator="lessThan">
      <formula>0.06</formula>
    </cfRule>
    <cfRule type="cellIs" dxfId="9" priority="8" operator="between">
      <formula>0.06</formula>
      <formula>0.09</formula>
    </cfRule>
    <cfRule type="cellIs" dxfId="8" priority="9" operator="greaterThanOrEqual">
      <formula>0.09</formula>
    </cfRule>
  </conditionalFormatting>
  <conditionalFormatting sqref="K18:K21">
    <cfRule type="cellIs" dxfId="7" priority="4" operator="lessThan">
      <formula>0.15</formula>
    </cfRule>
    <cfRule type="cellIs" dxfId="6" priority="5" operator="between">
      <formula>0.15</formula>
      <formula>0.2</formula>
    </cfRule>
    <cfRule type="cellIs" dxfId="5" priority="6" operator="greaterThanOrEqual">
      <formula>0.2</formula>
    </cfRule>
  </conditionalFormatting>
  <conditionalFormatting sqref="L18:L21">
    <cfRule type="cellIs" dxfId="4" priority="1" operator="lessThan">
      <formula>0.15</formula>
    </cfRule>
    <cfRule type="cellIs" dxfId="3" priority="2" operator="between">
      <formula>0.15</formula>
      <formula>0.2</formula>
    </cfRule>
    <cfRule type="cellIs" dxfId="2" priority="3" operator="greaterThanOrEqual">
      <formula>0.2</formula>
    </cfRule>
  </conditionalFormatting>
  <conditionalFormatting sqref="P11:Q14">
    <cfRule type="expression" dxfId="1" priority="99">
      <formula>$P11&gt;=N11</formula>
    </cfRule>
    <cfRule type="expression" dxfId="0" priority="100">
      <formula>$P11&lt;N11</formula>
    </cfRule>
  </conditionalFormatting>
  <pageMargins left="0.7" right="0.7" top="0.75" bottom="0.75" header="0.51180555555555551" footer="0.51180555555555551"/>
  <pageSetup firstPageNumber="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showGridLines="0" tabSelected="1" zoomScale="90" zoomScaleNormal="90" workbookViewId="0">
      <selection activeCell="H1" sqref="H1"/>
    </sheetView>
  </sheetViews>
  <sheetFormatPr defaultRowHeight="15" x14ac:dyDescent="0.25"/>
  <sheetData>
    <row r="1" spans="1:7" x14ac:dyDescent="0.25">
      <c r="A1" s="383" t="str">
        <f>'Data Sheet'!B1</f>
        <v>NITIN SPINNERS LTD</v>
      </c>
      <c r="G1">
        <f>'Data Sheet'!B8</f>
        <v>101.8</v>
      </c>
    </row>
  </sheetData>
  <pageMargins left="0.7" right="0.7" top="0.75" bottom="0.75" header="0.3" footer="0.3"/>
  <pageSetup orientation="portrait" horizontalDpi="0"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workbookViewId="0">
      <pane xSplit="1" ySplit="3" topLeftCell="E4" activePane="bottomRight" state="frozen"/>
      <selection pane="topRight" activeCell="B1" sqref="B1"/>
      <selection pane="bottomLeft" activeCell="A4" sqref="A4"/>
      <selection pane="bottomRight" activeCell="K5" sqref="K5"/>
    </sheetView>
  </sheetViews>
  <sheetFormatPr defaultRowHeight="15" x14ac:dyDescent="0.25"/>
  <cols>
    <col min="1" max="1" width="26.85546875" style="6" bestFit="1" customWidth="1"/>
    <col min="2" max="6" width="13.5703125" style="6" customWidth="1"/>
    <col min="7" max="11" width="13.5703125" style="6" bestFit="1" customWidth="1"/>
    <col min="12" max="16384" width="9.140625" style="6"/>
  </cols>
  <sheetData>
    <row r="1" spans="1:11" s="8" customFormat="1" x14ac:dyDescent="0.25">
      <c r="A1" s="8" t="str">
        <f>'Balance Sheet'!A1</f>
        <v>NITIN SPINNERS LTD</v>
      </c>
      <c r="E1" t="str">
        <f>UPDATE</f>
        <v/>
      </c>
      <c r="F1"/>
      <c r="J1" s="4" t="s">
        <v>1</v>
      </c>
      <c r="K1" s="4"/>
    </row>
    <row r="3" spans="1:11" s="2" customFormat="1" x14ac:dyDescent="0.25">
      <c r="A3" s="15" t="s">
        <v>2</v>
      </c>
      <c r="B3" s="16">
        <f>'Data Sheet'!B81</f>
        <v>39538</v>
      </c>
      <c r="C3" s="16">
        <f>'Data Sheet'!C81</f>
        <v>39903</v>
      </c>
      <c r="D3" s="16">
        <f>'Data Sheet'!D81</f>
        <v>40268</v>
      </c>
      <c r="E3" s="16">
        <f>'Data Sheet'!E81</f>
        <v>40633</v>
      </c>
      <c r="F3" s="16">
        <f>'Data Sheet'!F81</f>
        <v>40999</v>
      </c>
      <c r="G3" s="16">
        <f>'Data Sheet'!G81</f>
        <v>41364</v>
      </c>
      <c r="H3" s="16">
        <f>'Data Sheet'!H81</f>
        <v>41729</v>
      </c>
      <c r="I3" s="16">
        <f>'Data Sheet'!I81</f>
        <v>42094</v>
      </c>
      <c r="J3" s="16">
        <f>'Data Sheet'!J81</f>
        <v>42460</v>
      </c>
      <c r="K3" s="16">
        <f>'Data Sheet'!K81</f>
        <v>42825</v>
      </c>
    </row>
    <row r="4" spans="1:11" s="8" customFormat="1" x14ac:dyDescent="0.25">
      <c r="A4" s="8" t="s">
        <v>32</v>
      </c>
      <c r="B4" s="1">
        <f>'Data Sheet'!B82</f>
        <v>17.87</v>
      </c>
      <c r="C4" s="1">
        <f>'Data Sheet'!C82</f>
        <v>14.27</v>
      </c>
      <c r="D4" s="1">
        <f>'Data Sheet'!D82</f>
        <v>0.55000000000000004</v>
      </c>
      <c r="E4" s="1">
        <f>'Data Sheet'!E82</f>
        <v>45.39</v>
      </c>
      <c r="F4" s="1">
        <f>'Data Sheet'!F82</f>
        <v>64.180000000000007</v>
      </c>
      <c r="G4" s="1">
        <f>'Data Sheet'!G82</f>
        <v>88.9</v>
      </c>
      <c r="H4" s="1">
        <f>'Data Sheet'!H82</f>
        <v>86.62</v>
      </c>
      <c r="I4" s="1">
        <f>'Data Sheet'!I82</f>
        <v>44.51</v>
      </c>
      <c r="J4" s="1">
        <f>'Data Sheet'!J82</f>
        <v>100.4</v>
      </c>
      <c r="K4" s="1">
        <f>'Data Sheet'!K82</f>
        <v>59.16</v>
      </c>
    </row>
    <row r="5" spans="1:11" x14ac:dyDescent="0.25">
      <c r="A5" s="6" t="s">
        <v>33</v>
      </c>
      <c r="B5" s="9">
        <f>'Data Sheet'!B83</f>
        <v>-62.64</v>
      </c>
      <c r="C5" s="9">
        <f>'Data Sheet'!C83</f>
        <v>-21.88</v>
      </c>
      <c r="D5" s="9">
        <f>'Data Sheet'!D83</f>
        <v>-7.0000000000000007E-2</v>
      </c>
      <c r="E5" s="9">
        <f>'Data Sheet'!E83</f>
        <v>0.2</v>
      </c>
      <c r="F5" s="9">
        <f>'Data Sheet'!F83</f>
        <v>-8.2899999999999991</v>
      </c>
      <c r="G5" s="9">
        <f>'Data Sheet'!G83</f>
        <v>-4.3899999999999997</v>
      </c>
      <c r="H5" s="9">
        <f>'Data Sheet'!H83</f>
        <v>-38.85</v>
      </c>
      <c r="I5" s="9">
        <f>'Data Sheet'!I83</f>
        <v>-219.45</v>
      </c>
      <c r="J5" s="9">
        <f>'Data Sheet'!J83</f>
        <v>-35.78</v>
      </c>
      <c r="K5" s="9">
        <f>'Data Sheet'!K83</f>
        <v>-242.12</v>
      </c>
    </row>
    <row r="6" spans="1:11" x14ac:dyDescent="0.25">
      <c r="A6" s="6" t="s">
        <v>34</v>
      </c>
      <c r="B6" s="9">
        <f>'Data Sheet'!B84</f>
        <v>45.07</v>
      </c>
      <c r="C6" s="9">
        <f>'Data Sheet'!C84</f>
        <v>7.74</v>
      </c>
      <c r="D6" s="9">
        <f>'Data Sheet'!D84</f>
        <v>-0.91</v>
      </c>
      <c r="E6" s="9">
        <f>'Data Sheet'!E84</f>
        <v>-45.6</v>
      </c>
      <c r="F6" s="9">
        <f>'Data Sheet'!F84</f>
        <v>-55.95</v>
      </c>
      <c r="G6" s="9">
        <f>'Data Sheet'!G84</f>
        <v>-84.32</v>
      </c>
      <c r="H6" s="9">
        <f>'Data Sheet'!H84</f>
        <v>-47.98</v>
      </c>
      <c r="I6" s="9">
        <f>'Data Sheet'!I84</f>
        <v>175.56</v>
      </c>
      <c r="J6" s="9">
        <f>'Data Sheet'!J84</f>
        <v>-64.73</v>
      </c>
      <c r="K6" s="9">
        <f>'Data Sheet'!K84</f>
        <v>183.66</v>
      </c>
    </row>
    <row r="7" spans="1:11" s="8" customFormat="1" x14ac:dyDescent="0.25">
      <c r="A7" s="8" t="s">
        <v>35</v>
      </c>
      <c r="B7" s="1">
        <f>'Data Sheet'!B85</f>
        <v>0.3</v>
      </c>
      <c r="C7" s="1">
        <f>'Data Sheet'!C85</f>
        <v>0.13</v>
      </c>
      <c r="D7" s="1">
        <f>'Data Sheet'!D85</f>
        <v>-0.43</v>
      </c>
      <c r="E7" s="1">
        <f>'Data Sheet'!E85</f>
        <v>-0.01</v>
      </c>
      <c r="F7" s="1">
        <f>'Data Sheet'!F85</f>
        <v>-0.06</v>
      </c>
      <c r="G7" s="1">
        <f>'Data Sheet'!G85</f>
        <v>0.19</v>
      </c>
      <c r="H7" s="1">
        <f>'Data Sheet'!H85</f>
        <v>-0.21</v>
      </c>
      <c r="I7" s="1">
        <f>'Data Sheet'!I85</f>
        <v>0.62</v>
      </c>
      <c r="J7" s="1">
        <f>'Data Sheet'!J85</f>
        <v>-0.11</v>
      </c>
      <c r="K7" s="1">
        <f>'Data Sheet'!K85</f>
        <v>0.7</v>
      </c>
    </row>
    <row r="8" spans="1:11" x14ac:dyDescent="0.25">
      <c r="A8" s="29"/>
      <c r="B8" s="9"/>
      <c r="C8" s="9"/>
      <c r="D8" s="9"/>
      <c r="E8" s="9"/>
      <c r="F8" s="9"/>
      <c r="G8" s="9"/>
      <c r="H8" s="9"/>
      <c r="I8" s="9"/>
      <c r="J8" s="9"/>
      <c r="K8" s="9"/>
    </row>
    <row r="24" s="29"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0"/>
  <sheetViews>
    <sheetView workbookViewId="0">
      <selection activeCell="B13" sqref="B13"/>
    </sheetView>
  </sheetViews>
  <sheetFormatPr defaultRowHeight="15" x14ac:dyDescent="0.25"/>
  <cols>
    <col min="1" max="1" width="29.7109375" bestFit="1" customWidth="1"/>
    <col min="2" max="2" width="10.42578125" customWidth="1"/>
    <col min="4" max="4" width="13.85546875" bestFit="1" customWidth="1"/>
    <col min="5" max="5" width="8.7109375" customWidth="1"/>
    <col min="6" max="6" width="10.140625" customWidth="1"/>
    <col min="7" max="7" width="8.5703125" customWidth="1"/>
    <col min="8" max="8" width="9.28515625" customWidth="1"/>
    <col min="9" max="9" width="13.85546875" bestFit="1" customWidth="1"/>
    <col min="10" max="10" width="8.7109375" customWidth="1"/>
    <col min="11" max="11" width="8.85546875" customWidth="1"/>
    <col min="12" max="13" width="1.140625" customWidth="1"/>
    <col min="14" max="14" width="33.42578125" customWidth="1"/>
    <col min="15" max="15" width="10.140625" customWidth="1"/>
    <col min="16" max="16" width="2.5703125" customWidth="1"/>
    <col min="17" max="17" width="24.85546875" bestFit="1" customWidth="1"/>
    <col min="18" max="18" width="13.7109375" customWidth="1"/>
  </cols>
  <sheetData>
    <row r="1" spans="1:19" ht="11.25" customHeight="1" x14ac:dyDescent="0.25">
      <c r="A1" s="425" t="str">
        <f>CONCATENATE('Data Sheet'!B1,"    : 3-Stage DCF")</f>
        <v>NITIN SPINNERS LTD    : 3-Stage DCF</v>
      </c>
      <c r="B1" s="426"/>
      <c r="C1" s="427"/>
      <c r="D1" s="37"/>
      <c r="E1" s="16"/>
      <c r="F1" s="16"/>
      <c r="G1" s="16"/>
      <c r="H1" s="16"/>
      <c r="I1" s="16"/>
      <c r="J1" s="16"/>
      <c r="K1" s="16"/>
      <c r="L1" s="16"/>
    </row>
    <row r="2" spans="1:19" ht="4.5" customHeight="1" thickBot="1" x14ac:dyDescent="0.3">
      <c r="A2" s="428"/>
      <c r="B2" s="429"/>
      <c r="C2" s="430"/>
      <c r="D2" s="37"/>
      <c r="M2" s="38"/>
    </row>
    <row r="3" spans="1:19" x14ac:dyDescent="0.25">
      <c r="A3" s="431" t="s">
        <v>114</v>
      </c>
      <c r="B3" s="431"/>
      <c r="C3" s="431"/>
      <c r="D3" s="432" t="s">
        <v>115</v>
      </c>
      <c r="E3" s="432"/>
      <c r="F3" s="35">
        <f>Analysis2!B24</f>
        <v>6.1229081403072705E-2</v>
      </c>
      <c r="G3" s="39" t="s">
        <v>116</v>
      </c>
      <c r="H3" s="39"/>
      <c r="I3" s="40">
        <f>Analysis2!H14</f>
        <v>1.0351706036745407</v>
      </c>
      <c r="M3" s="38"/>
      <c r="N3" s="433" t="s">
        <v>117</v>
      </c>
      <c r="O3" s="434"/>
      <c r="P3" s="37"/>
      <c r="Q3" s="433" t="s">
        <v>118</v>
      </c>
      <c r="R3" s="434"/>
      <c r="S3" s="37"/>
    </row>
    <row r="4" spans="1:19" ht="15" customHeight="1" x14ac:dyDescent="0.25">
      <c r="A4" s="37" t="s">
        <v>119</v>
      </c>
      <c r="B4" s="33">
        <f>Analysis2!K13/3</f>
        <v>-102.32666666666665</v>
      </c>
      <c r="C4" s="37"/>
      <c r="D4" s="432" t="s">
        <v>120</v>
      </c>
      <c r="E4" s="432"/>
      <c r="F4" s="35">
        <f>AVERAGE('Financial Analysis'!E31:K31)</f>
        <v>4.3611519451580615E-2</v>
      </c>
      <c r="G4" s="432" t="s">
        <v>121</v>
      </c>
      <c r="H4" s="432"/>
      <c r="I4" s="40">
        <f>Analysis2!H12</f>
        <v>1.9854071865683354</v>
      </c>
      <c r="M4" s="38"/>
      <c r="N4" s="41" t="s">
        <v>122</v>
      </c>
      <c r="O4" s="42">
        <f>(B45*B30)+B45</f>
        <v>78.632301672230966</v>
      </c>
      <c r="P4" s="37"/>
      <c r="Q4" s="41" t="s">
        <v>122</v>
      </c>
      <c r="R4" s="42">
        <f>(G45*B31)+G45</f>
        <v>62.983861779877515</v>
      </c>
      <c r="S4" s="37"/>
    </row>
    <row r="5" spans="1:19" x14ac:dyDescent="0.25">
      <c r="A5" s="43" t="s">
        <v>123</v>
      </c>
      <c r="B5" s="44" t="e">
        <f>'Financial Analysis'!N46</f>
        <v>#NUM!</v>
      </c>
      <c r="C5" s="37"/>
      <c r="D5" s="432" t="s">
        <v>124</v>
      </c>
      <c r="E5" s="432"/>
      <c r="F5" s="45">
        <f>'Financial Analysis'!L79</f>
        <v>9.6237970253718289E-2</v>
      </c>
      <c r="G5" s="432" t="s">
        <v>125</v>
      </c>
      <c r="H5" s="432"/>
      <c r="I5" s="46">
        <f>Other_input_data!M56</f>
        <v>0</v>
      </c>
      <c r="J5" s="47"/>
      <c r="K5" s="47"/>
      <c r="L5" s="47"/>
      <c r="M5" s="47"/>
      <c r="N5" s="48" t="s">
        <v>126</v>
      </c>
      <c r="O5" s="42">
        <f>SUM(D36:D45)</f>
        <v>474.44148036974508</v>
      </c>
      <c r="Q5" s="48" t="s">
        <v>126</v>
      </c>
      <c r="R5" s="42">
        <f>SUM(I36:I45)</f>
        <v>387.76234535749586</v>
      </c>
    </row>
    <row r="6" spans="1:19" x14ac:dyDescent="0.25">
      <c r="A6" s="43" t="s">
        <v>127</v>
      </c>
      <c r="B6" s="49">
        <v>0.2</v>
      </c>
      <c r="C6" s="37"/>
      <c r="D6" s="432" t="s">
        <v>128</v>
      </c>
      <c r="E6" s="432"/>
      <c r="F6" s="50">
        <f>AVERAGE('Financial Analysis'!G79:K79)</f>
        <v>8.213511253520292E-2</v>
      </c>
      <c r="G6" s="432" t="s">
        <v>129</v>
      </c>
      <c r="H6" s="432"/>
      <c r="I6" s="51">
        <v>0.24</v>
      </c>
      <c r="N6" s="41" t="s">
        <v>130</v>
      </c>
      <c r="O6" s="42">
        <f>((O4)/($B$28-$B$30))/(1+$B$28)^A45</f>
        <v>378.95195302658965</v>
      </c>
      <c r="Q6" s="41" t="s">
        <v>130</v>
      </c>
      <c r="R6" s="42">
        <f>((R4)/($B$29-$B$31))/(1+$B$29)^F45</f>
        <v>242.83005251588921</v>
      </c>
    </row>
    <row r="7" spans="1:19" x14ac:dyDescent="0.25">
      <c r="A7" t="s">
        <v>131</v>
      </c>
      <c r="B7" s="52">
        <f>AVERAGE(Other_input_data!D30:M30)/AVERAGE(Other_input_data!D56:M56)</f>
        <v>-1.5153759503394872E-2</v>
      </c>
      <c r="C7" s="37"/>
      <c r="D7" s="432" t="s">
        <v>132</v>
      </c>
      <c r="E7" s="432"/>
      <c r="F7" s="53">
        <f>Analysis2!K14</f>
        <v>-197.64999999999995</v>
      </c>
      <c r="G7" s="432" t="s">
        <v>10</v>
      </c>
      <c r="H7" s="432"/>
      <c r="I7" s="40">
        <f>AVERAGE('Financial Analysis'!G24:K24)</f>
        <v>9.6696516476109412E-2</v>
      </c>
      <c r="N7" s="41" t="s">
        <v>133</v>
      </c>
      <c r="O7" s="42">
        <f>O5+O6</f>
        <v>853.39343339633479</v>
      </c>
      <c r="P7" s="37"/>
      <c r="Q7" s="41" t="s">
        <v>133</v>
      </c>
      <c r="R7" s="42">
        <f>R5+R6</f>
        <v>630.59239787338504</v>
      </c>
    </row>
    <row r="8" spans="1:19" x14ac:dyDescent="0.25">
      <c r="A8" s="43"/>
      <c r="B8" s="54"/>
      <c r="C8" s="37"/>
      <c r="D8" s="432" t="s">
        <v>134</v>
      </c>
      <c r="E8" s="432"/>
      <c r="F8" s="35">
        <f>Analysis2!B21</f>
        <v>0.21712937003664234</v>
      </c>
      <c r="G8" s="432" t="s">
        <v>135</v>
      </c>
      <c r="H8" s="432"/>
      <c r="I8" s="35">
        <f>Analysis2!B19</f>
        <v>0.16858977851854107</v>
      </c>
      <c r="N8" s="41" t="s">
        <v>136</v>
      </c>
      <c r="O8" s="55">
        <f>B32</f>
        <v>5.5552062868369347</v>
      </c>
      <c r="P8" s="37"/>
      <c r="Q8" s="41" t="s">
        <v>136</v>
      </c>
      <c r="R8" s="55">
        <f>B32</f>
        <v>5.5552062868369347</v>
      </c>
    </row>
    <row r="9" spans="1:19" ht="15.75" thickBot="1" x14ac:dyDescent="0.3">
      <c r="A9" s="43"/>
      <c r="B9" s="54"/>
      <c r="C9" s="37"/>
      <c r="D9" s="39"/>
      <c r="E9" s="39"/>
      <c r="N9" s="56" t="s">
        <v>137</v>
      </c>
      <c r="O9" s="57">
        <f>(O7-B33)/O8</f>
        <v>52.185898853704344</v>
      </c>
      <c r="P9" s="37"/>
      <c r="Q9" s="56" t="s">
        <v>137</v>
      </c>
      <c r="R9" s="57">
        <f>(R7-B33)/R8</f>
        <v>12.079191016251585</v>
      </c>
    </row>
    <row r="10" spans="1:19" ht="13.5" customHeight="1" thickBot="1" x14ac:dyDescent="0.3">
      <c r="A10" s="58" t="s">
        <v>138</v>
      </c>
      <c r="B10" s="59">
        <v>1</v>
      </c>
      <c r="C10" s="59">
        <v>2</v>
      </c>
      <c r="D10" s="60">
        <v>3</v>
      </c>
      <c r="E10" s="61">
        <v>4</v>
      </c>
      <c r="F10" s="61">
        <v>5</v>
      </c>
      <c r="G10" s="61">
        <v>6</v>
      </c>
      <c r="H10" s="61">
        <v>7</v>
      </c>
      <c r="I10" s="61">
        <v>8</v>
      </c>
      <c r="J10" s="61">
        <v>9</v>
      </c>
      <c r="K10" s="61">
        <v>10</v>
      </c>
      <c r="N10" s="62" t="s">
        <v>139</v>
      </c>
      <c r="O10" s="63">
        <f>O5/O7</f>
        <v>0.55594695459697074</v>
      </c>
      <c r="P10" s="64"/>
      <c r="Q10" s="62" t="s">
        <v>139</v>
      </c>
      <c r="R10" s="63">
        <f>R5/R7</f>
        <v>0.61491757062912389</v>
      </c>
      <c r="S10" s="37"/>
    </row>
    <row r="11" spans="1:19" ht="13.5" customHeight="1" x14ac:dyDescent="0.25">
      <c r="A11" s="58" t="s">
        <v>140</v>
      </c>
      <c r="B11" s="49">
        <v>0</v>
      </c>
      <c r="C11" s="49">
        <v>0</v>
      </c>
      <c r="D11" s="49">
        <v>0</v>
      </c>
      <c r="E11" s="49">
        <v>0</v>
      </c>
      <c r="F11" s="49">
        <v>0</v>
      </c>
      <c r="G11" s="49">
        <v>0</v>
      </c>
      <c r="H11" s="49">
        <v>0</v>
      </c>
      <c r="I11" s="49">
        <v>0</v>
      </c>
      <c r="J11" s="49">
        <v>0</v>
      </c>
      <c r="K11" s="49">
        <v>0</v>
      </c>
      <c r="N11" s="62" t="s">
        <v>141</v>
      </c>
      <c r="O11" s="63">
        <f>O6/O7</f>
        <v>0.4440530454030292</v>
      </c>
      <c r="P11" s="64"/>
      <c r="Q11" s="62" t="s">
        <v>141</v>
      </c>
      <c r="R11" s="63">
        <f>R6/R7</f>
        <v>0.38508242937087611</v>
      </c>
      <c r="S11" s="37"/>
    </row>
    <row r="12" spans="1:19" ht="13.5" customHeight="1" x14ac:dyDescent="0.25">
      <c r="A12" s="58" t="s">
        <v>142</v>
      </c>
      <c r="B12" s="65">
        <f>'Data Sheet'!K17*(1+B11)</f>
        <v>933.38</v>
      </c>
      <c r="C12" s="65">
        <f>B12*(1+C11)</f>
        <v>933.38</v>
      </c>
      <c r="D12" s="65">
        <f t="shared" ref="D12:K12" si="0">C12*(1+D11)</f>
        <v>933.38</v>
      </c>
      <c r="E12" s="65">
        <f t="shared" si="0"/>
        <v>933.38</v>
      </c>
      <c r="F12" s="65">
        <f t="shared" si="0"/>
        <v>933.38</v>
      </c>
      <c r="G12" s="65">
        <f t="shared" si="0"/>
        <v>933.38</v>
      </c>
      <c r="H12" s="65">
        <f t="shared" si="0"/>
        <v>933.38</v>
      </c>
      <c r="I12" s="65">
        <f t="shared" si="0"/>
        <v>933.38</v>
      </c>
      <c r="J12" s="65">
        <f t="shared" si="0"/>
        <v>933.38</v>
      </c>
      <c r="K12" s="65">
        <f t="shared" si="0"/>
        <v>933.38</v>
      </c>
      <c r="S12" s="37"/>
    </row>
    <row r="13" spans="1:19" ht="13.5" customHeight="1" x14ac:dyDescent="0.25">
      <c r="A13" s="58" t="s">
        <v>143</v>
      </c>
      <c r="B13" s="66">
        <v>7.2999999999999995E-2</v>
      </c>
      <c r="C13" s="66">
        <v>7.2999999999999995E-2</v>
      </c>
      <c r="D13" s="66">
        <v>7.2999999999999995E-2</v>
      </c>
      <c r="E13" s="66">
        <v>7.2999999999999995E-2</v>
      </c>
      <c r="F13" s="66">
        <v>7.2999999999999995E-2</v>
      </c>
      <c r="G13" s="66">
        <v>7.2999999999999995E-2</v>
      </c>
      <c r="H13" s="66">
        <v>7.2999999999999995E-2</v>
      </c>
      <c r="I13" s="66">
        <v>7.2999999999999995E-2</v>
      </c>
      <c r="J13" s="66">
        <v>7.2999999999999995E-2</v>
      </c>
      <c r="K13" s="66">
        <v>7.2999999999999995E-2</v>
      </c>
      <c r="N13" s="67" t="s">
        <v>144</v>
      </c>
      <c r="O13" s="47">
        <f>'Data Sheet'!B8</f>
        <v>101.8</v>
      </c>
      <c r="Q13" s="67" t="s">
        <v>144</v>
      </c>
      <c r="R13" s="68">
        <f>'Data Sheet'!B8</f>
        <v>101.8</v>
      </c>
    </row>
    <row r="14" spans="1:19" ht="13.5" customHeight="1" x14ac:dyDescent="0.25">
      <c r="A14" s="58" t="s">
        <v>145</v>
      </c>
      <c r="B14" s="69">
        <f>B12*B13</f>
        <v>68.136739999999989</v>
      </c>
      <c r="C14" s="69">
        <f t="shared" ref="C14:K14" si="1">C12*C13</f>
        <v>68.136739999999989</v>
      </c>
      <c r="D14" s="69">
        <f t="shared" si="1"/>
        <v>68.136739999999989</v>
      </c>
      <c r="E14" s="69">
        <f t="shared" si="1"/>
        <v>68.136739999999989</v>
      </c>
      <c r="F14" s="69">
        <f t="shared" si="1"/>
        <v>68.136739999999989</v>
      </c>
      <c r="G14" s="69">
        <f t="shared" si="1"/>
        <v>68.136739999999989</v>
      </c>
      <c r="H14" s="69">
        <f t="shared" si="1"/>
        <v>68.136739999999989</v>
      </c>
      <c r="I14" s="69">
        <f t="shared" si="1"/>
        <v>68.136739999999989</v>
      </c>
      <c r="J14" s="69">
        <f t="shared" si="1"/>
        <v>68.136739999999989</v>
      </c>
      <c r="K14" s="69">
        <f t="shared" si="1"/>
        <v>68.136739999999989</v>
      </c>
    </row>
    <row r="15" spans="1:19" ht="13.5" customHeight="1" x14ac:dyDescent="0.25">
      <c r="A15" s="58" t="s">
        <v>146</v>
      </c>
      <c r="B15" s="69">
        <f t="shared" ref="B15:K15" si="2">MIN($I$3,$I$4)*B14</f>
        <v>70.533150278215217</v>
      </c>
      <c r="C15" s="69">
        <f t="shared" si="2"/>
        <v>70.533150278215217</v>
      </c>
      <c r="D15" s="69">
        <f t="shared" si="2"/>
        <v>70.533150278215217</v>
      </c>
      <c r="E15" s="69">
        <f t="shared" si="2"/>
        <v>70.533150278215217</v>
      </c>
      <c r="F15" s="69">
        <f t="shared" si="2"/>
        <v>70.533150278215217</v>
      </c>
      <c r="G15" s="69">
        <f t="shared" si="2"/>
        <v>70.533150278215217</v>
      </c>
      <c r="H15" s="69">
        <f t="shared" si="2"/>
        <v>70.533150278215217</v>
      </c>
      <c r="I15" s="69">
        <f t="shared" si="2"/>
        <v>70.533150278215217</v>
      </c>
      <c r="J15" s="69">
        <f t="shared" si="2"/>
        <v>70.533150278215217</v>
      </c>
      <c r="K15" s="69">
        <f t="shared" si="2"/>
        <v>70.533150278215217</v>
      </c>
      <c r="N15" s="70" t="s">
        <v>147</v>
      </c>
      <c r="O15" s="71">
        <f>(O9-O13)/O9</f>
        <v>-0.95071853194253952</v>
      </c>
      <c r="Q15" s="70" t="s">
        <v>148</v>
      </c>
      <c r="R15" s="71">
        <f>(R9-R13)/R9</f>
        <v>-7.4277167124053465</v>
      </c>
    </row>
    <row r="16" spans="1:19" ht="13.5" customHeight="1" x14ac:dyDescent="0.25">
      <c r="A16" s="58" t="s">
        <v>125</v>
      </c>
      <c r="B16" s="69">
        <f>I5*(1-I7)</f>
        <v>0</v>
      </c>
      <c r="C16" s="69">
        <f>(B16+B21)*(1-$I$7)</f>
        <v>0</v>
      </c>
      <c r="D16" s="69">
        <f t="shared" ref="D16:K16" si="3">(C16+C21)*(1-$I$7)</f>
        <v>0</v>
      </c>
      <c r="E16" s="69">
        <f t="shared" si="3"/>
        <v>0</v>
      </c>
      <c r="F16" s="69">
        <f t="shared" si="3"/>
        <v>0</v>
      </c>
      <c r="G16" s="69">
        <f t="shared" si="3"/>
        <v>0</v>
      </c>
      <c r="H16" s="69">
        <f t="shared" si="3"/>
        <v>0</v>
      </c>
      <c r="I16" s="69">
        <f t="shared" si="3"/>
        <v>0</v>
      </c>
      <c r="J16" s="69">
        <f t="shared" si="3"/>
        <v>0</v>
      </c>
      <c r="K16" s="69">
        <f t="shared" si="3"/>
        <v>0</v>
      </c>
    </row>
    <row r="17" spans="1:18" ht="13.5" customHeight="1" x14ac:dyDescent="0.25">
      <c r="A17" s="58" t="s">
        <v>149</v>
      </c>
      <c r="B17" s="72">
        <f>AVERAGE($B$7*(B11/$I$8),$B$7)</f>
        <v>-7.576879751697436E-3</v>
      </c>
      <c r="C17" s="72">
        <f t="shared" ref="C17:K17" si="4">AVERAGE($B$7*(C11/$I$8),$B$7)</f>
        <v>-7.576879751697436E-3</v>
      </c>
      <c r="D17" s="72">
        <f t="shared" si="4"/>
        <v>-7.576879751697436E-3</v>
      </c>
      <c r="E17" s="72">
        <f t="shared" si="4"/>
        <v>-7.576879751697436E-3</v>
      </c>
      <c r="F17" s="72">
        <f t="shared" si="4"/>
        <v>-7.576879751697436E-3</v>
      </c>
      <c r="G17" s="72">
        <f t="shared" si="4"/>
        <v>-7.576879751697436E-3</v>
      </c>
      <c r="H17" s="72">
        <f t="shared" si="4"/>
        <v>-7.576879751697436E-3</v>
      </c>
      <c r="I17" s="72">
        <f t="shared" si="4"/>
        <v>-7.576879751697436E-3</v>
      </c>
      <c r="J17" s="72">
        <f t="shared" si="4"/>
        <v>-7.576879751697436E-3</v>
      </c>
      <c r="K17" s="72">
        <f t="shared" si="4"/>
        <v>-7.576879751697436E-3</v>
      </c>
      <c r="N17" t="str">
        <f>'PE Forecast'!D13</f>
        <v>Aggressive PE 2 Quarters Forward</v>
      </c>
      <c r="O17" s="33">
        <f>'PE Forecast'!E13</f>
        <v>8.592296425098283</v>
      </c>
      <c r="Q17" s="73" t="s">
        <v>150</v>
      </c>
      <c r="R17" s="71">
        <f>($O$20-O17)/$O$20</f>
        <v>0.57518121124975574</v>
      </c>
    </row>
    <row r="18" spans="1:18" ht="13.5" customHeight="1" x14ac:dyDescent="0.25">
      <c r="A18" s="58" t="s">
        <v>151</v>
      </c>
      <c r="B18" s="74">
        <v>-0.4</v>
      </c>
      <c r="C18" s="74">
        <v>-0.4</v>
      </c>
      <c r="D18" s="74">
        <v>-0.6</v>
      </c>
      <c r="E18" s="74">
        <v>0</v>
      </c>
      <c r="F18" s="74">
        <v>0</v>
      </c>
      <c r="G18" s="74">
        <v>0.5</v>
      </c>
      <c r="H18" s="74">
        <v>2.1</v>
      </c>
      <c r="I18" s="74">
        <v>-0.4</v>
      </c>
      <c r="J18" s="74">
        <v>-0.4</v>
      </c>
      <c r="K18" s="74">
        <v>-0.6</v>
      </c>
      <c r="N18" t="str">
        <f>'PE Forecast'!D14</f>
        <v>Moderate PE 2 Quarters Forward</v>
      </c>
      <c r="O18" s="33">
        <f>'PE Forecast'!E14</f>
        <v>9.4392025735130165</v>
      </c>
      <c r="Q18" s="73" t="s">
        <v>152</v>
      </c>
      <c r="R18" s="71">
        <f>($O$20-O18)/$O$20</f>
        <v>0.53330862837380277</v>
      </c>
    </row>
    <row r="19" spans="1:18" ht="13.5" customHeight="1" x14ac:dyDescent="0.25">
      <c r="A19" s="58" t="s">
        <v>153</v>
      </c>
      <c r="B19" s="75">
        <f>B17*B18</f>
        <v>3.0307519006789745E-3</v>
      </c>
      <c r="C19" s="75">
        <f t="shared" ref="C19:K19" si="5">C17*C18</f>
        <v>3.0307519006789745E-3</v>
      </c>
      <c r="D19" s="75">
        <f t="shared" si="5"/>
        <v>4.5461278510184611E-3</v>
      </c>
      <c r="E19" s="75">
        <f t="shared" si="5"/>
        <v>0</v>
      </c>
      <c r="F19" s="75">
        <f t="shared" si="5"/>
        <v>0</v>
      </c>
      <c r="G19" s="75">
        <f t="shared" si="5"/>
        <v>-3.788439875848718E-3</v>
      </c>
      <c r="H19" s="75">
        <f t="shared" si="5"/>
        <v>-1.5911447478564617E-2</v>
      </c>
      <c r="I19" s="75">
        <f t="shared" si="5"/>
        <v>3.0307519006789745E-3</v>
      </c>
      <c r="J19" s="75">
        <f t="shared" si="5"/>
        <v>3.0307519006789745E-3</v>
      </c>
      <c r="K19" s="75">
        <f t="shared" si="5"/>
        <v>4.5461278510184611E-3</v>
      </c>
      <c r="N19" t="str">
        <f>'PE Forecast'!D15</f>
        <v>Conservative PE 2 Quarters Forward</v>
      </c>
      <c r="O19" s="33">
        <f>'PE Forecast'!E15</f>
        <v>11.076908239631713</v>
      </c>
      <c r="Q19" s="73" t="s">
        <v>154</v>
      </c>
      <c r="R19" s="71">
        <f>($O$20-O19)/$O$20</f>
        <v>0.45233747665960916</v>
      </c>
    </row>
    <row r="20" spans="1:18" ht="13.5" customHeight="1" x14ac:dyDescent="0.25">
      <c r="A20" s="58" t="s">
        <v>155</v>
      </c>
      <c r="B20" s="75">
        <f>B17+B19</f>
        <v>-4.5461278510184611E-3</v>
      </c>
      <c r="C20" s="75">
        <f t="shared" ref="C20:K20" si="6">C17+C19</f>
        <v>-4.5461278510184611E-3</v>
      </c>
      <c r="D20" s="75">
        <f t="shared" si="6"/>
        <v>-3.0307519006789749E-3</v>
      </c>
      <c r="E20" s="75">
        <f t="shared" si="6"/>
        <v>-7.576879751697436E-3</v>
      </c>
      <c r="F20" s="75">
        <f t="shared" si="6"/>
        <v>-7.576879751697436E-3</v>
      </c>
      <c r="G20" s="75">
        <f t="shared" si="6"/>
        <v>-1.1365319627546154E-2</v>
      </c>
      <c r="H20" s="75">
        <f t="shared" si="6"/>
        <v>-2.3488327230262052E-2</v>
      </c>
      <c r="I20" s="75">
        <f t="shared" si="6"/>
        <v>-4.5461278510184611E-3</v>
      </c>
      <c r="J20" s="75">
        <f t="shared" si="6"/>
        <v>-4.5461278510184611E-3</v>
      </c>
      <c r="K20" s="75">
        <f t="shared" si="6"/>
        <v>-3.0307519006789749E-3</v>
      </c>
      <c r="N20" t="s">
        <v>156</v>
      </c>
      <c r="O20" s="76">
        <f>Analysis2!B5</f>
        <v>20.225791920304612</v>
      </c>
      <c r="P20" s="64"/>
      <c r="R20" s="64"/>
    </row>
    <row r="21" spans="1:18" ht="13.5" customHeight="1" x14ac:dyDescent="0.25">
      <c r="A21" s="58" t="s">
        <v>157</v>
      </c>
      <c r="B21" s="69">
        <f>B20*B16</f>
        <v>0</v>
      </c>
      <c r="C21" s="69">
        <f t="shared" ref="C21:K21" si="7">C20*C16</f>
        <v>0</v>
      </c>
      <c r="D21" s="69">
        <f t="shared" si="7"/>
        <v>0</v>
      </c>
      <c r="E21" s="69">
        <f t="shared" si="7"/>
        <v>0</v>
      </c>
      <c r="F21" s="69">
        <f t="shared" si="7"/>
        <v>0</v>
      </c>
      <c r="G21" s="69">
        <f t="shared" si="7"/>
        <v>0</v>
      </c>
      <c r="H21" s="69">
        <f t="shared" si="7"/>
        <v>0</v>
      </c>
      <c r="I21" s="69">
        <f t="shared" si="7"/>
        <v>0</v>
      </c>
      <c r="J21" s="69">
        <f t="shared" si="7"/>
        <v>0</v>
      </c>
      <c r="K21" s="69">
        <f t="shared" si="7"/>
        <v>0</v>
      </c>
      <c r="P21" s="64"/>
      <c r="Q21" s="77" t="s">
        <v>158</v>
      </c>
      <c r="R21" s="76">
        <f>'Data Sheet'!B9/('Data Sheet'!K57+'Data Sheet'!K58)</f>
        <v>2.2075965179373069</v>
      </c>
    </row>
    <row r="22" spans="1:18" ht="13.5" customHeight="1" x14ac:dyDescent="0.25">
      <c r="A22" s="58" t="s">
        <v>159</v>
      </c>
      <c r="B22" s="78">
        <v>0</v>
      </c>
      <c r="C22" s="78">
        <v>0</v>
      </c>
      <c r="D22" s="78">
        <v>0</v>
      </c>
      <c r="E22" s="78">
        <v>0.1</v>
      </c>
      <c r="F22" s="78">
        <v>0</v>
      </c>
      <c r="G22" s="78">
        <v>0</v>
      </c>
      <c r="H22" s="78">
        <v>0</v>
      </c>
      <c r="I22" s="78">
        <v>0.1</v>
      </c>
      <c r="J22" s="78">
        <v>0</v>
      </c>
      <c r="K22" s="78">
        <v>0</v>
      </c>
      <c r="N22" s="79" t="s">
        <v>160</v>
      </c>
      <c r="O22" s="80">
        <v>1.2</v>
      </c>
      <c r="P22" s="64"/>
      <c r="Q22" s="77" t="s">
        <v>161</v>
      </c>
      <c r="R22" s="81">
        <f>Analysis2!C5</f>
        <v>1.0325554299642885</v>
      </c>
    </row>
    <row r="23" spans="1:18" ht="13.5" customHeight="1" x14ac:dyDescent="0.25">
      <c r="A23" s="58" t="s">
        <v>162</v>
      </c>
      <c r="B23" s="69">
        <f>B14*($F$5*(1+B22))</f>
        <v>6.5573415573053362</v>
      </c>
      <c r="C23" s="69">
        <f t="shared" ref="C23:K23" si="8">C14*($F$5*(1+C22))</f>
        <v>6.5573415573053362</v>
      </c>
      <c r="D23" s="69">
        <f t="shared" si="8"/>
        <v>6.5573415573053362</v>
      </c>
      <c r="E23" s="69">
        <f t="shared" si="8"/>
        <v>7.2130757130358703</v>
      </c>
      <c r="F23" s="69">
        <f t="shared" si="8"/>
        <v>6.5573415573053362</v>
      </c>
      <c r="G23" s="69">
        <f t="shared" si="8"/>
        <v>6.5573415573053362</v>
      </c>
      <c r="H23" s="69">
        <f t="shared" si="8"/>
        <v>6.5573415573053362</v>
      </c>
      <c r="I23" s="69">
        <f t="shared" si="8"/>
        <v>7.2130757130358703</v>
      </c>
      <c r="J23" s="69">
        <f t="shared" si="8"/>
        <v>6.5573415573053362</v>
      </c>
      <c r="K23" s="69">
        <f t="shared" si="8"/>
        <v>6.5573415573053362</v>
      </c>
      <c r="N23" s="79" t="s">
        <v>163</v>
      </c>
      <c r="O23" s="80">
        <v>1</v>
      </c>
      <c r="P23" s="64"/>
      <c r="Q23" t="s">
        <v>164</v>
      </c>
      <c r="R23" s="52">
        <f>(('Data Sheet'!K57+'Data Sheet'!K58)-('Data Sheet'!J57+'Data Sheet'!J58))/('Data Sheet'!J57+'Data Sheet'!J58)</f>
        <v>0.24572067691110694</v>
      </c>
    </row>
    <row r="24" spans="1:18" ht="13.5" customHeight="1" x14ac:dyDescent="0.25">
      <c r="A24" s="58" t="s">
        <v>165</v>
      </c>
      <c r="B24" s="69">
        <f>B15-B21</f>
        <v>70.533150278215217</v>
      </c>
      <c r="C24" s="69">
        <f t="shared" ref="C24:K24" si="9">C15-C21</f>
        <v>70.533150278215217</v>
      </c>
      <c r="D24" s="69">
        <f t="shared" si="9"/>
        <v>70.533150278215217</v>
      </c>
      <c r="E24" s="69">
        <f t="shared" si="9"/>
        <v>70.533150278215217</v>
      </c>
      <c r="F24" s="69">
        <f t="shared" si="9"/>
        <v>70.533150278215217</v>
      </c>
      <c r="G24" s="69">
        <f t="shared" si="9"/>
        <v>70.533150278215217</v>
      </c>
      <c r="H24" s="69">
        <f t="shared" si="9"/>
        <v>70.533150278215217</v>
      </c>
      <c r="I24" s="69">
        <f t="shared" si="9"/>
        <v>70.533150278215217</v>
      </c>
      <c r="J24" s="69">
        <f t="shared" si="9"/>
        <v>70.533150278215217</v>
      </c>
      <c r="K24" s="69">
        <f t="shared" si="9"/>
        <v>70.533150278215217</v>
      </c>
      <c r="N24" s="79" t="s">
        <v>166</v>
      </c>
      <c r="O24" s="80">
        <v>0.7</v>
      </c>
      <c r="P24" s="64"/>
      <c r="Q24" t="s">
        <v>167</v>
      </c>
      <c r="R24" s="82">
        <f>'Data Sheet'!B9/(('Data Sheet'!K57+'Data Sheet'!K58)*(1+R23))</f>
        <v>1.7721440759988591</v>
      </c>
    </row>
    <row r="25" spans="1:18" ht="13.5" customHeight="1" x14ac:dyDescent="0.25">
      <c r="A25" s="58" t="s">
        <v>168</v>
      </c>
      <c r="B25" s="69">
        <f t="shared" ref="B25:K25" si="10">B24*(1-$B$6)</f>
        <v>56.426520222572179</v>
      </c>
      <c r="C25" s="69">
        <f t="shared" si="10"/>
        <v>56.426520222572179</v>
      </c>
      <c r="D25" s="69">
        <f t="shared" si="10"/>
        <v>56.426520222572179</v>
      </c>
      <c r="E25" s="69">
        <f t="shared" si="10"/>
        <v>56.426520222572179</v>
      </c>
      <c r="F25" s="69">
        <f t="shared" si="10"/>
        <v>56.426520222572179</v>
      </c>
      <c r="G25" s="69">
        <f t="shared" si="10"/>
        <v>56.426520222572179</v>
      </c>
      <c r="H25" s="69">
        <f t="shared" si="10"/>
        <v>56.426520222572179</v>
      </c>
      <c r="I25" s="69">
        <f t="shared" si="10"/>
        <v>56.426520222572179</v>
      </c>
      <c r="J25" s="69">
        <f t="shared" si="10"/>
        <v>56.426520222572179</v>
      </c>
      <c r="K25" s="69">
        <f t="shared" si="10"/>
        <v>56.426520222572179</v>
      </c>
      <c r="P25" s="64"/>
    </row>
    <row r="26" spans="1:18" x14ac:dyDescent="0.25">
      <c r="A26" s="43" t="s">
        <v>169</v>
      </c>
      <c r="B26" s="44">
        <f>(B24-F7)/F7</f>
        <v>-1.3568588427939046</v>
      </c>
      <c r="C26" s="44">
        <f>(C24-B24)/B24</f>
        <v>0</v>
      </c>
      <c r="D26" s="44">
        <f t="shared" ref="D26:K27" si="11">(D24-C24)/C24</f>
        <v>0</v>
      </c>
      <c r="E26" s="44">
        <f t="shared" si="11"/>
        <v>0</v>
      </c>
      <c r="F26" s="44">
        <f t="shared" si="11"/>
        <v>0</v>
      </c>
      <c r="G26" s="44">
        <f t="shared" si="11"/>
        <v>0</v>
      </c>
      <c r="H26" s="44">
        <f t="shared" si="11"/>
        <v>0</v>
      </c>
      <c r="I26" s="44">
        <f t="shared" si="11"/>
        <v>0</v>
      </c>
      <c r="J26" s="44">
        <f t="shared" si="11"/>
        <v>0</v>
      </c>
      <c r="K26" s="44">
        <f t="shared" si="11"/>
        <v>0</v>
      </c>
      <c r="P26" s="64"/>
      <c r="Q26" s="73" t="s">
        <v>170</v>
      </c>
      <c r="R26" s="83">
        <f>(R22-R21)/R22</f>
        <v>-1.1379932291031174</v>
      </c>
    </row>
    <row r="27" spans="1:18" x14ac:dyDescent="0.25">
      <c r="A27" s="43" t="s">
        <v>171</v>
      </c>
      <c r="B27" s="44">
        <f>(B25-$F$7)/$F$7</f>
        <v>-1.2854870742351237</v>
      </c>
      <c r="C27" s="44">
        <f>(C25-B25)/B25</f>
        <v>0</v>
      </c>
      <c r="D27" s="44">
        <f t="shared" si="11"/>
        <v>0</v>
      </c>
      <c r="E27" s="44">
        <f t="shared" si="11"/>
        <v>0</v>
      </c>
      <c r="F27" s="44">
        <f t="shared" si="11"/>
        <v>0</v>
      </c>
      <c r="G27" s="44">
        <f t="shared" si="11"/>
        <v>0</v>
      </c>
      <c r="H27" s="44">
        <f t="shared" si="11"/>
        <v>0</v>
      </c>
      <c r="I27" s="44">
        <f t="shared" si="11"/>
        <v>0</v>
      </c>
      <c r="J27" s="44">
        <f t="shared" si="11"/>
        <v>0</v>
      </c>
      <c r="K27" s="44">
        <f t="shared" si="11"/>
        <v>0</v>
      </c>
      <c r="P27" s="64"/>
      <c r="Q27" s="73" t="s">
        <v>172</v>
      </c>
      <c r="R27" s="83">
        <f>(R22-R24)/R22</f>
        <v>-0.71627016291043055</v>
      </c>
    </row>
    <row r="28" spans="1:18" x14ac:dyDescent="0.25">
      <c r="A28" s="43" t="s">
        <v>173</v>
      </c>
      <c r="B28" s="49">
        <v>0.1</v>
      </c>
      <c r="C28" s="84"/>
      <c r="D28" s="84"/>
    </row>
    <row r="29" spans="1:18" x14ac:dyDescent="0.25">
      <c r="A29" s="43" t="s">
        <v>174</v>
      </c>
      <c r="B29" s="49">
        <v>0.1</v>
      </c>
      <c r="C29" s="84"/>
      <c r="D29" s="84"/>
    </row>
    <row r="30" spans="1:18" x14ac:dyDescent="0.25">
      <c r="A30" s="43" t="s">
        <v>175</v>
      </c>
      <c r="B30" s="49">
        <v>0.02</v>
      </c>
      <c r="C30" s="84"/>
      <c r="D30" s="84"/>
      <c r="M30" s="85"/>
    </row>
    <row r="31" spans="1:18" x14ac:dyDescent="0.25">
      <c r="A31" s="43" t="s">
        <v>176</v>
      </c>
      <c r="B31" s="49">
        <v>0</v>
      </c>
      <c r="C31" s="84"/>
      <c r="D31" s="84"/>
      <c r="M31" s="85"/>
    </row>
    <row r="32" spans="1:18" x14ac:dyDescent="0.25">
      <c r="A32" s="43" t="s">
        <v>177</v>
      </c>
      <c r="B32" s="86">
        <f>'Data Sheet'!B6</f>
        <v>5.5552062868369347</v>
      </c>
      <c r="C32" s="37"/>
      <c r="D32" s="37"/>
      <c r="M32" s="38"/>
    </row>
    <row r="33" spans="1:13" x14ac:dyDescent="0.25">
      <c r="A33" s="87" t="s">
        <v>178</v>
      </c>
      <c r="B33" s="86">
        <f>'Data Sheet'!K59-'Data Sheet'!K64</f>
        <v>563.49</v>
      </c>
      <c r="C33" s="37"/>
      <c r="D33" s="37"/>
      <c r="M33" s="38"/>
    </row>
    <row r="34" spans="1:13" ht="18" customHeight="1" thickBot="1" x14ac:dyDescent="0.3">
      <c r="A34" s="435" t="s">
        <v>117</v>
      </c>
      <c r="B34" s="435"/>
      <c r="C34" s="435"/>
      <c r="D34" s="435"/>
      <c r="F34" s="435" t="s">
        <v>179</v>
      </c>
      <c r="G34" s="435"/>
      <c r="H34" s="435"/>
      <c r="I34" s="435"/>
    </row>
    <row r="35" spans="1:13" x14ac:dyDescent="0.25">
      <c r="A35" s="88" t="s">
        <v>180</v>
      </c>
      <c r="B35" s="89" t="s">
        <v>181</v>
      </c>
      <c r="C35" s="89" t="s">
        <v>182</v>
      </c>
      <c r="D35" s="90" t="s">
        <v>183</v>
      </c>
      <c r="F35" s="88" t="s">
        <v>180</v>
      </c>
      <c r="G35" s="89" t="s">
        <v>181</v>
      </c>
      <c r="H35" s="89" t="s">
        <v>182</v>
      </c>
      <c r="I35" s="90" t="s">
        <v>183</v>
      </c>
    </row>
    <row r="36" spans="1:13" x14ac:dyDescent="0.25">
      <c r="A36" s="91">
        <v>1</v>
      </c>
      <c r="B36" s="92">
        <f>B24+B23</f>
        <v>77.090491835520552</v>
      </c>
      <c r="C36" s="93">
        <f>B26</f>
        <v>-1.3568588427939046</v>
      </c>
      <c r="D36" s="94">
        <f>B36/((1+$B$28)^A36)</f>
        <v>70.08226530501868</v>
      </c>
      <c r="F36" s="91">
        <v>1</v>
      </c>
      <c r="G36" s="92">
        <f>B25+B23</f>
        <v>62.983861779877515</v>
      </c>
      <c r="H36" s="93">
        <f>B27</f>
        <v>-1.2854870742351237</v>
      </c>
      <c r="I36" s="94">
        <f t="shared" ref="I36:I45" si="12">G36/((1+$B$29)^F36)</f>
        <v>57.258056163525012</v>
      </c>
    </row>
    <row r="37" spans="1:13" x14ac:dyDescent="0.25">
      <c r="A37" s="91">
        <v>2</v>
      </c>
      <c r="B37" s="92">
        <f>C24+C23</f>
        <v>77.090491835520552</v>
      </c>
      <c r="C37" s="93">
        <f>(B37-B36)/B36</f>
        <v>0</v>
      </c>
      <c r="D37" s="94">
        <f t="shared" ref="D37:D45" si="13">B37/((1+$B$28)^A37)</f>
        <v>63.711150277289704</v>
      </c>
      <c r="F37" s="91">
        <v>2</v>
      </c>
      <c r="G37" s="92">
        <f>C25+C23</f>
        <v>62.983861779877515</v>
      </c>
      <c r="H37" s="93">
        <f>(G37-G36)/G36</f>
        <v>0</v>
      </c>
      <c r="I37" s="94">
        <f t="shared" si="12"/>
        <v>52.052778330477274</v>
      </c>
    </row>
    <row r="38" spans="1:13" x14ac:dyDescent="0.25">
      <c r="A38" s="91">
        <v>3</v>
      </c>
      <c r="B38" s="92">
        <f>D24+D23</f>
        <v>77.090491835520552</v>
      </c>
      <c r="C38" s="93">
        <f t="shared" ref="C38:C45" si="14">(B38-B37)/B37</f>
        <v>0</v>
      </c>
      <c r="D38" s="94">
        <f t="shared" si="13"/>
        <v>57.919227524808811</v>
      </c>
      <c r="F38" s="91">
        <v>3</v>
      </c>
      <c r="G38" s="92">
        <f>D25+D23</f>
        <v>62.983861779877515</v>
      </c>
      <c r="H38" s="93">
        <f t="shared" ref="H38:H45" si="15">(G38-G37)/G37</f>
        <v>0</v>
      </c>
      <c r="I38" s="94">
        <f t="shared" si="12"/>
        <v>47.320707573161151</v>
      </c>
    </row>
    <row r="39" spans="1:13" x14ac:dyDescent="0.25">
      <c r="A39" s="91">
        <v>4</v>
      </c>
      <c r="B39" s="92">
        <f>E24+E23</f>
        <v>77.746225991251094</v>
      </c>
      <c r="C39" s="93">
        <f t="shared" si="14"/>
        <v>8.5060315496444019E-3</v>
      </c>
      <c r="D39" s="94">
        <f t="shared" si="13"/>
        <v>53.101718455878064</v>
      </c>
      <c r="F39" s="91">
        <v>4</v>
      </c>
      <c r="G39" s="92">
        <f>E25+E23</f>
        <v>63.63959593560805</v>
      </c>
      <c r="H39" s="93">
        <f t="shared" si="15"/>
        <v>1.041114560460364E-2</v>
      </c>
      <c r="I39" s="94">
        <f t="shared" si="12"/>
        <v>43.466700318016549</v>
      </c>
    </row>
    <row r="40" spans="1:13" x14ac:dyDescent="0.25">
      <c r="A40" s="91">
        <v>5</v>
      </c>
      <c r="B40" s="92">
        <f>F24+F23</f>
        <v>77.090491835520552</v>
      </c>
      <c r="C40" s="93">
        <f t="shared" si="14"/>
        <v>-8.4342892194449789E-3</v>
      </c>
      <c r="D40" s="94">
        <f t="shared" si="13"/>
        <v>47.867130185792405</v>
      </c>
      <c r="F40" s="91">
        <v>5</v>
      </c>
      <c r="G40" s="92">
        <f>F25+F23</f>
        <v>62.983861779877515</v>
      </c>
      <c r="H40" s="93">
        <f t="shared" si="15"/>
        <v>-1.0303870508449194E-2</v>
      </c>
      <c r="I40" s="94">
        <f t="shared" si="12"/>
        <v>39.108022787736488</v>
      </c>
    </row>
    <row r="41" spans="1:13" x14ac:dyDescent="0.25">
      <c r="A41" s="91">
        <v>6</v>
      </c>
      <c r="B41" s="92">
        <f>G24+G23</f>
        <v>77.090491835520552</v>
      </c>
      <c r="C41" s="93">
        <f t="shared" si="14"/>
        <v>0</v>
      </c>
      <c r="D41" s="94">
        <f t="shared" si="13"/>
        <v>43.515572896174909</v>
      </c>
      <c r="F41" s="91">
        <v>6</v>
      </c>
      <c r="G41" s="92">
        <f>G25+G23</f>
        <v>62.983861779877515</v>
      </c>
      <c r="H41" s="93">
        <f t="shared" si="15"/>
        <v>0</v>
      </c>
      <c r="I41" s="94">
        <f t="shared" si="12"/>
        <v>35.552747988851351</v>
      </c>
    </row>
    <row r="42" spans="1:13" x14ac:dyDescent="0.25">
      <c r="A42" s="91">
        <v>7</v>
      </c>
      <c r="B42" s="92">
        <f>H24+H23</f>
        <v>77.090491835520552</v>
      </c>
      <c r="C42" s="93">
        <f t="shared" si="14"/>
        <v>0</v>
      </c>
      <c r="D42" s="94">
        <f t="shared" si="13"/>
        <v>39.559611723795364</v>
      </c>
      <c r="F42" s="91">
        <v>7</v>
      </c>
      <c r="G42" s="92">
        <f>H25+H23</f>
        <v>62.983861779877515</v>
      </c>
      <c r="H42" s="93">
        <f t="shared" si="15"/>
        <v>0</v>
      </c>
      <c r="I42" s="94">
        <f t="shared" si="12"/>
        <v>32.320679989864857</v>
      </c>
    </row>
    <row r="43" spans="1:13" x14ac:dyDescent="0.25">
      <c r="A43" s="91">
        <v>8</v>
      </c>
      <c r="B43" s="92">
        <f>I24+I23</f>
        <v>77.746225991251094</v>
      </c>
      <c r="C43" s="93">
        <f t="shared" si="14"/>
        <v>8.5060315496444019E-3</v>
      </c>
      <c r="D43" s="94">
        <f t="shared" si="13"/>
        <v>36.269188208372412</v>
      </c>
      <c r="F43" s="91">
        <v>8</v>
      </c>
      <c r="G43" s="92">
        <f>I25+I23</f>
        <v>63.63959593560805</v>
      </c>
      <c r="H43" s="93">
        <f t="shared" si="15"/>
        <v>1.041114560460364E-2</v>
      </c>
      <c r="I43" s="94">
        <f t="shared" si="12"/>
        <v>29.688341177526492</v>
      </c>
    </row>
    <row r="44" spans="1:13" x14ac:dyDescent="0.25">
      <c r="A44" s="91">
        <v>9</v>
      </c>
      <c r="B44" s="92">
        <f>J24+J23</f>
        <v>77.090491835520552</v>
      </c>
      <c r="C44" s="93">
        <f t="shared" si="14"/>
        <v>-8.4342892194449789E-3</v>
      </c>
      <c r="D44" s="94">
        <f t="shared" si="13"/>
        <v>32.69389398660774</v>
      </c>
      <c r="F44" s="91">
        <v>9</v>
      </c>
      <c r="G44" s="92">
        <f>J25+J23</f>
        <v>62.983861779877515</v>
      </c>
      <c r="H44" s="93">
        <f t="shared" si="15"/>
        <v>-1.0303870508449194E-2</v>
      </c>
      <c r="I44" s="94">
        <f t="shared" si="12"/>
        <v>26.711305776747817</v>
      </c>
    </row>
    <row r="45" spans="1:13" ht="15.75" thickBot="1" x14ac:dyDescent="0.3">
      <c r="A45" s="95">
        <v>10</v>
      </c>
      <c r="B45" s="92">
        <f>K24+K23</f>
        <v>77.090491835520552</v>
      </c>
      <c r="C45" s="93">
        <f t="shared" si="14"/>
        <v>0</v>
      </c>
      <c r="D45" s="96">
        <f t="shared" si="13"/>
        <v>29.721721806007032</v>
      </c>
      <c r="F45" s="95">
        <v>10</v>
      </c>
      <c r="G45" s="97">
        <f>K25+K23</f>
        <v>62.983861779877515</v>
      </c>
      <c r="H45" s="93">
        <f t="shared" si="15"/>
        <v>0</v>
      </c>
      <c r="I45" s="94">
        <f t="shared" si="12"/>
        <v>24.283005251588921</v>
      </c>
    </row>
    <row r="46" spans="1:13" ht="6.75" customHeight="1" x14ac:dyDescent="0.25">
      <c r="A46" s="37"/>
      <c r="B46" s="98"/>
      <c r="C46" s="99"/>
      <c r="D46" s="42"/>
    </row>
    <row r="47" spans="1:13" x14ac:dyDescent="0.25">
      <c r="D47" s="37"/>
    </row>
    <row r="48" spans="1:13" x14ac:dyDescent="0.25">
      <c r="D48" s="37"/>
    </row>
    <row r="49" spans="1:14" x14ac:dyDescent="0.25">
      <c r="D49" s="37"/>
    </row>
    <row r="50" spans="1:14" x14ac:dyDescent="0.25">
      <c r="D50" s="37"/>
    </row>
    <row r="51" spans="1:14" x14ac:dyDescent="0.25">
      <c r="D51" s="37"/>
    </row>
    <row r="52" spans="1:14" x14ac:dyDescent="0.25">
      <c r="D52" s="37"/>
      <c r="F52" s="47"/>
      <c r="N52" s="47"/>
    </row>
    <row r="53" spans="1:14" x14ac:dyDescent="0.25">
      <c r="D53" s="37"/>
      <c r="F53" s="47"/>
      <c r="N53" s="47"/>
    </row>
    <row r="54" spans="1:14" x14ac:dyDescent="0.25">
      <c r="C54" s="85"/>
    </row>
    <row r="55" spans="1:14" x14ac:dyDescent="0.25">
      <c r="C55" s="85"/>
    </row>
    <row r="56" spans="1:14" x14ac:dyDescent="0.25">
      <c r="C56" s="85"/>
    </row>
    <row r="57" spans="1:14" x14ac:dyDescent="0.25">
      <c r="C57" s="100"/>
    </row>
    <row r="58" spans="1:14" x14ac:dyDescent="0.25">
      <c r="A58" s="85">
        <v>0</v>
      </c>
      <c r="B58" s="85">
        <v>0</v>
      </c>
      <c r="C58" s="85"/>
    </row>
    <row r="59" spans="1:14" x14ac:dyDescent="0.25">
      <c r="A59" s="85">
        <v>0.01</v>
      </c>
      <c r="B59" s="85">
        <v>0.01</v>
      </c>
      <c r="C59" s="85"/>
    </row>
    <row r="60" spans="1:14" x14ac:dyDescent="0.25">
      <c r="A60" s="85">
        <v>0.02</v>
      </c>
      <c r="B60" s="85">
        <v>0.02</v>
      </c>
      <c r="C60" s="85"/>
    </row>
    <row r="61" spans="1:14" x14ac:dyDescent="0.25">
      <c r="A61" s="85">
        <v>0.03</v>
      </c>
      <c r="B61" s="85">
        <v>0.03</v>
      </c>
      <c r="C61" s="85"/>
    </row>
    <row r="62" spans="1:14" x14ac:dyDescent="0.25">
      <c r="A62" s="85">
        <v>0.04</v>
      </c>
      <c r="B62" s="85">
        <v>0.04</v>
      </c>
    </row>
    <row r="63" spans="1:14" x14ac:dyDescent="0.25">
      <c r="A63" s="85">
        <v>0.06</v>
      </c>
      <c r="B63" s="85">
        <v>0.05</v>
      </c>
    </row>
    <row r="64" spans="1:14" x14ac:dyDescent="0.25">
      <c r="A64" s="85">
        <v>0.08</v>
      </c>
      <c r="B64" s="85">
        <v>0.06</v>
      </c>
    </row>
    <row r="65" spans="1:2" x14ac:dyDescent="0.25">
      <c r="A65" s="85">
        <v>0.1</v>
      </c>
      <c r="B65" s="85">
        <v>7.0000000000000007E-2</v>
      </c>
    </row>
    <row r="66" spans="1:2" x14ac:dyDescent="0.25">
      <c r="A66" s="85">
        <v>0.12</v>
      </c>
      <c r="B66" s="85">
        <v>0.08</v>
      </c>
    </row>
    <row r="67" spans="1:2" x14ac:dyDescent="0.25">
      <c r="A67" s="85">
        <v>0.14000000000000001</v>
      </c>
      <c r="B67" s="85">
        <v>0.09</v>
      </c>
    </row>
    <row r="68" spans="1:2" x14ac:dyDescent="0.25">
      <c r="A68" s="85">
        <v>0.16</v>
      </c>
      <c r="B68" s="85">
        <v>0.1</v>
      </c>
    </row>
    <row r="69" spans="1:2" x14ac:dyDescent="0.25">
      <c r="A69" s="85">
        <v>0.18</v>
      </c>
      <c r="B69" s="85">
        <v>0.11</v>
      </c>
    </row>
    <row r="70" spans="1:2" x14ac:dyDescent="0.25">
      <c r="A70" s="85">
        <v>0.2</v>
      </c>
      <c r="B70" s="85">
        <v>0.12</v>
      </c>
    </row>
    <row r="71" spans="1:2" x14ac:dyDescent="0.25">
      <c r="A71" s="85">
        <v>0.22</v>
      </c>
      <c r="B71" s="85">
        <v>0.13</v>
      </c>
    </row>
    <row r="72" spans="1:2" x14ac:dyDescent="0.25">
      <c r="A72" s="85">
        <v>0.24</v>
      </c>
      <c r="B72" s="85">
        <v>0.14000000000000001</v>
      </c>
    </row>
    <row r="73" spans="1:2" x14ac:dyDescent="0.25">
      <c r="A73" s="85">
        <v>0.26</v>
      </c>
      <c r="B73" s="85">
        <v>0.15</v>
      </c>
    </row>
    <row r="74" spans="1:2" x14ac:dyDescent="0.25">
      <c r="A74" s="85">
        <v>0.28000000000000003</v>
      </c>
      <c r="B74" s="85">
        <v>0.16</v>
      </c>
    </row>
    <row r="75" spans="1:2" x14ac:dyDescent="0.25">
      <c r="A75" s="85">
        <v>0.3</v>
      </c>
      <c r="B75" s="85">
        <v>0.17</v>
      </c>
    </row>
    <row r="76" spans="1:2" x14ac:dyDescent="0.25">
      <c r="A76" s="85">
        <v>0.32</v>
      </c>
      <c r="B76" s="85">
        <v>0.18</v>
      </c>
    </row>
    <row r="77" spans="1:2" x14ac:dyDescent="0.25">
      <c r="A77" s="85">
        <v>0.34</v>
      </c>
      <c r="B77" s="85">
        <v>0.19</v>
      </c>
    </row>
    <row r="78" spans="1:2" x14ac:dyDescent="0.25">
      <c r="A78" s="85">
        <v>0.36</v>
      </c>
      <c r="B78" s="85">
        <v>0.2</v>
      </c>
    </row>
    <row r="79" spans="1:2" x14ac:dyDescent="0.25">
      <c r="A79" s="85">
        <v>0.38</v>
      </c>
      <c r="B79" s="85">
        <v>0.21</v>
      </c>
    </row>
    <row r="80" spans="1:2" x14ac:dyDescent="0.25">
      <c r="A80" s="85">
        <v>0.4</v>
      </c>
      <c r="B80" s="85">
        <v>0.22</v>
      </c>
    </row>
    <row r="81" spans="1:2" x14ac:dyDescent="0.25">
      <c r="A81" s="85">
        <v>0.42</v>
      </c>
      <c r="B81" s="85">
        <v>0.23</v>
      </c>
    </row>
    <row r="82" spans="1:2" x14ac:dyDescent="0.25">
      <c r="A82" s="85">
        <v>0.44</v>
      </c>
      <c r="B82" s="85">
        <v>0.24</v>
      </c>
    </row>
    <row r="83" spans="1:2" x14ac:dyDescent="0.25">
      <c r="A83" s="85">
        <v>0.46</v>
      </c>
      <c r="B83" s="85">
        <v>0.25</v>
      </c>
    </row>
    <row r="84" spans="1:2" x14ac:dyDescent="0.25">
      <c r="A84" s="85">
        <v>0.48</v>
      </c>
      <c r="B84" s="85">
        <v>0.26</v>
      </c>
    </row>
    <row r="85" spans="1:2" x14ac:dyDescent="0.25">
      <c r="A85" s="85">
        <v>0.5</v>
      </c>
      <c r="B85" s="85">
        <v>0.27</v>
      </c>
    </row>
    <row r="86" spans="1:2" x14ac:dyDescent="0.25">
      <c r="A86" s="85">
        <v>0.52</v>
      </c>
      <c r="B86" s="85">
        <v>0.28000000000000003</v>
      </c>
    </row>
    <row r="87" spans="1:2" x14ac:dyDescent="0.25">
      <c r="A87" s="85">
        <v>0.54</v>
      </c>
      <c r="B87" s="85">
        <v>0.28999999999999998</v>
      </c>
    </row>
    <row r="88" spans="1:2" x14ac:dyDescent="0.25">
      <c r="A88" s="85">
        <v>0.56000000000000005</v>
      </c>
      <c r="B88" s="85">
        <v>0.3</v>
      </c>
    </row>
    <row r="89" spans="1:2" x14ac:dyDescent="0.25">
      <c r="A89" s="85">
        <v>0.57999999999999996</v>
      </c>
      <c r="B89" s="85">
        <v>0.31</v>
      </c>
    </row>
    <row r="90" spans="1:2" x14ac:dyDescent="0.25">
      <c r="A90" s="85">
        <v>0.6</v>
      </c>
      <c r="B90" s="85">
        <v>0.32</v>
      </c>
    </row>
    <row r="91" spans="1:2" x14ac:dyDescent="0.25">
      <c r="A91" s="85">
        <v>0.62</v>
      </c>
      <c r="B91" s="85">
        <v>0.33</v>
      </c>
    </row>
    <row r="92" spans="1:2" x14ac:dyDescent="0.25">
      <c r="A92" s="85">
        <v>0.64</v>
      </c>
      <c r="B92" s="85">
        <v>0.34</v>
      </c>
    </row>
    <row r="93" spans="1:2" x14ac:dyDescent="0.25">
      <c r="A93" s="85">
        <v>0.66</v>
      </c>
      <c r="B93" s="85">
        <v>0.35</v>
      </c>
    </row>
    <row r="94" spans="1:2" x14ac:dyDescent="0.25">
      <c r="A94" s="85">
        <v>0.68</v>
      </c>
      <c r="B94" s="85">
        <v>0.36</v>
      </c>
    </row>
    <row r="95" spans="1:2" x14ac:dyDescent="0.25">
      <c r="A95" s="85">
        <v>0.7</v>
      </c>
      <c r="B95" s="85">
        <v>0.37</v>
      </c>
    </row>
    <row r="96" spans="1:2" x14ac:dyDescent="0.25">
      <c r="A96" s="85">
        <v>0.72</v>
      </c>
      <c r="B96" s="85">
        <v>0.38</v>
      </c>
    </row>
    <row r="97" spans="1:2" x14ac:dyDescent="0.25">
      <c r="A97" s="85">
        <v>0.74</v>
      </c>
      <c r="B97" s="85">
        <v>0.39</v>
      </c>
    </row>
    <row r="98" spans="1:2" x14ac:dyDescent="0.25">
      <c r="A98" s="85">
        <v>0.76</v>
      </c>
      <c r="B98" s="85">
        <v>0.4</v>
      </c>
    </row>
    <row r="99" spans="1:2" x14ac:dyDescent="0.25">
      <c r="A99" s="85">
        <v>0.78</v>
      </c>
      <c r="B99" s="85">
        <v>0.41</v>
      </c>
    </row>
    <row r="100" spans="1:2" x14ac:dyDescent="0.25">
      <c r="A100" s="85">
        <v>0.8</v>
      </c>
      <c r="B100" s="85">
        <v>0.42</v>
      </c>
    </row>
    <row r="101" spans="1:2" x14ac:dyDescent="0.25">
      <c r="A101" s="85">
        <v>0.82</v>
      </c>
      <c r="B101" s="85">
        <v>0.43</v>
      </c>
    </row>
    <row r="102" spans="1:2" x14ac:dyDescent="0.25">
      <c r="A102" s="85">
        <v>0.84</v>
      </c>
      <c r="B102" s="85">
        <v>0.44</v>
      </c>
    </row>
    <row r="103" spans="1:2" x14ac:dyDescent="0.25">
      <c r="A103" s="85">
        <v>0.86</v>
      </c>
      <c r="B103" s="85">
        <v>0.45</v>
      </c>
    </row>
    <row r="104" spans="1:2" x14ac:dyDescent="0.25">
      <c r="A104" s="85">
        <v>0.88</v>
      </c>
      <c r="B104" s="85">
        <v>0.46</v>
      </c>
    </row>
    <row r="105" spans="1:2" x14ac:dyDescent="0.25">
      <c r="A105" s="85">
        <v>0.9</v>
      </c>
      <c r="B105" s="85">
        <v>0.47</v>
      </c>
    </row>
    <row r="106" spans="1:2" x14ac:dyDescent="0.25">
      <c r="A106" s="85">
        <v>0.92</v>
      </c>
      <c r="B106" s="85">
        <v>0.48</v>
      </c>
    </row>
    <row r="107" spans="1:2" x14ac:dyDescent="0.25">
      <c r="A107" s="85">
        <v>0.94</v>
      </c>
      <c r="B107" s="85">
        <v>0.49</v>
      </c>
    </row>
    <row r="108" spans="1:2" x14ac:dyDescent="0.25">
      <c r="A108" s="85">
        <v>0.96000000000000096</v>
      </c>
      <c r="B108" s="85">
        <v>0.5</v>
      </c>
    </row>
    <row r="109" spans="1:2" x14ac:dyDescent="0.25">
      <c r="A109" s="85">
        <v>0.98000000000000098</v>
      </c>
    </row>
    <row r="110" spans="1:2" x14ac:dyDescent="0.25">
      <c r="A110" s="85">
        <v>1</v>
      </c>
    </row>
  </sheetData>
  <mergeCells count="17">
    <mergeCell ref="D4:E4"/>
    <mergeCell ref="G4:H4"/>
    <mergeCell ref="D8:E8"/>
    <mergeCell ref="G8:H8"/>
    <mergeCell ref="A34:D34"/>
    <mergeCell ref="F34:I34"/>
    <mergeCell ref="D5:E5"/>
    <mergeCell ref="G5:H5"/>
    <mergeCell ref="D6:E6"/>
    <mergeCell ref="G6:H6"/>
    <mergeCell ref="D7:E7"/>
    <mergeCell ref="G7:H7"/>
    <mergeCell ref="A1:C2"/>
    <mergeCell ref="A3:C3"/>
    <mergeCell ref="D3:E3"/>
    <mergeCell ref="N3:O3"/>
    <mergeCell ref="Q3:R3"/>
  </mergeCells>
  <dataValidations count="4">
    <dataValidation type="list" allowBlank="1" showInputMessage="1" showErrorMessage="1" sqref="B11:K11">
      <formula1>$A$58:$A$80</formula1>
    </dataValidation>
    <dataValidation type="list" allowBlank="1" showInputMessage="1" showErrorMessage="1" sqref="B28:B29">
      <formula1>$A$59:$A$80</formula1>
    </dataValidation>
    <dataValidation type="list" allowBlank="1" showInputMessage="1" showErrorMessage="1" sqref="I22 E22">
      <formula1>$B$59:$B$108</formula1>
    </dataValidation>
    <dataValidation type="list" allowBlank="1" showInputMessage="1" showErrorMessage="1" sqref="B22:D22 F22:H22 J22:K22">
      <formula1>$B$58:$B$108</formula1>
    </dataValidation>
  </dataValidation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1" sqref="E1:E3"/>
    </sheetView>
  </sheetViews>
  <sheetFormatPr defaultRowHeight="15" x14ac:dyDescent="0.25"/>
  <cols>
    <col min="1" max="1" width="30.42578125" customWidth="1"/>
    <col min="2" max="2" width="14.85546875" style="32" customWidth="1"/>
    <col min="3" max="3" width="4.7109375" customWidth="1"/>
    <col min="4" max="4" width="33.140625" bestFit="1" customWidth="1"/>
    <col min="6" max="6" width="4.28515625" customWidth="1"/>
    <col min="7" max="7" width="40.7109375" customWidth="1"/>
    <col min="8" max="8" width="13.140625" style="32" customWidth="1"/>
  </cols>
  <sheetData>
    <row r="1" spans="1:8" x14ac:dyDescent="0.25">
      <c r="A1" t="s">
        <v>94</v>
      </c>
      <c r="B1" s="32">
        <f>'Data Sheet'!B8</f>
        <v>101.8</v>
      </c>
      <c r="D1" t="s">
        <v>95</v>
      </c>
      <c r="E1" s="32">
        <f>Valuation!O22</f>
        <v>1.2</v>
      </c>
      <c r="G1" t="s">
        <v>96</v>
      </c>
      <c r="H1" s="33">
        <f>$B$4*(1+$B$5)*E1</f>
        <v>29.23324293015332</v>
      </c>
    </row>
    <row r="2" spans="1:8" x14ac:dyDescent="0.25">
      <c r="A2" t="s">
        <v>97</v>
      </c>
      <c r="B2" s="34">
        <f>'Data Sheet'!K93</f>
        <v>4.5833944999999998</v>
      </c>
      <c r="D2" t="s">
        <v>98</v>
      </c>
      <c r="E2" s="32">
        <f>Valuation!O23</f>
        <v>1</v>
      </c>
      <c r="G2" t="s">
        <v>99</v>
      </c>
      <c r="H2" s="33">
        <f>$B$4*(1+$B$5)*E2</f>
        <v>24.361035775127768</v>
      </c>
    </row>
    <row r="3" spans="1:8" x14ac:dyDescent="0.25">
      <c r="A3" t="s">
        <v>100</v>
      </c>
      <c r="B3" s="32">
        <f>('Data Sheet'!K49+'Data Sheet'!J49)</f>
        <v>25.07</v>
      </c>
      <c r="D3" t="s">
        <v>101</v>
      </c>
      <c r="E3" s="32">
        <f>Valuation!O24</f>
        <v>0.7</v>
      </c>
      <c r="G3" t="s">
        <v>102</v>
      </c>
      <c r="H3" s="33">
        <f>$B$4*(1+$B$5)*E3</f>
        <v>17.052725042589437</v>
      </c>
    </row>
    <row r="4" spans="1:8" x14ac:dyDescent="0.25">
      <c r="A4" t="s">
        <v>103</v>
      </c>
      <c r="B4" s="32">
        <f>'Data Sheet'!I49+'Data Sheet'!H49</f>
        <v>28.52</v>
      </c>
    </row>
    <row r="5" spans="1:8" x14ac:dyDescent="0.25">
      <c r="A5" t="s">
        <v>104</v>
      </c>
      <c r="B5" s="35">
        <f>(('Data Sheet'!J49+'Data Sheet'!K49)-('Data Sheet'!F49+'Data Sheet'!G49))/('Data Sheet'!F49+'Data Sheet'!G49)</f>
        <v>-0.1458262350936968</v>
      </c>
    </row>
    <row r="6" spans="1:8" x14ac:dyDescent="0.25">
      <c r="B6" s="33"/>
      <c r="G6" t="s">
        <v>105</v>
      </c>
      <c r="H6" s="33">
        <f>$B$3+H1</f>
        <v>54.303242930153317</v>
      </c>
    </row>
    <row r="7" spans="1:8" x14ac:dyDescent="0.25">
      <c r="G7" t="s">
        <v>106</v>
      </c>
      <c r="H7" s="33">
        <f>$B$3+H2</f>
        <v>49.431035775127768</v>
      </c>
    </row>
    <row r="8" spans="1:8" x14ac:dyDescent="0.25">
      <c r="G8" t="s">
        <v>107</v>
      </c>
      <c r="H8" s="33">
        <f>$B$3+H3</f>
        <v>42.122725042589437</v>
      </c>
    </row>
    <row r="9" spans="1:8" x14ac:dyDescent="0.25">
      <c r="A9" t="s">
        <v>106</v>
      </c>
      <c r="B9" s="33">
        <f>B3+B6</f>
        <v>25.07</v>
      </c>
    </row>
    <row r="13" spans="1:8" x14ac:dyDescent="0.25">
      <c r="A13" t="s">
        <v>108</v>
      </c>
      <c r="B13" s="36">
        <f>H6/$B$2</f>
        <v>11.847822161097701</v>
      </c>
      <c r="D13" t="s">
        <v>109</v>
      </c>
      <c r="E13" s="34">
        <f>$B$1/B13</f>
        <v>8.592296425098283</v>
      </c>
    </row>
    <row r="14" spans="1:8" x14ac:dyDescent="0.25">
      <c r="A14" t="s">
        <v>110</v>
      </c>
      <c r="B14" s="36">
        <f>H7/$B$2</f>
        <v>10.784809331845157</v>
      </c>
      <c r="D14" t="s">
        <v>111</v>
      </c>
      <c r="E14" s="34">
        <f>$B$1/B14</f>
        <v>9.4392025735130165</v>
      </c>
    </row>
    <row r="15" spans="1:8" x14ac:dyDescent="0.25">
      <c r="A15" t="s">
        <v>112</v>
      </c>
      <c r="B15" s="36">
        <f>H8/$B$2</f>
        <v>9.1902900879663392</v>
      </c>
      <c r="D15" t="s">
        <v>113</v>
      </c>
      <c r="E15" s="34">
        <f>$B$1/B15</f>
        <v>11.076908239631713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workbookViewId="0">
      <selection activeCell="B2" sqref="B2"/>
    </sheetView>
  </sheetViews>
  <sheetFormatPr defaultRowHeight="15" x14ac:dyDescent="0.25"/>
  <cols>
    <col min="1" max="1" width="33.5703125" customWidth="1"/>
  </cols>
  <sheetData>
    <row r="1" spans="1:5" x14ac:dyDescent="0.25">
      <c r="B1" t="s">
        <v>479</v>
      </c>
      <c r="C1" t="s">
        <v>480</v>
      </c>
      <c r="D1" t="s">
        <v>481</v>
      </c>
      <c r="E1" t="s">
        <v>482</v>
      </c>
    </row>
    <row r="2" spans="1:5" x14ac:dyDescent="0.25">
      <c r="A2" s="246" t="s">
        <v>483</v>
      </c>
      <c r="B2" s="85">
        <f>Trend!R17</f>
        <v>0.2095322286197967</v>
      </c>
      <c r="C2" s="85">
        <f>Trend!Q17</f>
        <v>0.21500371014602315</v>
      </c>
      <c r="D2" s="85">
        <f>Trend!P17</f>
        <v>0.38250940991425231</v>
      </c>
      <c r="E2" s="85">
        <f>Trend!K17</f>
        <v>0.21712937003664246</v>
      </c>
    </row>
    <row r="3" spans="1:5" x14ac:dyDescent="0.25">
      <c r="A3" s="246" t="s">
        <v>484</v>
      </c>
      <c r="B3" s="85" t="e">
        <f>Trend!R18</f>
        <v>#NUM!</v>
      </c>
      <c r="C3" s="85">
        <f>Trend!Q18</f>
        <v>2.7151276884976996</v>
      </c>
      <c r="D3" s="85">
        <f>Trend!P18</f>
        <v>0.28186806611695414</v>
      </c>
      <c r="E3" s="85">
        <f>Trend!K18</f>
        <v>0.29415760869565222</v>
      </c>
    </row>
    <row r="4" spans="1:5" x14ac:dyDescent="0.25">
      <c r="A4" s="246" t="s">
        <v>485</v>
      </c>
      <c r="B4" s="85">
        <f>Trend!O19</f>
        <v>5.8143290501130436E-2</v>
      </c>
      <c r="C4" s="85">
        <f>Trend!N19</f>
        <v>5.6513874573051195E-2</v>
      </c>
      <c r="D4" s="85">
        <f>Trend!M19</f>
        <v>5.525052660658171E-2</v>
      </c>
      <c r="E4" s="85">
        <f>Trend!K19</f>
        <v>5.1779553879448881E-2</v>
      </c>
    </row>
    <row r="5" spans="1:5" x14ac:dyDescent="0.25">
      <c r="A5" s="246" t="s">
        <v>264</v>
      </c>
      <c r="B5" s="85">
        <f>Trend!O20</f>
        <v>0.18097186247253058</v>
      </c>
      <c r="C5" s="85">
        <f>Trend!N20</f>
        <v>0.16366539339921987</v>
      </c>
      <c r="D5" s="85">
        <f>Trend!M20</f>
        <v>0.1635890396767844</v>
      </c>
      <c r="E5" s="85">
        <f>Trend!K20</f>
        <v>0.18217660545544151</v>
      </c>
    </row>
    <row r="6" spans="1:5" x14ac:dyDescent="0.25">
      <c r="A6" s="246" t="s">
        <v>260</v>
      </c>
      <c r="B6" s="85" t="e">
        <f>Trend!#REF!</f>
        <v>#REF!</v>
      </c>
      <c r="C6" s="85" t="e">
        <f>Trend!#REF!</f>
        <v>#REF!</v>
      </c>
      <c r="D6" s="85" t="e">
        <f>Trend!#REF!</f>
        <v>#REF!</v>
      </c>
      <c r="E6" s="85" t="e">
        <f>Trend!#REF!</f>
        <v>#REF!</v>
      </c>
    </row>
    <row r="7" spans="1:5" x14ac:dyDescent="0.25">
      <c r="A7" s="246" t="s">
        <v>143</v>
      </c>
      <c r="B7" s="85">
        <f>Trend!O21</f>
        <v>2.507868754868495E-2</v>
      </c>
      <c r="C7" s="85">
        <f>Trend!N21</f>
        <v>4.5564785060328628E-2</v>
      </c>
      <c r="D7" s="85">
        <f>Trend!M21</f>
        <v>6.141009703373735E-2</v>
      </c>
      <c r="E7" s="85">
        <f>Trend!K21</f>
        <v>6.1229081403072705E-2</v>
      </c>
    </row>
    <row r="8" spans="1:5" x14ac:dyDescent="0.25">
      <c r="A8" s="246" t="s">
        <v>262</v>
      </c>
      <c r="B8" s="85">
        <f>Trend!O22</f>
        <v>0.41818181818181821</v>
      </c>
      <c r="C8" s="85">
        <f>Trend!N22</f>
        <v>0.40807274340208466</v>
      </c>
      <c r="D8" s="85">
        <f>Trend!M22</f>
        <v>0.32824910381668654</v>
      </c>
      <c r="E8" s="85">
        <f>Trend!K22</f>
        <v>0.18380462724935734</v>
      </c>
    </row>
    <row r="9" spans="1:5" x14ac:dyDescent="0.25">
      <c r="A9" s="246" t="s">
        <v>486</v>
      </c>
      <c r="B9" s="85">
        <f>Trend!O23</f>
        <v>319.18</v>
      </c>
      <c r="C9" s="85">
        <f>Trend!N23</f>
        <v>188.40000000000003</v>
      </c>
      <c r="D9" s="85">
        <f>Trend!M23</f>
        <v>61.799999999999983</v>
      </c>
      <c r="E9" s="85">
        <f>Trend!K23</f>
        <v>2.009999999999998</v>
      </c>
    </row>
    <row r="10" spans="1:5" x14ac:dyDescent="0.25">
      <c r="A10" s="246"/>
      <c r="B10" s="85"/>
      <c r="C10" s="85"/>
      <c r="D10" s="85"/>
      <c r="E10" s="85"/>
    </row>
    <row r="11" spans="1:5" x14ac:dyDescent="0.25">
      <c r="A11" s="247" t="s">
        <v>487</v>
      </c>
      <c r="B11" s="85"/>
      <c r="C11" s="85"/>
      <c r="D11" s="85"/>
      <c r="E11" s="85"/>
    </row>
    <row r="12" spans="1:5" x14ac:dyDescent="0.25">
      <c r="A12" s="246" t="s">
        <v>488</v>
      </c>
      <c r="B12" s="85">
        <f>Trend!O25</f>
        <v>0.62603307093595428</v>
      </c>
      <c r="C12" s="85">
        <f>Trend!N25</f>
        <v>0.62721558641039621</v>
      </c>
      <c r="D12" s="85">
        <f>Trend!M25</f>
        <v>0.63268327635622768</v>
      </c>
      <c r="E12" s="85">
        <f>Trend!K25</f>
        <v>0.66118836915297086</v>
      </c>
    </row>
    <row r="13" spans="1:5" x14ac:dyDescent="0.25">
      <c r="A13" s="248" t="s">
        <v>489</v>
      </c>
      <c r="B13" s="85">
        <f>Trend!O26</f>
        <v>3.4546525398504134E-3</v>
      </c>
      <c r="C13" s="85">
        <f>Trend!N26</f>
        <v>-4.5979102245397041E-4</v>
      </c>
      <c r="D13" s="85">
        <f>Trend!M26</f>
        <v>1.2871646120377084E-2</v>
      </c>
      <c r="E13" s="85">
        <f>Trend!K26</f>
        <v>3.0127065075317663E-2</v>
      </c>
    </row>
    <row r="14" spans="1:5" x14ac:dyDescent="0.25">
      <c r="A14" s="248" t="s">
        <v>490</v>
      </c>
      <c r="B14" s="85">
        <f>Trend!O27</f>
        <v>9.2436495823385242E-2</v>
      </c>
      <c r="C14" s="85">
        <f>Trend!N27</f>
        <v>8.2540067503385273E-2</v>
      </c>
      <c r="D14" s="85">
        <f>Trend!M27</f>
        <v>8.9980662315687673E-2</v>
      </c>
      <c r="E14" s="85">
        <f>Trend!K27</f>
        <v>9.8684351496710884E-2</v>
      </c>
    </row>
    <row r="15" spans="1:5" x14ac:dyDescent="0.25">
      <c r="A15" s="248" t="s">
        <v>491</v>
      </c>
      <c r="B15" s="85">
        <f>Trend!O28</f>
        <v>4.1940305124031844E-2</v>
      </c>
      <c r="C15" s="85">
        <f>Trend!N28</f>
        <v>4.0032134845085797E-2</v>
      </c>
      <c r="D15" s="85">
        <f>Trend!M28</f>
        <v>3.8908456783728708E-2</v>
      </c>
      <c r="E15" s="85">
        <f>Trend!K28</f>
        <v>3.6673166341682911E-2</v>
      </c>
    </row>
    <row r="16" spans="1:5" x14ac:dyDescent="0.25">
      <c r="A16" s="248" t="s">
        <v>492</v>
      </c>
      <c r="B16" s="85">
        <f>Trend!O29</f>
        <v>4.4755324471352664E-2</v>
      </c>
      <c r="C16" s="85">
        <f>Trend!N29</f>
        <v>4.8156793791305399E-2</v>
      </c>
      <c r="D16" s="85">
        <f>Trend!M29</f>
        <v>5.5932525294381696E-2</v>
      </c>
      <c r="E16" s="85">
        <f>Trend!K29</f>
        <v>5.5882920139707297E-2</v>
      </c>
    </row>
    <row r="17" spans="1:5" x14ac:dyDescent="0.25">
      <c r="A17" s="248" t="s">
        <v>493</v>
      </c>
      <c r="B17" s="85">
        <f>Trend!O30</f>
        <v>4.0103734571224105E-2</v>
      </c>
      <c r="C17" s="85">
        <f>Trend!N30</f>
        <v>3.6151700721518215E-2</v>
      </c>
      <c r="D17" s="85">
        <f>Trend!M30</f>
        <v>3.5507096239511031E-2</v>
      </c>
      <c r="E17" s="85">
        <f>Trend!K30</f>
        <v>3.5001821337504554E-2</v>
      </c>
    </row>
    <row r="18" spans="1:5" x14ac:dyDescent="0.25">
      <c r="A18" s="248" t="s">
        <v>494</v>
      </c>
      <c r="B18" s="85">
        <f>Trend!O31</f>
        <v>1.5458857653116151E-2</v>
      </c>
      <c r="C18" s="85">
        <f>Trend!N31</f>
        <v>8.4732916995088822E-3</v>
      </c>
      <c r="D18" s="85">
        <f>Trend!M31</f>
        <v>4.3596118650505886E-4</v>
      </c>
      <c r="E18" s="85">
        <f>Trend!K31</f>
        <v>7.4996250187490637E-5</v>
      </c>
    </row>
    <row r="19" spans="1:5" x14ac:dyDescent="0.25">
      <c r="A19" s="246" t="s">
        <v>495</v>
      </c>
      <c r="B19" s="85">
        <f>Trend!O32</f>
        <v>2.4888697491497942E-3</v>
      </c>
      <c r="C19" s="85">
        <f>Trend!N32</f>
        <v>2.9861153216516096E-3</v>
      </c>
      <c r="D19" s="85">
        <f>Trend!M32</f>
        <v>2.8661210677164263E-3</v>
      </c>
      <c r="E19" s="85">
        <f>Trend!K32</f>
        <v>8.4638625211596566E-4</v>
      </c>
    </row>
    <row r="20" spans="1:5" x14ac:dyDescent="0.25">
      <c r="A20" s="248" t="s">
        <v>496</v>
      </c>
      <c r="B20" s="85">
        <f>Trend!O33</f>
        <v>5.8038795969677585E-2</v>
      </c>
      <c r="C20" s="85">
        <f>Trend!N33</f>
        <v>5.1178277653145782E-2</v>
      </c>
      <c r="D20" s="85">
        <f>Trend!M33</f>
        <v>4.7114023274284329E-2</v>
      </c>
      <c r="E20" s="85">
        <f>Trend!K33</f>
        <v>4.4622768861556923E-2</v>
      </c>
    </row>
    <row r="21" spans="1:5" x14ac:dyDescent="0.25">
      <c r="A21" s="246" t="s">
        <v>260</v>
      </c>
      <c r="B21" s="85">
        <f>Trend!O34</f>
        <v>0.37396692906404572</v>
      </c>
      <c r="C21" s="85">
        <f>Trend!N34</f>
        <v>0.37278441358960379</v>
      </c>
      <c r="D21" s="85">
        <f>Trend!M34</f>
        <v>0.36731672364377232</v>
      </c>
      <c r="E21" s="85">
        <f>Trend!K34</f>
        <v>0.33881163084702914</v>
      </c>
    </row>
    <row r="22" spans="1:5" x14ac:dyDescent="0.25">
      <c r="A22" s="246" t="s">
        <v>497</v>
      </c>
      <c r="B22" s="85">
        <f>Trend!O35</f>
        <v>8.7167438237398892E-2</v>
      </c>
      <c r="C22" s="85">
        <f>Trend!N35</f>
        <v>0.10876331372905676</v>
      </c>
      <c r="D22" s="85">
        <f>Trend!M35</f>
        <v>0.11517576573776717</v>
      </c>
      <c r="E22" s="85">
        <f>Trend!K35</f>
        <v>9.8845057747112636E-2</v>
      </c>
    </row>
    <row r="23" spans="1:5" x14ac:dyDescent="0.25">
      <c r="A23" s="246" t="s">
        <v>143</v>
      </c>
      <c r="B23" s="85">
        <f>Trend!O36</f>
        <v>2.507868754868495E-2</v>
      </c>
      <c r="C23" s="85">
        <f>Trend!N36</f>
        <v>4.5564785060328628E-2</v>
      </c>
      <c r="D23" s="85">
        <f>Trend!M36</f>
        <v>6.141009703373735E-2</v>
      </c>
      <c r="E23" s="85">
        <f>Trend!K36</f>
        <v>6.1229081403072705E-2</v>
      </c>
    </row>
    <row r="24" spans="1:5" x14ac:dyDescent="0.25">
      <c r="A24" s="246" t="s">
        <v>262</v>
      </c>
      <c r="B24" s="85">
        <f>Trend!O37</f>
        <v>0.29489805004006769</v>
      </c>
      <c r="C24" s="85">
        <f>Trend!N37</f>
        <v>0.28983224383712686</v>
      </c>
      <c r="D24" s="85">
        <f>Trend!M37</f>
        <v>0.24714225232853515</v>
      </c>
      <c r="E24" s="85">
        <f>Trend!K37</f>
        <v>0.18380462724935734</v>
      </c>
    </row>
    <row r="25" spans="1:5" x14ac:dyDescent="0.25">
      <c r="A25" s="246"/>
      <c r="B25" s="85"/>
      <c r="C25" s="85"/>
      <c r="D25" s="85"/>
      <c r="E25" s="85"/>
    </row>
    <row r="26" spans="1:5" x14ac:dyDescent="0.25">
      <c r="A26" s="247" t="s">
        <v>498</v>
      </c>
      <c r="B26" s="85">
        <f>Trend!O38</f>
        <v>0</v>
      </c>
      <c r="C26" s="85">
        <f>Trend!N38</f>
        <v>0</v>
      </c>
      <c r="D26" s="85">
        <f>Trend!M38</f>
        <v>0</v>
      </c>
      <c r="E26" s="85">
        <f>Trend!K38</f>
        <v>0</v>
      </c>
    </row>
    <row r="27" spans="1:5" x14ac:dyDescent="0.25">
      <c r="A27" s="246" t="s">
        <v>499</v>
      </c>
      <c r="B27" s="85">
        <f>Trend!O41</f>
        <v>0.74572060592217793</v>
      </c>
      <c r="C27" s="85">
        <f>Trend!N41</f>
        <v>0.56096683210972231</v>
      </c>
      <c r="D27" s="85">
        <f>Trend!M41</f>
        <v>0.62970736004439243</v>
      </c>
      <c r="E27" s="85">
        <f>Trend!K41</f>
        <v>0.67340204418350502</v>
      </c>
    </row>
    <row r="28" spans="1:5" x14ac:dyDescent="0.25">
      <c r="A28" s="246" t="s">
        <v>500</v>
      </c>
      <c r="B28" s="85">
        <f>Trend!O42</f>
        <v>0.71873407872584516</v>
      </c>
      <c r="C28" s="85">
        <f>Trend!N42</f>
        <v>0.54028373308972966</v>
      </c>
      <c r="D28" s="85">
        <f>Trend!M42</f>
        <v>0.61078839157413845</v>
      </c>
      <c r="E28" s="85">
        <f>Trend!K42</f>
        <v>0.65813495039533731</v>
      </c>
    </row>
    <row r="29" spans="1:5" x14ac:dyDescent="0.25">
      <c r="A29" s="246" t="s">
        <v>501</v>
      </c>
      <c r="B29" s="85">
        <f>Trend!O44</f>
        <v>0.13842014868021868</v>
      </c>
      <c r="C29" s="85">
        <f>Trend!N44</f>
        <v>0.22991923346063339</v>
      </c>
      <c r="D29" s="85">
        <f>Trend!M44</f>
        <v>0.33436208520294991</v>
      </c>
      <c r="E29" s="85">
        <f>Trend!K44</f>
        <v>0.40858179272599987</v>
      </c>
    </row>
    <row r="30" spans="1:5" x14ac:dyDescent="0.25">
      <c r="A30" s="246" t="s">
        <v>502</v>
      </c>
      <c r="B30" s="85">
        <f>Trend!O45</f>
        <v>0.1430707800944219</v>
      </c>
      <c r="C30" s="85">
        <f>Trend!N45</f>
        <v>0.23762014462228714</v>
      </c>
      <c r="D30" s="85">
        <f>Trend!M45</f>
        <v>0.34430265914352293</v>
      </c>
      <c r="E30" s="85">
        <f>Trend!K45</f>
        <v>0.41805987400087902</v>
      </c>
    </row>
    <row r="31" spans="1:5" x14ac:dyDescent="0.25">
      <c r="A31" s="246" t="s">
        <v>503</v>
      </c>
      <c r="B31" s="85">
        <f>Trend!O51</f>
        <v>3.5372288154405671E-2</v>
      </c>
      <c r="C31" s="85">
        <f>Trend!N51</f>
        <v>2.9468196784233507E-2</v>
      </c>
      <c r="D31" s="85">
        <f>Trend!M51</f>
        <v>1.4349036528643401E-2</v>
      </c>
      <c r="E31" s="85">
        <f>Trend!K51</f>
        <v>0</v>
      </c>
    </row>
    <row r="32" spans="1:5" x14ac:dyDescent="0.25">
      <c r="A32" s="246" t="s">
        <v>504</v>
      </c>
      <c r="B32" s="85">
        <f>Trend!O52</f>
        <v>3.7044383899653394E-2</v>
      </c>
      <c r="C32" s="85">
        <f>Trend!N52</f>
        <v>3.1083953781851314E-2</v>
      </c>
      <c r="D32" s="85">
        <f>Trend!M52</f>
        <v>1.4883834550387798E-2</v>
      </c>
      <c r="E32" s="85">
        <f>Trend!K52</f>
        <v>0</v>
      </c>
    </row>
    <row r="33" spans="1:5" x14ac:dyDescent="0.25">
      <c r="A33" s="246"/>
      <c r="B33" s="85"/>
      <c r="C33" s="85"/>
      <c r="D33" s="85"/>
      <c r="E33" s="85"/>
    </row>
    <row r="34" spans="1:5" x14ac:dyDescent="0.25">
      <c r="A34" s="249" t="s">
        <v>505</v>
      </c>
      <c r="B34" s="85"/>
      <c r="C34" s="85"/>
      <c r="D34" s="85"/>
      <c r="E34" s="85"/>
    </row>
    <row r="35" spans="1:5" x14ac:dyDescent="0.25">
      <c r="A35" s="246" t="s">
        <v>506</v>
      </c>
      <c r="B35" s="33">
        <f>Trend!O54</f>
        <v>2.6687775518825414</v>
      </c>
      <c r="C35" s="33">
        <f>Trend!N54</f>
        <v>1.9131194077249212</v>
      </c>
      <c r="D35" s="33">
        <f>Trend!M54</f>
        <v>2.0589890638703321</v>
      </c>
      <c r="E35" s="33">
        <f>Trend!K54</f>
        <v>2.1996720927509075</v>
      </c>
    </row>
    <row r="36" spans="1:5" x14ac:dyDescent="0.25">
      <c r="A36" s="246" t="s">
        <v>267</v>
      </c>
      <c r="B36" s="33">
        <f>Trend!O55</f>
        <v>3.9062004695687831</v>
      </c>
      <c r="C36" s="33">
        <f>Trend!N55</f>
        <v>2.9038113693385457</v>
      </c>
      <c r="D36" s="33">
        <f>Trend!M55</f>
        <v>2.9493257205231895</v>
      </c>
      <c r="E36" s="33">
        <f>Trend!K55</f>
        <v>2.9251031121109858</v>
      </c>
    </row>
    <row r="37" spans="1:5" x14ac:dyDescent="0.25">
      <c r="A37" s="246" t="s">
        <v>507</v>
      </c>
      <c r="B37" s="33">
        <f>Trend!O56</f>
        <v>2.0662197874926069</v>
      </c>
      <c r="C37" s="33">
        <f>Trend!N56</f>
        <v>3.2485352042259725</v>
      </c>
      <c r="D37" s="33">
        <f>Trend!M56</f>
        <v>3.4998177124865264</v>
      </c>
      <c r="E37" s="33">
        <f>Trend!K56</f>
        <v>4.1483812949640289</v>
      </c>
    </row>
    <row r="38" spans="1:5" x14ac:dyDescent="0.25">
      <c r="A38" s="246" t="s">
        <v>508</v>
      </c>
      <c r="B38" s="33">
        <f>Trend!O57</f>
        <v>4.0860655713187821</v>
      </c>
      <c r="C38" s="33">
        <f>Trend!N57</f>
        <v>3.3379766963536683</v>
      </c>
      <c r="D38" s="33">
        <f>Trend!M57</f>
        <v>3.4597323183732733</v>
      </c>
      <c r="E38" s="33">
        <f>Trend!K57</f>
        <v>3.6161142990982551</v>
      </c>
    </row>
    <row r="39" spans="1:5" x14ac:dyDescent="0.25">
      <c r="A39" s="246" t="s">
        <v>509</v>
      </c>
      <c r="B39" s="33">
        <f>Trend!O58</f>
        <v>1.7402715592033335</v>
      </c>
      <c r="C39" s="33">
        <f>Trend!N58</f>
        <v>1.426802085779038</v>
      </c>
      <c r="D39" s="33">
        <f>Trend!M58</f>
        <v>1.4658143846362279</v>
      </c>
      <c r="E39" s="33">
        <f>Trend!K58</f>
        <v>1.3311773528308963</v>
      </c>
    </row>
    <row r="40" spans="1:5" x14ac:dyDescent="0.25">
      <c r="A40" s="246" t="s">
        <v>510</v>
      </c>
      <c r="B40" s="33">
        <f>Trend!O59</f>
        <v>1.3921213042576965</v>
      </c>
      <c r="C40" s="33">
        <f>Trend!N59</f>
        <v>1.1756735281948636</v>
      </c>
      <c r="D40" s="33">
        <f>Trend!M59</f>
        <v>0.82867168735647112</v>
      </c>
      <c r="E40" s="33">
        <f>Trend!K59</f>
        <v>0.55455568053993243</v>
      </c>
    </row>
    <row r="41" spans="1:5" x14ac:dyDescent="0.25">
      <c r="A41" s="246" t="s">
        <v>511</v>
      </c>
      <c r="B41" s="38">
        <f>Trend!O63</f>
        <v>0.17010076939793828</v>
      </c>
      <c r="C41" s="38">
        <f>Trend!N63</f>
        <v>0.2270179494600737</v>
      </c>
      <c r="D41" s="38">
        <f>Trend!M63</f>
        <v>0.19709210590730761</v>
      </c>
      <c r="E41" s="38">
        <f>Trend!K63</f>
        <v>0.18932012990470107</v>
      </c>
    </row>
    <row r="42" spans="1:5" x14ac:dyDescent="0.25">
      <c r="A42" s="246" t="s">
        <v>512</v>
      </c>
      <c r="B42" s="85">
        <f>Trend!O64</f>
        <v>8.178842308249884E-2</v>
      </c>
      <c r="C42" s="85">
        <f>Trend!N64</f>
        <v>8.7682640032814826E-2</v>
      </c>
      <c r="D42" s="85">
        <f>Trend!M64</f>
        <v>7.3384900369943315E-2</v>
      </c>
      <c r="E42" s="85">
        <f>Trend!K64</f>
        <v>6.349666127999512E-2</v>
      </c>
    </row>
    <row r="43" spans="1:5" x14ac:dyDescent="0.25">
      <c r="A43" s="246" t="s">
        <v>513</v>
      </c>
      <c r="B43" s="85">
        <f>Trend!O65</f>
        <v>9.1191491282120479E-2</v>
      </c>
      <c r="C43" s="85">
        <f>Trend!N65</f>
        <v>9.6696516476109412E-2</v>
      </c>
      <c r="D43" s="85">
        <f>Trend!M65</f>
        <v>7.9462429555052241E-2</v>
      </c>
      <c r="E43" s="85">
        <f>Trend!K65</f>
        <v>6.78018525452148E-2</v>
      </c>
    </row>
    <row r="44" spans="1:5" x14ac:dyDescent="0.25">
      <c r="A44" s="246"/>
      <c r="B44" s="85"/>
      <c r="C44" s="85"/>
      <c r="D44" s="85"/>
      <c r="E44" s="85"/>
    </row>
    <row r="45" spans="1:5" x14ac:dyDescent="0.25">
      <c r="A45" s="249" t="s">
        <v>514</v>
      </c>
      <c r="B45" s="85"/>
      <c r="C45" s="85"/>
      <c r="D45" s="85"/>
      <c r="E45" s="85"/>
    </row>
    <row r="46" spans="1:5" x14ac:dyDescent="0.25">
      <c r="A46" s="246" t="s">
        <v>515</v>
      </c>
      <c r="B46" s="85">
        <f>Trend!O69</f>
        <v>0.24508565127354412</v>
      </c>
      <c r="C46" s="85">
        <f>Trend!N69</f>
        <v>0.20840538727874516</v>
      </c>
      <c r="D46" s="85">
        <f>Trend!M69</f>
        <v>0.21176473892805189</v>
      </c>
      <c r="E46" s="85">
        <f>Trend!K69</f>
        <v>0.22002828430007071</v>
      </c>
    </row>
    <row r="47" spans="1:5" x14ac:dyDescent="0.25">
      <c r="A47" s="246" t="s">
        <v>46</v>
      </c>
      <c r="B47" s="47">
        <f>Trend!O70</f>
        <v>20.390994264221749</v>
      </c>
      <c r="C47" s="47">
        <f>Trend!N70</f>
        <v>20.612278783707325</v>
      </c>
      <c r="D47" s="47">
        <f>Trend!M70</f>
        <v>20.504299389530967</v>
      </c>
      <c r="E47" s="47">
        <f>Trend!K70</f>
        <v>18.89953716599884</v>
      </c>
    </row>
    <row r="48" spans="1:5" x14ac:dyDescent="0.25">
      <c r="A48" s="246" t="s">
        <v>516</v>
      </c>
      <c r="B48" s="38">
        <f>Trend!O71</f>
        <v>19.102296871505992</v>
      </c>
      <c r="C48" s="38">
        <f>Trend!N71</f>
        <v>17.925979834821952</v>
      </c>
      <c r="D48" s="38">
        <f>Trend!M71</f>
        <v>18.034113179319643</v>
      </c>
      <c r="E48" s="38">
        <f>Trend!K71</f>
        <v>19.31264225118974</v>
      </c>
    </row>
    <row r="49" spans="1:5" x14ac:dyDescent="0.25">
      <c r="A49" s="246" t="s">
        <v>312</v>
      </c>
      <c r="B49" s="47">
        <f>Trend!O72</f>
        <v>67.143496133104691</v>
      </c>
      <c r="C49" s="47">
        <f>Trend!N72</f>
        <v>59.349074759434856</v>
      </c>
      <c r="D49" s="47">
        <f>Trend!M72</f>
        <v>58.961265469837429</v>
      </c>
      <c r="E49" s="47">
        <f>Trend!K72</f>
        <v>66.494460991236153</v>
      </c>
    </row>
    <row r="50" spans="1:5" x14ac:dyDescent="0.25">
      <c r="A50" s="246" t="s">
        <v>47</v>
      </c>
      <c r="B50" s="38">
        <f>Trend!O73</f>
        <v>5.6195092758857808</v>
      </c>
      <c r="C50" s="38">
        <f>Trend!N73</f>
        <v>6.2140022944255717</v>
      </c>
      <c r="D50" s="38">
        <f>Trend!M73</f>
        <v>6.2388406491170683</v>
      </c>
      <c r="E50" s="38">
        <f>Trend!K73</f>
        <v>5.4891790167019527</v>
      </c>
    </row>
    <row r="51" spans="1:5" x14ac:dyDescent="0.25">
      <c r="A51" s="246" t="s">
        <v>517</v>
      </c>
      <c r="B51" s="85">
        <f>Trend!O74</f>
        <v>0.1160808948333603</v>
      </c>
      <c r="C51" s="85">
        <f>Trend!N74</f>
        <v>0.15646251957411922</v>
      </c>
      <c r="D51" s="85">
        <f>Trend!M74</f>
        <v>9.8060295073738035E-2</v>
      </c>
      <c r="E51" s="85">
        <f>Trend!K74</f>
        <v>6.3864239911911383E-2</v>
      </c>
    </row>
    <row r="52" spans="1:5" x14ac:dyDescent="0.25">
      <c r="A52" s="246" t="s">
        <v>518</v>
      </c>
      <c r="B52" s="85">
        <f>Trend!O96</f>
        <v>3.0916287844160485E-2</v>
      </c>
      <c r="C52" s="85">
        <f>Trend!N96</f>
        <v>6.6936557022567594E-2</v>
      </c>
      <c r="D52" s="85">
        <f>Trend!M96</f>
        <v>6.5978500226222286E-2</v>
      </c>
      <c r="E52" s="85">
        <f>Trend!K96</f>
        <v>6.1694410259731845E-2</v>
      </c>
    </row>
    <row r="53" spans="1:5" x14ac:dyDescent="0.25">
      <c r="A53" s="246" t="s">
        <v>519</v>
      </c>
      <c r="B53" s="38">
        <f>Trend!O97</f>
        <v>0.99184927557702951</v>
      </c>
      <c r="C53" s="38">
        <f>Trend!N97</f>
        <v>1.1637912004867019</v>
      </c>
      <c r="D53" s="38">
        <f>Trend!M97</f>
        <v>1.0728586176368415</v>
      </c>
      <c r="E53" s="38">
        <f>Trend!K97</f>
        <v>1.0075998013688279</v>
      </c>
    </row>
    <row r="54" spans="1:5" x14ac:dyDescent="0.25">
      <c r="A54" s="246" t="s">
        <v>520</v>
      </c>
      <c r="B54" s="38">
        <f>Trend!O98</f>
        <v>1.5891742821179446</v>
      </c>
      <c r="C54" s="38">
        <f>Trend!N98</f>
        <v>1.9308067697911355</v>
      </c>
      <c r="D54" s="38">
        <f>Trend!M98</f>
        <v>1.6686193831931619</v>
      </c>
      <c r="E54" s="38">
        <f>Trend!K98</f>
        <v>1.5194452131729315</v>
      </c>
    </row>
    <row r="55" spans="1:5" x14ac:dyDescent="0.25">
      <c r="A55" s="246" t="s">
        <v>229</v>
      </c>
      <c r="B55" s="38">
        <f>Trend!O99</f>
        <v>22.947276933812255</v>
      </c>
      <c r="C55" s="38">
        <f>Trend!N99</f>
        <v>2.6346063502885277</v>
      </c>
      <c r="D55" s="38">
        <f>Trend!M99</f>
        <v>1.465130416729074</v>
      </c>
      <c r="E55" s="38">
        <f>Trend!K99</f>
        <v>1.0351706036745407</v>
      </c>
    </row>
    <row r="56" spans="1:5" x14ac:dyDescent="0.25">
      <c r="A56" s="246" t="s">
        <v>521</v>
      </c>
      <c r="B56" s="85">
        <f>Trend!O100</f>
        <v>0.10474271603546545</v>
      </c>
      <c r="C56" s="85">
        <f>Trend!N100</f>
        <v>0.12863743553006637</v>
      </c>
      <c r="D56" s="85">
        <f>Trend!M100</f>
        <v>8.8835249643974545E-2</v>
      </c>
      <c r="E56" s="85">
        <f>Trend!K100</f>
        <v>6.3382545158456358E-2</v>
      </c>
    </row>
    <row r="57" spans="1:5" x14ac:dyDescent="0.25">
      <c r="A57" s="246" t="s">
        <v>522</v>
      </c>
      <c r="B57" s="250">
        <f>Trend!O101</f>
        <v>3.1389142296424928</v>
      </c>
      <c r="C57" s="250">
        <f>Trend!N101</f>
        <v>2.3570738892506262</v>
      </c>
      <c r="D57" s="250">
        <f>Trend!M101</f>
        <v>3.5539373452943317</v>
      </c>
      <c r="E57" s="250">
        <f>Trend!K101</f>
        <v>4.4936132983377073</v>
      </c>
    </row>
    <row r="58" spans="1:5" x14ac:dyDescent="0.25">
      <c r="A58" s="246" t="s">
        <v>523</v>
      </c>
      <c r="B58" s="85">
        <f>Trend!O102</f>
        <v>4.106755626760146E-2</v>
      </c>
      <c r="C58" s="85">
        <f>Trend!N102</f>
        <v>8.213511253520292E-2</v>
      </c>
      <c r="D58" s="85">
        <f>Trend!M102</f>
        <v>0.10392271487322012</v>
      </c>
      <c r="E58" s="85">
        <f>Trend!K102</f>
        <v>9.6237970253718289E-2</v>
      </c>
    </row>
    <row r="59" spans="1:5" x14ac:dyDescent="0.25">
      <c r="A59" s="246" t="s">
        <v>316</v>
      </c>
      <c r="B59" s="38">
        <f>Trend!O103</f>
        <v>20.224912820719876</v>
      </c>
      <c r="C59" s="38">
        <f>Trend!N103</f>
        <v>0.27753246103790136</v>
      </c>
      <c r="D59" s="38">
        <f>Trend!M103</f>
        <v>-2.0888069285652584</v>
      </c>
      <c r="E59" s="38">
        <f>Trend!K103</f>
        <v>-3.4584426946631663</v>
      </c>
    </row>
    <row r="60" spans="1:5" x14ac:dyDescent="0.25">
      <c r="A60" s="246" t="s">
        <v>231</v>
      </c>
      <c r="B60" s="38">
        <f>Trend!O104</f>
        <v>-0.36986438960444146</v>
      </c>
      <c r="C60" s="38">
        <f>Trend!N104</f>
        <v>-1.0252596840400383</v>
      </c>
      <c r="D60" s="38">
        <f>Trend!M104</f>
        <v>-2.2594641840165011</v>
      </c>
      <c r="E60" s="38">
        <f>Trend!K104</f>
        <v>-3.3409398242055435</v>
      </c>
    </row>
    <row r="61" spans="1:5" x14ac:dyDescent="0.25">
      <c r="A61" s="246" t="s">
        <v>524</v>
      </c>
      <c r="B61" s="85">
        <f>Trend!O105</f>
        <v>1.1425767532024742E-2</v>
      </c>
      <c r="C61" s="85">
        <f>Trend!N105</f>
        <v>-2.0115472517360827E-2</v>
      </c>
      <c r="D61" s="85">
        <f>Trend!M105</f>
        <v>-0.13802118875696956</v>
      </c>
      <c r="E61" s="85">
        <f>Trend!K105</f>
        <v>-0.21175726927939312</v>
      </c>
    </row>
    <row r="62" spans="1:5" x14ac:dyDescent="0.25">
      <c r="A62" s="251" t="s">
        <v>525</v>
      </c>
      <c r="B62" s="85">
        <f>Trend!O106</f>
        <v>2.3267896367367081E-2</v>
      </c>
      <c r="C62" s="85">
        <f>Trend!N106</f>
        <v>5.7635594627334218E-2</v>
      </c>
      <c r="D62" s="85">
        <f>Trend!M106</f>
        <v>6.1752206807696962E-2</v>
      </c>
      <c r="E62" s="85">
        <f>Trend!K106</f>
        <v>6.1229081403072705E-2</v>
      </c>
    </row>
    <row r="63" spans="1:5" x14ac:dyDescent="0.25">
      <c r="A63" s="251" t="s">
        <v>526</v>
      </c>
      <c r="B63" s="38">
        <f>Trend!O107</f>
        <v>0.99184927557702951</v>
      </c>
      <c r="C63" s="38">
        <f>Trend!N107</f>
        <v>1.1637912004867019</v>
      </c>
      <c r="D63" s="38">
        <f>Trend!M107</f>
        <v>1.0728586176368415</v>
      </c>
      <c r="E63" s="38">
        <f>Trend!K107</f>
        <v>1.0075998013688279</v>
      </c>
    </row>
    <row r="64" spans="1:5" x14ac:dyDescent="0.25">
      <c r="A64" s="251" t="s">
        <v>307</v>
      </c>
      <c r="B64" s="38">
        <f>Trend!O108</f>
        <v>4.0860655713187821</v>
      </c>
      <c r="C64" s="38">
        <f>Trend!N108</f>
        <v>3.3379766963536683</v>
      </c>
      <c r="D64" s="38">
        <f>Trend!M108</f>
        <v>3.4597323183732733</v>
      </c>
      <c r="E64" s="38">
        <f>Trend!K108</f>
        <v>3.6161142990982551</v>
      </c>
    </row>
    <row r="65" spans="1:5" x14ac:dyDescent="0.25">
      <c r="A65" s="246" t="s">
        <v>60</v>
      </c>
      <c r="B65" s="85">
        <f>Trend!O109</f>
        <v>9.3831094947321975E-2</v>
      </c>
      <c r="C65" s="85">
        <f>Trend!N109</f>
        <v>0.21756005232303632</v>
      </c>
      <c r="D65" s="85">
        <f>Trend!M109</f>
        <v>0.22770746701805611</v>
      </c>
      <c r="E65" s="85">
        <f>Trend!K109</f>
        <v>0.22309403911465045</v>
      </c>
    </row>
    <row r="66" spans="1:5" x14ac:dyDescent="0.25">
      <c r="A66" s="246" t="s">
        <v>527</v>
      </c>
      <c r="B66" s="85">
        <f>Trend!O110</f>
        <v>0.10359920224721549</v>
      </c>
      <c r="C66" s="85">
        <f>Trend!N110</f>
        <v>0.16227541296594789</v>
      </c>
      <c r="D66" s="85">
        <f>Trend!M110</f>
        <v>0.14289922019129872</v>
      </c>
      <c r="E66" s="85">
        <f>Trend!K110</f>
        <v>0.11255886587121487</v>
      </c>
    </row>
    <row r="67" spans="1:5" x14ac:dyDescent="0.25">
      <c r="A67" s="251" t="s">
        <v>528</v>
      </c>
      <c r="B67" s="38">
        <f>Trend!O111</f>
        <v>1.112228711088364</v>
      </c>
      <c r="C67" s="38">
        <f>Trend!N111</f>
        <v>1.3365499537529462</v>
      </c>
      <c r="D67" s="38">
        <f>Trend!M111</f>
        <v>1.2147907732299346</v>
      </c>
      <c r="E67" s="38">
        <f>Trend!K111</f>
        <v>1.1387404533587095</v>
      </c>
    </row>
    <row r="68" spans="1:5" x14ac:dyDescent="0.25">
      <c r="A68" s="251" t="s">
        <v>529</v>
      </c>
      <c r="B68" s="85">
        <f>Trend!O112</f>
        <v>3.5406054919119967E-2</v>
      </c>
      <c r="C68" s="85">
        <f>Trend!N112</f>
        <v>7.6616174791166114E-2</v>
      </c>
      <c r="D68" s="85">
        <f>Trend!M112</f>
        <v>7.4675031474308581E-2</v>
      </c>
      <c r="E68" s="85">
        <f>Trend!K112</f>
        <v>6.9724031915672349E-2</v>
      </c>
    </row>
    <row r="69" spans="1:5" x14ac:dyDescent="0.25">
      <c r="A69" s="251" t="s">
        <v>530</v>
      </c>
      <c r="B69" s="85">
        <f>Trend!O113</f>
        <v>0.13083023660625268</v>
      </c>
      <c r="C69" s="85">
        <f>Trend!N113</f>
        <v>0.18091632306347</v>
      </c>
      <c r="D69" s="85">
        <f>Trend!M113</f>
        <v>0.11127630834077372</v>
      </c>
      <c r="E69" s="85">
        <f>Trend!K113</f>
        <v>7.2176268208769476E-2</v>
      </c>
    </row>
    <row r="70" spans="1:5" x14ac:dyDescent="0.25">
      <c r="A70" s="251" t="s">
        <v>531</v>
      </c>
      <c r="B70" s="85">
        <f>Trend!O114</f>
        <v>3.0148814811543346E-2</v>
      </c>
      <c r="C70" s="85">
        <f>Trend!N114</f>
        <v>5.4833452338334697E-3</v>
      </c>
      <c r="D70" s="85">
        <f>Trend!M114</f>
        <v>-0.14828607672090319</v>
      </c>
      <c r="E70" s="85">
        <f>Trend!K114</f>
        <v>-0.24113656882121848</v>
      </c>
    </row>
    <row r="71" spans="1:5" x14ac:dyDescent="0.25">
      <c r="A71" s="251" t="s">
        <v>532</v>
      </c>
      <c r="B71" s="38">
        <f>Trend!O115</f>
        <v>0.4758328490017727</v>
      </c>
      <c r="C71" s="38">
        <f>Trend!N115</f>
        <v>-0.89563521708155813</v>
      </c>
      <c r="D71" s="38">
        <f>Trend!M115</f>
        <v>2.176245864836396</v>
      </c>
      <c r="E71" s="38">
        <f>Trend!K115</f>
        <v>1.5715762719165982</v>
      </c>
    </row>
    <row r="72" spans="1:5" x14ac:dyDescent="0.25">
      <c r="A72" s="251" t="s">
        <v>533</v>
      </c>
      <c r="B72" s="85">
        <f>Trend!O116</f>
        <v>-5.3577446563263097E-2</v>
      </c>
      <c r="C72" s="85">
        <f>Trend!N116</f>
        <v>-0.11834950082776877</v>
      </c>
      <c r="D72" s="85">
        <f>Trend!M116</f>
        <v>0.20338570214417406</v>
      </c>
      <c r="E72" s="85">
        <f>Trend!K116</f>
        <v>0.13233963727221812</v>
      </c>
    </row>
    <row r="73" spans="1:5" x14ac:dyDescent="0.25">
      <c r="A73" s="251" t="s">
        <v>534</v>
      </c>
      <c r="B73" s="85">
        <f>Trend!O117</f>
        <v>-0.39019153079400132</v>
      </c>
      <c r="C73" s="85">
        <f>Trend!N117</f>
        <v>-0.45648284336498152</v>
      </c>
      <c r="D73" s="85">
        <f>Trend!M117</f>
        <v>0.21239648715140133</v>
      </c>
      <c r="E73" s="85">
        <f>Trend!K117</f>
        <v>8.8937233446775482E-2</v>
      </c>
    </row>
    <row r="74" spans="1:5" x14ac:dyDescent="0.25">
      <c r="A74" s="251" t="s">
        <v>535</v>
      </c>
      <c r="B74" s="85">
        <f>Trend!O118</f>
        <v>-0.48853562434981679</v>
      </c>
      <c r="C74" s="85">
        <f>Trend!N118</f>
        <v>-0.81193808032980697</v>
      </c>
      <c r="D74" s="85">
        <f>Trend!M118</f>
        <v>-0.34233486275537461</v>
      </c>
      <c r="E74" s="85">
        <f>Trend!K118</f>
        <v>-0.42573127127040861</v>
      </c>
    </row>
    <row r="75" spans="1:5" x14ac:dyDescent="0.25">
      <c r="A75" s="252" t="s">
        <v>536</v>
      </c>
      <c r="B75" s="85">
        <f>Trend!O120</f>
        <v>0.1452679783906799</v>
      </c>
      <c r="C75" s="85">
        <f>Trend!N120</f>
        <v>0.19696522683774018</v>
      </c>
      <c r="D75" s="85">
        <f>Trend!M120</f>
        <v>9.5061024871155864E-2</v>
      </c>
      <c r="E75" s="85">
        <f>Trend!K120</f>
        <v>5.1049011627530283E-2</v>
      </c>
    </row>
    <row r="76" spans="1:5" x14ac:dyDescent="0.25">
      <c r="A76" s="246" t="s">
        <v>537</v>
      </c>
      <c r="B76" s="85">
        <f>Trend!O121</f>
        <v>9.6953752083292592E-3</v>
      </c>
      <c r="C76" s="85">
        <f>Trend!N121</f>
        <v>1.9390750416658518E-2</v>
      </c>
      <c r="D76" s="85">
        <f>Trend!M121</f>
        <v>1.6740178915500243E-2</v>
      </c>
      <c r="E76" s="85">
        <f>Trend!K121</f>
        <v>9.2178828212341676E-3</v>
      </c>
    </row>
    <row r="77" spans="1:5" x14ac:dyDescent="0.25">
      <c r="A77" s="246" t="s">
        <v>17</v>
      </c>
      <c r="B77" s="85">
        <f>Trend!O122</f>
        <v>4.106755626760146E-2</v>
      </c>
      <c r="C77" s="85">
        <f>Trend!N122</f>
        <v>8.213511253520292E-2</v>
      </c>
      <c r="D77" s="85">
        <f>Trend!M122</f>
        <v>0.10392271487322012</v>
      </c>
      <c r="E77" s="85">
        <f>Trend!K122</f>
        <v>9.6237970253718289E-2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pane xSplit="1" ySplit="1" topLeftCell="B71" activePane="bottomRight" state="frozen"/>
      <selection activeCell="C4" sqref="C4"/>
      <selection pane="topRight" activeCell="C4" sqref="C4"/>
      <selection pane="bottomLeft" activeCell="C4" sqref="C4"/>
      <selection pane="bottomRight" activeCell="B62" sqref="B62"/>
    </sheetView>
  </sheetViews>
  <sheetFormatPr defaultRowHeight="15" x14ac:dyDescent="0.25"/>
  <cols>
    <col min="1" max="1" width="27.7109375" style="5" bestFit="1" customWidth="1"/>
    <col min="2" max="11" width="13.5703125" style="5" bestFit="1" customWidth="1"/>
    <col min="12" max="16384" width="9.140625" style="5"/>
  </cols>
  <sheetData>
    <row r="1" spans="1:11" s="1" customFormat="1" x14ac:dyDescent="0.25">
      <c r="A1" s="1" t="s">
        <v>0</v>
      </c>
      <c r="B1" s="1" t="s">
        <v>64</v>
      </c>
      <c r="E1" s="409" t="str">
        <f>IF(B2&lt;&gt;B3, "A NEW VERSION OF THE WORKSHEET IS AVAILABLE", "")</f>
        <v/>
      </c>
      <c r="F1" s="409"/>
      <c r="G1" s="409"/>
      <c r="H1" s="409"/>
      <c r="I1" s="409"/>
      <c r="J1" s="409"/>
      <c r="K1" s="409"/>
    </row>
    <row r="2" spans="1:11" x14ac:dyDescent="0.25">
      <c r="A2" s="1" t="s">
        <v>62</v>
      </c>
      <c r="B2" s="5">
        <v>2.1</v>
      </c>
      <c r="E2" s="410" t="s">
        <v>36</v>
      </c>
      <c r="F2" s="410"/>
      <c r="G2" s="410"/>
      <c r="H2" s="410"/>
      <c r="I2" s="410"/>
      <c r="J2" s="410"/>
      <c r="K2" s="410"/>
    </row>
    <row r="3" spans="1:11" x14ac:dyDescent="0.25">
      <c r="A3" s="1" t="s">
        <v>63</v>
      </c>
      <c r="B3" s="5">
        <v>2.1</v>
      </c>
    </row>
    <row r="4" spans="1:11" x14ac:dyDescent="0.25">
      <c r="A4" s="1"/>
    </row>
    <row r="5" spans="1:11" x14ac:dyDescent="0.25">
      <c r="A5" s="1" t="s">
        <v>65</v>
      </c>
    </row>
    <row r="6" spans="1:11" x14ac:dyDescent="0.25">
      <c r="A6" s="5" t="s">
        <v>42</v>
      </c>
      <c r="B6" s="5">
        <f>IF(B9&gt;0, B9/B8, 0)</f>
        <v>5.5552062868369347</v>
      </c>
    </row>
    <row r="7" spans="1:11" x14ac:dyDescent="0.25">
      <c r="A7" s="5" t="s">
        <v>31</v>
      </c>
      <c r="B7">
        <v>10</v>
      </c>
    </row>
    <row r="8" spans="1:11" x14ac:dyDescent="0.25">
      <c r="A8" s="5" t="s">
        <v>43</v>
      </c>
      <c r="B8">
        <v>101.8</v>
      </c>
    </row>
    <row r="9" spans="1:11" x14ac:dyDescent="0.25">
      <c r="A9" s="5" t="s">
        <v>80</v>
      </c>
      <c r="B9">
        <v>565.52</v>
      </c>
    </row>
    <row r="15" spans="1:11" x14ac:dyDescent="0.25">
      <c r="A15" s="1" t="s">
        <v>37</v>
      </c>
    </row>
    <row r="16" spans="1:11" s="24" customFormat="1" x14ac:dyDescent="0.25">
      <c r="A16" s="23" t="s">
        <v>38</v>
      </c>
      <c r="B16" s="16">
        <v>39538</v>
      </c>
      <c r="C16" s="16">
        <v>39903</v>
      </c>
      <c r="D16" s="16">
        <v>40268</v>
      </c>
      <c r="E16" s="16">
        <v>40633</v>
      </c>
      <c r="F16" s="16">
        <v>40999</v>
      </c>
      <c r="G16" s="16">
        <v>41364</v>
      </c>
      <c r="H16" s="16">
        <v>41729</v>
      </c>
      <c r="I16" s="16">
        <v>42094</v>
      </c>
      <c r="J16" s="16">
        <v>42460</v>
      </c>
      <c r="K16" s="16">
        <v>42825</v>
      </c>
    </row>
    <row r="17" spans="1:11" s="9" customFormat="1" x14ac:dyDescent="0.25">
      <c r="A17" s="9" t="s">
        <v>6</v>
      </c>
      <c r="B17">
        <v>203.76</v>
      </c>
      <c r="C17">
        <v>262.27</v>
      </c>
      <c r="D17">
        <v>301.95</v>
      </c>
      <c r="E17">
        <v>410.92</v>
      </c>
      <c r="F17">
        <v>428.3</v>
      </c>
      <c r="G17">
        <v>446.05</v>
      </c>
      <c r="H17">
        <v>488.34</v>
      </c>
      <c r="I17">
        <v>616.47</v>
      </c>
      <c r="J17">
        <v>766.87</v>
      </c>
      <c r="K17">
        <v>933.38</v>
      </c>
    </row>
    <row r="18" spans="1:11" s="9" customFormat="1" x14ac:dyDescent="0.25">
      <c r="A18" s="5" t="s">
        <v>81</v>
      </c>
      <c r="B18">
        <v>113.49</v>
      </c>
      <c r="C18">
        <v>168.56</v>
      </c>
      <c r="D18">
        <v>192.7</v>
      </c>
      <c r="E18">
        <v>260.94</v>
      </c>
      <c r="F18">
        <v>286.3</v>
      </c>
      <c r="G18">
        <v>264.19</v>
      </c>
      <c r="H18">
        <v>303.77999999999997</v>
      </c>
      <c r="I18">
        <v>387.09</v>
      </c>
      <c r="J18">
        <v>461.52</v>
      </c>
      <c r="K18">
        <v>617.14</v>
      </c>
    </row>
    <row r="19" spans="1:11" s="9" customFormat="1" x14ac:dyDescent="0.25">
      <c r="A19" s="5" t="s">
        <v>82</v>
      </c>
      <c r="B19">
        <v>2.11</v>
      </c>
      <c r="C19">
        <v>2.02</v>
      </c>
      <c r="D19">
        <v>-1.1000000000000001</v>
      </c>
      <c r="E19">
        <v>8.7899999999999991</v>
      </c>
      <c r="F19">
        <v>-10.43</v>
      </c>
      <c r="G19">
        <v>0.19</v>
      </c>
      <c r="H19">
        <v>5.92</v>
      </c>
      <c r="I19">
        <v>3.41</v>
      </c>
      <c r="J19">
        <v>-1.71</v>
      </c>
      <c r="K19">
        <v>28.12</v>
      </c>
    </row>
    <row r="20" spans="1:11" s="9" customFormat="1" x14ac:dyDescent="0.25">
      <c r="A20" s="5" t="s">
        <v>83</v>
      </c>
      <c r="B20">
        <v>27.21</v>
      </c>
      <c r="C20">
        <v>34.82</v>
      </c>
      <c r="D20">
        <v>31.39</v>
      </c>
      <c r="E20">
        <v>35.14</v>
      </c>
      <c r="F20">
        <v>38.57</v>
      </c>
      <c r="G20">
        <v>38.53</v>
      </c>
      <c r="H20">
        <v>34.96</v>
      </c>
      <c r="I20">
        <v>51.3</v>
      </c>
      <c r="J20">
        <v>65.05</v>
      </c>
      <c r="K20">
        <v>92.11</v>
      </c>
    </row>
    <row r="21" spans="1:11" s="9" customFormat="1" x14ac:dyDescent="0.25">
      <c r="A21" s="5" t="s">
        <v>84</v>
      </c>
      <c r="B21">
        <v>8.98</v>
      </c>
      <c r="C21">
        <v>11.61</v>
      </c>
      <c r="D21">
        <v>16.55</v>
      </c>
      <c r="E21">
        <v>16.079999999999998</v>
      </c>
      <c r="F21">
        <v>15.59</v>
      </c>
      <c r="G21">
        <v>18.260000000000002</v>
      </c>
      <c r="H21">
        <v>20.260000000000002</v>
      </c>
      <c r="I21">
        <v>25.12</v>
      </c>
      <c r="J21">
        <v>30.79</v>
      </c>
      <c r="K21">
        <v>34.229999999999997</v>
      </c>
    </row>
    <row r="22" spans="1:11" s="9" customFormat="1" x14ac:dyDescent="0.25">
      <c r="A22" s="5" t="s">
        <v>85</v>
      </c>
      <c r="B22">
        <v>8.15</v>
      </c>
      <c r="C22">
        <v>10.47</v>
      </c>
      <c r="D22">
        <v>12.66</v>
      </c>
      <c r="E22">
        <v>14.75</v>
      </c>
      <c r="F22">
        <v>16.489999999999998</v>
      </c>
      <c r="G22">
        <v>19.940000000000001</v>
      </c>
      <c r="H22">
        <v>24.6</v>
      </c>
      <c r="I22">
        <v>34.28</v>
      </c>
      <c r="J22">
        <v>43.14</v>
      </c>
      <c r="K22">
        <v>52.16</v>
      </c>
    </row>
    <row r="23" spans="1:11" s="9" customFormat="1" x14ac:dyDescent="0.25">
      <c r="A23" s="5" t="s">
        <v>86</v>
      </c>
      <c r="B23">
        <v>12.4</v>
      </c>
      <c r="C23">
        <v>12.71</v>
      </c>
      <c r="D23">
        <v>13.2</v>
      </c>
      <c r="E23">
        <v>16.79</v>
      </c>
      <c r="F23">
        <v>15.72</v>
      </c>
      <c r="G23">
        <v>17.3</v>
      </c>
      <c r="H23">
        <v>16.510000000000002</v>
      </c>
      <c r="I23">
        <v>22.02</v>
      </c>
      <c r="J23">
        <v>27.57</v>
      </c>
      <c r="K23">
        <v>32.67</v>
      </c>
    </row>
    <row r="24" spans="1:11" s="9" customFormat="1" x14ac:dyDescent="0.25">
      <c r="A24" s="5" t="s">
        <v>87</v>
      </c>
      <c r="B24">
        <v>2.4</v>
      </c>
      <c r="C24">
        <v>29.33</v>
      </c>
      <c r="D24">
        <v>0.11</v>
      </c>
      <c r="E24">
        <v>0.21</v>
      </c>
      <c r="F24">
        <v>0.15</v>
      </c>
      <c r="G24">
        <v>15.53</v>
      </c>
      <c r="H24">
        <v>0.21</v>
      </c>
      <c r="I24">
        <v>0.88</v>
      </c>
      <c r="J24">
        <v>0.06</v>
      </c>
      <c r="K24">
        <v>7.0000000000000007E-2</v>
      </c>
    </row>
    <row r="25" spans="1:11" s="9" customFormat="1" x14ac:dyDescent="0.25">
      <c r="A25" s="9" t="s">
        <v>9</v>
      </c>
      <c r="B25">
        <v>0.17</v>
      </c>
      <c r="C25">
        <v>0.98</v>
      </c>
      <c r="D25">
        <v>0.56000000000000005</v>
      </c>
      <c r="E25">
        <v>0.24</v>
      </c>
      <c r="F25">
        <v>0.13</v>
      </c>
      <c r="G25">
        <v>0.3</v>
      </c>
      <c r="H25">
        <v>0.35</v>
      </c>
      <c r="I25">
        <v>5.13</v>
      </c>
      <c r="J25">
        <v>0.72</v>
      </c>
      <c r="K25">
        <v>0.79</v>
      </c>
    </row>
    <row r="26" spans="1:11" s="9" customFormat="1" x14ac:dyDescent="0.25">
      <c r="A26" s="9" t="s">
        <v>10</v>
      </c>
      <c r="B26">
        <v>21.09</v>
      </c>
      <c r="C26">
        <v>-3.07</v>
      </c>
      <c r="D26">
        <v>18.649999999999999</v>
      </c>
      <c r="E26">
        <v>45.33</v>
      </c>
      <c r="F26">
        <v>23.98</v>
      </c>
      <c r="G26">
        <v>24.5</v>
      </c>
      <c r="H26">
        <v>24.87</v>
      </c>
      <c r="I26">
        <v>27.94</v>
      </c>
      <c r="J26">
        <v>39.56</v>
      </c>
      <c r="K26">
        <v>41.65</v>
      </c>
    </row>
    <row r="27" spans="1:11" s="9" customFormat="1" x14ac:dyDescent="0.25">
      <c r="A27" s="9" t="s">
        <v>11</v>
      </c>
      <c r="B27">
        <v>14.59</v>
      </c>
      <c r="C27">
        <v>23.9</v>
      </c>
      <c r="D27">
        <v>15.15</v>
      </c>
      <c r="E27">
        <v>21.04</v>
      </c>
      <c r="F27">
        <v>20.9</v>
      </c>
      <c r="G27">
        <v>27.31</v>
      </c>
      <c r="H27">
        <v>17.46</v>
      </c>
      <c r="I27">
        <v>22.62</v>
      </c>
      <c r="J27">
        <v>33.01</v>
      </c>
      <c r="K27">
        <v>22.24</v>
      </c>
    </row>
    <row r="28" spans="1:11" s="9" customFormat="1" x14ac:dyDescent="0.25">
      <c r="A28" s="9" t="s">
        <v>12</v>
      </c>
      <c r="B28">
        <v>-2.27</v>
      </c>
      <c r="C28">
        <v>-23.06</v>
      </c>
      <c r="D28">
        <v>1</v>
      </c>
      <c r="E28">
        <v>9.67</v>
      </c>
      <c r="F28">
        <v>0.3</v>
      </c>
      <c r="G28">
        <v>20.97</v>
      </c>
      <c r="H28">
        <v>51.95</v>
      </c>
      <c r="I28">
        <v>53.75</v>
      </c>
      <c r="J28">
        <v>65.19</v>
      </c>
      <c r="K28">
        <v>70.02</v>
      </c>
    </row>
    <row r="29" spans="1:11" s="9" customFormat="1" x14ac:dyDescent="0.25">
      <c r="A29" s="9" t="s">
        <v>13</v>
      </c>
      <c r="B29">
        <v>2.02</v>
      </c>
      <c r="C29">
        <v>-8.9499999999999993</v>
      </c>
      <c r="D29">
        <v>0.32</v>
      </c>
      <c r="E29">
        <v>2.93</v>
      </c>
      <c r="G29">
        <v>6.84</v>
      </c>
      <c r="H29">
        <v>17.170000000000002</v>
      </c>
      <c r="I29">
        <v>12.79</v>
      </c>
      <c r="J29">
        <v>21.04</v>
      </c>
      <c r="K29">
        <v>12.87</v>
      </c>
    </row>
    <row r="30" spans="1:11" s="9" customFormat="1" x14ac:dyDescent="0.25">
      <c r="A30" s="9" t="s">
        <v>14</v>
      </c>
      <c r="B30">
        <v>-4.29</v>
      </c>
      <c r="C30">
        <v>-14.11</v>
      </c>
      <c r="D30">
        <v>0.68</v>
      </c>
      <c r="E30">
        <v>6.74</v>
      </c>
      <c r="F30">
        <v>0.3</v>
      </c>
      <c r="G30">
        <v>14.14</v>
      </c>
      <c r="H30">
        <v>34.78</v>
      </c>
      <c r="I30">
        <v>40.96</v>
      </c>
      <c r="J30">
        <v>44.16</v>
      </c>
      <c r="K30">
        <v>57.15</v>
      </c>
    </row>
    <row r="31" spans="1:11" s="9" customFormat="1" x14ac:dyDescent="0.25">
      <c r="A31" s="9" t="s">
        <v>71</v>
      </c>
      <c r="H31">
        <v>3.44</v>
      </c>
      <c r="I31">
        <v>4.58</v>
      </c>
      <c r="J31">
        <v>4.58</v>
      </c>
      <c r="K31">
        <v>5.5</v>
      </c>
    </row>
    <row r="32" spans="1:11" s="9" customFormat="1" x14ac:dyDescent="0.25"/>
    <row r="33" spans="1:11" x14ac:dyDescent="0.25">
      <c r="A33" s="9"/>
    </row>
    <row r="34" spans="1:11" x14ac:dyDescent="0.25">
      <c r="A34" s="9"/>
    </row>
    <row r="35" spans="1:11" x14ac:dyDescent="0.25">
      <c r="A35" s="9"/>
    </row>
    <row r="36" spans="1:11" x14ac:dyDescent="0.25">
      <c r="A36" s="9"/>
    </row>
    <row r="37" spans="1:11" x14ac:dyDescent="0.25">
      <c r="A37" s="9"/>
    </row>
    <row r="38" spans="1:11" x14ac:dyDescent="0.25">
      <c r="A38" s="9"/>
    </row>
    <row r="39" spans="1:11" x14ac:dyDescent="0.25">
      <c r="A39" s="9"/>
    </row>
    <row r="40" spans="1:11" x14ac:dyDescent="0.25">
      <c r="A40" s="1" t="s">
        <v>39</v>
      </c>
    </row>
    <row r="41" spans="1:11" s="24" customFormat="1" x14ac:dyDescent="0.25">
      <c r="A41" s="23" t="s">
        <v>38</v>
      </c>
      <c r="B41" s="16">
        <v>42277</v>
      </c>
      <c r="C41" s="16">
        <v>42369</v>
      </c>
      <c r="D41" s="16">
        <v>42460</v>
      </c>
      <c r="E41" s="16">
        <v>42551</v>
      </c>
      <c r="F41" s="16">
        <v>42643</v>
      </c>
      <c r="G41" s="16">
        <v>42735</v>
      </c>
      <c r="H41" s="16">
        <v>42825</v>
      </c>
      <c r="I41" s="16">
        <v>42916</v>
      </c>
      <c r="J41" s="16">
        <v>43008</v>
      </c>
      <c r="K41" s="16">
        <v>43100</v>
      </c>
    </row>
    <row r="42" spans="1:11" s="9" customFormat="1" x14ac:dyDescent="0.25">
      <c r="A42" s="9" t="s">
        <v>6</v>
      </c>
      <c r="B42">
        <v>190.13</v>
      </c>
      <c r="C42">
        <v>190.45</v>
      </c>
      <c r="D42">
        <v>190.47</v>
      </c>
      <c r="E42">
        <v>193.53</v>
      </c>
      <c r="F42">
        <v>206.47</v>
      </c>
      <c r="G42">
        <v>248.17</v>
      </c>
      <c r="H42">
        <v>285.2</v>
      </c>
      <c r="I42">
        <v>287.25</v>
      </c>
      <c r="J42">
        <v>284.45</v>
      </c>
      <c r="K42">
        <v>287.10000000000002</v>
      </c>
    </row>
    <row r="43" spans="1:11" s="9" customFormat="1" x14ac:dyDescent="0.25">
      <c r="A43" s="9" t="s">
        <v>7</v>
      </c>
      <c r="B43">
        <v>155.29</v>
      </c>
      <c r="C43">
        <v>156.52000000000001</v>
      </c>
      <c r="D43">
        <v>159.37</v>
      </c>
      <c r="E43">
        <v>162.65</v>
      </c>
      <c r="F43">
        <v>174.77</v>
      </c>
      <c r="G43">
        <v>214.48</v>
      </c>
      <c r="H43">
        <v>247.88</v>
      </c>
      <c r="I43">
        <v>245.92</v>
      </c>
      <c r="J43">
        <v>250.96</v>
      </c>
      <c r="K43">
        <v>248.96</v>
      </c>
    </row>
    <row r="44" spans="1:11" s="9" customFormat="1" x14ac:dyDescent="0.25">
      <c r="A44" s="9" t="s">
        <v>9</v>
      </c>
      <c r="B44">
        <v>0.01</v>
      </c>
      <c r="C44">
        <v>0.03</v>
      </c>
      <c r="E44">
        <v>0.14000000000000001</v>
      </c>
      <c r="F44">
        <v>0.41</v>
      </c>
      <c r="G44">
        <v>7.0000000000000007E-2</v>
      </c>
      <c r="H44">
        <v>0.16</v>
      </c>
      <c r="I44">
        <v>0.19</v>
      </c>
      <c r="J44">
        <v>0.79</v>
      </c>
      <c r="K44">
        <v>0.83</v>
      </c>
    </row>
    <row r="45" spans="1:11" s="9" customFormat="1" x14ac:dyDescent="0.25">
      <c r="A45" s="9" t="s">
        <v>10</v>
      </c>
      <c r="B45">
        <v>10</v>
      </c>
      <c r="C45">
        <v>9.94</v>
      </c>
      <c r="D45">
        <v>9.73</v>
      </c>
      <c r="E45">
        <v>9.85</v>
      </c>
      <c r="F45">
        <v>9.9700000000000006</v>
      </c>
      <c r="G45">
        <v>9.9700000000000006</v>
      </c>
      <c r="H45">
        <v>11.87</v>
      </c>
      <c r="I45">
        <v>14.13</v>
      </c>
      <c r="J45">
        <v>14.24</v>
      </c>
      <c r="K45">
        <v>14.25</v>
      </c>
    </row>
    <row r="46" spans="1:11" s="9" customFormat="1" x14ac:dyDescent="0.25">
      <c r="A46" s="9" t="s">
        <v>11</v>
      </c>
      <c r="B46">
        <v>8.83</v>
      </c>
      <c r="C46">
        <v>8.7100000000000009</v>
      </c>
      <c r="D46">
        <v>5.71</v>
      </c>
      <c r="E46">
        <v>5.82</v>
      </c>
      <c r="F46">
        <v>5.0199999999999996</v>
      </c>
      <c r="G46">
        <v>5.0599999999999996</v>
      </c>
      <c r="H46">
        <v>6.37</v>
      </c>
      <c r="I46">
        <v>8.09</v>
      </c>
      <c r="J46">
        <v>7.4</v>
      </c>
      <c r="K46">
        <v>7.07</v>
      </c>
    </row>
    <row r="47" spans="1:11" s="9" customFormat="1" x14ac:dyDescent="0.25">
      <c r="A47" s="9" t="s">
        <v>12</v>
      </c>
      <c r="B47">
        <v>16.02</v>
      </c>
      <c r="C47">
        <v>15.31</v>
      </c>
      <c r="D47">
        <v>15.65</v>
      </c>
      <c r="E47">
        <v>15.35</v>
      </c>
      <c r="F47">
        <v>17.12</v>
      </c>
      <c r="G47">
        <v>18.73</v>
      </c>
      <c r="H47">
        <v>19.25</v>
      </c>
      <c r="I47">
        <v>19.29</v>
      </c>
      <c r="J47">
        <v>12.64</v>
      </c>
      <c r="K47">
        <v>17.649999999999999</v>
      </c>
    </row>
    <row r="48" spans="1:11" s="9" customFormat="1" x14ac:dyDescent="0.25">
      <c r="A48" s="9" t="s">
        <v>13</v>
      </c>
      <c r="B48">
        <v>5.67</v>
      </c>
      <c r="C48">
        <v>4.6399999999999997</v>
      </c>
      <c r="D48">
        <v>4.28</v>
      </c>
      <c r="E48">
        <v>3.06</v>
      </c>
      <c r="F48">
        <v>3</v>
      </c>
      <c r="G48">
        <v>3.5</v>
      </c>
      <c r="H48">
        <v>3.46</v>
      </c>
      <c r="I48">
        <v>6.57</v>
      </c>
      <c r="J48">
        <v>4.33</v>
      </c>
      <c r="K48">
        <v>0.89</v>
      </c>
    </row>
    <row r="49" spans="1:11" s="9" customFormat="1" x14ac:dyDescent="0.25">
      <c r="A49" s="9" t="s">
        <v>14</v>
      </c>
      <c r="B49">
        <v>10.34</v>
      </c>
      <c r="C49">
        <v>10.67</v>
      </c>
      <c r="D49">
        <v>11.37</v>
      </c>
      <c r="E49">
        <v>12.3</v>
      </c>
      <c r="F49">
        <v>14.12</v>
      </c>
      <c r="G49">
        <v>15.23</v>
      </c>
      <c r="H49">
        <v>15.79</v>
      </c>
      <c r="I49">
        <v>12.73</v>
      </c>
      <c r="J49">
        <v>8.31</v>
      </c>
      <c r="K49">
        <v>16.760000000000002</v>
      </c>
    </row>
    <row r="50" spans="1:11" x14ac:dyDescent="0.25">
      <c r="A50" s="9" t="s">
        <v>8</v>
      </c>
      <c r="B50">
        <v>34.840000000000003</v>
      </c>
      <c r="C50">
        <v>33.93</v>
      </c>
      <c r="D50">
        <v>31.1</v>
      </c>
      <c r="E50">
        <v>30.88</v>
      </c>
      <c r="F50">
        <v>31.7</v>
      </c>
      <c r="G50">
        <v>33.69</v>
      </c>
      <c r="H50">
        <v>37.32</v>
      </c>
      <c r="I50">
        <v>41.33</v>
      </c>
      <c r="J50">
        <v>33.49</v>
      </c>
      <c r="K50">
        <v>38.14</v>
      </c>
    </row>
    <row r="51" spans="1:11" x14ac:dyDescent="0.25">
      <c r="A51" s="9"/>
    </row>
    <row r="52" spans="1:11" x14ac:dyDescent="0.25">
      <c r="A52" s="9"/>
    </row>
    <row r="53" spans="1:11" x14ac:dyDescent="0.25">
      <c r="A53" s="9"/>
    </row>
    <row r="54" spans="1:11" x14ac:dyDescent="0.25">
      <c r="A54" s="9"/>
    </row>
    <row r="55" spans="1:11" x14ac:dyDescent="0.25">
      <c r="A55" s="1" t="s">
        <v>40</v>
      </c>
    </row>
    <row r="56" spans="1:11" s="24" customFormat="1" x14ac:dyDescent="0.25">
      <c r="A56" s="23" t="s">
        <v>38</v>
      </c>
      <c r="B56" s="16">
        <v>39538</v>
      </c>
      <c r="C56" s="16">
        <v>39903</v>
      </c>
      <c r="D56" s="16">
        <v>40268</v>
      </c>
      <c r="E56" s="16">
        <v>40633</v>
      </c>
      <c r="F56" s="16">
        <v>40999</v>
      </c>
      <c r="G56" s="16">
        <v>41364</v>
      </c>
      <c r="H56" s="16">
        <v>41729</v>
      </c>
      <c r="I56" s="16">
        <v>42094</v>
      </c>
      <c r="J56" s="16">
        <v>42460</v>
      </c>
      <c r="K56" s="16">
        <v>42825</v>
      </c>
    </row>
    <row r="57" spans="1:11" x14ac:dyDescent="0.25">
      <c r="A57" s="9" t="s">
        <v>24</v>
      </c>
      <c r="B57">
        <v>40.83</v>
      </c>
      <c r="C57">
        <v>40.83</v>
      </c>
      <c r="D57">
        <v>45.83</v>
      </c>
      <c r="E57">
        <v>45.83</v>
      </c>
      <c r="F57">
        <v>45.83</v>
      </c>
      <c r="G57">
        <v>45.83</v>
      </c>
      <c r="H57">
        <v>45.83</v>
      </c>
      <c r="I57">
        <v>45.83</v>
      </c>
      <c r="J57">
        <v>45.83</v>
      </c>
      <c r="K57">
        <v>45.83</v>
      </c>
    </row>
    <row r="58" spans="1:11" x14ac:dyDescent="0.25">
      <c r="A58" s="9" t="s">
        <v>25</v>
      </c>
      <c r="B58">
        <v>47.23</v>
      </c>
      <c r="C58">
        <v>33.11</v>
      </c>
      <c r="D58">
        <v>33.78</v>
      </c>
      <c r="E58">
        <v>40.520000000000003</v>
      </c>
      <c r="F58">
        <v>40.83</v>
      </c>
      <c r="G58">
        <v>54.96</v>
      </c>
      <c r="H58">
        <v>85.72</v>
      </c>
      <c r="I58">
        <v>121.16</v>
      </c>
      <c r="J58">
        <v>159.81</v>
      </c>
      <c r="K58">
        <v>210.34</v>
      </c>
    </row>
    <row r="59" spans="1:11" x14ac:dyDescent="0.25">
      <c r="A59" s="9" t="s">
        <v>72</v>
      </c>
      <c r="B59">
        <v>267.33999999999997</v>
      </c>
      <c r="C59">
        <v>299.41000000000003</v>
      </c>
      <c r="D59">
        <v>308.51</v>
      </c>
      <c r="E59">
        <v>284.02999999999997</v>
      </c>
      <c r="F59">
        <v>248.92</v>
      </c>
      <c r="G59">
        <v>206.64</v>
      </c>
      <c r="H59">
        <v>176.07</v>
      </c>
      <c r="I59">
        <v>378.27</v>
      </c>
      <c r="J59">
        <v>352.07</v>
      </c>
      <c r="K59">
        <v>563.49</v>
      </c>
    </row>
    <row r="60" spans="1:11" x14ac:dyDescent="0.25">
      <c r="A60" s="9" t="s">
        <v>73</v>
      </c>
      <c r="B60">
        <v>16.03</v>
      </c>
      <c r="C60">
        <v>55.52</v>
      </c>
      <c r="D60">
        <v>42.65</v>
      </c>
      <c r="E60">
        <v>38.4</v>
      </c>
      <c r="F60">
        <v>11.72</v>
      </c>
      <c r="G60">
        <v>56.38</v>
      </c>
      <c r="H60">
        <v>47.71</v>
      </c>
      <c r="I60">
        <v>66.75</v>
      </c>
      <c r="J60">
        <v>79.39</v>
      </c>
      <c r="K60">
        <v>106.68</v>
      </c>
    </row>
    <row r="61" spans="1:11" s="1" customFormat="1" x14ac:dyDescent="0.25">
      <c r="A61" s="1" t="s">
        <v>26</v>
      </c>
      <c r="B61">
        <v>371.43</v>
      </c>
      <c r="C61">
        <v>428.87</v>
      </c>
      <c r="D61">
        <v>430.77</v>
      </c>
      <c r="E61">
        <v>408.78</v>
      </c>
      <c r="F61">
        <v>347.3</v>
      </c>
      <c r="G61">
        <v>363.81</v>
      </c>
      <c r="H61">
        <v>355.33</v>
      </c>
      <c r="I61">
        <v>612.01</v>
      </c>
      <c r="J61">
        <v>637.1</v>
      </c>
      <c r="K61">
        <v>926.34</v>
      </c>
    </row>
    <row r="62" spans="1:11" x14ac:dyDescent="0.25">
      <c r="A62" s="9" t="s">
        <v>27</v>
      </c>
      <c r="B62">
        <v>239.51</v>
      </c>
      <c r="C62">
        <v>313.16000000000003</v>
      </c>
      <c r="D62">
        <v>295.08</v>
      </c>
      <c r="E62">
        <v>249.28</v>
      </c>
      <c r="F62">
        <v>228.09</v>
      </c>
      <c r="G62">
        <v>212.99</v>
      </c>
      <c r="H62">
        <v>191.21</v>
      </c>
      <c r="I62">
        <v>416.74</v>
      </c>
      <c r="J62">
        <v>382.07</v>
      </c>
      <c r="K62">
        <v>614.29</v>
      </c>
    </row>
    <row r="63" spans="1:11" x14ac:dyDescent="0.25">
      <c r="A63" s="9" t="s">
        <v>28</v>
      </c>
      <c r="B63">
        <v>47.89</v>
      </c>
      <c r="C63">
        <v>0.08</v>
      </c>
      <c r="F63">
        <v>3.38</v>
      </c>
      <c r="H63">
        <v>21.18</v>
      </c>
      <c r="J63">
        <v>17.059999999999999</v>
      </c>
    </row>
    <row r="64" spans="1:11" x14ac:dyDescent="0.25">
      <c r="A64" s="9" t="s">
        <v>29</v>
      </c>
    </row>
    <row r="65" spans="1:11" x14ac:dyDescent="0.25">
      <c r="A65" s="9" t="s">
        <v>74</v>
      </c>
      <c r="B65">
        <v>84.03</v>
      </c>
      <c r="C65">
        <v>115.63</v>
      </c>
      <c r="D65">
        <v>135.69</v>
      </c>
      <c r="E65">
        <v>159.5</v>
      </c>
      <c r="F65">
        <v>115.83</v>
      </c>
      <c r="G65">
        <v>150.82</v>
      </c>
      <c r="H65">
        <v>142.94</v>
      </c>
      <c r="I65">
        <v>195.27</v>
      </c>
      <c r="J65">
        <v>237.97</v>
      </c>
      <c r="K65">
        <v>312.05</v>
      </c>
    </row>
    <row r="66" spans="1:11" s="1" customFormat="1" x14ac:dyDescent="0.25">
      <c r="A66" s="1" t="s">
        <v>26</v>
      </c>
      <c r="B66">
        <v>371.43</v>
      </c>
      <c r="C66">
        <v>428.87</v>
      </c>
      <c r="D66">
        <v>430.77</v>
      </c>
      <c r="E66">
        <v>408.78</v>
      </c>
      <c r="F66">
        <v>347.3</v>
      </c>
      <c r="G66">
        <v>363.81</v>
      </c>
      <c r="H66">
        <v>355.33</v>
      </c>
      <c r="I66">
        <v>612.01</v>
      </c>
      <c r="J66">
        <v>637.1</v>
      </c>
      <c r="K66">
        <v>926.34</v>
      </c>
    </row>
    <row r="67" spans="1:11" s="9" customFormat="1" x14ac:dyDescent="0.25">
      <c r="A67" s="9" t="s">
        <v>79</v>
      </c>
      <c r="B67">
        <v>11.79</v>
      </c>
      <c r="C67">
        <v>15.24</v>
      </c>
      <c r="D67">
        <v>9.4</v>
      </c>
      <c r="E67">
        <v>35.340000000000003</v>
      </c>
      <c r="F67">
        <v>18.5</v>
      </c>
      <c r="G67">
        <v>28.04</v>
      </c>
      <c r="H67">
        <v>24.89</v>
      </c>
      <c r="I67">
        <v>40.42</v>
      </c>
      <c r="J67">
        <v>39.25</v>
      </c>
      <c r="K67">
        <v>48.33</v>
      </c>
    </row>
    <row r="68" spans="1:11" x14ac:dyDescent="0.25">
      <c r="A68" s="9" t="s">
        <v>45</v>
      </c>
      <c r="B68">
        <v>48.75</v>
      </c>
      <c r="C68">
        <v>40.98</v>
      </c>
      <c r="D68">
        <v>76.03</v>
      </c>
      <c r="E68">
        <v>81.84</v>
      </c>
      <c r="F68">
        <v>77.13</v>
      </c>
      <c r="G68">
        <v>81.900000000000006</v>
      </c>
      <c r="H68">
        <v>70.7</v>
      </c>
      <c r="I68">
        <v>94.19</v>
      </c>
      <c r="J68">
        <v>114.76</v>
      </c>
      <c r="K68">
        <v>170.04</v>
      </c>
    </row>
    <row r="69" spans="1:11" x14ac:dyDescent="0.25">
      <c r="A69" s="5" t="s">
        <v>88</v>
      </c>
      <c r="B69">
        <v>0.4</v>
      </c>
      <c r="C69">
        <v>0.53</v>
      </c>
      <c r="D69">
        <v>0.1</v>
      </c>
      <c r="E69">
        <v>0.14000000000000001</v>
      </c>
      <c r="F69">
        <v>0.08</v>
      </c>
      <c r="G69">
        <v>0.28000000000000003</v>
      </c>
      <c r="H69">
        <v>0.06</v>
      </c>
      <c r="I69">
        <v>0.68</v>
      </c>
      <c r="J69">
        <v>0.56999999999999995</v>
      </c>
      <c r="K69">
        <v>1.27</v>
      </c>
    </row>
    <row r="70" spans="1:11" x14ac:dyDescent="0.25">
      <c r="A70" s="5" t="s">
        <v>75</v>
      </c>
      <c r="B70">
        <v>40833945</v>
      </c>
      <c r="C70">
        <v>40833945</v>
      </c>
      <c r="D70">
        <v>45833945</v>
      </c>
      <c r="E70">
        <v>45833945</v>
      </c>
      <c r="F70">
        <v>45833945</v>
      </c>
      <c r="G70">
        <v>45833945</v>
      </c>
      <c r="H70">
        <v>45833945</v>
      </c>
      <c r="I70">
        <v>45833945</v>
      </c>
      <c r="J70">
        <v>45833945</v>
      </c>
      <c r="K70">
        <v>45833945</v>
      </c>
    </row>
    <row r="71" spans="1:11" x14ac:dyDescent="0.25">
      <c r="A71" s="5" t="s">
        <v>76</v>
      </c>
    </row>
    <row r="72" spans="1:11" x14ac:dyDescent="0.25">
      <c r="A72" s="5" t="s">
        <v>89</v>
      </c>
      <c r="B72">
        <v>10</v>
      </c>
      <c r="C72">
        <v>10</v>
      </c>
      <c r="D72">
        <v>10</v>
      </c>
      <c r="E72">
        <v>10</v>
      </c>
      <c r="F72">
        <v>10</v>
      </c>
      <c r="G72">
        <v>10</v>
      </c>
      <c r="H72">
        <v>10</v>
      </c>
      <c r="I72">
        <v>10</v>
      </c>
      <c r="J72">
        <v>10</v>
      </c>
      <c r="K72">
        <v>10</v>
      </c>
    </row>
    <row r="74" spans="1:11" x14ac:dyDescent="0.25">
      <c r="A74" s="9"/>
    </row>
    <row r="75" spans="1:11" x14ac:dyDescent="0.25">
      <c r="A75" s="9"/>
    </row>
    <row r="76" spans="1:11" x14ac:dyDescent="0.25">
      <c r="A76" s="9"/>
    </row>
    <row r="77" spans="1:11" x14ac:dyDescent="0.25">
      <c r="A77" s="9"/>
    </row>
    <row r="78" spans="1:11" x14ac:dyDescent="0.25">
      <c r="A78" s="9"/>
    </row>
    <row r="79" spans="1:11" x14ac:dyDescent="0.25">
      <c r="A79" s="9"/>
    </row>
    <row r="80" spans="1:11" x14ac:dyDescent="0.25">
      <c r="A80" s="1" t="s">
        <v>41</v>
      </c>
    </row>
    <row r="81" spans="1:11" s="24" customFormat="1" x14ac:dyDescent="0.25">
      <c r="A81" s="23" t="s">
        <v>38</v>
      </c>
      <c r="B81" s="16">
        <v>39538</v>
      </c>
      <c r="C81" s="16">
        <v>39903</v>
      </c>
      <c r="D81" s="16">
        <v>40268</v>
      </c>
      <c r="E81" s="16">
        <v>40633</v>
      </c>
      <c r="F81" s="16">
        <v>40999</v>
      </c>
      <c r="G81" s="16">
        <v>41364</v>
      </c>
      <c r="H81" s="16">
        <v>41729</v>
      </c>
      <c r="I81" s="16">
        <v>42094</v>
      </c>
      <c r="J81" s="16">
        <v>42460</v>
      </c>
      <c r="K81" s="16">
        <v>42825</v>
      </c>
    </row>
    <row r="82" spans="1:11" s="1" customFormat="1" x14ac:dyDescent="0.25">
      <c r="A82" s="9" t="s">
        <v>32</v>
      </c>
      <c r="B82">
        <v>17.87</v>
      </c>
      <c r="C82">
        <v>14.27</v>
      </c>
      <c r="D82">
        <v>0.55000000000000004</v>
      </c>
      <c r="E82">
        <v>45.39</v>
      </c>
      <c r="F82">
        <v>64.180000000000007</v>
      </c>
      <c r="G82">
        <v>88.9</v>
      </c>
      <c r="H82">
        <v>86.62</v>
      </c>
      <c r="I82">
        <v>44.51</v>
      </c>
      <c r="J82">
        <v>100.4</v>
      </c>
      <c r="K82" s="382">
        <v>59.16</v>
      </c>
    </row>
    <row r="83" spans="1:11" s="9" customFormat="1" x14ac:dyDescent="0.25">
      <c r="A83" s="9" t="s">
        <v>33</v>
      </c>
      <c r="B83">
        <v>-62.64</v>
      </c>
      <c r="C83">
        <v>-21.88</v>
      </c>
      <c r="D83">
        <v>-7.0000000000000007E-2</v>
      </c>
      <c r="E83">
        <v>0.2</v>
      </c>
      <c r="F83">
        <v>-8.2899999999999991</v>
      </c>
      <c r="G83">
        <v>-4.3899999999999997</v>
      </c>
      <c r="H83">
        <v>-38.85</v>
      </c>
      <c r="I83">
        <v>-219.45</v>
      </c>
      <c r="J83">
        <v>-35.78</v>
      </c>
      <c r="K83" s="382">
        <v>-242.12</v>
      </c>
    </row>
    <row r="84" spans="1:11" s="9" customFormat="1" x14ac:dyDescent="0.25">
      <c r="A84" s="9" t="s">
        <v>34</v>
      </c>
      <c r="B84">
        <v>45.07</v>
      </c>
      <c r="C84">
        <v>7.74</v>
      </c>
      <c r="D84">
        <v>-0.91</v>
      </c>
      <c r="E84">
        <v>-45.6</v>
      </c>
      <c r="F84">
        <v>-55.95</v>
      </c>
      <c r="G84">
        <v>-84.32</v>
      </c>
      <c r="H84">
        <v>-47.98</v>
      </c>
      <c r="I84">
        <v>175.56</v>
      </c>
      <c r="J84">
        <v>-64.73</v>
      </c>
      <c r="K84" s="382">
        <v>183.66</v>
      </c>
    </row>
    <row r="85" spans="1:11" s="1" customFormat="1" x14ac:dyDescent="0.25">
      <c r="A85" s="9" t="s">
        <v>35</v>
      </c>
      <c r="B85">
        <v>0.3</v>
      </c>
      <c r="C85">
        <v>0.13</v>
      </c>
      <c r="D85">
        <v>-0.43</v>
      </c>
      <c r="E85">
        <v>-0.01</v>
      </c>
      <c r="F85">
        <v>-0.06</v>
      </c>
      <c r="G85">
        <v>0.19</v>
      </c>
      <c r="H85">
        <v>-0.21</v>
      </c>
      <c r="I85">
        <v>0.62</v>
      </c>
      <c r="J85">
        <v>-0.11</v>
      </c>
      <c r="K85" s="382">
        <v>0.7</v>
      </c>
    </row>
    <row r="86" spans="1:11" x14ac:dyDescent="0.25">
      <c r="A86" s="9"/>
    </row>
    <row r="87" spans="1:11" x14ac:dyDescent="0.25">
      <c r="A87" s="9"/>
    </row>
    <row r="88" spans="1:11" x14ac:dyDescent="0.25">
      <c r="A88" s="9"/>
    </row>
    <row r="89" spans="1:11" x14ac:dyDescent="0.25">
      <c r="A89" s="9"/>
    </row>
    <row r="90" spans="1:11" s="1" customFormat="1" x14ac:dyDescent="0.25">
      <c r="A90" s="1" t="s">
        <v>78</v>
      </c>
      <c r="B90">
        <v>11.74</v>
      </c>
      <c r="C90">
        <v>4.84</v>
      </c>
      <c r="D90">
        <v>8.6999999999999993</v>
      </c>
      <c r="E90">
        <v>12.42</v>
      </c>
      <c r="F90">
        <v>6.18</v>
      </c>
      <c r="G90">
        <v>9.98</v>
      </c>
      <c r="H90">
        <v>16.059999999999999</v>
      </c>
      <c r="I90">
        <v>38.79</v>
      </c>
      <c r="J90">
        <v>65.56</v>
      </c>
      <c r="K90">
        <v>130.18</v>
      </c>
    </row>
    <row r="92" spans="1:11" s="1" customFormat="1" x14ac:dyDescent="0.25">
      <c r="A92" s="1" t="s">
        <v>77</v>
      </c>
    </row>
    <row r="93" spans="1:11" x14ac:dyDescent="0.25">
      <c r="A93" s="5" t="s">
        <v>90</v>
      </c>
      <c r="B93" s="31">
        <f>IF($B7&gt;0,(B70*B72/$B7)+SUM(C71:$K71),0)/10000000</f>
        <v>4.0833944999999998</v>
      </c>
      <c r="C93" s="31">
        <f>IF($B7&gt;0,(C70*C72/$B7)+SUM(D71:$K71),0)/10000000</f>
        <v>4.0833944999999998</v>
      </c>
      <c r="D93" s="31">
        <f>IF($B7&gt;0,(D70*D72/$B7)+SUM(E71:$K71),0)/10000000</f>
        <v>4.5833944999999998</v>
      </c>
      <c r="E93" s="31">
        <f>IF($B7&gt;0,(E70*E72/$B7)+SUM(F71:$K71),0)/10000000</f>
        <v>4.5833944999999998</v>
      </c>
      <c r="F93" s="31">
        <f>IF($B7&gt;0,(F70*F72/$B7)+SUM(G71:$K71),0)/10000000</f>
        <v>4.5833944999999998</v>
      </c>
      <c r="G93" s="31">
        <f>IF($B7&gt;0,(G70*G72/$B7)+SUM(H71:$K71),0)/10000000</f>
        <v>4.5833944999999998</v>
      </c>
      <c r="H93" s="31">
        <f>IF($B7&gt;0,(H70*H72/$B7)+SUM(I71:$K71),0)/10000000</f>
        <v>4.5833944999999998</v>
      </c>
      <c r="I93" s="31">
        <f>IF($B7&gt;0,(I70*I72/$B7)+SUM(J71:$K71),0)/10000000</f>
        <v>4.5833944999999998</v>
      </c>
      <c r="J93" s="31">
        <f>IF($B7&gt;0,(J70*J72/$B7)+SUM(K71:$K71),0)/10000000</f>
        <v>4.5833944999999998</v>
      </c>
      <c r="K93" s="31">
        <f>IF($B7&gt;0,(K70*K72/$B7),0)/10000000</f>
        <v>4.5833944999999998</v>
      </c>
    </row>
  </sheetData>
  <mergeCells count="2">
    <mergeCell ref="E1:K1"/>
    <mergeCell ref="E2:K2"/>
  </mergeCells>
  <conditionalFormatting sqref="E1:K1">
    <cfRule type="cellIs" dxfId="108"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5"/>
  <sheetViews>
    <sheetView topLeftCell="A7" zoomScaleNormal="100" workbookViewId="0">
      <selection activeCell="M63" sqref="M63"/>
    </sheetView>
  </sheetViews>
  <sheetFormatPr defaultRowHeight="15" x14ac:dyDescent="0.25"/>
  <cols>
    <col min="1" max="1" width="39.5703125" bestFit="1" customWidth="1"/>
    <col min="2" max="2" width="12.140625" bestFit="1" customWidth="1"/>
    <col min="3" max="3" width="9" customWidth="1"/>
    <col min="4" max="7" width="11" bestFit="1" customWidth="1"/>
    <col min="8" max="8" width="10.28515625" customWidth="1"/>
    <col min="9" max="11" width="11" bestFit="1" customWidth="1"/>
  </cols>
  <sheetData>
    <row r="2" spans="1:13" x14ac:dyDescent="0.25">
      <c r="A2" s="393" t="s">
        <v>948</v>
      </c>
      <c r="B2" s="16">
        <f>'Data Sheet'!B56</f>
        <v>39538</v>
      </c>
      <c r="C2" s="16">
        <f>'Data Sheet'!C56</f>
        <v>39903</v>
      </c>
      <c r="D2" s="16">
        <f>'Data Sheet'!D56</f>
        <v>40268</v>
      </c>
      <c r="E2" s="16">
        <f>'Data Sheet'!E56</f>
        <v>40633</v>
      </c>
      <c r="F2" s="16">
        <f>'Data Sheet'!F56</f>
        <v>40999</v>
      </c>
      <c r="G2" s="16">
        <f>'Data Sheet'!G56</f>
        <v>41364</v>
      </c>
      <c r="H2" s="16">
        <f>'Data Sheet'!H56</f>
        <v>41729</v>
      </c>
      <c r="I2" s="16">
        <f>'Data Sheet'!I56</f>
        <v>42094</v>
      </c>
      <c r="J2" s="16">
        <f>'Data Sheet'!J56</f>
        <v>42460</v>
      </c>
      <c r="K2" s="16">
        <f>'Data Sheet'!K56</f>
        <v>42825</v>
      </c>
    </row>
    <row r="3" spans="1:13" x14ac:dyDescent="0.25">
      <c r="A3" s="286" t="s">
        <v>902</v>
      </c>
      <c r="B3">
        <f>SUM('Data Sheet'!B57:B58)</f>
        <v>88.06</v>
      </c>
      <c r="C3">
        <f>SUM('Data Sheet'!C57:C58)</f>
        <v>73.94</v>
      </c>
      <c r="D3">
        <f>SUM('Data Sheet'!D57:D58)</f>
        <v>79.61</v>
      </c>
      <c r="E3">
        <f>SUM('Data Sheet'!E57:E58)</f>
        <v>86.35</v>
      </c>
      <c r="F3">
        <f>SUM('Data Sheet'!F57:F58)</f>
        <v>86.66</v>
      </c>
      <c r="G3">
        <f>SUM('Data Sheet'!G57:G58)</f>
        <v>100.78999999999999</v>
      </c>
      <c r="H3">
        <f>SUM('Data Sheet'!H57:H58)</f>
        <v>131.55000000000001</v>
      </c>
      <c r="I3">
        <f>SUM('Data Sheet'!I57:I58)</f>
        <v>166.99</v>
      </c>
      <c r="J3">
        <f>SUM('Data Sheet'!J57:J58)</f>
        <v>205.64</v>
      </c>
      <c r="K3">
        <f>SUM('Data Sheet'!K57:K58)</f>
        <v>256.17</v>
      </c>
    </row>
    <row r="4" spans="1:13" x14ac:dyDescent="0.25">
      <c r="A4" s="286" t="s">
        <v>903</v>
      </c>
      <c r="B4">
        <f>'Data Sheet'!B30</f>
        <v>-4.29</v>
      </c>
      <c r="C4">
        <f>'Data Sheet'!C30</f>
        <v>-14.11</v>
      </c>
      <c r="D4">
        <f>'Data Sheet'!D30</f>
        <v>0.68</v>
      </c>
      <c r="E4">
        <f>'Data Sheet'!E30</f>
        <v>6.74</v>
      </c>
      <c r="F4">
        <f>'Data Sheet'!F30</f>
        <v>0.3</v>
      </c>
      <c r="G4">
        <f>'Data Sheet'!G30</f>
        <v>14.14</v>
      </c>
      <c r="H4">
        <f>'Data Sheet'!H30</f>
        <v>34.78</v>
      </c>
      <c r="I4">
        <f>'Data Sheet'!I30</f>
        <v>40.96</v>
      </c>
      <c r="J4">
        <f>'Data Sheet'!J30</f>
        <v>44.16</v>
      </c>
      <c r="K4">
        <f>'Data Sheet'!K30</f>
        <v>57.15</v>
      </c>
      <c r="M4" s="379"/>
    </row>
    <row r="5" spans="1:13" x14ac:dyDescent="0.25">
      <c r="A5" s="286" t="s">
        <v>904</v>
      </c>
      <c r="C5" s="380">
        <f>C4/((C3+B3)/2)</f>
        <v>-0.17419753086419754</v>
      </c>
      <c r="D5" s="380">
        <f t="shared" ref="D5:K5" si="0">D4/((D3+C3)/2)</f>
        <v>8.8570498209052419E-3</v>
      </c>
      <c r="E5" s="380">
        <f t="shared" si="0"/>
        <v>8.1224391419619194E-2</v>
      </c>
      <c r="F5" s="380">
        <f t="shared" si="0"/>
        <v>3.4680076296167853E-3</v>
      </c>
      <c r="G5" s="380">
        <f t="shared" si="0"/>
        <v>0.15086689783942386</v>
      </c>
      <c r="H5" s="380">
        <f t="shared" si="0"/>
        <v>0.29938882671946287</v>
      </c>
      <c r="I5" s="380">
        <f t="shared" si="0"/>
        <v>0.27440209017217121</v>
      </c>
      <c r="J5" s="380">
        <f t="shared" si="0"/>
        <v>0.23701795346590451</v>
      </c>
      <c r="K5" s="380">
        <f t="shared" si="0"/>
        <v>0.24750438492020527</v>
      </c>
    </row>
    <row r="6" spans="1:13" x14ac:dyDescent="0.25">
      <c r="A6" s="393" t="s">
        <v>947</v>
      </c>
    </row>
    <row r="7" spans="1:13" ht="24.75" x14ac:dyDescent="0.25">
      <c r="A7" s="286" t="s">
        <v>905</v>
      </c>
      <c r="B7">
        <f>'Data Sheet'!B17-'Data Sheet'!B18+'Data Sheet'!B19</f>
        <v>92.38</v>
      </c>
      <c r="C7">
        <f>'Data Sheet'!C17-'Data Sheet'!C18+'Data Sheet'!C19</f>
        <v>95.729999999999976</v>
      </c>
      <c r="D7">
        <f>'Data Sheet'!D17-'Data Sheet'!D18+'Data Sheet'!D19</f>
        <v>108.15</v>
      </c>
      <c r="E7">
        <f>'Data Sheet'!E17-'Data Sheet'!E18+'Data Sheet'!E19</f>
        <v>158.77000000000001</v>
      </c>
      <c r="F7">
        <f>'Data Sheet'!F17-'Data Sheet'!F18+'Data Sheet'!F19</f>
        <v>131.57</v>
      </c>
      <c r="G7">
        <f>'Data Sheet'!G17-'Data Sheet'!G18+'Data Sheet'!G19</f>
        <v>182.05</v>
      </c>
      <c r="H7">
        <f>'Data Sheet'!H17-'Data Sheet'!H18+'Data Sheet'!H19</f>
        <v>190.48</v>
      </c>
      <c r="I7">
        <f>'Data Sheet'!I17-'Data Sheet'!I18+'Data Sheet'!I19</f>
        <v>232.79000000000005</v>
      </c>
      <c r="J7">
        <f>'Data Sheet'!J17-'Data Sheet'!J18+'Data Sheet'!J19</f>
        <v>303.64000000000004</v>
      </c>
      <c r="K7">
        <f>'Data Sheet'!K17-'Data Sheet'!K18+'Data Sheet'!K19</f>
        <v>344.36</v>
      </c>
    </row>
    <row r="8" spans="1:13" x14ac:dyDescent="0.25">
      <c r="A8" s="286" t="s">
        <v>260</v>
      </c>
      <c r="B8" s="64">
        <f>B7/'Data Sheet'!B17</f>
        <v>0.45337652139772283</v>
      </c>
      <c r="C8" s="64">
        <f>C7/'Data Sheet'!C17</f>
        <v>0.36500552865367741</v>
      </c>
      <c r="D8" s="64">
        <f>D7/'Data Sheet'!D17</f>
        <v>0.35817188276204676</v>
      </c>
      <c r="E8" s="64">
        <f>E7/'Data Sheet'!E17</f>
        <v>0.38637691034751293</v>
      </c>
      <c r="F8" s="64">
        <f>F7/'Data Sheet'!F17</f>
        <v>0.30719122110670088</v>
      </c>
      <c r="G8" s="64">
        <f>G7/'Data Sheet'!G17</f>
        <v>0.40813810110974108</v>
      </c>
      <c r="H8" s="64">
        <f>H7/'Data Sheet'!H17</f>
        <v>0.39005610844903144</v>
      </c>
      <c r="I8" s="64">
        <f>I7/'Data Sheet'!I17</f>
        <v>0.37761772673447214</v>
      </c>
      <c r="J8" s="64">
        <f>J7/'Data Sheet'!J17</f>
        <v>0.39594716183968603</v>
      </c>
      <c r="K8" s="64">
        <f>K7/'Data Sheet'!K17</f>
        <v>0.36893869592234674</v>
      </c>
    </row>
    <row r="9" spans="1:13" x14ac:dyDescent="0.25">
      <c r="A9" s="393" t="s">
        <v>946</v>
      </c>
    </row>
    <row r="10" spans="1:13" x14ac:dyDescent="0.25">
      <c r="A10" s="286" t="s">
        <v>72</v>
      </c>
      <c r="B10" s="286">
        <f>'Data Sheet'!B59</f>
        <v>267.33999999999997</v>
      </c>
      <c r="C10" s="286">
        <f>'Data Sheet'!C59</f>
        <v>299.41000000000003</v>
      </c>
      <c r="D10" s="286">
        <f>'Data Sheet'!D59</f>
        <v>308.51</v>
      </c>
      <c r="E10" s="286">
        <f>'Data Sheet'!E59</f>
        <v>284.02999999999997</v>
      </c>
      <c r="F10" s="286">
        <f>'Data Sheet'!F59</f>
        <v>248.92</v>
      </c>
      <c r="G10" s="286">
        <f>'Data Sheet'!G59</f>
        <v>206.64</v>
      </c>
      <c r="H10" s="286">
        <f>'Data Sheet'!H59</f>
        <v>176.07</v>
      </c>
      <c r="I10" s="286">
        <f>'Data Sheet'!I59</f>
        <v>378.27</v>
      </c>
      <c r="J10" s="286">
        <f>'Data Sheet'!J59</f>
        <v>352.07</v>
      </c>
      <c r="K10" s="286">
        <f>'Data Sheet'!K59</f>
        <v>563.49</v>
      </c>
    </row>
    <row r="11" spans="1:13" ht="24.75" x14ac:dyDescent="0.25">
      <c r="A11" s="286" t="s">
        <v>982</v>
      </c>
      <c r="B11" s="286"/>
      <c r="C11" s="286">
        <f>C10-B10</f>
        <v>32.07000000000005</v>
      </c>
      <c r="D11" s="286">
        <f t="shared" ref="D11:K11" si="1">D10-C10</f>
        <v>9.0999999999999659</v>
      </c>
      <c r="E11" s="286">
        <f t="shared" si="1"/>
        <v>-24.480000000000018</v>
      </c>
      <c r="F11" s="286">
        <f t="shared" si="1"/>
        <v>-35.109999999999985</v>
      </c>
      <c r="G11" s="286">
        <f t="shared" si="1"/>
        <v>-42.28</v>
      </c>
      <c r="H11" s="286">
        <f t="shared" si="1"/>
        <v>-30.569999999999993</v>
      </c>
      <c r="I11" s="286">
        <f t="shared" si="1"/>
        <v>202.2</v>
      </c>
      <c r="J11" s="286">
        <f t="shared" si="1"/>
        <v>-26.199999999999989</v>
      </c>
      <c r="K11" s="286">
        <f t="shared" si="1"/>
        <v>211.42000000000002</v>
      </c>
    </row>
    <row r="12" spans="1:13" x14ac:dyDescent="0.25">
      <c r="A12" s="286" t="s">
        <v>906</v>
      </c>
      <c r="B12" s="286">
        <f>'Data Sheet'!B31</f>
        <v>0</v>
      </c>
      <c r="C12" s="286">
        <f>'Data Sheet'!C31</f>
        <v>0</v>
      </c>
      <c r="D12" s="286">
        <f>'Data Sheet'!D31</f>
        <v>0</v>
      </c>
      <c r="E12" s="286">
        <f>'Data Sheet'!E31</f>
        <v>0</v>
      </c>
      <c r="F12" s="286">
        <f>'Data Sheet'!F31</f>
        <v>0</v>
      </c>
      <c r="G12" s="286">
        <f>'Data Sheet'!G31</f>
        <v>0</v>
      </c>
      <c r="H12" s="286">
        <f>'Data Sheet'!H31</f>
        <v>3.44</v>
      </c>
      <c r="I12" s="286">
        <f>'Data Sheet'!I31</f>
        <v>4.58</v>
      </c>
      <c r="J12" s="286">
        <f>'Data Sheet'!J31</f>
        <v>4.58</v>
      </c>
      <c r="K12" s="286">
        <f>'Data Sheet'!K31</f>
        <v>5.5</v>
      </c>
    </row>
    <row r="13" spans="1:13" x14ac:dyDescent="0.25">
      <c r="A13" s="286" t="s">
        <v>907</v>
      </c>
      <c r="B13" s="286"/>
      <c r="C13" s="286"/>
      <c r="D13" s="286"/>
      <c r="E13" s="286"/>
      <c r="F13" s="286"/>
      <c r="G13" s="286"/>
      <c r="H13" s="286"/>
      <c r="I13" s="286"/>
      <c r="J13" s="286"/>
      <c r="K13" s="286"/>
    </row>
    <row r="14" spans="1:13" x14ac:dyDescent="0.25">
      <c r="A14" s="286" t="s">
        <v>906</v>
      </c>
      <c r="B14">
        <f>B12</f>
        <v>0</v>
      </c>
      <c r="C14">
        <f t="shared" ref="C14:K14" si="2">C12</f>
        <v>0</v>
      </c>
      <c r="D14">
        <f t="shared" si="2"/>
        <v>0</v>
      </c>
      <c r="E14">
        <f t="shared" si="2"/>
        <v>0</v>
      </c>
      <c r="F14">
        <f t="shared" si="2"/>
        <v>0</v>
      </c>
      <c r="G14">
        <f t="shared" si="2"/>
        <v>0</v>
      </c>
      <c r="H14">
        <f t="shared" si="2"/>
        <v>3.44</v>
      </c>
      <c r="I14">
        <f t="shared" si="2"/>
        <v>4.58</v>
      </c>
      <c r="J14">
        <f>J12</f>
        <v>4.58</v>
      </c>
      <c r="K14">
        <f t="shared" si="2"/>
        <v>5.5</v>
      </c>
    </row>
    <row r="15" spans="1:13" x14ac:dyDescent="0.25">
      <c r="A15" s="286" t="s">
        <v>908</v>
      </c>
      <c r="C15">
        <f>'Data Sheet'!C57-'Data Sheet'!B57</f>
        <v>0</v>
      </c>
      <c r="D15">
        <f>'Data Sheet'!D57-'Data Sheet'!C57</f>
        <v>5</v>
      </c>
      <c r="E15">
        <f>'Data Sheet'!E57-'Data Sheet'!D57</f>
        <v>0</v>
      </c>
      <c r="F15">
        <f>'Data Sheet'!F57-'Data Sheet'!E57</f>
        <v>0</v>
      </c>
      <c r="G15">
        <f>'Data Sheet'!G57-'Data Sheet'!F57</f>
        <v>0</v>
      </c>
      <c r="H15">
        <f>'Data Sheet'!H57-'Data Sheet'!G57</f>
        <v>0</v>
      </c>
      <c r="I15">
        <f>'Data Sheet'!I57-'Data Sheet'!H57</f>
        <v>0</v>
      </c>
      <c r="J15">
        <f>'Data Sheet'!J57-'Data Sheet'!I57</f>
        <v>0</v>
      </c>
      <c r="K15">
        <f>'Data Sheet'!K57-'Data Sheet'!J57</f>
        <v>0</v>
      </c>
    </row>
    <row r="16" spans="1:13" x14ac:dyDescent="0.25">
      <c r="A16" s="286" t="s">
        <v>909</v>
      </c>
      <c r="C16">
        <f t="shared" ref="C16:K16" si="3">C11</f>
        <v>32.07000000000005</v>
      </c>
      <c r="D16">
        <f t="shared" si="3"/>
        <v>9.0999999999999659</v>
      </c>
      <c r="E16">
        <f t="shared" si="3"/>
        <v>-24.480000000000018</v>
      </c>
      <c r="F16">
        <f t="shared" si="3"/>
        <v>-35.109999999999985</v>
      </c>
      <c r="G16">
        <f t="shared" si="3"/>
        <v>-42.28</v>
      </c>
      <c r="H16">
        <f t="shared" si="3"/>
        <v>-30.569999999999993</v>
      </c>
      <c r="I16">
        <f t="shared" si="3"/>
        <v>202.2</v>
      </c>
      <c r="J16">
        <f t="shared" si="3"/>
        <v>-26.199999999999989</v>
      </c>
      <c r="K16">
        <f t="shared" si="3"/>
        <v>211.42000000000002</v>
      </c>
    </row>
    <row r="17" spans="1:11" x14ac:dyDescent="0.25">
      <c r="A17" s="286" t="s">
        <v>928</v>
      </c>
      <c r="C17">
        <f>C15+C11-C14</f>
        <v>32.07000000000005</v>
      </c>
      <c r="D17">
        <f t="shared" ref="D17:K17" si="4">D15+D11-D14</f>
        <v>14.099999999999966</v>
      </c>
      <c r="E17">
        <f t="shared" si="4"/>
        <v>-24.480000000000018</v>
      </c>
      <c r="F17">
        <f t="shared" si="4"/>
        <v>-35.109999999999985</v>
      </c>
      <c r="G17">
        <f t="shared" si="4"/>
        <v>-42.28</v>
      </c>
      <c r="H17">
        <f t="shared" si="4"/>
        <v>-34.009999999999991</v>
      </c>
      <c r="I17">
        <f t="shared" si="4"/>
        <v>197.61999999999998</v>
      </c>
      <c r="J17">
        <f t="shared" si="4"/>
        <v>-30.779999999999987</v>
      </c>
      <c r="K17">
        <f t="shared" si="4"/>
        <v>205.92000000000002</v>
      </c>
    </row>
    <row r="18" spans="1:11" x14ac:dyDescent="0.25">
      <c r="A18" s="286" t="s">
        <v>910</v>
      </c>
      <c r="B18">
        <f>-1*'Data Sheet'!B27</f>
        <v>-14.59</v>
      </c>
      <c r="C18">
        <f>-1*'Data Sheet'!C27</f>
        <v>-23.9</v>
      </c>
      <c r="D18">
        <f>-1*'Data Sheet'!D27</f>
        <v>-15.15</v>
      </c>
      <c r="E18">
        <f>-1*'Data Sheet'!E27</f>
        <v>-21.04</v>
      </c>
      <c r="F18">
        <f>-1*'Data Sheet'!F27</f>
        <v>-20.9</v>
      </c>
      <c r="G18">
        <f>-1*'Data Sheet'!G27</f>
        <v>-27.31</v>
      </c>
      <c r="H18">
        <f>-1*'Data Sheet'!H27</f>
        <v>-17.46</v>
      </c>
      <c r="I18">
        <f>-1*'Data Sheet'!I27</f>
        <v>-22.62</v>
      </c>
      <c r="J18">
        <f>-1*'Data Sheet'!J27</f>
        <v>-33.01</v>
      </c>
      <c r="K18">
        <f>-1*'Data Sheet'!K27</f>
        <v>-22.24</v>
      </c>
    </row>
    <row r="19" spans="1:11" x14ac:dyDescent="0.25">
      <c r="A19" s="286" t="s">
        <v>978</v>
      </c>
      <c r="B19">
        <f>'Data Sheet'!B82+Others!B18</f>
        <v>3.2800000000000011</v>
      </c>
      <c r="C19">
        <f>'Data Sheet'!C82+Others!C18</f>
        <v>-9.629999999999999</v>
      </c>
      <c r="D19">
        <f>'Data Sheet'!D82+Others!D18</f>
        <v>-14.6</v>
      </c>
      <c r="E19">
        <f>'Data Sheet'!E82+Others!E18</f>
        <v>24.35</v>
      </c>
      <c r="F19">
        <f>'Data Sheet'!F82+Others!F18</f>
        <v>43.280000000000008</v>
      </c>
      <c r="G19">
        <f>'Data Sheet'!G82+Others!G18</f>
        <v>61.59</v>
      </c>
      <c r="H19">
        <f>'Data Sheet'!H82+Others!H18</f>
        <v>69.16</v>
      </c>
      <c r="I19">
        <f>'Data Sheet'!I82+Others!I18</f>
        <v>21.889999999999997</v>
      </c>
      <c r="J19">
        <f>'Data Sheet'!J82+Others!J18</f>
        <v>67.390000000000015</v>
      </c>
      <c r="K19">
        <f>'Data Sheet'!K82+Others!K18</f>
        <v>36.92</v>
      </c>
    </row>
    <row r="20" spans="1:11" x14ac:dyDescent="0.25">
      <c r="A20" s="286"/>
    </row>
    <row r="21" spans="1:11" x14ac:dyDescent="0.25">
      <c r="A21" s="286" t="s">
        <v>971</v>
      </c>
      <c r="B21">
        <v>0</v>
      </c>
      <c r="C21">
        <f>('Data Sheet'!C62-'Data Sheet'!B62)+('Data Sheet'!C63-'Data Sheet'!B63)+'Data Sheet'!C26</f>
        <v>22.770000000000032</v>
      </c>
      <c r="D21">
        <f>('Data Sheet'!D62-'Data Sheet'!C62)+('Data Sheet'!D63-'Data Sheet'!C63)+'Data Sheet'!D26</f>
        <v>0.48999999999995936</v>
      </c>
      <c r="E21">
        <f>('Data Sheet'!E62-'Data Sheet'!D62)+('Data Sheet'!E63-'Data Sheet'!D63)+'Data Sheet'!E26</f>
        <v>-0.46999999999998465</v>
      </c>
      <c r="F21">
        <f>('Data Sheet'!F62-'Data Sheet'!E62)+('Data Sheet'!F63-'Data Sheet'!E63)+'Data Sheet'!F26</f>
        <v>6.1700000000000017</v>
      </c>
      <c r="G21">
        <f>('Data Sheet'!G62-'Data Sheet'!F62)+('Data Sheet'!G63-'Data Sheet'!F63)+'Data Sheet'!G26</f>
        <v>6.0200000000000067</v>
      </c>
      <c r="H21">
        <f>('Data Sheet'!H62-'Data Sheet'!G62)+('Data Sheet'!H63-'Data Sheet'!G63)+'Data Sheet'!H26</f>
        <v>24.27</v>
      </c>
      <c r="I21">
        <f>('Data Sheet'!I62-'Data Sheet'!H62)+('Data Sheet'!I63-'Data Sheet'!H63)+'Data Sheet'!I26</f>
        <v>232.29</v>
      </c>
      <c r="J21">
        <f>('Data Sheet'!J62-'Data Sheet'!I62)+('Data Sheet'!J63-'Data Sheet'!I63)+'Data Sheet'!J26</f>
        <v>21.949999999999985</v>
      </c>
      <c r="K21">
        <f>('Data Sheet'!K62-'Data Sheet'!J62)+('Data Sheet'!K63-'Data Sheet'!J63)+'Data Sheet'!K26</f>
        <v>256.80999999999995</v>
      </c>
    </row>
    <row r="22" spans="1:11" x14ac:dyDescent="0.25">
      <c r="A22" s="286" t="s">
        <v>972</v>
      </c>
      <c r="B22">
        <v>0</v>
      </c>
      <c r="C22">
        <f>'Data Sheet'!C82-C21</f>
        <v>-8.500000000000032</v>
      </c>
      <c r="D22">
        <f>'Data Sheet'!D82-D21</f>
        <v>6.0000000000040687E-2</v>
      </c>
      <c r="E22">
        <f>'Data Sheet'!E82-E21</f>
        <v>45.859999999999985</v>
      </c>
      <c r="F22">
        <f>'Data Sheet'!F82-F21</f>
        <v>58.010000000000005</v>
      </c>
      <c r="G22">
        <f>'Data Sheet'!G82-G21</f>
        <v>82.88</v>
      </c>
      <c r="H22">
        <f>'Data Sheet'!H82-H21</f>
        <v>62.350000000000009</v>
      </c>
      <c r="I22">
        <f>'Data Sheet'!I82-I21</f>
        <v>-187.78</v>
      </c>
      <c r="J22">
        <f>'Data Sheet'!J82-J21</f>
        <v>78.450000000000017</v>
      </c>
      <c r="K22">
        <f>'Data Sheet'!K82-K21</f>
        <v>-197.64999999999995</v>
      </c>
    </row>
    <row r="23" spans="1:11" x14ac:dyDescent="0.25">
      <c r="A23" s="286" t="s">
        <v>973</v>
      </c>
      <c r="B23">
        <v>0</v>
      </c>
      <c r="C23">
        <f>C19-C21</f>
        <v>-32.400000000000034</v>
      </c>
      <c r="D23">
        <f t="shared" ref="D23:K23" si="5">D19-D21</f>
        <v>-15.089999999999959</v>
      </c>
      <c r="E23">
        <f t="shared" si="5"/>
        <v>24.819999999999986</v>
      </c>
      <c r="F23">
        <f t="shared" si="5"/>
        <v>37.110000000000007</v>
      </c>
      <c r="G23">
        <f t="shared" si="5"/>
        <v>55.569999999999993</v>
      </c>
      <c r="H23">
        <f t="shared" si="5"/>
        <v>44.89</v>
      </c>
      <c r="I23">
        <f t="shared" si="5"/>
        <v>-210.4</v>
      </c>
      <c r="J23">
        <f t="shared" si="5"/>
        <v>45.440000000000026</v>
      </c>
      <c r="K23">
        <f t="shared" si="5"/>
        <v>-219.88999999999993</v>
      </c>
    </row>
    <row r="24" spans="1:11" x14ac:dyDescent="0.25">
      <c r="A24" s="286"/>
    </row>
    <row r="25" spans="1:11" x14ac:dyDescent="0.25">
      <c r="A25" s="394" t="s">
        <v>949</v>
      </c>
    </row>
    <row r="26" spans="1:11" x14ac:dyDescent="0.25">
      <c r="A26" s="286" t="s">
        <v>929</v>
      </c>
      <c r="B26">
        <f>'Data Sheet'!B27</f>
        <v>14.59</v>
      </c>
      <c r="C26">
        <f>'Data Sheet'!C27</f>
        <v>23.9</v>
      </c>
      <c r="D26">
        <f>'Data Sheet'!D27</f>
        <v>15.15</v>
      </c>
      <c r="E26">
        <f>'Data Sheet'!E27</f>
        <v>21.04</v>
      </c>
      <c r="F26">
        <f>'Data Sheet'!F27</f>
        <v>20.9</v>
      </c>
      <c r="G26">
        <f>'Data Sheet'!G27</f>
        <v>27.31</v>
      </c>
      <c r="H26">
        <f>'Data Sheet'!H27</f>
        <v>17.46</v>
      </c>
      <c r="I26">
        <f>'Data Sheet'!I27</f>
        <v>22.62</v>
      </c>
      <c r="J26">
        <f>'Data Sheet'!J27</f>
        <v>33.01</v>
      </c>
      <c r="K26">
        <f>'Data Sheet'!K27</f>
        <v>22.24</v>
      </c>
    </row>
    <row r="27" spans="1:11" ht="15" customHeight="1" x14ac:dyDescent="0.25">
      <c r="A27" s="392" t="s">
        <v>945</v>
      </c>
      <c r="B27" s="380">
        <f>B26*(1-B43)/B50</f>
        <v>9.7304484617875567E-2</v>
      </c>
      <c r="C27" s="380">
        <f t="shared" ref="C27:K27" si="6">C26*(1-C43)/C50</f>
        <v>4.120243687301961E-2</v>
      </c>
      <c r="D27" s="380">
        <f t="shared" si="6"/>
        <v>2.9337054334206632E-2</v>
      </c>
      <c r="E27" s="380">
        <f t="shared" si="6"/>
        <v>4.5482435747338894E-2</v>
      </c>
      <c r="F27" s="380">
        <f t="shared" si="6"/>
        <v>8.0187231430325356E-2</v>
      </c>
      <c r="G27" s="380">
        <f t="shared" si="6"/>
        <v>6.9964326543160121E-2</v>
      </c>
      <c r="H27" s="380">
        <f t="shared" si="6"/>
        <v>5.223564908165082E-2</v>
      </c>
      <c r="I27" s="380">
        <f t="shared" si="6"/>
        <v>3.8734196424932039E-2</v>
      </c>
      <c r="J27" s="380">
        <f t="shared" si="6"/>
        <v>5.1814905695859434E-2</v>
      </c>
      <c r="K27" s="380">
        <f t="shared" si="6"/>
        <v>2.7085941014927988E-2</v>
      </c>
    </row>
    <row r="28" spans="1:11" x14ac:dyDescent="0.25">
      <c r="A28" s="286"/>
      <c r="B28" s="256"/>
      <c r="C28" s="256"/>
      <c r="D28" s="256"/>
      <c r="E28" s="256"/>
      <c r="F28" s="256"/>
      <c r="G28" s="256"/>
      <c r="H28" s="256"/>
      <c r="I28" s="256"/>
      <c r="J28" s="256"/>
      <c r="K28" s="256"/>
    </row>
    <row r="29" spans="1:11" x14ac:dyDescent="0.25">
      <c r="A29" s="286" t="s">
        <v>938</v>
      </c>
      <c r="B29" s="64">
        <f>'CAPM-EquityReqRet'!J11</f>
        <v>7.5625000000000012E-2</v>
      </c>
      <c r="C29" s="64">
        <f>'CAPM-EquityReqRet'!K11</f>
        <v>7.2632499999999989E-2</v>
      </c>
      <c r="D29" s="64">
        <f>'CAPM-EquityReqRet'!L11</f>
        <v>8.8401715077518331E-2</v>
      </c>
      <c r="E29" s="64">
        <f>'CAPM-EquityReqRet'!M11</f>
        <v>8.4446666666666684E-2</v>
      </c>
      <c r="F29" s="64">
        <f>'CAPM-EquityReqRet'!N11</f>
        <v>7.8415115534079163E-2</v>
      </c>
      <c r="G29" s="64">
        <f>'CAPM-EquityReqRet'!O11</f>
        <v>0.104425784396002</v>
      </c>
      <c r="H29" s="64">
        <f>'CAPM-EquityReqRet'!P11</f>
        <v>0.26058483602395999</v>
      </c>
      <c r="I29" s="64">
        <f>'CAPM-EquityReqRet'!Q11</f>
        <v>7.7274166666666672E-2</v>
      </c>
      <c r="J29" s="64">
        <f>'CAPM-EquityReqRet'!R11</f>
        <v>0.20674104391561332</v>
      </c>
      <c r="K29" s="64">
        <f>'CAPM-EquityReqRet'!S11</f>
        <v>8.1944045834985324E-2</v>
      </c>
    </row>
    <row r="30" spans="1:11" x14ac:dyDescent="0.25">
      <c r="A30" s="286" t="s">
        <v>939</v>
      </c>
      <c r="B30" s="64">
        <f>B3/B10</f>
        <v>0.32939328196304335</v>
      </c>
      <c r="C30" s="64">
        <f t="shared" ref="C30:K30" si="7">C3/C10</f>
        <v>0.24695233960121571</v>
      </c>
      <c r="D30" s="64">
        <f t="shared" si="7"/>
        <v>0.25804674078636025</v>
      </c>
      <c r="E30" s="64">
        <f t="shared" si="7"/>
        <v>0.30401718128366723</v>
      </c>
      <c r="F30" s="64">
        <f t="shared" si="7"/>
        <v>0.34814398200224972</v>
      </c>
      <c r="G30" s="64">
        <f t="shared" si="7"/>
        <v>0.48775648470770422</v>
      </c>
      <c r="H30" s="64">
        <f t="shared" si="7"/>
        <v>0.7471460214687341</v>
      </c>
      <c r="I30" s="64">
        <f t="shared" si="7"/>
        <v>0.44145716022946579</v>
      </c>
      <c r="J30" s="64">
        <f t="shared" si="7"/>
        <v>0.58408839151305136</v>
      </c>
      <c r="K30" s="64">
        <f t="shared" si="7"/>
        <v>0.45461321407655864</v>
      </c>
    </row>
    <row r="31" spans="1:11" x14ac:dyDescent="0.25">
      <c r="A31" s="286" t="s">
        <v>940</v>
      </c>
      <c r="B31" s="64">
        <f>1-B30</f>
        <v>0.67060671803695659</v>
      </c>
      <c r="C31" s="64">
        <f>1-C30</f>
        <v>0.75304766039878435</v>
      </c>
      <c r="D31" s="64">
        <f t="shared" ref="D31:K31" si="8">1-D30</f>
        <v>0.74195325921363975</v>
      </c>
      <c r="E31" s="64">
        <f t="shared" si="8"/>
        <v>0.69598281871633283</v>
      </c>
      <c r="F31" s="64">
        <f t="shared" si="8"/>
        <v>0.65185601799775028</v>
      </c>
      <c r="G31" s="64">
        <f t="shared" si="8"/>
        <v>0.51224351529229573</v>
      </c>
      <c r="H31" s="64">
        <f t="shared" si="8"/>
        <v>0.2528539785312659</v>
      </c>
      <c r="I31" s="64">
        <f t="shared" si="8"/>
        <v>0.55854283977053421</v>
      </c>
      <c r="J31" s="64">
        <f t="shared" si="8"/>
        <v>0.41591160848694864</v>
      </c>
      <c r="K31" s="64">
        <f t="shared" si="8"/>
        <v>0.54538678592344136</v>
      </c>
    </row>
    <row r="32" spans="1:11" x14ac:dyDescent="0.25">
      <c r="A32" s="286"/>
      <c r="C32" s="64"/>
      <c r="D32" s="64"/>
      <c r="E32" s="64"/>
      <c r="F32" s="64"/>
      <c r="G32" s="64"/>
      <c r="H32" s="64"/>
      <c r="I32" s="64"/>
      <c r="J32" s="64"/>
      <c r="K32" s="64"/>
    </row>
    <row r="33" spans="1:11" x14ac:dyDescent="0.25">
      <c r="A33" s="286" t="s">
        <v>339</v>
      </c>
      <c r="B33" s="85">
        <f>(B31*B27)+(B30*B29)</f>
        <v>9.0163408028326231E-2</v>
      </c>
      <c r="C33" s="85">
        <f>(C31*C27)+(C30*C29)</f>
        <v>4.8964164496041317E-2</v>
      </c>
      <c r="D33" s="85">
        <f t="shared" ref="D33:K33" si="9">(D31*D27)+(D30*D29)</f>
        <v>4.4578497534670296E-2</v>
      </c>
      <c r="E33" s="85">
        <f t="shared" si="9"/>
        <v>5.7328231402318845E-2</v>
      </c>
      <c r="F33" s="85">
        <f t="shared" si="9"/>
        <v>7.9570279945636715E-2</v>
      </c>
      <c r="G33" s="85">
        <f t="shared" si="9"/>
        <v>8.6773126083364988E-2</v>
      </c>
      <c r="H33" s="85">
        <f t="shared" si="9"/>
        <v>0.20790291518184265</v>
      </c>
      <c r="I33" s="85">
        <f t="shared" si="9"/>
        <v>5.5747942243176335E-2</v>
      </c>
      <c r="J33" s="85">
        <f t="shared" si="9"/>
        <v>0.14230546457196416</v>
      </c>
      <c r="K33" s="85">
        <f t="shared" si="9"/>
        <v>5.2025160365323009E-2</v>
      </c>
    </row>
    <row r="34" spans="1:11" x14ac:dyDescent="0.25">
      <c r="A34" s="286" t="s">
        <v>527</v>
      </c>
      <c r="B34" s="64">
        <f>Trend!B110</f>
        <v>3.4665166010129436E-2</v>
      </c>
      <c r="C34" s="64">
        <f>Trend!C110</f>
        <v>2.2498995580554435E-3</v>
      </c>
      <c r="D34" s="64">
        <f>Trend!D110</f>
        <v>4.1610842007626506E-2</v>
      </c>
      <c r="E34" s="64">
        <f>Trend!E110</f>
        <v>8.2914844214050432E-2</v>
      </c>
      <c r="F34" s="64">
        <f>Trend!F110</f>
        <v>6.3174205852553789E-2</v>
      </c>
      <c r="G34" s="64">
        <f>Trend!G110</f>
        <v>0.15704387990762128</v>
      </c>
      <c r="H34" s="64">
        <f>Trend!H110</f>
        <v>0.22563552434822182</v>
      </c>
      <c r="I34" s="64">
        <f>Trend!I110</f>
        <v>0.14006162197850569</v>
      </c>
      <c r="J34" s="64">
        <f>Trend!J110</f>
        <v>0.17607717272417561</v>
      </c>
      <c r="K34" s="64">
        <f>Trend!K110</f>
        <v>0.11255886587121487</v>
      </c>
    </row>
    <row r="35" spans="1:11" x14ac:dyDescent="0.25">
      <c r="A35" s="286" t="s">
        <v>941</v>
      </c>
      <c r="B35" s="85">
        <f>B34-B33</f>
        <v>-5.5498242018196794E-2</v>
      </c>
      <c r="C35" s="85">
        <f t="shared" ref="C35:K35" si="10">C34-C33</f>
        <v>-4.6714264937985875E-2</v>
      </c>
      <c r="D35" s="85">
        <f t="shared" si="10"/>
        <v>-2.9676555270437902E-3</v>
      </c>
      <c r="E35" s="85">
        <f t="shared" si="10"/>
        <v>2.5586612811731586E-2</v>
      </c>
      <c r="F35" s="85">
        <f t="shared" si="10"/>
        <v>-1.6396074093082927E-2</v>
      </c>
      <c r="G35" s="85">
        <f t="shared" si="10"/>
        <v>7.0270753824256293E-2</v>
      </c>
      <c r="H35" s="85">
        <f t="shared" si="10"/>
        <v>1.7732609166379171E-2</v>
      </c>
      <c r="I35" s="85">
        <f t="shared" si="10"/>
        <v>8.4313679735329355E-2</v>
      </c>
      <c r="J35" s="85">
        <f t="shared" si="10"/>
        <v>3.3771708152211449E-2</v>
      </c>
      <c r="K35" s="85">
        <f t="shared" si="10"/>
        <v>6.0533705505891863E-2</v>
      </c>
    </row>
    <row r="36" spans="1:11" x14ac:dyDescent="0.25">
      <c r="A36" s="286"/>
    </row>
    <row r="37" spans="1:11" x14ac:dyDescent="0.25">
      <c r="A37" s="286" t="s">
        <v>312</v>
      </c>
      <c r="B37" s="47">
        <f>IF('Profit &amp; Loss'!B4&gt;0,'Balance Sheet'!B18/('Profit &amp; Loss'!B4/365),0)</f>
        <v>87.327002355712608</v>
      </c>
      <c r="C37" s="47">
        <f>IF('Profit &amp; Loss'!C4&gt;0,'Balance Sheet'!C18/('Profit &amp; Loss'!C4/365),0)</f>
        <v>57.031684904869032</v>
      </c>
      <c r="D37" s="47">
        <f>IF('Profit &amp; Loss'!D4&gt;0,'Balance Sheet'!D18/('Profit &amp; Loss'!D4/365),0)</f>
        <v>91.905779102500418</v>
      </c>
      <c r="E37" s="47">
        <f>IF('Profit &amp; Loss'!E4&gt;0,'Balance Sheet'!E18/('Profit &amp; Loss'!E4/365),0)</f>
        <v>72.694441740484763</v>
      </c>
      <c r="F37" s="47">
        <f>IF('Profit &amp; Loss'!F4&gt;0,'Balance Sheet'!F18/('Profit &amp; Loss'!F4/365),0)</f>
        <v>65.730679430305855</v>
      </c>
      <c r="G37" s="47">
        <f>IF('Profit &amp; Loss'!G4&gt;0,'Balance Sheet'!G18/('Profit &amp; Loss'!G4/365),0)</f>
        <v>67.018271494227108</v>
      </c>
      <c r="H37" s="47">
        <f>IF('Profit &amp; Loss'!H4&gt;0,'Balance Sheet'!H18/('Profit &amp; Loss'!H4/365),0)</f>
        <v>52.843305893434902</v>
      </c>
      <c r="I37" s="47">
        <f>IF('Profit &amp; Loss'!I4&gt;0,'Balance Sheet'!I18/('Profit &amp; Loss'!I4/365),0)</f>
        <v>55.768082793972127</v>
      </c>
      <c r="J37" s="47">
        <f>IF('Profit &amp; Loss'!J4&gt;0,'Balance Sheet'!J18/('Profit &amp; Loss'!J4/365),0)</f>
        <v>54.621252624303992</v>
      </c>
      <c r="K37" s="47">
        <f>IF('Profit &amp; Loss'!K4&gt;0,'Balance Sheet'!K18/('Profit &amp; Loss'!K4/365),0)</f>
        <v>66.494460991236153</v>
      </c>
    </row>
    <row r="38" spans="1:11" x14ac:dyDescent="0.25">
      <c r="A38" s="394" t="s">
        <v>951</v>
      </c>
    </row>
    <row r="39" spans="1:11" x14ac:dyDescent="0.25">
      <c r="A39" s="286" t="s">
        <v>142</v>
      </c>
      <c r="B39" s="47">
        <f>'Data Sheet'!B17</f>
        <v>203.76</v>
      </c>
      <c r="C39" s="47">
        <f>'Data Sheet'!C17</f>
        <v>262.27</v>
      </c>
      <c r="D39" s="47">
        <f>'Data Sheet'!D17</f>
        <v>301.95</v>
      </c>
      <c r="E39" s="47">
        <f>'Data Sheet'!E17</f>
        <v>410.92</v>
      </c>
      <c r="F39" s="47">
        <f>'Data Sheet'!F17</f>
        <v>428.3</v>
      </c>
      <c r="G39" s="47">
        <f>'Data Sheet'!G17</f>
        <v>446.05</v>
      </c>
      <c r="H39" s="47">
        <f>'Data Sheet'!H17</f>
        <v>488.34</v>
      </c>
      <c r="I39" s="47">
        <f>'Data Sheet'!I17</f>
        <v>616.47</v>
      </c>
      <c r="J39" s="47">
        <f>'Data Sheet'!J17</f>
        <v>766.87</v>
      </c>
      <c r="K39" s="47">
        <f>'Data Sheet'!K17</f>
        <v>933.38</v>
      </c>
    </row>
    <row r="40" spans="1:11" x14ac:dyDescent="0.25">
      <c r="A40" s="286" t="s">
        <v>911</v>
      </c>
      <c r="B40" s="47">
        <f>Trend!B11</f>
        <v>-4.29</v>
      </c>
      <c r="C40" s="47">
        <f>Trend!C11</f>
        <v>-14.11</v>
      </c>
      <c r="D40" s="47">
        <f>Trend!D11</f>
        <v>0.68</v>
      </c>
      <c r="E40" s="47">
        <f>Trend!E11</f>
        <v>6.74</v>
      </c>
      <c r="F40" s="47">
        <f>Trend!F11</f>
        <v>0.3</v>
      </c>
      <c r="G40" s="47">
        <f>Trend!G11</f>
        <v>14.14</v>
      </c>
      <c r="H40" s="47">
        <f>Trend!H11</f>
        <v>34.78</v>
      </c>
      <c r="I40" s="47">
        <f>Trend!I11</f>
        <v>40.96</v>
      </c>
      <c r="J40" s="47">
        <f>Trend!J11</f>
        <v>44.16</v>
      </c>
      <c r="K40" s="47">
        <f>Trend!K11</f>
        <v>57.15</v>
      </c>
    </row>
    <row r="41" spans="1:11" x14ac:dyDescent="0.25">
      <c r="A41" s="286" t="s">
        <v>912</v>
      </c>
      <c r="B41">
        <f>Trend!B5</f>
        <v>0.17</v>
      </c>
      <c r="C41">
        <f>Trend!C5</f>
        <v>0.98</v>
      </c>
      <c r="D41">
        <f>Trend!D5</f>
        <v>0.56000000000000005</v>
      </c>
      <c r="E41">
        <f>Trend!E5</f>
        <v>0.24</v>
      </c>
      <c r="F41">
        <f>Trend!F5</f>
        <v>0.13</v>
      </c>
      <c r="G41">
        <f>Trend!G5</f>
        <v>0.3</v>
      </c>
      <c r="H41">
        <f>Trend!H5</f>
        <v>0.35</v>
      </c>
      <c r="I41">
        <f>Trend!I5</f>
        <v>5.13</v>
      </c>
      <c r="J41">
        <f>Trend!J5</f>
        <v>0.72</v>
      </c>
      <c r="K41">
        <f>Trend!K5</f>
        <v>0.79</v>
      </c>
    </row>
    <row r="42" spans="1:11" x14ac:dyDescent="0.25">
      <c r="A42" s="286" t="s">
        <v>913</v>
      </c>
      <c r="B42">
        <f>Trend!B7</f>
        <v>2.4</v>
      </c>
      <c r="C42">
        <f>Trend!C7</f>
        <v>29.33</v>
      </c>
      <c r="D42">
        <f>Trend!D7</f>
        <v>0.11</v>
      </c>
      <c r="E42">
        <f>Trend!E7</f>
        <v>0.21</v>
      </c>
      <c r="F42">
        <f>Trend!F7</f>
        <v>0.15</v>
      </c>
      <c r="G42">
        <f>Trend!G7</f>
        <v>15.53</v>
      </c>
      <c r="H42">
        <f>Trend!H7</f>
        <v>0.21</v>
      </c>
      <c r="I42">
        <f>Trend!I7</f>
        <v>0.88</v>
      </c>
      <c r="J42">
        <f>Trend!J7</f>
        <v>0.06</v>
      </c>
      <c r="K42">
        <f>Trend!K7</f>
        <v>7.0000000000000007E-2</v>
      </c>
    </row>
    <row r="43" spans="1:11" x14ac:dyDescent="0.25">
      <c r="A43" s="286" t="s">
        <v>914</v>
      </c>
      <c r="B43" s="85">
        <f>Trend!B22</f>
        <v>-0.88986784140969166</v>
      </c>
      <c r="C43" s="85">
        <f>Trend!C22</f>
        <v>0.38811795316565478</v>
      </c>
      <c r="D43" s="85">
        <f>Trend!D22</f>
        <v>0.32</v>
      </c>
      <c r="E43" s="85">
        <f>Trend!E22</f>
        <v>0.30299896587383662</v>
      </c>
      <c r="F43" s="85">
        <f>Trend!F22</f>
        <v>0</v>
      </c>
      <c r="G43" s="85">
        <f>Trend!G22</f>
        <v>0.3261802575107296</v>
      </c>
      <c r="H43" s="85">
        <f>Trend!H22</f>
        <v>0.33051010587102986</v>
      </c>
      <c r="I43" s="85">
        <f>Trend!I22</f>
        <v>0.23795348837209301</v>
      </c>
      <c r="J43" s="85">
        <f>Trend!J22</f>
        <v>0.32274888786623718</v>
      </c>
      <c r="K43" s="85">
        <f>Trend!K22</f>
        <v>0.18380462724935734</v>
      </c>
    </row>
    <row r="44" spans="1:11" x14ac:dyDescent="0.25">
      <c r="A44" s="286" t="s">
        <v>915</v>
      </c>
      <c r="B44" s="38">
        <f>B40/B$39%</f>
        <v>-2.1054181389870439</v>
      </c>
      <c r="C44" s="38">
        <f t="shared" ref="C44:K44" si="11">C40/C$39%</f>
        <v>-5.3799519579059742</v>
      </c>
      <c r="D44" s="38">
        <f t="shared" si="11"/>
        <v>0.22520284815366784</v>
      </c>
      <c r="E44" s="38">
        <f t="shared" si="11"/>
        <v>1.6402219410104155</v>
      </c>
      <c r="F44" s="38">
        <f t="shared" si="11"/>
        <v>7.0044361428904967E-2</v>
      </c>
      <c r="G44" s="38">
        <f t="shared" si="11"/>
        <v>3.1700482008743416</v>
      </c>
      <c r="H44" s="38">
        <f t="shared" si="11"/>
        <v>7.1220870704836798</v>
      </c>
      <c r="I44" s="38">
        <f t="shared" si="11"/>
        <v>6.6442811491232341</v>
      </c>
      <c r="J44" s="38">
        <f t="shared" si="11"/>
        <v>5.7584727528785837</v>
      </c>
      <c r="K44" s="38">
        <f t="shared" si="11"/>
        <v>6.1229081403072705</v>
      </c>
    </row>
    <row r="45" spans="1:11" x14ac:dyDescent="0.25">
      <c r="A45" s="286" t="s">
        <v>916</v>
      </c>
      <c r="B45" s="47">
        <f>B40-B41*(1-B43)</f>
        <v>-4.6112775330396474</v>
      </c>
      <c r="C45" s="47">
        <f t="shared" ref="C45:K45" si="12">C40-C41*(1-C43)</f>
        <v>-14.709644405897658</v>
      </c>
      <c r="D45" s="47">
        <f t="shared" si="12"/>
        <v>0.29920000000000002</v>
      </c>
      <c r="E45" s="47">
        <f t="shared" si="12"/>
        <v>6.5727197518097213</v>
      </c>
      <c r="F45" s="47">
        <f t="shared" si="12"/>
        <v>0.16999999999999998</v>
      </c>
      <c r="G45" s="47">
        <f t="shared" si="12"/>
        <v>13.937854077253219</v>
      </c>
      <c r="H45" s="47">
        <f t="shared" si="12"/>
        <v>34.545678537054862</v>
      </c>
      <c r="I45" s="47">
        <f t="shared" si="12"/>
        <v>37.050701395348838</v>
      </c>
      <c r="J45" s="47">
        <f t="shared" si="12"/>
        <v>43.672379199263688</v>
      </c>
      <c r="K45" s="47">
        <f t="shared" si="12"/>
        <v>56.505205655526993</v>
      </c>
    </row>
    <row r="46" spans="1:11" x14ac:dyDescent="0.25">
      <c r="A46" s="286" t="s">
        <v>917</v>
      </c>
      <c r="B46" s="38">
        <f>B45/B$39%</f>
        <v>-2.2630926251666903</v>
      </c>
      <c r="C46" s="38">
        <f t="shared" ref="C46:K46" si="13">C45/C$39%</f>
        <v>-5.6085882509999836</v>
      </c>
      <c r="D46" s="38">
        <f t="shared" si="13"/>
        <v>9.9089253187613857E-2</v>
      </c>
      <c r="E46" s="38">
        <f t="shared" si="13"/>
        <v>1.5995132268591747</v>
      </c>
      <c r="F46" s="38">
        <f t="shared" si="13"/>
        <v>3.9691804809712808E-2</v>
      </c>
      <c r="G46" s="38">
        <f t="shared" si="13"/>
        <v>3.1247290835675865</v>
      </c>
      <c r="H46" s="38">
        <f t="shared" si="13"/>
        <v>7.0741038082186307</v>
      </c>
      <c r="I46" s="38">
        <f t="shared" si="13"/>
        <v>6.0101385947976125</v>
      </c>
      <c r="J46" s="38">
        <f t="shared" si="13"/>
        <v>5.6948869038120788</v>
      </c>
      <c r="K46" s="38">
        <f t="shared" si="13"/>
        <v>6.0538264860535893</v>
      </c>
    </row>
    <row r="48" spans="1:11" x14ac:dyDescent="0.25">
      <c r="A48" s="286" t="s">
        <v>918</v>
      </c>
      <c r="B48" s="47">
        <f>B$40-B41*(1-B43) + B42*(1-B43)</f>
        <v>-7.5594713656387924E-2</v>
      </c>
      <c r="C48" s="47">
        <f t="shared" ref="C48:K48" si="14">C$40-C41*(1-C43) + C42*(1-C43)</f>
        <v>3.2368560277536869</v>
      </c>
      <c r="D48" s="47">
        <f t="shared" si="14"/>
        <v>0.374</v>
      </c>
      <c r="E48" s="47">
        <f t="shared" si="14"/>
        <v>6.719089968976216</v>
      </c>
      <c r="F48" s="47">
        <f t="shared" si="14"/>
        <v>0.31999999999999995</v>
      </c>
      <c r="G48" s="47">
        <f t="shared" si="14"/>
        <v>24.402274678111588</v>
      </c>
      <c r="H48" s="47">
        <f t="shared" si="14"/>
        <v>34.686271414821945</v>
      </c>
      <c r="I48" s="47">
        <f t="shared" si="14"/>
        <v>37.721302325581398</v>
      </c>
      <c r="J48" s="47">
        <f t="shared" si="14"/>
        <v>43.713014265991717</v>
      </c>
      <c r="K48" s="47">
        <f t="shared" si="14"/>
        <v>56.56233933161954</v>
      </c>
    </row>
    <row r="49" spans="1:11" x14ac:dyDescent="0.25">
      <c r="A49" s="394" t="s">
        <v>950</v>
      </c>
    </row>
    <row r="50" spans="1:11" x14ac:dyDescent="0.25">
      <c r="A50" s="286" t="s">
        <v>919</v>
      </c>
      <c r="B50">
        <f>'Balance Sheet'!B6+'Balance Sheet'!B7</f>
        <v>283.37</v>
      </c>
      <c r="C50">
        <f>'Balance Sheet'!C6+'Balance Sheet'!C7</f>
        <v>354.93</v>
      </c>
      <c r="D50">
        <f>'Balance Sheet'!D6+'Balance Sheet'!D7</f>
        <v>351.15999999999997</v>
      </c>
      <c r="E50">
        <f>'Balance Sheet'!E6+'Balance Sheet'!E7</f>
        <v>322.42999999999995</v>
      </c>
      <c r="F50">
        <f>'Balance Sheet'!F6+'Balance Sheet'!F7</f>
        <v>260.64</v>
      </c>
      <c r="G50">
        <f>'Balance Sheet'!G6+'Balance Sheet'!G7</f>
        <v>263.02</v>
      </c>
      <c r="H50">
        <f>'Balance Sheet'!H6+'Balance Sheet'!H7</f>
        <v>223.78</v>
      </c>
      <c r="I50">
        <f>'Balance Sheet'!I6+'Balance Sheet'!I7</f>
        <v>445.02</v>
      </c>
      <c r="J50">
        <f>'Balance Sheet'!J6+'Balance Sheet'!J7</f>
        <v>431.46</v>
      </c>
      <c r="K50">
        <f>'Balance Sheet'!K6+'Balance Sheet'!K7</f>
        <v>670.17000000000007</v>
      </c>
    </row>
    <row r="51" spans="1:11" x14ac:dyDescent="0.25">
      <c r="A51" s="286" t="s">
        <v>920</v>
      </c>
      <c r="B51">
        <f>'Balance Sheet'!B6+'Balance Sheet'!B7+'Balance Sheet'!B17</f>
        <v>295.16000000000003</v>
      </c>
      <c r="C51">
        <f>'Balance Sheet'!C6+'Balance Sheet'!C7+'Balance Sheet'!C17</f>
        <v>370.17</v>
      </c>
      <c r="D51">
        <f>'Balance Sheet'!D6+'Balance Sheet'!D7+'Balance Sheet'!D17</f>
        <v>360.55999999999995</v>
      </c>
      <c r="E51">
        <f>'Balance Sheet'!E6+'Balance Sheet'!E7+'Balance Sheet'!E17</f>
        <v>357.77</v>
      </c>
      <c r="F51">
        <f>'Balance Sheet'!F6+'Balance Sheet'!F7+'Balance Sheet'!F17</f>
        <v>279.14</v>
      </c>
      <c r="G51">
        <f>'Balance Sheet'!G6+'Balance Sheet'!G7+'Balance Sheet'!G17</f>
        <v>291.06</v>
      </c>
      <c r="H51">
        <f>'Balance Sheet'!H6+'Balance Sheet'!H7+'Balance Sheet'!H17</f>
        <v>248.67000000000002</v>
      </c>
      <c r="I51">
        <f>'Balance Sheet'!I6+'Balance Sheet'!I7+'Balance Sheet'!I17</f>
        <v>485.44</v>
      </c>
      <c r="J51">
        <f>'Balance Sheet'!J6+'Balance Sheet'!J7+'Balance Sheet'!J17</f>
        <v>470.71</v>
      </c>
      <c r="K51">
        <f>'Balance Sheet'!K6+'Balance Sheet'!K7+'Balance Sheet'!K17</f>
        <v>718.50000000000011</v>
      </c>
    </row>
    <row r="53" spans="1:11" x14ac:dyDescent="0.25">
      <c r="A53" s="286" t="s">
        <v>921</v>
      </c>
      <c r="B53" s="38">
        <f t="shared" ref="B53:K53" si="15">B50/B3</f>
        <v>3.2179196002725412</v>
      </c>
      <c r="C53" s="38">
        <f t="shared" si="15"/>
        <v>4.8002434406275363</v>
      </c>
      <c r="D53" s="38">
        <f t="shared" si="15"/>
        <v>4.4110036427584474</v>
      </c>
      <c r="E53" s="38">
        <f t="shared" si="15"/>
        <v>3.7339895773016787</v>
      </c>
      <c r="F53" s="38">
        <f t="shared" si="15"/>
        <v>3.0076159704592662</v>
      </c>
      <c r="G53" s="38">
        <f t="shared" si="15"/>
        <v>2.609584284155174</v>
      </c>
      <c r="H53" s="38">
        <f t="shared" si="15"/>
        <v>1.7011022424933484</v>
      </c>
      <c r="I53" s="38">
        <f t="shared" si="15"/>
        <v>2.6649499970058086</v>
      </c>
      <c r="J53" s="38">
        <f t="shared" si="15"/>
        <v>2.0981326590157559</v>
      </c>
      <c r="K53" s="38">
        <f t="shared" si="15"/>
        <v>2.6161142990982551</v>
      </c>
    </row>
    <row r="54" spans="1:11" x14ac:dyDescent="0.25">
      <c r="A54" t="s">
        <v>922</v>
      </c>
      <c r="B54" s="38">
        <f t="shared" ref="B54:K54" si="16">B51/B3</f>
        <v>3.351805587099705</v>
      </c>
      <c r="C54" s="38">
        <f t="shared" si="16"/>
        <v>5.0063565052745469</v>
      </c>
      <c r="D54" s="38">
        <f t="shared" si="16"/>
        <v>4.5290792613993212</v>
      </c>
      <c r="E54" s="38">
        <f t="shared" si="16"/>
        <v>4.1432541980312685</v>
      </c>
      <c r="F54" s="38">
        <f t="shared" si="16"/>
        <v>3.2210939303023309</v>
      </c>
      <c r="G54" s="38">
        <f t="shared" si="16"/>
        <v>2.8877864867546386</v>
      </c>
      <c r="H54" s="38">
        <f t="shared" si="16"/>
        <v>1.8903078677309006</v>
      </c>
      <c r="I54" s="38">
        <f t="shared" si="16"/>
        <v>2.9070004191867773</v>
      </c>
      <c r="J54" s="38">
        <f t="shared" si="16"/>
        <v>2.2890001945146858</v>
      </c>
      <c r="K54" s="38">
        <f t="shared" si="16"/>
        <v>2.8047780770582036</v>
      </c>
    </row>
    <row r="55" spans="1:11" x14ac:dyDescent="0.25">
      <c r="A55" s="394" t="s">
        <v>952</v>
      </c>
    </row>
    <row r="56" spans="1:11" x14ac:dyDescent="0.25">
      <c r="A56" t="s">
        <v>197</v>
      </c>
      <c r="B56">
        <f>Other_input_data!C37</f>
        <v>12.320000000000004</v>
      </c>
      <c r="C56">
        <f>Other_input_data!D37</f>
        <v>0.83999999999998209</v>
      </c>
      <c r="D56">
        <f>Other_input_data!E37</f>
        <v>16.150000000000006</v>
      </c>
      <c r="E56">
        <f>Other_input_data!F37</f>
        <v>30.710000000000022</v>
      </c>
      <c r="F56">
        <f>Other_input_data!G37</f>
        <v>21.200000000000014</v>
      </c>
      <c r="G56">
        <f>Other_input_data!H37</f>
        <v>48.290000000000006</v>
      </c>
      <c r="H56">
        <f>Other_input_data!I37</f>
        <v>69.42</v>
      </c>
      <c r="I56">
        <f>Other_input_data!J37</f>
        <v>76.380000000000038</v>
      </c>
      <c r="J56">
        <f>Other_input_data!K37</f>
        <v>98.19</v>
      </c>
      <c r="K56">
        <f>Other_input_data!L37</f>
        <v>92.260000000000019</v>
      </c>
    </row>
    <row r="57" spans="1:11" x14ac:dyDescent="0.25">
      <c r="A57" t="s">
        <v>11</v>
      </c>
      <c r="B57">
        <f>B26</f>
        <v>14.59</v>
      </c>
      <c r="C57">
        <f t="shared" ref="C57:K57" si="17">C26</f>
        <v>23.9</v>
      </c>
      <c r="D57">
        <f t="shared" si="17"/>
        <v>15.15</v>
      </c>
      <c r="E57">
        <f t="shared" si="17"/>
        <v>21.04</v>
      </c>
      <c r="F57">
        <f t="shared" si="17"/>
        <v>20.9</v>
      </c>
      <c r="G57">
        <f t="shared" si="17"/>
        <v>27.31</v>
      </c>
      <c r="H57">
        <f t="shared" si="17"/>
        <v>17.46</v>
      </c>
      <c r="I57">
        <f t="shared" si="17"/>
        <v>22.62</v>
      </c>
      <c r="J57">
        <f t="shared" si="17"/>
        <v>33.01</v>
      </c>
      <c r="K57">
        <f t="shared" si="17"/>
        <v>22.24</v>
      </c>
    </row>
    <row r="58" spans="1:11" x14ac:dyDescent="0.25">
      <c r="A58" t="s">
        <v>9</v>
      </c>
      <c r="B58">
        <f>B41</f>
        <v>0.17</v>
      </c>
      <c r="C58">
        <f t="shared" ref="C58:K58" si="18">C41</f>
        <v>0.98</v>
      </c>
      <c r="D58">
        <f t="shared" si="18"/>
        <v>0.56000000000000005</v>
      </c>
      <c r="E58">
        <f t="shared" si="18"/>
        <v>0.24</v>
      </c>
      <c r="F58">
        <f t="shared" si="18"/>
        <v>0.13</v>
      </c>
      <c r="G58">
        <f t="shared" si="18"/>
        <v>0.3</v>
      </c>
      <c r="H58">
        <f t="shared" si="18"/>
        <v>0.35</v>
      </c>
      <c r="I58">
        <f t="shared" si="18"/>
        <v>5.13</v>
      </c>
      <c r="J58">
        <f t="shared" si="18"/>
        <v>0.72</v>
      </c>
      <c r="K58">
        <f t="shared" si="18"/>
        <v>0.79</v>
      </c>
    </row>
    <row r="59" spans="1:11" x14ac:dyDescent="0.25">
      <c r="A59" t="s">
        <v>942</v>
      </c>
      <c r="B59">
        <f>B56+(B57-B58)*(1-B43)</f>
        <v>39.571894273127754</v>
      </c>
      <c r="C59">
        <f t="shared" ref="C59:K59" si="19">C56+(C57-C58)*(1-C43)</f>
        <v>14.864336513443174</v>
      </c>
      <c r="D59">
        <f t="shared" si="19"/>
        <v>26.071200000000005</v>
      </c>
      <c r="E59">
        <f t="shared" si="19"/>
        <v>45.207621509824222</v>
      </c>
      <c r="F59">
        <f t="shared" si="19"/>
        <v>41.970000000000013</v>
      </c>
      <c r="G59">
        <f t="shared" si="19"/>
        <v>66.489871244635196</v>
      </c>
      <c r="H59">
        <f t="shared" si="19"/>
        <v>80.874972088546684</v>
      </c>
      <c r="I59">
        <f t="shared" si="19"/>
        <v>89.708193488372132</v>
      </c>
      <c r="J59">
        <f t="shared" si="19"/>
        <v>120.0584384107992</v>
      </c>
      <c r="K59">
        <f t="shared" si="19"/>
        <v>109.7673907455013</v>
      </c>
    </row>
    <row r="60" spans="1:11" ht="30" x14ac:dyDescent="0.25">
      <c r="A60" s="378" t="s">
        <v>943</v>
      </c>
      <c r="B60">
        <f>'Balance Sheet'!B8-'Data Sheet'!B69</f>
        <v>371.03000000000003</v>
      </c>
      <c r="C60">
        <f>'Balance Sheet'!C8</f>
        <v>428.87</v>
      </c>
      <c r="D60">
        <f>'Balance Sheet'!D8</f>
        <v>430.77</v>
      </c>
      <c r="E60">
        <f>'Balance Sheet'!E8</f>
        <v>408.78</v>
      </c>
      <c r="F60">
        <f>'Balance Sheet'!F8</f>
        <v>347.3</v>
      </c>
      <c r="G60">
        <f>'Balance Sheet'!G8</f>
        <v>363.81</v>
      </c>
      <c r="H60">
        <f>'Balance Sheet'!H8</f>
        <v>355.33</v>
      </c>
      <c r="I60">
        <f>'Balance Sheet'!I8</f>
        <v>612.01</v>
      </c>
      <c r="J60">
        <f>'Balance Sheet'!J8</f>
        <v>637.1</v>
      </c>
      <c r="K60">
        <f>'Balance Sheet'!K8</f>
        <v>926.34</v>
      </c>
    </row>
    <row r="61" spans="1:11" x14ac:dyDescent="0.25">
      <c r="A61" t="s">
        <v>244</v>
      </c>
      <c r="B61" s="401">
        <f>B59/B60</f>
        <v>0.10665416347230076</v>
      </c>
      <c r="C61" s="401">
        <f t="shared" ref="C61:K61" si="20">C59/C60</f>
        <v>3.4659305881603222E-2</v>
      </c>
      <c r="D61" s="401">
        <f t="shared" si="20"/>
        <v>6.052232049585627E-2</v>
      </c>
      <c r="E61" s="401">
        <f t="shared" si="20"/>
        <v>0.1105915688385543</v>
      </c>
      <c r="F61" s="401">
        <f t="shared" si="20"/>
        <v>0.12084653037719555</v>
      </c>
      <c r="G61" s="401">
        <f t="shared" si="20"/>
        <v>0.18275987808096314</v>
      </c>
      <c r="H61" s="401">
        <f t="shared" si="20"/>
        <v>0.22760524607701768</v>
      </c>
      <c r="I61" s="401">
        <f t="shared" si="20"/>
        <v>0.14657962041203923</v>
      </c>
      <c r="J61" s="401">
        <f t="shared" si="20"/>
        <v>0.18844520233997675</v>
      </c>
      <c r="K61" s="401">
        <f t="shared" si="20"/>
        <v>0.11849579068754593</v>
      </c>
    </row>
    <row r="62" spans="1:11" x14ac:dyDescent="0.25">
      <c r="A62" t="s">
        <v>944</v>
      </c>
      <c r="C62" s="100">
        <f>C61-C33</f>
        <v>-1.4304858614438094E-2</v>
      </c>
      <c r="D62" s="100">
        <f t="shared" ref="D62:K62" si="21">D61-D33</f>
        <v>1.5943822961185974E-2</v>
      </c>
      <c r="E62" s="100">
        <f t="shared" si="21"/>
        <v>5.3263337436235451E-2</v>
      </c>
      <c r="F62" s="100">
        <f t="shared" si="21"/>
        <v>4.1276250431558831E-2</v>
      </c>
      <c r="G62" s="100">
        <f t="shared" si="21"/>
        <v>9.5986751997598152E-2</v>
      </c>
      <c r="H62" s="100">
        <f t="shared" si="21"/>
        <v>1.9702330895175035E-2</v>
      </c>
      <c r="I62" s="100">
        <f t="shared" si="21"/>
        <v>9.0831678168862895E-2</v>
      </c>
      <c r="J62" s="100">
        <f t="shared" si="21"/>
        <v>4.6139737768012584E-2</v>
      </c>
      <c r="K62" s="100">
        <f t="shared" si="21"/>
        <v>6.6470630322222918E-2</v>
      </c>
    </row>
    <row r="63" spans="1:11" x14ac:dyDescent="0.25">
      <c r="C63" s="100"/>
      <c r="D63" s="100"/>
      <c r="E63" s="100"/>
      <c r="F63" s="100"/>
      <c r="G63" s="100"/>
      <c r="H63" s="100"/>
      <c r="I63" s="100"/>
      <c r="J63" s="100"/>
      <c r="K63" s="100"/>
    </row>
    <row r="64" spans="1:11" x14ac:dyDescent="0.25">
      <c r="A64" t="s">
        <v>994</v>
      </c>
      <c r="C64" s="100">
        <f>('Data Sheet'!C17-'Data Sheet'!B17)/'Data Sheet'!B17</f>
        <v>0.2871515508441303</v>
      </c>
      <c r="D64" s="100">
        <f>('Data Sheet'!D17-'Data Sheet'!C17)/'Data Sheet'!C17</f>
        <v>0.15129446753345793</v>
      </c>
      <c r="E64" s="100">
        <f>('Data Sheet'!E17-'Data Sheet'!D17)/'Data Sheet'!D17</f>
        <v>0.36088756416625278</v>
      </c>
      <c r="F64" s="100">
        <f>('Data Sheet'!F17-'Data Sheet'!E17)/'Data Sheet'!E17</f>
        <v>4.2295337291930288E-2</v>
      </c>
      <c r="G64" s="100">
        <f>('Data Sheet'!G17-'Data Sheet'!F17)/'Data Sheet'!F17</f>
        <v>4.1442913845435442E-2</v>
      </c>
      <c r="H64" s="100">
        <f>('Data Sheet'!H17-'Data Sheet'!G17)/'Data Sheet'!G17</f>
        <v>9.4809998879049354E-2</v>
      </c>
      <c r="I64" s="100">
        <f>('Data Sheet'!I17-'Data Sheet'!H17)/'Data Sheet'!H17</f>
        <v>0.26237867059835374</v>
      </c>
      <c r="J64" s="100">
        <f>('Data Sheet'!J17-'Data Sheet'!I17)/'Data Sheet'!I17</f>
        <v>0.24396969844436869</v>
      </c>
      <c r="K64" s="100">
        <f>('Data Sheet'!K17-'Data Sheet'!J17)/'Data Sheet'!J17</f>
        <v>0.21712937003664246</v>
      </c>
    </row>
    <row r="65" spans="1:11" x14ac:dyDescent="0.25">
      <c r="A65" t="s">
        <v>995</v>
      </c>
      <c r="C65" s="100">
        <f>(C50-B50)/B50</f>
        <v>0.25253202526731833</v>
      </c>
      <c r="D65" s="100">
        <f t="shared" ref="D65:K65" si="22">(D50-C50)/C50</f>
        <v>-1.0621812751810325E-2</v>
      </c>
      <c r="E65" s="100">
        <f t="shared" si="22"/>
        <v>-8.1814557466681911E-2</v>
      </c>
      <c r="F65" s="100">
        <f t="shared" si="22"/>
        <v>-0.19163849517724768</v>
      </c>
      <c r="G65" s="100">
        <f t="shared" si="22"/>
        <v>9.1313689379987559E-3</v>
      </c>
      <c r="H65" s="100">
        <f t="shared" si="22"/>
        <v>-0.1491901756520416</v>
      </c>
      <c r="I65" s="100">
        <f t="shared" si="22"/>
        <v>0.98864956653856462</v>
      </c>
      <c r="J65" s="100">
        <f t="shared" si="22"/>
        <v>-3.0470540649858439E-2</v>
      </c>
      <c r="K65" s="100">
        <f t="shared" si="22"/>
        <v>0.55326102072034511</v>
      </c>
    </row>
    <row r="66" spans="1:11" x14ac:dyDescent="0.25">
      <c r="A66" t="s">
        <v>996</v>
      </c>
      <c r="C66" s="100">
        <f>('Balance Sheet'!C17-'Balance Sheet'!B17)/'Balance Sheet'!B17</f>
        <v>0.29262086513994923</v>
      </c>
      <c r="D66" s="100">
        <f>('Balance Sheet'!D17-'Balance Sheet'!C17)/'Balance Sheet'!C17</f>
        <v>-0.38320209973753278</v>
      </c>
      <c r="E66" s="100">
        <f>('Balance Sheet'!E17-'Balance Sheet'!D17)/'Balance Sheet'!D17</f>
        <v>2.7595744680851069</v>
      </c>
      <c r="F66" s="100">
        <f>('Balance Sheet'!F17-'Balance Sheet'!E17)/'Balance Sheet'!E17</f>
        <v>-0.47651386530843243</v>
      </c>
      <c r="G66" s="100">
        <f>('Balance Sheet'!G17-'Balance Sheet'!F17)/'Balance Sheet'!F17</f>
        <v>0.51567567567567563</v>
      </c>
      <c r="H66" s="100">
        <f>('Balance Sheet'!H17-'Balance Sheet'!G17)/'Balance Sheet'!G17</f>
        <v>-0.11233951497860195</v>
      </c>
      <c r="I66" s="100">
        <f>('Balance Sheet'!I17-'Balance Sheet'!H17)/'Balance Sheet'!H17</f>
        <v>0.62394535958216157</v>
      </c>
      <c r="J66" s="100">
        <f>('Balance Sheet'!J17-'Balance Sheet'!I17)/'Balance Sheet'!I17</f>
        <v>-2.8946066303810036E-2</v>
      </c>
      <c r="K66" s="100">
        <f>('Balance Sheet'!K17-'Balance Sheet'!J17)/'Balance Sheet'!J17</f>
        <v>0.23133757961783435</v>
      </c>
    </row>
    <row r="67" spans="1:11" x14ac:dyDescent="0.25">
      <c r="C67" s="100"/>
      <c r="D67" s="100"/>
      <c r="E67" s="100"/>
      <c r="F67" s="100"/>
      <c r="G67" s="100"/>
      <c r="H67" s="100"/>
      <c r="I67" s="100"/>
      <c r="J67" s="100"/>
      <c r="K67" s="100"/>
    </row>
    <row r="68" spans="1:11" x14ac:dyDescent="0.25">
      <c r="A68" s="381" t="s">
        <v>923</v>
      </c>
      <c r="B68" s="16">
        <f>'Data Sheet'!B41</f>
        <v>42277</v>
      </c>
      <c r="C68" s="16">
        <f>'Data Sheet'!C41</f>
        <v>42369</v>
      </c>
      <c r="D68" s="16">
        <f>'Data Sheet'!D41</f>
        <v>42460</v>
      </c>
      <c r="E68" s="16">
        <f>'Data Sheet'!E41</f>
        <v>42551</v>
      </c>
      <c r="F68" s="16">
        <f>'Data Sheet'!F41</f>
        <v>42643</v>
      </c>
      <c r="G68" s="16">
        <f>'Data Sheet'!G41</f>
        <v>42735</v>
      </c>
      <c r="H68" s="16">
        <f>'Data Sheet'!H41</f>
        <v>42825</v>
      </c>
      <c r="I68" s="16">
        <f>'Data Sheet'!I41</f>
        <v>42916</v>
      </c>
      <c r="J68" s="16">
        <f>'Data Sheet'!J41</f>
        <v>43008</v>
      </c>
      <c r="K68" s="16">
        <f>'Data Sheet'!K41</f>
        <v>43100</v>
      </c>
    </row>
    <row r="69" spans="1:11" x14ac:dyDescent="0.25">
      <c r="A69" s="378" t="s">
        <v>924</v>
      </c>
      <c r="B69">
        <f>Quarters!B12</f>
        <v>10.34</v>
      </c>
      <c r="C69">
        <f>Quarters!C12</f>
        <v>10.67</v>
      </c>
      <c r="D69">
        <f>Quarters!D12</f>
        <v>11.37</v>
      </c>
      <c r="E69">
        <f>Quarters!E12</f>
        <v>12.3</v>
      </c>
      <c r="F69">
        <f>Quarters!F12</f>
        <v>14.12</v>
      </c>
      <c r="G69">
        <f>Quarters!G12</f>
        <v>15.23</v>
      </c>
      <c r="H69">
        <f>Quarters!H12</f>
        <v>15.79</v>
      </c>
      <c r="I69">
        <f>Quarters!I12</f>
        <v>12.73</v>
      </c>
      <c r="J69">
        <f>Quarters!J12</f>
        <v>8.31</v>
      </c>
      <c r="K69">
        <f>Quarters!K12</f>
        <v>16.760000000000002</v>
      </c>
    </row>
    <row r="70" spans="1:11" x14ac:dyDescent="0.25">
      <c r="A70" t="s">
        <v>912</v>
      </c>
      <c r="B70">
        <f>Quarters!B7</f>
        <v>0.01</v>
      </c>
      <c r="C70">
        <f>Quarters!C7</f>
        <v>0.03</v>
      </c>
      <c r="D70">
        <f>Quarters!D7</f>
        <v>0</v>
      </c>
      <c r="E70">
        <f>Quarters!E7</f>
        <v>0.14000000000000001</v>
      </c>
      <c r="F70">
        <f>Quarters!F7</f>
        <v>0.41</v>
      </c>
      <c r="G70">
        <f>Quarters!G7</f>
        <v>7.0000000000000007E-2</v>
      </c>
      <c r="H70">
        <f>Quarters!H7</f>
        <v>0.16</v>
      </c>
      <c r="I70">
        <f>Quarters!I7</f>
        <v>0.19</v>
      </c>
      <c r="J70">
        <f>Quarters!J7</f>
        <v>0.79</v>
      </c>
      <c r="K70">
        <f>Quarters!K7</f>
        <v>0.83</v>
      </c>
    </row>
    <row r="71" spans="1:11" x14ac:dyDescent="0.25">
      <c r="A71" t="s">
        <v>927</v>
      </c>
      <c r="B71" s="64">
        <f>Quarters!B11/Quarters!B10</f>
        <v>0.35393258426966295</v>
      </c>
      <c r="C71" s="64">
        <f>Quarters!C11/Quarters!C10</f>
        <v>0.30306988896146309</v>
      </c>
      <c r="D71" s="64">
        <f>Quarters!D11/Quarters!D10</f>
        <v>0.273482428115016</v>
      </c>
      <c r="E71" s="64">
        <f>Quarters!E11/Quarters!E10</f>
        <v>0.19934853420195442</v>
      </c>
      <c r="F71" s="64">
        <f>Quarters!F11/Quarters!F10</f>
        <v>0.17523364485981308</v>
      </c>
      <c r="G71" s="64">
        <f>Quarters!G11/Quarters!G10</f>
        <v>0.18686599038974905</v>
      </c>
      <c r="H71" s="64">
        <f>Quarters!H11/Quarters!H10</f>
        <v>0.17974025974025973</v>
      </c>
      <c r="I71" s="64">
        <f>Quarters!I11/Quarters!I10</f>
        <v>0.34059097978227065</v>
      </c>
      <c r="J71" s="64">
        <f>Quarters!J11/Quarters!J10</f>
        <v>0.3425632911392405</v>
      </c>
      <c r="K71" s="64">
        <f>Quarters!K11/Quarters!K10</f>
        <v>5.042492917847026E-2</v>
      </c>
    </row>
    <row r="72" spans="1:11" x14ac:dyDescent="0.25">
      <c r="A72" t="s">
        <v>926</v>
      </c>
      <c r="B72" s="47">
        <f>B69-B70*(1-B71)</f>
        <v>10.333539325842697</v>
      </c>
      <c r="C72" s="47">
        <f t="shared" ref="C72:K72" si="23">C69-C70*(1-C71)</f>
        <v>10.649092096668843</v>
      </c>
      <c r="D72" s="47">
        <f t="shared" si="23"/>
        <v>11.37</v>
      </c>
      <c r="E72" s="47">
        <f t="shared" si="23"/>
        <v>12.187908794788274</v>
      </c>
      <c r="F72" s="47">
        <f t="shared" si="23"/>
        <v>13.781845794392522</v>
      </c>
      <c r="G72" s="47">
        <f t="shared" si="23"/>
        <v>15.173080619327283</v>
      </c>
      <c r="H72" s="47">
        <f t="shared" si="23"/>
        <v>15.65875844155844</v>
      </c>
      <c r="I72" s="47">
        <f t="shared" si="23"/>
        <v>12.604712286158632</v>
      </c>
      <c r="J72" s="47">
        <f t="shared" si="23"/>
        <v>7.7906250000000004</v>
      </c>
      <c r="K72" s="47">
        <f t="shared" si="23"/>
        <v>15.971852691218132</v>
      </c>
    </row>
    <row r="73" spans="1:11" x14ac:dyDescent="0.25">
      <c r="A73" t="s">
        <v>925</v>
      </c>
      <c r="D73" s="382"/>
      <c r="E73" s="382"/>
      <c r="F73" s="382"/>
      <c r="G73" s="382"/>
      <c r="K73" s="382"/>
    </row>
    <row r="75" spans="1:11" x14ac:dyDescent="0.25">
      <c r="A75" t="s">
        <v>600</v>
      </c>
      <c r="B75" s="47">
        <f>Quarters!B4-Quarters!B5+Quarters!B7</f>
        <v>34.85</v>
      </c>
      <c r="C75" s="47">
        <f>Quarters!C4-Quarters!C5+Quarters!C7</f>
        <v>33.95999999999998</v>
      </c>
      <c r="D75" s="47">
        <f>Quarters!D4-Quarters!D5+Quarters!D7</f>
        <v>31.099999999999994</v>
      </c>
      <c r="E75" s="47">
        <f>Quarters!E4-Quarters!E5+Quarters!E7</f>
        <v>31.019999999999996</v>
      </c>
      <c r="F75" s="47">
        <f>Quarters!F4-Quarters!F5+Quarters!F7</f>
        <v>32.109999999999985</v>
      </c>
      <c r="G75" s="47">
        <f>Quarters!G4-Quarters!G5+Quarters!G7</f>
        <v>33.76</v>
      </c>
      <c r="H75" s="47">
        <f>Quarters!H4-Quarters!H5+Quarters!H7</f>
        <v>37.47999999999999</v>
      </c>
      <c r="I75" s="47">
        <f>Quarters!I4-Quarters!I5+Quarters!I7</f>
        <v>41.52000000000001</v>
      </c>
      <c r="J75" s="47">
        <f>Quarters!J4-Quarters!J5+Quarters!J7</f>
        <v>34.27999999999998</v>
      </c>
      <c r="K75" s="47">
        <f>Quarters!K4-Quarters!K5+Quarters!K7</f>
        <v>38.970000000000013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23"/>
  <sheetViews>
    <sheetView workbookViewId="0">
      <selection activeCell="D7" sqref="D7:K7"/>
    </sheetView>
  </sheetViews>
  <sheetFormatPr defaultRowHeight="15" x14ac:dyDescent="0.25"/>
  <cols>
    <col min="1" max="1" width="30" style="246" customWidth="1"/>
    <col min="2" max="9" width="11" customWidth="1"/>
    <col min="10" max="11" width="12" customWidth="1"/>
    <col min="12" max="12" width="11.5703125" bestFit="1" customWidth="1"/>
    <col min="13" max="13" width="11.5703125" customWidth="1"/>
  </cols>
  <sheetData>
    <row r="3" spans="1:19" x14ac:dyDescent="0.25">
      <c r="B3" s="16">
        <f>'Data Sheet'!B81</f>
        <v>39538</v>
      </c>
      <c r="C3" s="16">
        <f>'Data Sheet'!C81</f>
        <v>39903</v>
      </c>
      <c r="D3" s="16">
        <f>'Data Sheet'!D81</f>
        <v>40268</v>
      </c>
      <c r="E3" s="16">
        <f>'Data Sheet'!E81</f>
        <v>40633</v>
      </c>
      <c r="F3" s="16">
        <f>'Data Sheet'!F81</f>
        <v>40999</v>
      </c>
      <c r="G3" s="16">
        <f>'Data Sheet'!G81</f>
        <v>41364</v>
      </c>
      <c r="H3" s="16">
        <f>'Data Sheet'!H81</f>
        <v>41729</v>
      </c>
      <c r="I3" s="16">
        <f>'Data Sheet'!I81</f>
        <v>42094</v>
      </c>
      <c r="J3" s="16">
        <f>'Data Sheet'!J81</f>
        <v>42460</v>
      </c>
      <c r="K3" s="16">
        <f>'Data Sheet'!K81</f>
        <v>42825</v>
      </c>
    </row>
    <row r="4" spans="1:19" ht="15" customHeight="1" x14ac:dyDescent="0.25">
      <c r="A4" s="246" t="s">
        <v>192</v>
      </c>
      <c r="D4" s="85">
        <f>'Financial Analysis'!D61</f>
        <v>-6.1031785158751073E-2</v>
      </c>
      <c r="E4" s="85">
        <f>'Financial Analysis'!E61</f>
        <v>-0.15900244649826689</v>
      </c>
      <c r="F4" s="85">
        <f>'Financial Analysis'!F61</f>
        <v>-0.10393047237563757</v>
      </c>
      <c r="G4" s="85">
        <f>'Financial Analysis'!G61</f>
        <v>-5.303580168523514E-2</v>
      </c>
      <c r="H4" s="85">
        <f>'Financial Analysis'!H61</f>
        <v>1.7076639239208546E-2</v>
      </c>
      <c r="I4" s="85">
        <f>'Financial Analysis'!I61</f>
        <v>0.12321781536419785</v>
      </c>
      <c r="J4" s="85">
        <f>'Financial Analysis'!J61</f>
        <v>-8.5659515492263472E-3</v>
      </c>
      <c r="K4" s="85">
        <f>'Financial Analysis'!K61</f>
        <v>6.7382799481900735E-2</v>
      </c>
      <c r="N4" s="406" t="s">
        <v>986</v>
      </c>
      <c r="O4" s="406"/>
      <c r="P4" s="406"/>
      <c r="Q4" s="406"/>
      <c r="R4" s="406"/>
      <c r="S4" s="406"/>
    </row>
    <row r="5" spans="1:19" x14ac:dyDescent="0.25">
      <c r="A5" s="246" t="s">
        <v>979</v>
      </c>
      <c r="B5" s="85">
        <f>'Profit &amp; Loss'!B19</f>
        <v>0.16313309776207308</v>
      </c>
      <c r="C5" s="85">
        <f>'Financial Analysis'!C28</f>
        <v>-1.223929538262114E-2</v>
      </c>
      <c r="D5" s="85">
        <f>'Financial Analysis'!D28</f>
        <v>0.11339625765855255</v>
      </c>
      <c r="E5" s="85">
        <f>'Financial Analysis'!E28</f>
        <v>0.1844641292709045</v>
      </c>
      <c r="F5" s="85">
        <f>'Financial Analysis'!F28</f>
        <v>0.10518328274573896</v>
      </c>
      <c r="G5" s="85">
        <f>'Financial Analysis'!G28</f>
        <v>0.16251541307028361</v>
      </c>
      <c r="H5" s="85">
        <f>'Financial Analysis'!H28</f>
        <v>0.19236597452594517</v>
      </c>
      <c r="I5" s="85">
        <f>'Financial Analysis'!I28</f>
        <v>0.1608999626908042</v>
      </c>
      <c r="J5" s="85">
        <f>'Financial Analysis'!J28</f>
        <v>0.17868739160483538</v>
      </c>
      <c r="K5" s="85">
        <f>'Financial Analysis'!K28</f>
        <v>0.14262144035655355</v>
      </c>
      <c r="N5" s="406"/>
      <c r="O5" s="406"/>
      <c r="P5" s="406"/>
      <c r="Q5" s="406"/>
      <c r="R5" s="406"/>
      <c r="S5" s="406"/>
    </row>
    <row r="6" spans="1:19" x14ac:dyDescent="0.25">
      <c r="A6" s="246" t="s">
        <v>992</v>
      </c>
      <c r="C6" s="64"/>
      <c r="D6" s="64"/>
      <c r="E6" s="64" t="e">
        <f>'Financial Analysis'!E62</f>
        <v>#DIV/0!</v>
      </c>
      <c r="F6" s="64">
        <f>'Financial Analysis'!F62</f>
        <v>-0.10796373969884808</v>
      </c>
      <c r="G6" s="64">
        <f>'Financial Analysis'!G62</f>
        <v>-0.10652975886664591</v>
      </c>
      <c r="H6" s="64">
        <f>'Financial Analysis'!H62</f>
        <v>-5.0312195448732569E-2</v>
      </c>
      <c r="I6" s="64">
        <f>'Financial Analysis'!I62</f>
        <v>2.6694094817665229E-2</v>
      </c>
      <c r="J6" s="64">
        <f>'Financial Analysis'!J62</f>
        <v>4.2658764149751935E-2</v>
      </c>
      <c r="K6" s="64">
        <f>'Financial Analysis'!K62</f>
        <v>5.9006629952613007E-2</v>
      </c>
      <c r="N6" s="406"/>
      <c r="O6" s="406"/>
      <c r="P6" s="406"/>
      <c r="Q6" s="406"/>
      <c r="R6" s="406"/>
      <c r="S6" s="406"/>
    </row>
    <row r="7" spans="1:19" x14ac:dyDescent="0.25">
      <c r="A7" s="246" t="s">
        <v>993</v>
      </c>
      <c r="C7" s="64"/>
      <c r="D7" s="64">
        <f>AVERAGE(B5:D5)</f>
        <v>8.8096686679334832E-2</v>
      </c>
      <c r="E7" s="64">
        <f t="shared" ref="E7:K7" si="0">AVERAGE(C5:E5)</f>
        <v>9.5207030515611968E-2</v>
      </c>
      <c r="F7" s="64">
        <f t="shared" si="0"/>
        <v>0.13434788989173199</v>
      </c>
      <c r="G7" s="64">
        <f t="shared" si="0"/>
        <v>0.15072094169564235</v>
      </c>
      <c r="H7" s="64">
        <f t="shared" si="0"/>
        <v>0.15335489011398926</v>
      </c>
      <c r="I7" s="64">
        <f t="shared" si="0"/>
        <v>0.17192711676234432</v>
      </c>
      <c r="J7" s="64">
        <f t="shared" si="0"/>
        <v>0.17731777627386158</v>
      </c>
      <c r="K7" s="64">
        <f t="shared" si="0"/>
        <v>0.16073626488406437</v>
      </c>
      <c r="N7" s="406"/>
      <c r="O7" s="406"/>
      <c r="P7" s="406"/>
      <c r="Q7" s="406"/>
      <c r="R7" s="406"/>
      <c r="S7" s="406"/>
    </row>
    <row r="8" spans="1:19" x14ac:dyDescent="0.25">
      <c r="N8" s="406"/>
      <c r="O8" s="406"/>
      <c r="P8" s="406"/>
      <c r="Q8" s="406"/>
      <c r="R8" s="406"/>
      <c r="S8" s="406"/>
    </row>
    <row r="9" spans="1:19" x14ac:dyDescent="0.25">
      <c r="A9" s="246" t="s">
        <v>980</v>
      </c>
      <c r="C9">
        <f>Others!C10</f>
        <v>299.41000000000003</v>
      </c>
      <c r="D9">
        <f>Others!D10</f>
        <v>308.51</v>
      </c>
      <c r="E9">
        <f>Others!E10</f>
        <v>284.02999999999997</v>
      </c>
      <c r="F9">
        <f>Others!F10</f>
        <v>248.92</v>
      </c>
      <c r="G9">
        <f>Others!G10</f>
        <v>206.64</v>
      </c>
      <c r="H9">
        <f>Others!H10</f>
        <v>176.07</v>
      </c>
      <c r="I9">
        <f>Others!I10</f>
        <v>378.27</v>
      </c>
      <c r="J9">
        <f>Others!J10</f>
        <v>352.07</v>
      </c>
      <c r="K9">
        <f>Others!K10</f>
        <v>563.49</v>
      </c>
      <c r="N9" s="406"/>
      <c r="O9" s="406"/>
      <c r="P9" s="406"/>
      <c r="Q9" s="406"/>
      <c r="R9" s="406"/>
      <c r="S9" s="406"/>
    </row>
    <row r="10" spans="1:19" ht="24.75" x14ac:dyDescent="0.25">
      <c r="A10" s="283" t="s">
        <v>983</v>
      </c>
      <c r="C10">
        <f>Others!C11</f>
        <v>32.07000000000005</v>
      </c>
      <c r="D10">
        <f>Others!D11</f>
        <v>9.0999999999999659</v>
      </c>
      <c r="E10">
        <f>Others!E11</f>
        <v>-24.480000000000018</v>
      </c>
      <c r="F10">
        <f>Others!F11</f>
        <v>-35.109999999999985</v>
      </c>
      <c r="G10">
        <f>Others!G11</f>
        <v>-42.28</v>
      </c>
      <c r="H10">
        <f>Others!H11</f>
        <v>-30.569999999999993</v>
      </c>
      <c r="I10">
        <f>Others!I11</f>
        <v>202.2</v>
      </c>
      <c r="J10">
        <f>Others!J11</f>
        <v>-26.199999999999989</v>
      </c>
      <c r="K10">
        <f>Others!K11</f>
        <v>211.42000000000002</v>
      </c>
      <c r="N10" s="406"/>
      <c r="O10" s="406"/>
      <c r="P10" s="406"/>
      <c r="Q10" s="406"/>
      <c r="R10" s="406"/>
      <c r="S10" s="406"/>
    </row>
    <row r="11" spans="1:19" x14ac:dyDescent="0.25">
      <c r="A11" s="246" t="s">
        <v>981</v>
      </c>
      <c r="C11" s="64">
        <f>IFERROR(('Data Sheet'!C59-'Data Sheet'!B59)/'Data Sheet'!B59,"NA")</f>
        <v>0.11995960200493773</v>
      </c>
      <c r="D11" s="64">
        <f>IFERROR(('Data Sheet'!D59-'Data Sheet'!C59)/'Data Sheet'!C59,"NA")</f>
        <v>3.0393106442670469E-2</v>
      </c>
      <c r="E11" s="64">
        <f>IFERROR(('Data Sheet'!E59-'Data Sheet'!D59)/'Data Sheet'!D59,"NA")</f>
        <v>-7.9349129687854583E-2</v>
      </c>
      <c r="F11" s="64">
        <f>IFERROR(('Data Sheet'!F59-'Data Sheet'!E59)/'Data Sheet'!E59,"NA")</f>
        <v>-0.12361370277787553</v>
      </c>
      <c r="G11" s="64">
        <f>IFERROR(('Data Sheet'!G59-'Data Sheet'!F59)/'Data Sheet'!F59,"NA")</f>
        <v>-0.16985376827896514</v>
      </c>
      <c r="H11" s="64">
        <f>IFERROR(('Data Sheet'!H59-'Data Sheet'!G59)/'Data Sheet'!G59,"NA")</f>
        <v>-0.14793844367015097</v>
      </c>
      <c r="I11" s="64">
        <f>IFERROR(('Data Sheet'!I59-'Data Sheet'!H59)/'Data Sheet'!H59,"NA")</f>
        <v>1.1484068836258305</v>
      </c>
      <c r="J11" s="64">
        <f>IFERROR(('Data Sheet'!J59-'Data Sheet'!I59)/'Data Sheet'!I59,"NA")</f>
        <v>-6.9262695957913636E-2</v>
      </c>
      <c r="K11" s="64">
        <f>IFERROR(('Data Sheet'!K59-'Data Sheet'!J59)/'Data Sheet'!J59,"NA")</f>
        <v>0.60050558127645082</v>
      </c>
      <c r="N11" s="406"/>
      <c r="O11" s="406"/>
      <c r="P11" s="406"/>
      <c r="Q11" s="406"/>
      <c r="R11" s="406"/>
      <c r="S11" s="406"/>
    </row>
    <row r="12" spans="1:19" x14ac:dyDescent="0.25">
      <c r="C12" s="64"/>
      <c r="D12" s="64"/>
      <c r="E12" s="64"/>
      <c r="F12" s="64"/>
      <c r="G12" s="64"/>
      <c r="H12" s="64"/>
      <c r="I12" s="64"/>
      <c r="J12" s="64"/>
      <c r="K12" s="64"/>
      <c r="N12" s="406"/>
      <c r="O12" s="406"/>
      <c r="P12" s="406"/>
      <c r="Q12" s="406"/>
      <c r="R12" s="406"/>
      <c r="S12" s="406"/>
    </row>
    <row r="13" spans="1:19" x14ac:dyDescent="0.25">
      <c r="A13" s="246" t="s">
        <v>73</v>
      </c>
      <c r="C13">
        <f>'Data Sheet'!C60</f>
        <v>55.52</v>
      </c>
      <c r="D13">
        <f>'Data Sheet'!D60</f>
        <v>42.65</v>
      </c>
      <c r="E13">
        <f>'Data Sheet'!E60</f>
        <v>38.4</v>
      </c>
      <c r="F13">
        <f>'Data Sheet'!F60</f>
        <v>11.72</v>
      </c>
      <c r="G13">
        <f>'Data Sheet'!G60</f>
        <v>56.38</v>
      </c>
      <c r="H13">
        <f>'Data Sheet'!H60</f>
        <v>47.71</v>
      </c>
      <c r="I13">
        <f>'Data Sheet'!I60</f>
        <v>66.75</v>
      </c>
      <c r="J13">
        <f>'Data Sheet'!J60</f>
        <v>79.39</v>
      </c>
      <c r="K13">
        <f>'Data Sheet'!K60</f>
        <v>106.68</v>
      </c>
      <c r="N13" s="406"/>
      <c r="O13" s="406"/>
      <c r="P13" s="406"/>
      <c r="Q13" s="406"/>
      <c r="R13" s="406"/>
      <c r="S13" s="406"/>
    </row>
    <row r="14" spans="1:19" ht="24.75" x14ac:dyDescent="0.25">
      <c r="A14" s="283" t="s">
        <v>984</v>
      </c>
      <c r="C14">
        <f>'Data Sheet'!C60-'Data Sheet'!B60</f>
        <v>39.49</v>
      </c>
      <c r="D14">
        <f>'Data Sheet'!D60-'Data Sheet'!C60</f>
        <v>-12.870000000000005</v>
      </c>
      <c r="E14">
        <f>'Data Sheet'!E60-'Data Sheet'!D60</f>
        <v>-4.25</v>
      </c>
      <c r="F14">
        <f>'Data Sheet'!F60-'Data Sheet'!E60</f>
        <v>-26.68</v>
      </c>
      <c r="G14">
        <f>'Data Sheet'!G60-'Data Sheet'!F60</f>
        <v>44.660000000000004</v>
      </c>
      <c r="H14">
        <f>'Data Sheet'!H60-'Data Sheet'!G60</f>
        <v>-8.6700000000000017</v>
      </c>
      <c r="I14">
        <f>'Data Sheet'!I60-'Data Sheet'!H60</f>
        <v>19.04</v>
      </c>
      <c r="J14">
        <f>'Data Sheet'!J60-'Data Sheet'!I60</f>
        <v>12.64</v>
      </c>
      <c r="K14">
        <f>'Data Sheet'!K60-'Data Sheet'!J60</f>
        <v>27.290000000000006</v>
      </c>
      <c r="N14" s="404"/>
      <c r="O14" s="404"/>
      <c r="P14" s="404"/>
      <c r="Q14" s="404"/>
      <c r="R14" s="404"/>
      <c r="S14" s="404"/>
    </row>
    <row r="15" spans="1:19" x14ac:dyDescent="0.25">
      <c r="A15" s="246" t="s">
        <v>985</v>
      </c>
      <c r="C15" s="64">
        <f>IFERROR(('Data Sheet'!C60-'Data Sheet'!B60)/'Data Sheet'!B60,"NA")</f>
        <v>2.4635059263880223</v>
      </c>
      <c r="D15" s="64">
        <f>IFERROR(('Data Sheet'!D60-'Data Sheet'!C60)/'Data Sheet'!C60,"NA")</f>
        <v>-0.23180835734870323</v>
      </c>
      <c r="E15" s="64">
        <f>IFERROR(('Data Sheet'!E60-'Data Sheet'!D60)/'Data Sheet'!D60,"NA")</f>
        <v>-9.9648300117233302E-2</v>
      </c>
      <c r="F15" s="64">
        <f>IFERROR(('Data Sheet'!F60-'Data Sheet'!E60)/'Data Sheet'!E60,"NA")</f>
        <v>-0.6947916666666667</v>
      </c>
      <c r="G15" s="64">
        <f>IFERROR(('Data Sheet'!G60-'Data Sheet'!F60)/'Data Sheet'!F60,"NA")</f>
        <v>3.810580204778157</v>
      </c>
      <c r="H15" s="64">
        <f>IFERROR(('Data Sheet'!H60-'Data Sheet'!G60)/'Data Sheet'!G60,"NA")</f>
        <v>-0.15377793543809865</v>
      </c>
      <c r="I15" s="64">
        <f>IFERROR(('Data Sheet'!I60-'Data Sheet'!H60)/'Data Sheet'!H60,"NA")</f>
        <v>0.3990777614755816</v>
      </c>
      <c r="J15" s="64">
        <f>IFERROR(('Data Sheet'!J60-'Data Sheet'!I60)/'Data Sheet'!I60,"NA")</f>
        <v>0.18936329588014983</v>
      </c>
      <c r="K15" s="64">
        <f>IFERROR(('Data Sheet'!K60-'Data Sheet'!J60)/'Data Sheet'!J60,"NA")</f>
        <v>0.34374606373598698</v>
      </c>
    </row>
    <row r="17" spans="1:19" x14ac:dyDescent="0.25">
      <c r="L17" s="383" t="s">
        <v>987</v>
      </c>
      <c r="N17" s="407" t="s">
        <v>989</v>
      </c>
      <c r="O17" s="407"/>
      <c r="P17" s="407"/>
      <c r="Q17" s="407"/>
      <c r="R17" s="407"/>
      <c r="S17" s="407"/>
    </row>
    <row r="18" spans="1:19" x14ac:dyDescent="0.25">
      <c r="A18" s="246" t="s">
        <v>146</v>
      </c>
      <c r="B18">
        <f>'Data Sheet'!B82</f>
        <v>17.87</v>
      </c>
      <c r="C18">
        <f>'Data Sheet'!C82</f>
        <v>14.27</v>
      </c>
      <c r="D18">
        <f>'Data Sheet'!D82</f>
        <v>0.55000000000000004</v>
      </c>
      <c r="E18">
        <f>'Data Sheet'!E82</f>
        <v>45.39</v>
      </c>
      <c r="F18">
        <f>'Data Sheet'!F82</f>
        <v>64.180000000000007</v>
      </c>
      <c r="G18">
        <f>'Data Sheet'!G82</f>
        <v>88.9</v>
      </c>
      <c r="H18">
        <f>'Data Sheet'!H82</f>
        <v>86.62</v>
      </c>
      <c r="I18">
        <f>'Data Sheet'!I82</f>
        <v>44.51</v>
      </c>
      <c r="J18">
        <f>'Data Sheet'!J82</f>
        <v>100.4</v>
      </c>
      <c r="K18">
        <f>'Data Sheet'!K82</f>
        <v>59.16</v>
      </c>
      <c r="L18">
        <f>SUM(Table7[[#This Row],[Column2]:[Column11]])</f>
        <v>521.84999999999991</v>
      </c>
      <c r="N18" s="407"/>
      <c r="O18" s="407"/>
      <c r="P18" s="407"/>
      <c r="Q18" s="407"/>
      <c r="R18" s="407"/>
      <c r="S18" s="407"/>
    </row>
    <row r="19" spans="1:19" x14ac:dyDescent="0.25">
      <c r="A19" s="246" t="s">
        <v>988</v>
      </c>
      <c r="B19">
        <f>'Data Sheet'!B27</f>
        <v>14.59</v>
      </c>
      <c r="C19">
        <f>'Data Sheet'!C27</f>
        <v>23.9</v>
      </c>
      <c r="D19">
        <f>'Data Sheet'!D27</f>
        <v>15.15</v>
      </c>
      <c r="E19">
        <f>'Data Sheet'!E27</f>
        <v>21.04</v>
      </c>
      <c r="F19">
        <f>'Data Sheet'!F27</f>
        <v>20.9</v>
      </c>
      <c r="G19">
        <f>'Data Sheet'!G27</f>
        <v>27.31</v>
      </c>
      <c r="H19">
        <f>'Data Sheet'!H27</f>
        <v>17.46</v>
      </c>
      <c r="I19">
        <f>'Data Sheet'!I27</f>
        <v>22.62</v>
      </c>
      <c r="J19">
        <f>'Data Sheet'!J27</f>
        <v>33.01</v>
      </c>
      <c r="K19">
        <f>'Data Sheet'!K27</f>
        <v>22.24</v>
      </c>
      <c r="L19">
        <f>SUM(Table7[[#This Row],[Column2]:[Column11]])</f>
        <v>218.22</v>
      </c>
      <c r="N19" s="407"/>
      <c r="O19" s="407"/>
      <c r="P19" s="407"/>
      <c r="Q19" s="407"/>
      <c r="R19" s="407"/>
      <c r="S19" s="407"/>
    </row>
    <row r="20" spans="1:19" ht="24.75" x14ac:dyDescent="0.25">
      <c r="A20" s="286" t="s">
        <v>971</v>
      </c>
      <c r="B20">
        <f>Others!B21</f>
        <v>0</v>
      </c>
      <c r="C20">
        <f>Others!C21</f>
        <v>22.770000000000032</v>
      </c>
      <c r="D20">
        <f>Others!D21</f>
        <v>0.48999999999995936</v>
      </c>
      <c r="E20">
        <f>Others!E21</f>
        <v>-0.46999999999998465</v>
      </c>
      <c r="F20">
        <f>Others!F21</f>
        <v>6.1700000000000017</v>
      </c>
      <c r="G20">
        <f>Others!G21</f>
        <v>6.0200000000000067</v>
      </c>
      <c r="H20">
        <f>Others!H21</f>
        <v>24.27</v>
      </c>
      <c r="I20">
        <f>Others!I21</f>
        <v>232.29</v>
      </c>
      <c r="J20">
        <f>Others!J21</f>
        <v>21.949999999999985</v>
      </c>
      <c r="K20">
        <f>Others!K21</f>
        <v>256.80999999999995</v>
      </c>
      <c r="L20">
        <f>SUM(Table7[[#This Row],[Column2]:[Column11]])</f>
        <v>570.29999999999995</v>
      </c>
      <c r="N20" s="407"/>
      <c r="O20" s="407"/>
      <c r="P20" s="407"/>
      <c r="Q20" s="407"/>
      <c r="R20" s="407"/>
      <c r="S20" s="407"/>
    </row>
    <row r="21" spans="1:19" x14ac:dyDescent="0.25">
      <c r="A21" t="s">
        <v>26</v>
      </c>
      <c r="L21">
        <f>L18-L19-L20</f>
        <v>-266.67000000000007</v>
      </c>
    </row>
    <row r="23" spans="1:19" x14ac:dyDescent="0.25">
      <c r="A23" s="408" t="s">
        <v>990</v>
      </c>
      <c r="B23" s="408"/>
      <c r="C23" s="408"/>
      <c r="D23" s="408"/>
      <c r="E23" s="408"/>
      <c r="F23" s="408"/>
      <c r="G23" s="408"/>
      <c r="H23" s="408"/>
    </row>
  </sheetData>
  <mergeCells count="3">
    <mergeCell ref="N4:S13"/>
    <mergeCell ref="N17:S20"/>
    <mergeCell ref="A23:H23"/>
  </mergeCells>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8"/>
  <sheetViews>
    <sheetView topLeftCell="A130" workbookViewId="0">
      <selection activeCell="E62" sqref="E62:K62"/>
    </sheetView>
  </sheetViews>
  <sheetFormatPr defaultRowHeight="12.75" x14ac:dyDescent="0.2"/>
  <cols>
    <col min="1" max="1" width="26.5703125" style="362" customWidth="1"/>
    <col min="2" max="2" width="18.140625" style="346" bestFit="1" customWidth="1"/>
    <col min="3" max="11" width="9.28515625" style="37" bestFit="1" customWidth="1"/>
    <col min="12" max="12" width="7.28515625" style="37" bestFit="1" customWidth="1"/>
    <col min="13" max="13" width="4.28515625" style="37" bestFit="1" customWidth="1"/>
    <col min="14" max="14" width="11.28515625" style="37" bestFit="1" customWidth="1"/>
    <col min="15" max="16" width="11.42578125" style="37" bestFit="1" customWidth="1"/>
    <col min="17" max="17" width="10.42578125" style="37" bestFit="1" customWidth="1"/>
    <col min="18" max="18" width="9.28515625" style="37" bestFit="1" customWidth="1"/>
    <col min="19" max="16384" width="9.140625" style="37"/>
  </cols>
  <sheetData>
    <row r="1" spans="1:18" x14ac:dyDescent="0.2">
      <c r="A1" s="327" t="s">
        <v>677</v>
      </c>
      <c r="B1" s="328" t="s">
        <v>678</v>
      </c>
      <c r="C1" s="329">
        <f>'Profit &amp; Loss'!C3</f>
        <v>39903</v>
      </c>
      <c r="D1" s="329">
        <f>'Profit &amp; Loss'!D3</f>
        <v>40268</v>
      </c>
      <c r="E1" s="329">
        <f>'Profit &amp; Loss'!E3</f>
        <v>40633</v>
      </c>
      <c r="F1" s="329">
        <f>'Profit &amp; Loss'!F3</f>
        <v>40999</v>
      </c>
      <c r="G1" s="329">
        <f>'Profit &amp; Loss'!G3</f>
        <v>41364</v>
      </c>
      <c r="H1" s="329">
        <f>'Profit &amp; Loss'!H3</f>
        <v>41729</v>
      </c>
      <c r="I1" s="329">
        <f>'Profit &amp; Loss'!I3</f>
        <v>42094</v>
      </c>
      <c r="J1" s="329">
        <f>'Profit &amp; Loss'!J3</f>
        <v>42460</v>
      </c>
      <c r="K1" s="329">
        <f>'Profit &amp; Loss'!K3</f>
        <v>42825</v>
      </c>
      <c r="L1" s="329" t="str">
        <f>'Profit &amp; Loss'!L3</f>
        <v>Trailing</v>
      </c>
      <c r="M1" s="329"/>
      <c r="N1" s="330" t="s">
        <v>679</v>
      </c>
      <c r="O1" s="330" t="s">
        <v>680</v>
      </c>
      <c r="P1" s="330" t="s">
        <v>681</v>
      </c>
      <c r="Q1" s="331" t="s">
        <v>682</v>
      </c>
      <c r="R1" s="331" t="s">
        <v>683</v>
      </c>
    </row>
    <row r="2" spans="1:18" x14ac:dyDescent="0.2">
      <c r="A2" s="327" t="s">
        <v>684</v>
      </c>
      <c r="B2" s="328"/>
      <c r="C2" s="329"/>
      <c r="D2" s="329"/>
      <c r="E2" s="329"/>
      <c r="F2" s="329"/>
      <c r="G2" s="329"/>
      <c r="H2" s="329"/>
      <c r="I2" s="329"/>
      <c r="J2" s="329"/>
      <c r="K2" s="329"/>
      <c r="L2" s="329"/>
      <c r="M2" s="329"/>
      <c r="N2" s="330"/>
      <c r="O2" s="330"/>
      <c r="P2" s="330"/>
      <c r="Q2" s="331"/>
      <c r="R2" s="331"/>
    </row>
    <row r="3" spans="1:18" x14ac:dyDescent="0.2">
      <c r="A3" s="332" t="s">
        <v>140</v>
      </c>
      <c r="B3" s="333" t="s">
        <v>685</v>
      </c>
      <c r="C3" s="334">
        <f>IFERROR(('Profit &amp; Loss'!C4-'Profit &amp; Loss'!B4)/'Profit &amp; Loss'!B4,"NA")</f>
        <v>0.2871515508441303</v>
      </c>
      <c r="D3" s="334">
        <f>IFERROR(('Profit &amp; Loss'!D4-'Profit &amp; Loss'!C4)/'Profit &amp; Loss'!C4,"NA")</f>
        <v>0.15129446753345793</v>
      </c>
      <c r="E3" s="334">
        <f>IFERROR(('Profit &amp; Loss'!E4-'Profit &amp; Loss'!D4)/'Profit &amp; Loss'!D4,"NA")</f>
        <v>0.36088756416625278</v>
      </c>
      <c r="F3" s="334">
        <f>IFERROR(('Profit &amp; Loss'!F4-'Profit &amp; Loss'!E4)/'Profit &amp; Loss'!E4,"NA")</f>
        <v>4.2295337291930288E-2</v>
      </c>
      <c r="G3" s="334">
        <f>IFERROR(('Profit &amp; Loss'!G4-'Profit &amp; Loss'!F4)/'Profit &amp; Loss'!F4,"NA")</f>
        <v>4.1442913845435442E-2</v>
      </c>
      <c r="H3" s="334">
        <f>IFERROR(('Profit &amp; Loss'!H4-'Profit &amp; Loss'!G4)/'Profit &amp; Loss'!G4,"NA")</f>
        <v>9.4809998879049354E-2</v>
      </c>
      <c r="I3" s="334">
        <f>IFERROR(('Profit &amp; Loss'!I4-'Profit &amp; Loss'!H4)/'Profit &amp; Loss'!H4,"NA")</f>
        <v>0.26237867059835374</v>
      </c>
      <c r="J3" s="334">
        <f>IFERROR(('Profit &amp; Loss'!J4-'Profit &amp; Loss'!I4)/'Profit &amp; Loss'!I4,"NA")</f>
        <v>0.24396969844436869</v>
      </c>
      <c r="K3" s="334">
        <f>IFERROR(('Profit &amp; Loss'!K4-'Profit &amp; Loss'!J4)/'Profit &amp; Loss'!J4,"NA")</f>
        <v>0.21712937003664246</v>
      </c>
      <c r="L3" s="334">
        <f>IFERROR(('Profit &amp; Loss'!L4-'Profit &amp; Loss'!K4)/'Profit &amp; Loss'!K4,"NA")</f>
        <v>0.22565300306413252</v>
      </c>
      <c r="N3" s="334">
        <f>('Profit &amp; Loss'!K4/'Profit &amp; Loss'!B4)^(1/(9-1))-1</f>
        <v>0.2095322286197967</v>
      </c>
      <c r="O3" s="334">
        <f>('Profit &amp; Loss'!K4/'Profit &amp; Loss'!F4)^(1/(5-1))-1</f>
        <v>0.21500371014602315</v>
      </c>
      <c r="P3" s="334">
        <f>('Profit &amp; Loss'!K4/'Profit &amp; Loss'!H4)^(1/(3-1))-1</f>
        <v>0.38250940991425231</v>
      </c>
      <c r="Q3" s="37" t="str">
        <f>IF(N3&gt;0.15,"Excellent",IF(N3&lt;0.1,"Bad","Good"))</f>
        <v>Excellent</v>
      </c>
    </row>
    <row r="4" spans="1:18" x14ac:dyDescent="0.2">
      <c r="A4" s="332" t="s">
        <v>686</v>
      </c>
      <c r="B4" s="333" t="s">
        <v>685</v>
      </c>
      <c r="C4" s="334">
        <f>IFERROR(('Profit &amp; Loss'!C5-'Profit &amp; Loss'!B5)/'Profit &amp; Loss'!B5,"NA")</f>
        <v>0.55688482289467534</v>
      </c>
      <c r="D4" s="334">
        <f>IFERROR(('Profit &amp; Loss'!D5-'Profit &amp; Loss'!C5)/'Profit &amp; Loss'!C5,"NA")</f>
        <v>8.3998794636131469E-3</v>
      </c>
      <c r="E4" s="334">
        <f>IFERROR(('Profit &amp; Loss'!E5-'Profit &amp; Loss'!D5)/'Profit &amp; Loss'!D5,"NA")</f>
        <v>0.25180232340965936</v>
      </c>
      <c r="F4" s="334">
        <f>IFERROR(('Profit &amp; Loss'!F5-'Profit &amp; Loss'!E5)/'Profit &amp; Loss'!E5,"NA")</f>
        <v>0.14362019575077603</v>
      </c>
      <c r="G4" s="334">
        <f>IFERROR(('Profit &amp; Loss'!G5-'Profit &amp; Loss'!F5)/'Profit &amp; Loss'!F5,"NA")</f>
        <v>-2.5283757338551854E-2</v>
      </c>
      <c r="H4" s="334">
        <f>IFERROR(('Profit &amp; Loss'!H5-'Profit &amp; Loss'!G5)/'Profit &amp; Loss'!G5,"NA")</f>
        <v>5.5787557554341789E-2</v>
      </c>
      <c r="I4" s="334">
        <f>IFERROR(('Profit &amp; Loss'!I5-'Profit &amp; Loss'!H5)/'Profit &amp; Loss'!H5,"NA")</f>
        <v>0.31156186612576087</v>
      </c>
      <c r="J4" s="334">
        <f>IFERROR(('Profit &amp; Loss'!J5-'Profit &amp; Loss'!I5)/'Profit &amp; Loss'!I5,"NA")</f>
        <v>0.21759975255180938</v>
      </c>
      <c r="K4" s="334">
        <f>IFERROR(('Profit &amp; Loss'!K5-'Profit &amp; Loss'!J5)/'Profit &amp; Loss'!J5,"NA")</f>
        <v>0.27057665438841627</v>
      </c>
      <c r="L4" s="334">
        <f>IFERROR(('Profit &amp; Loss'!L5-'Profit &amp; Loss'!K5)/'Profit &amp; Loss'!K5,"NA")</f>
        <v>0.24174643240946697</v>
      </c>
      <c r="N4" s="334">
        <f>('Profit &amp; Loss'!K5/'Profit &amp; Loss'!B5)^(1/(9-1))-1</f>
        <v>0.21319880322603613</v>
      </c>
      <c r="O4" s="334">
        <f>('Profit &amp; Loss'!K5/'Profit &amp; Loss'!F5)^(1/(5-1))-1</f>
        <v>0.20209069812688285</v>
      </c>
      <c r="P4" s="334">
        <f>('Profit &amp; Loss'!K5/'Profit &amp; Loss'!H5)^(1/(3-1))-1</f>
        <v>0.42444964640096927</v>
      </c>
      <c r="Q4" s="37" t="str">
        <f>IF(N4&gt;N3+0.1,"Bad",IF(N4&lt;N3,"Excellent","Good"))</f>
        <v>Good</v>
      </c>
    </row>
    <row r="5" spans="1:18" x14ac:dyDescent="0.2">
      <c r="A5" s="332" t="s">
        <v>687</v>
      </c>
      <c r="B5" s="333" t="s">
        <v>685</v>
      </c>
      <c r="C5" s="334">
        <f>IFERROR(('Profit &amp; Loss'!C6-'Profit &amp; Loss'!B6)/'Profit &amp; Loss'!B6,"NA")</f>
        <v>-1.0965703971119145</v>
      </c>
      <c r="D5" s="334">
        <f>IFERROR(('Profit &amp; Loss'!D6-'Profit &amp; Loss'!C6)/'Profit &amp; Loss'!C6,"NA")</f>
        <v>-11.666666666666531</v>
      </c>
      <c r="E5" s="334">
        <f>IFERROR(('Profit &amp; Loss'!E6-'Profit &amp; Loss'!D6)/'Profit &amp; Loss'!D6,"NA")</f>
        <v>1.213785046728977</v>
      </c>
      <c r="F5" s="334">
        <f>IFERROR(('Profit &amp; Loss'!F6-'Profit &amp; Loss'!E6)/'Profit &amp; Loss'!E6,"NA")</f>
        <v>-0.40567282321899772</v>
      </c>
      <c r="G5" s="334">
        <f>IFERROR(('Profit &amp; Loss'!G6-'Profit &amp; Loss'!F6)/'Profit &amp; Loss'!F6,"NA")</f>
        <v>0.60910099889012193</v>
      </c>
      <c r="H5" s="334">
        <f>IFERROR(('Profit &amp; Loss'!H6-'Profit &amp; Loss'!G6)/'Profit &amp; Loss'!G6,"NA")</f>
        <v>0.29590288315629804</v>
      </c>
      <c r="I5" s="334">
        <f>IFERROR(('Profit &amp; Loss'!I6-'Profit &amp; Loss'!H6)/'Profit &amp; Loss'!H6,"NA")</f>
        <v>5.5886736214605034E-2</v>
      </c>
      <c r="J5" s="334">
        <f>IFERROR(('Profit &amp; Loss'!J6-'Profit &amp; Loss'!I6)/'Profit &amp; Loss'!I6,"NA")</f>
        <v>0.38149006956346415</v>
      </c>
      <c r="K5" s="334">
        <f>IFERROR(('Profit &amp; Loss'!K6-'Profit &amp; Loss'!J6)/'Profit &amp; Loss'!J6,"NA")</f>
        <v>-2.853389768663854E-2</v>
      </c>
      <c r="L5" s="334">
        <f>IFERROR(('Profit &amp; Loss'!L6-'Profit &amp; Loss'!K6)/'Profit &amp; Loss'!K6,"NA")</f>
        <v>0.12890625000000019</v>
      </c>
      <c r="N5" s="334">
        <f>('Profit &amp; Loss'!K6/'Profit &amp; Loss'!B6)^(1/(9-1))-1</f>
        <v>0.18938590283345236</v>
      </c>
      <c r="O5" s="334">
        <f>('Profit &amp; Loss'!K6/'Profit &amp; Loss'!F6)^(1/(5-1))-1</f>
        <v>0.31110395786473699</v>
      </c>
      <c r="P5" s="334">
        <f>('Profit &amp; Loss'!K6/'Profit &amp; Loss'!H6)^(1/(3-1))-1</f>
        <v>0.19040947935999641</v>
      </c>
      <c r="Q5" s="37" t="str">
        <f>IF(N5&gt;0.15,"Excellent",IF(N5&lt;0.1,"Bad","Good"))</f>
        <v>Excellent</v>
      </c>
    </row>
    <row r="6" spans="1:18" x14ac:dyDescent="0.2">
      <c r="A6" s="332" t="s">
        <v>688</v>
      </c>
      <c r="B6" s="333" t="s">
        <v>685</v>
      </c>
      <c r="C6" s="334">
        <f>IFERROR(('Profit &amp; Loss'!C10-'Profit &amp; Loss'!B10)/'Profit &amp; Loss'!B10,"NA")</f>
        <v>9.1585903083700444</v>
      </c>
      <c r="D6" s="334">
        <f>IFERROR(('Profit &amp; Loss'!D10-'Profit &amp; Loss'!C10)/'Profit &amp; Loss'!C10,"NA")</f>
        <v>-1.0433651344319168</v>
      </c>
      <c r="E6" s="334">
        <f>IFERROR(('Profit &amp; Loss'!E10-'Profit &amp; Loss'!D10)/'Profit &amp; Loss'!D10,"NA")</f>
        <v>8.67</v>
      </c>
      <c r="F6" s="334">
        <f>IFERROR(('Profit &amp; Loss'!F10-'Profit &amp; Loss'!E10)/'Profit &amp; Loss'!E10,"NA")</f>
        <v>-0.96897621509824194</v>
      </c>
      <c r="G6" s="334">
        <f>IFERROR(('Profit &amp; Loss'!G10-'Profit &amp; Loss'!F10)/'Profit &amp; Loss'!F10,"NA")</f>
        <v>68.899999999999991</v>
      </c>
      <c r="H6" s="334">
        <f>IFERROR(('Profit &amp; Loss'!H10-'Profit &amp; Loss'!G10)/'Profit &amp; Loss'!G10,"NA")</f>
        <v>1.4773485932284218</v>
      </c>
      <c r="I6" s="334">
        <f>IFERROR(('Profit &amp; Loss'!I10-'Profit &amp; Loss'!H10)/'Profit &amp; Loss'!H10,"NA")</f>
        <v>3.4648700673724678E-2</v>
      </c>
      <c r="J6" s="334">
        <f>IFERROR(('Profit &amp; Loss'!J10-'Profit &amp; Loss'!I10)/'Profit &amp; Loss'!I10,"NA")</f>
        <v>0.21283720930232555</v>
      </c>
      <c r="K6" s="334">
        <f>IFERROR(('Profit &amp; Loss'!K10-'Profit &amp; Loss'!J10)/'Profit &amp; Loss'!J10,"NA")</f>
        <v>7.409111826967324E-2</v>
      </c>
      <c r="L6" s="334">
        <f>IFERROR(('Profit &amp; Loss'!L10-'Profit &amp; Loss'!K10)/'Profit &amp; Loss'!K10,"NA")</f>
        <v>-1.6995144244501541E-2</v>
      </c>
      <c r="N6" s="334" t="e">
        <f>('Profit &amp; Loss'!K10/'Profit &amp; Loss'!B10)^(1/(9-1))-1</f>
        <v>#NUM!</v>
      </c>
      <c r="O6" s="334">
        <f>('Profit &amp; Loss'!K10/'Profit &amp; Loss'!F10)^(1/(5-1))-1</f>
        <v>2.9086358668433374</v>
      </c>
      <c r="P6" s="334">
        <f>('Profit &amp; Loss'!K10/'Profit &amp; Loss'!H10)^(1/(3-1))-1</f>
        <v>0.16096272817342938</v>
      </c>
      <c r="Q6" s="37" t="e">
        <f>IF(N6&gt;0.15,"Excellent",IF(N6&lt;0.1,"Bad","Good"))</f>
        <v>#NUM!</v>
      </c>
    </row>
    <row r="7" spans="1:18" x14ac:dyDescent="0.2">
      <c r="A7" s="332" t="s">
        <v>689</v>
      </c>
      <c r="B7" s="333" t="s">
        <v>685</v>
      </c>
      <c r="C7" s="334">
        <f>IFERROR(('Profit &amp; Loss'!C12-'Profit &amp; Loss'!B12)/'Profit &amp; Loss'!B12,"NA")</f>
        <v>2.289044289044289</v>
      </c>
      <c r="D7" s="334">
        <f>IFERROR(('Profit &amp; Loss'!D12-'Profit &amp; Loss'!C12)/'Profit &amp; Loss'!C12,"NA")</f>
        <v>-1.0481927710843373</v>
      </c>
      <c r="E7" s="334">
        <f>IFERROR(('Profit &amp; Loss'!E12-'Profit &amp; Loss'!D12)/'Profit &amp; Loss'!D12,"NA")</f>
        <v>8.9117647058823533</v>
      </c>
      <c r="F7" s="334">
        <f>IFERROR(('Profit &amp; Loss'!F12-'Profit &amp; Loss'!E12)/'Profit &amp; Loss'!E12,"NA")</f>
        <v>-0.95548961424332346</v>
      </c>
      <c r="G7" s="334">
        <f>IFERROR(('Profit &amp; Loss'!G12-'Profit &amp; Loss'!F12)/'Profit &amp; Loss'!F12,"NA")</f>
        <v>46.133333333333333</v>
      </c>
      <c r="H7" s="334">
        <f>IFERROR(('Profit &amp; Loss'!H12-'Profit &amp; Loss'!G12)/'Profit &amp; Loss'!G12,"NA")</f>
        <v>1.4596888260254597</v>
      </c>
      <c r="I7" s="334">
        <f>IFERROR(('Profit &amp; Loss'!I12-'Profit &amp; Loss'!H12)/'Profit &amp; Loss'!H12,"NA")</f>
        <v>0.17768832662449682</v>
      </c>
      <c r="J7" s="334">
        <f>IFERROR(('Profit &amp; Loss'!J12-'Profit &amp; Loss'!I12)/'Profit &amp; Loss'!I12,"NA")</f>
        <v>7.8124999999999889E-2</v>
      </c>
      <c r="K7" s="334">
        <f>IFERROR(('Profit &amp; Loss'!K12-'Profit &amp; Loss'!J12)/'Profit &amp; Loss'!J12,"NA")</f>
        <v>0.29415760869565222</v>
      </c>
      <c r="L7" s="334">
        <f>IFERROR(('Profit &amp; Loss'!L12-'Profit &amp; Loss'!K12)/'Profit &amp; Loss'!K12,"NA")</f>
        <v>-6.2292213473315754E-2</v>
      </c>
      <c r="N7" s="334" t="e">
        <f>('Profit &amp; Loss'!K12/'Profit &amp; Loss'!B12)^(1/(9-1))-1</f>
        <v>#NUM!</v>
      </c>
      <c r="O7" s="334">
        <f>('Profit &amp; Loss'!K12/'Profit &amp; Loss'!F12)^(1/(5-1))-1</f>
        <v>2.7151276884976996</v>
      </c>
      <c r="P7" s="334">
        <f>('Profit &amp; Loss'!K12/'Profit &amp; Loss'!H12)^(1/(3-1))-1</f>
        <v>0.28186806611695414</v>
      </c>
      <c r="Q7" s="37" t="e">
        <f>IF(N7&gt;0.15,"Excellent",IF(N7&lt;0.1,"Bad","Good"))</f>
        <v>#NUM!</v>
      </c>
    </row>
    <row r="8" spans="1:18" x14ac:dyDescent="0.2">
      <c r="A8" s="332" t="s">
        <v>690</v>
      </c>
      <c r="B8" s="333" t="s">
        <v>685</v>
      </c>
      <c r="C8" s="334">
        <f>IFERROR(('Profit &amp; Loss'!C13-'Profit &amp; Loss'!B13)/'Profit &amp; Loss'!B13,"NA")</f>
        <v>2.2890442890442886</v>
      </c>
      <c r="D8" s="334">
        <f>IFERROR(('Profit &amp; Loss'!D13-'Profit &amp; Loss'!C13)/'Profit &amp; Loss'!C13,"NA")</f>
        <v>-1.0429354480365027</v>
      </c>
      <c r="E8" s="334">
        <f>IFERROR(('Profit &amp; Loss'!E13-'Profit &amp; Loss'!D13)/'Profit &amp; Loss'!D13,"NA")</f>
        <v>8.9117647058823533</v>
      </c>
      <c r="F8" s="334">
        <f>IFERROR(('Profit &amp; Loss'!F13-'Profit &amp; Loss'!E13)/'Profit &amp; Loss'!E13,"NA")</f>
        <v>-0.95548961424332346</v>
      </c>
      <c r="G8" s="334">
        <f>IFERROR(('Profit &amp; Loss'!G13-'Profit &amp; Loss'!F13)/'Profit &amp; Loss'!F13,"NA")</f>
        <v>46.133333333333333</v>
      </c>
      <c r="H8" s="334">
        <f>IFERROR(('Profit &amp; Loss'!H13-'Profit &amp; Loss'!G13)/'Profit &amp; Loss'!G13,"NA")</f>
        <v>1.4596888260254595</v>
      </c>
      <c r="I8" s="334">
        <f>IFERROR(('Profit &amp; Loss'!I13-'Profit &amp; Loss'!H13)/'Profit &amp; Loss'!H13,"NA")</f>
        <v>0.17768832662449699</v>
      </c>
      <c r="J8" s="334">
        <f>IFERROR(('Profit &amp; Loss'!J13-'Profit &amp; Loss'!I13)/'Profit &amp; Loss'!I13,"NA")</f>
        <v>7.8124999999999875E-2</v>
      </c>
      <c r="K8" s="334">
        <f>IFERROR(('Profit &amp; Loss'!K13-'Profit &amp; Loss'!J13)/'Profit &amp; Loss'!J13,"NA")</f>
        <v>0.29415760869565211</v>
      </c>
      <c r="L8" s="334">
        <f>IFERROR(('Profit &amp; Loss'!L13-'Profit &amp; Loss'!K13)/'Profit &amp; Loss'!K13,"NA")</f>
        <v>-0.2263321127142624</v>
      </c>
      <c r="N8" s="334" t="e">
        <f>('Profit &amp; Loss'!K13/'Profit &amp; Loss'!B13)^(1/(9-1))-1</f>
        <v>#NUM!</v>
      </c>
      <c r="O8" s="334">
        <f>('Profit &amp; Loss'!K13/'Profit &amp; Loss'!F13)^(1/(5-1))-1</f>
        <v>2.7151276884976996</v>
      </c>
      <c r="P8" s="334">
        <f>('Profit &amp; Loss'!K13/'Profit &amp; Loss'!H13)^(1/(3-1))-1</f>
        <v>0.28186806611695414</v>
      </c>
      <c r="Q8" s="37" t="e">
        <f>IF(N8&gt;0.15,"Excellent",IF(N8&lt;0.1,"Bad","Good"))</f>
        <v>#NUM!</v>
      </c>
    </row>
    <row r="9" spans="1:18" x14ac:dyDescent="0.2">
      <c r="A9" s="327" t="s">
        <v>691</v>
      </c>
      <c r="B9" s="333"/>
      <c r="C9" s="334"/>
      <c r="D9" s="334"/>
      <c r="E9" s="334"/>
      <c r="F9" s="334"/>
      <c r="G9" s="334"/>
      <c r="H9" s="334"/>
      <c r="I9" s="334"/>
      <c r="J9" s="334"/>
      <c r="K9" s="334"/>
      <c r="L9" s="334"/>
      <c r="N9" s="334"/>
      <c r="O9" s="334"/>
      <c r="P9" s="334"/>
    </row>
    <row r="10" spans="1:18" x14ac:dyDescent="0.2">
      <c r="A10" s="335" t="s">
        <v>692</v>
      </c>
      <c r="B10" s="333" t="s">
        <v>685</v>
      </c>
      <c r="C10" s="334">
        <f>IFERROR(('Cash Flow'!C4-'Cash Flow'!B4)/'Cash Flow'!B4,"NA")</f>
        <v>-0.20145495243424741</v>
      </c>
      <c r="D10" s="334">
        <f>IFERROR(('Cash Flow'!D4-'Cash Flow'!C4)/'Cash Flow'!C4,"NA")</f>
        <v>-0.96145760336370001</v>
      </c>
      <c r="E10" s="334">
        <f>IFERROR(('Cash Flow'!E4-'Cash Flow'!D4)/'Cash Flow'!D4,"NA")</f>
        <v>81.527272727272731</v>
      </c>
      <c r="F10" s="334">
        <f>IFERROR(('Cash Flow'!F4-'Cash Flow'!E4)/'Cash Flow'!E4,"NA")</f>
        <v>0.41396783432474127</v>
      </c>
      <c r="G10" s="334">
        <f>IFERROR(('Cash Flow'!G4-'Cash Flow'!F4)/'Cash Flow'!F4,"NA")</f>
        <v>0.38516671860392637</v>
      </c>
      <c r="H10" s="334">
        <f>IFERROR(('Cash Flow'!H4-'Cash Flow'!G4)/'Cash Flow'!G4,"NA")</f>
        <v>-2.5646794150731171E-2</v>
      </c>
      <c r="I10" s="334">
        <f>IFERROR(('Cash Flow'!I4-'Cash Flow'!H4)/'Cash Flow'!H4,"NA")</f>
        <v>-0.48614638651581626</v>
      </c>
      <c r="J10" s="334">
        <f>IFERROR(('Cash Flow'!J4-'Cash Flow'!I4)/'Cash Flow'!I4,"NA")</f>
        <v>1.2556728824983152</v>
      </c>
      <c r="K10" s="334">
        <f>IFERROR(('Cash Flow'!K4-'Cash Flow'!J4)/'Cash Flow'!J4,"NA")</f>
        <v>-0.41075697211155388</v>
      </c>
      <c r="L10" s="334">
        <f>IFERROR(('Cash Flow'!K4-'Cash Flow'!J4)/'Cash Flow'!J4,"NA")</f>
        <v>-0.41075697211155388</v>
      </c>
      <c r="N10" s="334"/>
      <c r="O10" s="334"/>
      <c r="P10" s="334"/>
    </row>
    <row r="11" spans="1:18" x14ac:dyDescent="0.2">
      <c r="A11" s="335" t="s">
        <v>693</v>
      </c>
      <c r="B11" s="333" t="s">
        <v>685</v>
      </c>
      <c r="C11" s="334">
        <f>IFERROR(('Cash Flow'!C5-'Cash Flow'!B5)/'Cash Flow'!B5,"NA")</f>
        <v>-0.65070242656449562</v>
      </c>
      <c r="D11" s="334">
        <f>IFERROR(('Cash Flow'!D5-'Cash Flow'!C5)/'Cash Flow'!C5,"NA")</f>
        <v>-0.99680073126142599</v>
      </c>
      <c r="E11" s="334">
        <f>IFERROR(('Cash Flow'!E5-'Cash Flow'!D5)/'Cash Flow'!D5,"NA")</f>
        <v>-3.8571428571428572</v>
      </c>
      <c r="F11" s="334">
        <f>IFERROR(('Cash Flow'!F5-'Cash Flow'!E5)/'Cash Flow'!E5,"NA")</f>
        <v>-42.449999999999989</v>
      </c>
      <c r="G11" s="334">
        <f>IFERROR(('Cash Flow'!G5-'Cash Flow'!F5)/'Cash Flow'!F5,"NA")</f>
        <v>-0.47044632086851629</v>
      </c>
      <c r="H11" s="334">
        <f>IFERROR(('Cash Flow'!H5-'Cash Flow'!G5)/'Cash Flow'!G5,"NA")</f>
        <v>7.8496583143507976</v>
      </c>
      <c r="I11" s="334">
        <f>IFERROR(('Cash Flow'!I5-'Cash Flow'!H5)/'Cash Flow'!H5,"NA")</f>
        <v>4.6486486486486482</v>
      </c>
      <c r="J11" s="334">
        <f>IFERROR(('Cash Flow'!J5-'Cash Flow'!I5)/'Cash Flow'!I5,"NA")</f>
        <v>-0.83695602642971068</v>
      </c>
      <c r="K11" s="334">
        <f>IFERROR(('Cash Flow'!K5-'Cash Flow'!J5)/'Cash Flow'!J5,"NA")</f>
        <v>5.7669088876467303</v>
      </c>
      <c r="L11" s="334">
        <f>IFERROR(('Cash Flow'!K5-'Cash Flow'!J5)/'Cash Flow'!J5,"NA")</f>
        <v>5.7669088876467303</v>
      </c>
      <c r="N11" s="334"/>
      <c r="O11" s="334"/>
      <c r="P11" s="334"/>
    </row>
    <row r="12" spans="1:18" x14ac:dyDescent="0.2">
      <c r="A12" s="327" t="s">
        <v>694</v>
      </c>
      <c r="B12" s="333"/>
      <c r="C12" s="334"/>
      <c r="D12" s="334"/>
      <c r="E12" s="334"/>
      <c r="F12" s="334"/>
      <c r="G12" s="334"/>
      <c r="H12" s="334"/>
      <c r="I12" s="334"/>
      <c r="J12" s="334"/>
      <c r="K12" s="334"/>
      <c r="N12" s="334"/>
      <c r="O12" s="334"/>
      <c r="P12" s="334"/>
    </row>
    <row r="13" spans="1:18" x14ac:dyDescent="0.2">
      <c r="A13" s="332" t="s">
        <v>695</v>
      </c>
      <c r="B13" s="333" t="s">
        <v>685</v>
      </c>
      <c r="C13" s="334">
        <f>IFERROR(('Data Sheet'!C67-'Data Sheet'!B67)/'Data Sheet'!B67,"NA")</f>
        <v>0.29262086513994923</v>
      </c>
      <c r="D13" s="334">
        <f>IFERROR(('Data Sheet'!D67-'Data Sheet'!C67)/'Data Sheet'!C67,"NA")</f>
        <v>-0.38320209973753278</v>
      </c>
      <c r="E13" s="334">
        <f>IFERROR(('Data Sheet'!E67-'Data Sheet'!D67)/'Data Sheet'!D67,"NA")</f>
        <v>2.7595744680851069</v>
      </c>
      <c r="F13" s="334">
        <f>IFERROR(('Data Sheet'!F67-'Data Sheet'!E67)/'Data Sheet'!E67,"NA")</f>
        <v>-0.47651386530843243</v>
      </c>
      <c r="G13" s="334">
        <f>IFERROR(('Data Sheet'!G67-'Data Sheet'!F67)/'Data Sheet'!F67,"NA")</f>
        <v>0.51567567567567563</v>
      </c>
      <c r="H13" s="334">
        <f>IFERROR(('Data Sheet'!H67-'Data Sheet'!G67)/'Data Sheet'!G67,"NA")</f>
        <v>-0.11233951497860195</v>
      </c>
      <c r="I13" s="334">
        <f>IFERROR(('Data Sheet'!I67-'Data Sheet'!H67)/'Data Sheet'!H67,"NA")</f>
        <v>0.62394535958216157</v>
      </c>
      <c r="J13" s="334">
        <f>IFERROR(('Data Sheet'!J67-'Data Sheet'!I67)/'Data Sheet'!I67,"NA")</f>
        <v>-2.8946066303810036E-2</v>
      </c>
      <c r="K13" s="334">
        <f>IFERROR(('Data Sheet'!K67-'Data Sheet'!J67)/'Data Sheet'!J67,"NA")</f>
        <v>0.23133757961783435</v>
      </c>
      <c r="L13" s="334">
        <f>IFERROR(('Data Sheet'!K67-'Data Sheet'!J67)/'Data Sheet'!J67,"NA")</f>
        <v>0.23133757961783435</v>
      </c>
      <c r="N13" s="334">
        <f>IFERROR(('Data Sheet'!K67/'Data Sheet'!B67)^(1/(9-1))-1,"NA")</f>
        <v>0.19285560002388502</v>
      </c>
      <c r="O13" s="334">
        <f>IFERROR(('Data Sheet'!K57/'Data Sheet'!G67)^(1/(5-1))-1,"NA")</f>
        <v>0.13068846593466588</v>
      </c>
      <c r="P13" s="334">
        <f>IFERROR(('Data Sheet'!K67/'Data Sheet'!I67)^(1/(3-1))-1,"NA")</f>
        <v>9.3478486480572442E-2</v>
      </c>
      <c r="Q13" s="37" t="str">
        <f>IF(N13&gt;$N$3+0.1,"Bad",IF(N13&lt;$N$3,"Excellent",IF(N13="NA","NA","Good")))</f>
        <v>Excellent</v>
      </c>
    </row>
    <row r="14" spans="1:18" x14ac:dyDescent="0.2">
      <c r="A14" s="332" t="s">
        <v>696</v>
      </c>
      <c r="B14" s="333" t="s">
        <v>685</v>
      </c>
      <c r="C14" s="334">
        <f>IFERROR(('Data Sheet'!C68-'Data Sheet'!B68)/'Data Sheet'!B68,"NA")</f>
        <v>-0.15938461538461546</v>
      </c>
      <c r="D14" s="334">
        <f>IFERROR(('Data Sheet'!D68-'Data Sheet'!C68)/'Data Sheet'!C68,"NA")</f>
        <v>0.85529526598340666</v>
      </c>
      <c r="E14" s="334">
        <f>IFERROR(('Data Sheet'!E68-'Data Sheet'!D68)/'Data Sheet'!D68,"NA")</f>
        <v>7.6417203735367645E-2</v>
      </c>
      <c r="F14" s="334">
        <f>IFERROR(('Data Sheet'!F68-'Data Sheet'!E68)/'Data Sheet'!E68,"NA")</f>
        <v>-5.7551319648093936E-2</v>
      </c>
      <c r="G14" s="334">
        <f>IFERROR(('Data Sheet'!G68-'Data Sheet'!F68)/'Data Sheet'!F68,"NA")</f>
        <v>6.1843640606767933E-2</v>
      </c>
      <c r="H14" s="334">
        <f>IFERROR(('Data Sheet'!H68-'Data Sheet'!G68)/'Data Sheet'!G68,"NA")</f>
        <v>-0.13675213675213677</v>
      </c>
      <c r="I14" s="334">
        <f>IFERROR(('Data Sheet'!I68-'Data Sheet'!H68)/'Data Sheet'!H68,"NA")</f>
        <v>0.33224893917963216</v>
      </c>
      <c r="J14" s="334">
        <f>IFERROR(('Data Sheet'!J68-'Data Sheet'!I68)/'Data Sheet'!I68,"NA")</f>
        <v>0.21838836394521718</v>
      </c>
      <c r="K14" s="334">
        <f>IFERROR(('Data Sheet'!K68-'Data Sheet'!J68)/'Data Sheet'!J68,"NA")</f>
        <v>0.48170094109445788</v>
      </c>
      <c r="L14" s="334">
        <f>IFERROR(('Data Sheet'!K68-'Data Sheet'!J68)/'Data Sheet'!J68,"NA")</f>
        <v>0.48170094109445788</v>
      </c>
      <c r="N14" s="334">
        <f>IFERROR(('Data Sheet'!K68/'Data Sheet'!B68)^(1/(9-1))-1,"NA")</f>
        <v>0.16902031829192232</v>
      </c>
      <c r="O14" s="334">
        <f>IFERROR(('Data Sheet'!K68/'Data Sheet'!G68)^(1/(5-1))-1,"NA")</f>
        <v>0.20037460409465346</v>
      </c>
      <c r="P14" s="334">
        <f>IFERROR(('Data Sheet'!K68/'Data Sheet'!G68)^(1/(3-1))-1,"NA")</f>
        <v>0.44089919015539603</v>
      </c>
      <c r="Q14" s="37" t="str">
        <f>IF(N14&gt;$N$3+0.1,"Bad",IF(N14&lt;$N$3,"Excellent",IF(N14="NA","NA","Good")))</f>
        <v>Excellent</v>
      </c>
    </row>
    <row r="15" spans="1:18" x14ac:dyDescent="0.2">
      <c r="A15" s="332" t="s">
        <v>697</v>
      </c>
      <c r="B15" s="333"/>
      <c r="C15" s="334">
        <f>IFERROR(('Data Sheet'!C57-'Data Sheet'!B57)/'Data Sheet'!B57,"NA")</f>
        <v>0</v>
      </c>
      <c r="D15" s="334">
        <f>IFERROR(('Data Sheet'!D57-'Data Sheet'!C57)/'Data Sheet'!C57,"NA")</f>
        <v>0.12245897624295861</v>
      </c>
      <c r="E15" s="334">
        <f>IFERROR(('Data Sheet'!E57-'Data Sheet'!D57)/'Data Sheet'!D57,"NA")</f>
        <v>0</v>
      </c>
      <c r="F15" s="334">
        <f>IFERROR(('Data Sheet'!F57-'Data Sheet'!E57)/'Data Sheet'!E57,"NA")</f>
        <v>0</v>
      </c>
      <c r="G15" s="334">
        <f>IFERROR(('Data Sheet'!G57-'Data Sheet'!F57)/'Data Sheet'!F57,"NA")</f>
        <v>0</v>
      </c>
      <c r="H15" s="334">
        <f>IFERROR(('Data Sheet'!H57-'Data Sheet'!G57)/'Data Sheet'!G57,"NA")</f>
        <v>0</v>
      </c>
      <c r="I15" s="334">
        <f>IFERROR(('Data Sheet'!I57-'Data Sheet'!H57)/'Data Sheet'!H57,"NA")</f>
        <v>0</v>
      </c>
      <c r="J15" s="334">
        <f>IFERROR(('Data Sheet'!J57-'Data Sheet'!I57)/'Data Sheet'!I57,"NA")</f>
        <v>0</v>
      </c>
      <c r="K15" s="334">
        <f>IFERROR(('Data Sheet'!K57-'Data Sheet'!J57)/'Data Sheet'!J57,"NA")</f>
        <v>0</v>
      </c>
      <c r="L15" s="334">
        <f>IFERROR(('Data Sheet'!K57-'Data Sheet'!J57)/'Data Sheet'!J57,"NA")</f>
        <v>0</v>
      </c>
      <c r="N15" s="334">
        <f>IFERROR(('Data Sheet'!K57/'Data Sheet'!B57)^(1/(9-1))-1,"NA")</f>
        <v>1.4544987848463364E-2</v>
      </c>
      <c r="O15" s="334">
        <f>IFERROR(('Data Sheet'!K57/'Data Sheet'!G57)^(1/(5-1))-1,"NA")</f>
        <v>0</v>
      </c>
      <c r="P15" s="334">
        <f>IFERROR(('Data Sheet'!K57/'Data Sheet'!I57)^(1/(3-1))-1,"NA")</f>
        <v>0</v>
      </c>
    </row>
    <row r="16" spans="1:18" x14ac:dyDescent="0.2">
      <c r="A16" s="332" t="s">
        <v>698</v>
      </c>
      <c r="B16" s="333"/>
      <c r="C16" s="334">
        <f>IFERROR(('Data Sheet'!C58-'Data Sheet'!B58)/'Data Sheet'!B58,"NA")</f>
        <v>-0.29896252381960614</v>
      </c>
      <c r="D16" s="334">
        <f>IFERROR(('Data Sheet'!D58-'Data Sheet'!C58)/'Data Sheet'!C58,"NA")</f>
        <v>2.0235578375113309E-2</v>
      </c>
      <c r="E16" s="334">
        <f>IFERROR(('Data Sheet'!E58-'Data Sheet'!D58)/'Data Sheet'!D58,"NA")</f>
        <v>0.19952634695085855</v>
      </c>
      <c r="F16" s="334">
        <f>IFERROR(('Data Sheet'!F58-'Data Sheet'!E58)/'Data Sheet'!E58,"NA")</f>
        <v>7.6505429417570367E-3</v>
      </c>
      <c r="G16" s="334">
        <f>IFERROR(('Data Sheet'!G58-'Data Sheet'!F58)/'Data Sheet'!F58,"NA")</f>
        <v>0.34606906686260108</v>
      </c>
      <c r="H16" s="334">
        <f>IFERROR(('Data Sheet'!H58-'Data Sheet'!G58)/'Data Sheet'!G58,"NA")</f>
        <v>0.55967976710334788</v>
      </c>
      <c r="I16" s="334">
        <f>IFERROR(('Data Sheet'!I58-'Data Sheet'!H58)/'Data Sheet'!H58,"NA")</f>
        <v>0.41343910405972933</v>
      </c>
      <c r="J16" s="334">
        <f>IFERROR(('Data Sheet'!J58-'Data Sheet'!I58)/'Data Sheet'!I58,"NA")</f>
        <v>0.31899966985803901</v>
      </c>
      <c r="K16" s="334">
        <f>IFERROR(('Data Sheet'!K58-'Data Sheet'!J58)/'Data Sheet'!J58,"NA")</f>
        <v>0.31618797321819664</v>
      </c>
      <c r="L16" s="334">
        <f>IFERROR(('Data Sheet'!K58-'Data Sheet'!J58)/'Data Sheet'!J58,"NA")</f>
        <v>0.31618797321819664</v>
      </c>
      <c r="N16" s="334">
        <f>IFERROR(('Data Sheet'!K58/'Data Sheet'!B58)^(1/(9-1))-1,"NA")</f>
        <v>0.20528011215460507</v>
      </c>
      <c r="O16" s="334">
        <f>IFERROR(('Data Sheet'!K58/'Data Sheet'!G58)^(1/(5-1))-1,"NA")</f>
        <v>0.3986813575391559</v>
      </c>
      <c r="P16" s="334">
        <f>IFERROR(('Data Sheet'!K58/'Data Sheet'!I58)^(1/(3-1))-1,"NA")</f>
        <v>0.31759307153078287</v>
      </c>
    </row>
    <row r="17" spans="1:17" x14ac:dyDescent="0.2">
      <c r="A17" s="332" t="s">
        <v>699</v>
      </c>
      <c r="B17" s="333"/>
      <c r="C17" s="334">
        <f>IFERROR(('Data Sheet'!C57+'Data Sheet'!C58-'Data Sheet'!B57-'Data Sheet'!B58)/('Data Sheet'!B57+'Data Sheet'!B58),"NA")</f>
        <v>-0.16034521916874855</v>
      </c>
      <c r="D17" s="334">
        <f>IFERROR(('Data Sheet'!D57+'Data Sheet'!D58-'Data Sheet'!C57-'Data Sheet'!C58)/('Data Sheet'!C57+'Data Sheet'!C58),"NA")</f>
        <v>7.6683797673789578E-2</v>
      </c>
      <c r="E17" s="334">
        <f>IFERROR(('Data Sheet'!E57+'Data Sheet'!E58-'Data Sheet'!D57-'Data Sheet'!D58)/('Data Sheet'!D57+'Data Sheet'!D58),"NA")</f>
        <v>8.4662730812711903E-2</v>
      </c>
      <c r="F17" s="334">
        <f>IFERROR(('Data Sheet'!F57+'Data Sheet'!F58-'Data Sheet'!E57-'Data Sheet'!E58)/('Data Sheet'!E57+'Data Sheet'!E58),"NA")</f>
        <v>3.5900405327156364E-3</v>
      </c>
      <c r="G17" s="334">
        <f>IFERROR(('Data Sheet'!G57+'Data Sheet'!G58-'Data Sheet'!F57-'Data Sheet'!F58)/('Data Sheet'!F57+'Data Sheet'!F58),"NA")</f>
        <v>0.16305100392337868</v>
      </c>
      <c r="H17" s="334">
        <f>IFERROR(('Data Sheet'!H57+'Data Sheet'!H58-'Data Sheet'!G57-'Data Sheet'!G58)/('Data Sheet'!G57+'Data Sheet'!G58),"NA")</f>
        <v>0.30518900684591738</v>
      </c>
      <c r="I17" s="334">
        <f>IFERROR(('Data Sheet'!I57+'Data Sheet'!I58-'Data Sheet'!H57-'Data Sheet'!H58)/('Data Sheet'!H57+'Data Sheet'!H58),"NA")</f>
        <v>0.26940326871911829</v>
      </c>
      <c r="J17" s="334">
        <f>IFERROR(('Data Sheet'!J57+'Data Sheet'!J58-'Data Sheet'!I57-'Data Sheet'!I58)/('Data Sheet'!I57+'Data Sheet'!I58),"NA")</f>
        <v>0.2314509850889275</v>
      </c>
      <c r="K17" s="334">
        <f>IFERROR(('Data Sheet'!K57+'Data Sheet'!K58-'Data Sheet'!J57-'Data Sheet'!J58)/('Data Sheet'!J57+'Data Sheet'!J58),"NA")</f>
        <v>0.24572067691110694</v>
      </c>
      <c r="L17" s="334">
        <f>IFERROR(('Data Sheet'!K57+'Data Sheet'!K58-'Data Sheet'!J57-'Data Sheet'!J58)/('Data Sheet'!J57+'Data Sheet'!J58),"NA")</f>
        <v>0.24572067691110694</v>
      </c>
      <c r="N17" s="334">
        <f>IFERROR((('Data Sheet'!K57+'Data Sheet'!K58)/('Data Sheet'!B57+'Data Sheet'!B58))^(1/(9-1))-1,"NA")</f>
        <v>0.14279596524660909</v>
      </c>
      <c r="O17" s="334">
        <f>IFERROR((('Data Sheet'!K57+'Data Sheet'!K58)/('Data Sheet'!G57+'Data Sheet'!G58))^(1/(5-1))-1,"NA")</f>
        <v>0.26263465708282685</v>
      </c>
      <c r="P17" s="334">
        <f>IFERROR((('Data Sheet'!K57+'Data Sheet'!K58)/('Data Sheet'!I57+'Data Sheet'!I58))^(1/(3-1))-1,"NA")</f>
        <v>0.23856528076957972</v>
      </c>
    </row>
    <row r="18" spans="1:17" x14ac:dyDescent="0.2">
      <c r="A18" s="332" t="s">
        <v>700</v>
      </c>
      <c r="B18" s="333"/>
      <c r="C18" s="334">
        <f>IFERROR(('Data Sheet'!C66-'Data Sheet'!B66)/'Data Sheet'!B66,"NA")</f>
        <v>0.15464555905554209</v>
      </c>
      <c r="D18" s="334">
        <f>IFERROR(('Data Sheet'!D66-'Data Sheet'!C66)/'Data Sheet'!C66,"NA")</f>
        <v>4.430246927973459E-3</v>
      </c>
      <c r="E18" s="334">
        <f>IFERROR(('Data Sheet'!E66-'Data Sheet'!D66)/'Data Sheet'!D66,"NA")</f>
        <v>-5.104812312835158E-2</v>
      </c>
      <c r="F18" s="334">
        <f>IFERROR(('Data Sheet'!F66-'Data Sheet'!E66)/'Data Sheet'!E66,"NA")</f>
        <v>-0.15039874749253868</v>
      </c>
      <c r="G18" s="334">
        <f>IFERROR(('Data Sheet'!G66-'Data Sheet'!F66)/'Data Sheet'!F66,"NA")</f>
        <v>4.7538151454074258E-2</v>
      </c>
      <c r="H18" s="334">
        <f>IFERROR(('Data Sheet'!H66-'Data Sheet'!G66)/'Data Sheet'!G66,"NA")</f>
        <v>-2.3308870014568092E-2</v>
      </c>
      <c r="I18" s="334">
        <f>IFERROR(('Data Sheet'!I66-'Data Sheet'!H66)/'Data Sheet'!H66,"NA")</f>
        <v>0.7223707539470352</v>
      </c>
      <c r="J18" s="334">
        <f>IFERROR(('Data Sheet'!J66-'Data Sheet'!I66)/'Data Sheet'!I66,"NA")</f>
        <v>4.0996062155847182E-2</v>
      </c>
      <c r="K18" s="334">
        <f>IFERROR(('Data Sheet'!K66-'Data Sheet'!J66)/'Data Sheet'!J66,"NA")</f>
        <v>0.45399466331816041</v>
      </c>
      <c r="L18" s="334">
        <f>IFERROR(('Data Sheet'!K66-'Data Sheet'!J66)/'Data Sheet'!J66,"NA")</f>
        <v>0.45399466331816041</v>
      </c>
      <c r="N18" s="334">
        <f>IFERROR(('Data Sheet'!K66/'Data Sheet'!B66)^(1/(9-1))-1,"NA")</f>
        <v>0.12101566104844341</v>
      </c>
      <c r="O18" s="334">
        <f>IFERROR(('Data Sheet'!K66/'Data Sheet'!G66)^(1/(5-1))-1,"NA")</f>
        <v>0.26320532083316062</v>
      </c>
      <c r="P18" s="334">
        <f>IFERROR(('Data Sheet'!K66/'Data Sheet'!I66)^(1/(3-1))-1,"NA")</f>
        <v>0.23028562493017124</v>
      </c>
    </row>
    <row r="19" spans="1:17" x14ac:dyDescent="0.2">
      <c r="A19" s="332" t="s">
        <v>701</v>
      </c>
      <c r="B19" s="333"/>
      <c r="C19" s="334">
        <f>IFERROR(('Data Sheet'!C62-'Data Sheet'!B62)/'Data Sheet'!B62,"NA")</f>
        <v>0.30750281825393527</v>
      </c>
      <c r="D19" s="334">
        <f>IFERROR(('Data Sheet'!D62-'Data Sheet'!C62)/'Data Sheet'!C62,"NA")</f>
        <v>-5.7734065653340272E-2</v>
      </c>
      <c r="E19" s="334">
        <f>IFERROR(('Data Sheet'!E62-'Data Sheet'!D62)/'Data Sheet'!D62,"NA")</f>
        <v>-0.15521214585875012</v>
      </c>
      <c r="F19" s="334">
        <f>IFERROR(('Data Sheet'!F62-'Data Sheet'!E62)/'Data Sheet'!E62,"NA")</f>
        <v>-8.5004813863928108E-2</v>
      </c>
      <c r="G19" s="334">
        <f>IFERROR(('Data Sheet'!G62-'Data Sheet'!F62)/'Data Sheet'!F62,"NA")</f>
        <v>-6.6201937831557686E-2</v>
      </c>
      <c r="H19" s="334">
        <f>IFERROR(('Data Sheet'!H62-'Data Sheet'!G62)/'Data Sheet'!G62,"NA")</f>
        <v>-0.10225832198694774</v>
      </c>
      <c r="I19" s="334">
        <f>IFERROR(('Data Sheet'!I62-'Data Sheet'!H62)/'Data Sheet'!H62,"NA")</f>
        <v>1.1794885204748706</v>
      </c>
      <c r="J19" s="334">
        <f>IFERROR(('Data Sheet'!J62-'Data Sheet'!I62)/'Data Sheet'!I62,"NA")</f>
        <v>-8.3193357968997489E-2</v>
      </c>
      <c r="K19" s="334">
        <f>IFERROR(('Data Sheet'!K62-'Data Sheet'!J62)/'Data Sheet'!J62,"NA")</f>
        <v>0.60779438322820423</v>
      </c>
      <c r="L19" s="334">
        <f>IFERROR(('Data Sheet'!K62-'Data Sheet'!J62)/'Data Sheet'!J62,"NA")</f>
        <v>0.60779438322820423</v>
      </c>
      <c r="N19" s="334">
        <f>IFERROR(('Data Sheet'!K62/'Data Sheet'!B62)^(1/(9-1))-1,"NA")</f>
        <v>0.12494483057405481</v>
      </c>
      <c r="O19" s="334">
        <f>IFERROR(('Data Sheet'!K62/'Data Sheet'!G62)^(1/(5-1))-1,"NA")</f>
        <v>0.30317745479360347</v>
      </c>
      <c r="P19" s="334">
        <f>IFERROR(('Data Sheet'!K62/'Data Sheet'!I62)^(1/(3-1))-1,"NA")</f>
        <v>0.21409907732596389</v>
      </c>
    </row>
    <row r="20" spans="1:17" x14ac:dyDescent="0.2">
      <c r="A20" s="332" t="s">
        <v>702</v>
      </c>
      <c r="B20" s="333"/>
      <c r="C20" s="334">
        <f>IFERROR(('Data Sheet'!C65-'Data Sheet'!B65)/'Data Sheet'!B65,"NA")</f>
        <v>0.3760561704153278</v>
      </c>
      <c r="D20" s="334">
        <f>IFERROR(('Data Sheet'!D65-'Data Sheet'!C65)/'Data Sheet'!C65,"NA")</f>
        <v>0.17348438986422213</v>
      </c>
      <c r="E20" s="334">
        <f>IFERROR(('Data Sheet'!E65-'Data Sheet'!D65)/'Data Sheet'!D65,"NA")</f>
        <v>0.17547350578524579</v>
      </c>
      <c r="F20" s="334">
        <f>IFERROR(('Data Sheet'!F65-'Data Sheet'!E65)/'Data Sheet'!E65,"NA")</f>
        <v>-0.2737931034482759</v>
      </c>
      <c r="G20" s="334">
        <f>IFERROR(('Data Sheet'!G65-'Data Sheet'!F65)/'Data Sheet'!F65,"NA")</f>
        <v>0.30208063541396873</v>
      </c>
      <c r="H20" s="334">
        <f>IFERROR(('Data Sheet'!H65-'Data Sheet'!G65)/'Data Sheet'!G65,"NA")</f>
        <v>-5.2247712504972788E-2</v>
      </c>
      <c r="I20" s="334">
        <f>IFERROR(('Data Sheet'!I65-'Data Sheet'!H65)/'Data Sheet'!H65,"NA")</f>
        <v>0.36609766335525407</v>
      </c>
      <c r="J20" s="334">
        <f>IFERROR(('Data Sheet'!J65-'Data Sheet'!I65)/'Data Sheet'!I65,"NA")</f>
        <v>0.2186715829364469</v>
      </c>
      <c r="K20" s="334">
        <f>IFERROR(('Data Sheet'!K65-'Data Sheet'!J65)/'Data Sheet'!J65,"NA")</f>
        <v>0.31129974366516794</v>
      </c>
      <c r="L20" s="334">
        <f>IFERROR(('Data Sheet'!K65-'Data Sheet'!J65)/'Data Sheet'!J65,"NA")</f>
        <v>0.31129974366516794</v>
      </c>
      <c r="N20" s="334">
        <f>IFERROR(('Data Sheet'!K65/'Data Sheet'!B65)^(1/(9-1))-1,"NA")</f>
        <v>0.17821277655789869</v>
      </c>
      <c r="O20" s="334">
        <f>IFERROR(('Data Sheet'!K65/'Data Sheet'!G65)^(1/(5-1))-1,"NA")</f>
        <v>0.1993372225271659</v>
      </c>
      <c r="P20" s="334">
        <f>IFERROR(('Data Sheet'!K65/'Data Sheet'!I65)^(1/(3-1))-1,"NA")</f>
        <v>0.26413754564785674</v>
      </c>
    </row>
    <row r="21" spans="1:17" x14ac:dyDescent="0.2">
      <c r="A21" s="332" t="s">
        <v>703</v>
      </c>
      <c r="B21" s="333"/>
      <c r="C21" s="334">
        <f>IFERROR(('Data Sheet'!C59+'Data Sheet'!C60-'Data Sheet'!B59-'Data Sheet'!B60)/('Data Sheet'!B59+'Data Sheet'!B60),"NA")</f>
        <v>0.25253202526731844</v>
      </c>
      <c r="D21" s="334">
        <f>IFERROR(('Data Sheet'!D59+'Data Sheet'!D60-'Data Sheet'!C59-'Data Sheet'!C60)/('Data Sheet'!C59+'Data Sheet'!C60),"NA")</f>
        <v>-1.0621812751810384E-2</v>
      </c>
      <c r="E21" s="334">
        <f>IFERROR(('Data Sheet'!E59+'Data Sheet'!E60-'Data Sheet'!D59-'Data Sheet'!D60)/('Data Sheet'!D59+'Data Sheet'!D60),"NA")</f>
        <v>-8.1814557466681981E-2</v>
      </c>
      <c r="F21" s="334">
        <f>IFERROR(('Data Sheet'!F59+'Data Sheet'!F60-'Data Sheet'!E59-'Data Sheet'!E60)/('Data Sheet'!E59+'Data Sheet'!E60),"NA")</f>
        <v>-0.19163849517724776</v>
      </c>
      <c r="G21" s="334">
        <f>IFERROR(('Data Sheet'!G59+'Data Sheet'!G60-'Data Sheet'!F59-'Data Sheet'!F60)/('Data Sheet'!F59+'Data Sheet'!F60),"NA")</f>
        <v>9.1313689379987489E-3</v>
      </c>
      <c r="H21" s="334">
        <f>IFERROR(('Data Sheet'!H59+'Data Sheet'!H60-'Data Sheet'!G59-'Data Sheet'!G60)/('Data Sheet'!G59+'Data Sheet'!G60),"NA")</f>
        <v>-0.14919017565204162</v>
      </c>
      <c r="I21" s="334">
        <f>IFERROR(('Data Sheet'!I59+'Data Sheet'!I60-'Data Sheet'!H59-'Data Sheet'!H60)/('Data Sheet'!H59+'Data Sheet'!H60),"NA")</f>
        <v>0.98864956653856462</v>
      </c>
      <c r="J21" s="334">
        <f>IFERROR(('Data Sheet'!J59+'Data Sheet'!J60-'Data Sheet'!I59-'Data Sheet'!I60)/('Data Sheet'!I59+'Data Sheet'!I60),"NA")</f>
        <v>-3.0470540649858439E-2</v>
      </c>
      <c r="K21" s="334">
        <f>IFERROR(('Data Sheet'!K59+'Data Sheet'!K60-'Data Sheet'!J59-'Data Sheet'!J60)/('Data Sheet'!J59+'Data Sheet'!J60),"NA")</f>
        <v>0.55326102072034511</v>
      </c>
      <c r="L21" s="334">
        <f>IFERROR(('Data Sheet'!K59+'Data Sheet'!K60-'Data Sheet'!J59-'Data Sheet'!J60)/('Data Sheet'!J59+'Data Sheet'!J60),"NA")</f>
        <v>0.55326102072034511</v>
      </c>
      <c r="N21" s="334">
        <f>IFERROR((('Data Sheet'!K59+'Data Sheet'!K60)/('Data Sheet'!B59+'Data Sheet'!B60))^(1/(9-1))-1,"NA")</f>
        <v>0.11359914566754092</v>
      </c>
      <c r="O21" s="334">
        <f>IFERROR((('Data Sheet'!K59+'Data Sheet'!K60)/('Data Sheet'!G59+'Data Sheet'!G60))^(1/(5-1))-1,"NA")</f>
        <v>0.26342379595257448</v>
      </c>
      <c r="P21" s="334">
        <f>IFERROR((('Data Sheet'!K59+'Data Sheet'!K60)/('Data Sheet'!I59+'Data Sheet'!I60))^(1/(3-1))-1,"NA")</f>
        <v>0.2271643401144956</v>
      </c>
    </row>
    <row r="22" spans="1:17" x14ac:dyDescent="0.2">
      <c r="A22" s="332" t="s">
        <v>704</v>
      </c>
      <c r="B22" s="333"/>
      <c r="C22" s="334">
        <f>IFERROR(('Data Sheet'!C59-'Data Sheet'!B59)/'Data Sheet'!B59,"NA")</f>
        <v>0.11995960200493773</v>
      </c>
      <c r="D22" s="334">
        <f>IFERROR(('Data Sheet'!D59-'Data Sheet'!C59)/'Data Sheet'!C59,"NA")</f>
        <v>3.0393106442670469E-2</v>
      </c>
      <c r="E22" s="334">
        <f>IFERROR(('Data Sheet'!E59-'Data Sheet'!D59)/'Data Sheet'!D59,"NA")</f>
        <v>-7.9349129687854583E-2</v>
      </c>
      <c r="F22" s="334">
        <f>IFERROR(('Data Sheet'!F59-'Data Sheet'!E59)/'Data Sheet'!E59,"NA")</f>
        <v>-0.12361370277787553</v>
      </c>
      <c r="G22" s="334">
        <f>IFERROR(('Data Sheet'!G59-'Data Sheet'!F59)/'Data Sheet'!F59,"NA")</f>
        <v>-0.16985376827896514</v>
      </c>
      <c r="H22" s="334">
        <f>IFERROR(('Data Sheet'!H59-'Data Sheet'!G59)/'Data Sheet'!G59,"NA")</f>
        <v>-0.14793844367015097</v>
      </c>
      <c r="I22" s="334">
        <f>IFERROR(('Data Sheet'!I59-'Data Sheet'!H59)/'Data Sheet'!H59,"NA")</f>
        <v>1.1484068836258305</v>
      </c>
      <c r="J22" s="334">
        <f>IFERROR(('Data Sheet'!J59-'Data Sheet'!I59)/'Data Sheet'!I59,"NA")</f>
        <v>-6.9262695957913636E-2</v>
      </c>
      <c r="K22" s="334">
        <f>IFERROR(('Data Sheet'!K59-'Data Sheet'!J59)/'Data Sheet'!J59,"NA")</f>
        <v>0.60050558127645082</v>
      </c>
      <c r="L22" s="334">
        <f>IFERROR(('Data Sheet'!K59-'Data Sheet'!J59)/'Data Sheet'!J59,"NA")</f>
        <v>0.60050558127645082</v>
      </c>
      <c r="N22" s="334">
        <f>IFERROR(('Data Sheet'!K59/'Data Sheet'!B59)^(1/(9-1))-1,"NA")</f>
        <v>9.7685136811922479E-2</v>
      </c>
      <c r="O22" s="334">
        <f>IFERROR(('Data Sheet'!K59/'Data Sheet'!G59)^(1/(5-1))-1,"NA")</f>
        <v>0.28504387222854688</v>
      </c>
      <c r="P22" s="334">
        <f>IFERROR(('Data Sheet'!K59/'Data Sheet'!I59)^(1/(3-1))-1,"NA")</f>
        <v>0.22051228991008354</v>
      </c>
    </row>
    <row r="23" spans="1:17" x14ac:dyDescent="0.2">
      <c r="A23" s="332" t="s">
        <v>705</v>
      </c>
      <c r="B23" s="333"/>
      <c r="C23" s="334">
        <f>IFERROR(('Data Sheet'!C60-'Data Sheet'!B60)/'Data Sheet'!B60,"NA")</f>
        <v>2.4635059263880223</v>
      </c>
      <c r="D23" s="334">
        <f>IFERROR(('Data Sheet'!D60-'Data Sheet'!C60)/'Data Sheet'!C60,"NA")</f>
        <v>-0.23180835734870323</v>
      </c>
      <c r="E23" s="334">
        <f>IFERROR(('Data Sheet'!E60-'Data Sheet'!D60)/'Data Sheet'!D60,"NA")</f>
        <v>-9.9648300117233302E-2</v>
      </c>
      <c r="F23" s="334">
        <f>IFERROR(('Data Sheet'!F60-'Data Sheet'!E60)/'Data Sheet'!E60,"NA")</f>
        <v>-0.6947916666666667</v>
      </c>
      <c r="G23" s="334">
        <f>IFERROR(('Data Sheet'!G60-'Data Sheet'!F60)/'Data Sheet'!F60,"NA")</f>
        <v>3.810580204778157</v>
      </c>
      <c r="H23" s="334">
        <f>IFERROR(('Data Sheet'!H60-'Data Sheet'!G60)/'Data Sheet'!G60,"NA")</f>
        <v>-0.15377793543809865</v>
      </c>
      <c r="I23" s="334">
        <f>IFERROR(('Data Sheet'!I60-'Data Sheet'!H60)/'Data Sheet'!H60,"NA")</f>
        <v>0.3990777614755816</v>
      </c>
      <c r="J23" s="334">
        <f>IFERROR(('Data Sheet'!J60-'Data Sheet'!I60)/'Data Sheet'!I60,"NA")</f>
        <v>0.18936329588014983</v>
      </c>
      <c r="K23" s="334">
        <f>IFERROR(('Data Sheet'!K60-'Data Sheet'!J60)/'Data Sheet'!J60,"NA")</f>
        <v>0.34374606373598698</v>
      </c>
      <c r="L23" s="334">
        <f>IFERROR(('Data Sheet'!K60-'Data Sheet'!J60)/'Data Sheet'!J60,"NA")</f>
        <v>0.34374606373598698</v>
      </c>
      <c r="N23" s="334">
        <f>IFERROR(('Data Sheet'!K60/'Data Sheet'!B60)^(1/(9-1))-1,"NA")</f>
        <v>0.26734158520631768</v>
      </c>
      <c r="O23" s="334">
        <f>IFERROR(('Data Sheet'!K60/'Data Sheet'!G60)^(1/(5-1))-1,"NA")</f>
        <v>0.17284192982338897</v>
      </c>
      <c r="P23" s="334">
        <f>IFERROR(('Data Sheet'!K60/'Data Sheet'!I60)^(1/(3-1))-1,"NA")</f>
        <v>0.26420024014829679</v>
      </c>
    </row>
    <row r="24" spans="1:17" x14ac:dyDescent="0.2">
      <c r="A24" s="332" t="s">
        <v>706</v>
      </c>
      <c r="B24" s="333"/>
      <c r="C24" s="334">
        <f>'Data Sheet'!C26/Other_input_data!D56</f>
        <v>-9.8032954400306543E-3</v>
      </c>
      <c r="D24" s="334">
        <f>'Data Sheet'!D26/Other_input_data!E56</f>
        <v>6.3203199132438659E-2</v>
      </c>
      <c r="E24" s="334">
        <f>'Data Sheet'!E26/Other_input_data!F56</f>
        <v>0.18184370988446727</v>
      </c>
      <c r="F24" s="334">
        <f>'Data Sheet'!F26/Other_input_data!G56</f>
        <v>0.10513393835766584</v>
      </c>
      <c r="G24" s="334">
        <f>'Data Sheet'!G26/Other_input_data!H56</f>
        <v>0.1150288745950514</v>
      </c>
      <c r="H24" s="334">
        <f>'Data Sheet'!H26/Other_input_data!I56</f>
        <v>0.13006641912033889</v>
      </c>
      <c r="I24" s="334">
        <f>'Data Sheet'!I26/Other_input_data!J56</f>
        <v>6.7044200220761144E-2</v>
      </c>
      <c r="J24" s="334">
        <f>'Data Sheet'!J26/Other_input_data!K56</f>
        <v>0.10354123589918078</v>
      </c>
      <c r="K24" s="334">
        <f>'Data Sheet'!K26/Other_input_data!L56</f>
        <v>6.78018525452148E-2</v>
      </c>
      <c r="L24" s="334">
        <f>'Data Sheet'!K26/Other_input_data!L56</f>
        <v>6.78018525452148E-2</v>
      </c>
      <c r="N24" s="334"/>
      <c r="O24" s="334"/>
      <c r="P24" s="334"/>
    </row>
    <row r="25" spans="1:17" x14ac:dyDescent="0.2">
      <c r="A25" s="332"/>
      <c r="B25" s="333"/>
      <c r="C25" s="334"/>
      <c r="D25" s="334"/>
      <c r="E25" s="334"/>
      <c r="F25" s="334"/>
      <c r="G25" s="334"/>
      <c r="H25" s="334"/>
      <c r="I25" s="334"/>
      <c r="J25" s="334"/>
      <c r="K25" s="334"/>
      <c r="L25" s="334"/>
      <c r="N25" s="334"/>
      <c r="O25" s="334"/>
      <c r="P25" s="334"/>
    </row>
    <row r="26" spans="1:17" x14ac:dyDescent="0.2">
      <c r="A26" s="327" t="s">
        <v>707</v>
      </c>
      <c r="B26" s="333"/>
      <c r="C26" s="336">
        <f>C1</f>
        <v>39903</v>
      </c>
      <c r="D26" s="336">
        <f t="shared" ref="D26:L26" si="0">D1</f>
        <v>40268</v>
      </c>
      <c r="E26" s="336">
        <f t="shared" si="0"/>
        <v>40633</v>
      </c>
      <c r="F26" s="336">
        <f t="shared" si="0"/>
        <v>40999</v>
      </c>
      <c r="G26" s="336">
        <f t="shared" si="0"/>
        <v>41364</v>
      </c>
      <c r="H26" s="336">
        <f t="shared" si="0"/>
        <v>41729</v>
      </c>
      <c r="I26" s="336">
        <f t="shared" si="0"/>
        <v>42094</v>
      </c>
      <c r="J26" s="336">
        <f t="shared" si="0"/>
        <v>42460</v>
      </c>
      <c r="K26" s="336">
        <f t="shared" si="0"/>
        <v>42825</v>
      </c>
      <c r="L26" s="336" t="str">
        <f t="shared" si="0"/>
        <v>Trailing</v>
      </c>
      <c r="N26" s="331" t="s">
        <v>708</v>
      </c>
      <c r="O26" s="331" t="s">
        <v>709</v>
      </c>
      <c r="P26" s="331" t="s">
        <v>710</v>
      </c>
      <c r="Q26" s="331" t="s">
        <v>711</v>
      </c>
    </row>
    <row r="27" spans="1:17" ht="25.5" x14ac:dyDescent="0.2">
      <c r="A27" s="332" t="s">
        <v>712</v>
      </c>
      <c r="B27" s="333" t="s">
        <v>713</v>
      </c>
      <c r="C27" s="334">
        <f>IFERROR('Profit &amp; Loss'!C5/'Profit &amp; Loss'!C4,"NA")</f>
        <v>1.0122392953826211</v>
      </c>
      <c r="D27" s="334">
        <f>IFERROR('Profit &amp; Loss'!D5/'Profit &amp; Loss'!D4,"NA")</f>
        <v>0.88660374234144745</v>
      </c>
      <c r="E27" s="334">
        <f>IFERROR('Profit &amp; Loss'!E5/'Profit &amp; Loss'!E4,"NA")</f>
        <v>0.8155358707290955</v>
      </c>
      <c r="F27" s="334">
        <f>IFERROR('Profit &amp; Loss'!F5/'Profit &amp; Loss'!F4,"NA")</f>
        <v>0.89481671725426104</v>
      </c>
      <c r="G27" s="334">
        <f>IFERROR('Profit &amp; Loss'!G5/'Profit &amp; Loss'!G4,"NA")</f>
        <v>0.83748458692971639</v>
      </c>
      <c r="H27" s="334">
        <f>IFERROR('Profit &amp; Loss'!H5/'Profit &amp; Loss'!H4,"NA")</f>
        <v>0.80763402547405483</v>
      </c>
      <c r="I27" s="334">
        <f>IFERROR('Profit &amp; Loss'!I5/'Profit &amp; Loss'!I4,"NA")</f>
        <v>0.8391000373091958</v>
      </c>
      <c r="J27" s="334">
        <f>IFERROR('Profit &amp; Loss'!J5/'Profit &amp; Loss'!J4,"NA")</f>
        <v>0.82131260839516462</v>
      </c>
      <c r="K27" s="334">
        <f>IFERROR('Profit &amp; Loss'!K5/'Profit &amp; Loss'!K4,"NA")</f>
        <v>0.85737855964344645</v>
      </c>
      <c r="L27" s="334">
        <f>IFERROR('Profit &amp; Loss'!L5/'Profit &amp; Loss'!L4,"NA")</f>
        <v>0.86863636363636365</v>
      </c>
      <c r="N27" s="334">
        <f>(L27/C27)^(1/(9-1))-1</f>
        <v>-1.8942749692341665E-2</v>
      </c>
      <c r="O27" s="334">
        <f>MIN(C27:L27)</f>
        <v>0.80763402547405483</v>
      </c>
      <c r="P27" s="334">
        <f>MAX(C27:L27)</f>
        <v>1.0122392953826211</v>
      </c>
      <c r="Q27" s="54">
        <f>AVERAGE(C27:L27)</f>
        <v>0.86407418070953668</v>
      </c>
    </row>
    <row r="28" spans="1:17" ht="38.25" x14ac:dyDescent="0.2">
      <c r="A28" s="332" t="s">
        <v>714</v>
      </c>
      <c r="B28" s="333" t="s">
        <v>715</v>
      </c>
      <c r="C28" s="54">
        <f>IFERROR((1-C27),"NA")</f>
        <v>-1.223929538262114E-2</v>
      </c>
      <c r="D28" s="54">
        <f t="shared" ref="D28:L28" si="1">IFERROR((1-D27),"NA")</f>
        <v>0.11339625765855255</v>
      </c>
      <c r="E28" s="54">
        <f t="shared" si="1"/>
        <v>0.1844641292709045</v>
      </c>
      <c r="F28" s="54">
        <f t="shared" si="1"/>
        <v>0.10518328274573896</v>
      </c>
      <c r="G28" s="54">
        <f t="shared" si="1"/>
        <v>0.16251541307028361</v>
      </c>
      <c r="H28" s="54">
        <f t="shared" si="1"/>
        <v>0.19236597452594517</v>
      </c>
      <c r="I28" s="54">
        <f t="shared" si="1"/>
        <v>0.1608999626908042</v>
      </c>
      <c r="J28" s="54">
        <f t="shared" si="1"/>
        <v>0.17868739160483538</v>
      </c>
      <c r="K28" s="54">
        <f t="shared" si="1"/>
        <v>0.14262144035655355</v>
      </c>
      <c r="L28" s="54">
        <f t="shared" si="1"/>
        <v>0.13136363636363635</v>
      </c>
      <c r="N28" s="334" t="e">
        <f>(L28/C28)^(1/(9-1))-1</f>
        <v>#NUM!</v>
      </c>
      <c r="O28" s="334">
        <f>MIN(C28:L28)</f>
        <v>-1.223929538262114E-2</v>
      </c>
      <c r="P28" s="334">
        <f>MAX(C28:L28)</f>
        <v>0.19236597452594517</v>
      </c>
      <c r="Q28" s="54">
        <f>AVERAGE(C28:L28)</f>
        <v>0.13592581929046332</v>
      </c>
    </row>
    <row r="29" spans="1:17" ht="25.5" x14ac:dyDescent="0.2">
      <c r="A29" s="332" t="s">
        <v>716</v>
      </c>
      <c r="B29" s="333" t="s">
        <v>717</v>
      </c>
      <c r="C29" s="334">
        <f>IFERROR('Profit &amp; Loss'!C9/'Profit &amp; Loss'!C4,"NA")</f>
        <v>9.1127464063751093E-2</v>
      </c>
      <c r="D29" s="334">
        <f>IFERROR('Profit &amp; Loss'!D9/'Profit &amp; Loss'!D4,"NA")</f>
        <v>5.0173869846000994E-2</v>
      </c>
      <c r="E29" s="334">
        <f>IFERROR('Profit &amp; Loss'!E9/'Profit &amp; Loss'!E4,"NA")</f>
        <v>5.120218047308478E-2</v>
      </c>
      <c r="F29" s="334">
        <f>IFERROR('Profit &amp; Loss'!F9/'Profit &amp; Loss'!F4,"NA")</f>
        <v>4.8797571795470458E-2</v>
      </c>
      <c r="G29" s="334">
        <f>IFERROR('Profit &amp; Loss'!G9/'Profit &amp; Loss'!G4,"NA")</f>
        <v>6.1226319919291554E-2</v>
      </c>
      <c r="H29" s="334">
        <f>IFERROR('Profit &amp; Loss'!H9/'Profit &amp; Loss'!H4,"NA")</f>
        <v>3.5753778105418361E-2</v>
      </c>
      <c r="I29" s="334">
        <f>IFERROR('Profit &amp; Loss'!I9/'Profit &amp; Loss'!I4,"NA")</f>
        <v>3.6692783103800669E-2</v>
      </c>
      <c r="J29" s="334">
        <f>IFERROR('Profit &amp; Loss'!J9/'Profit &amp; Loss'!J4,"NA")</f>
        <v>4.304510542856025E-2</v>
      </c>
      <c r="K29" s="334">
        <f>IFERROR('Profit &amp; Loss'!K9/'Profit &amp; Loss'!K4,"NA")</f>
        <v>2.382738005956845E-2</v>
      </c>
      <c r="L29" s="334">
        <f>IFERROR('Profit &amp; Loss'!L9/'Profit &amp; Loss'!L4,"NA")</f>
        <v>2.5288461538461537E-2</v>
      </c>
      <c r="N29" s="334">
        <f>(L29/C29)^(1/(9-1))-1</f>
        <v>-0.14805974304105507</v>
      </c>
      <c r="O29" s="334">
        <f>MIN(C29:L29)</f>
        <v>2.382738005956845E-2</v>
      </c>
      <c r="P29" s="334">
        <f>MAX(C29:L29)</f>
        <v>9.1127464063751093E-2</v>
      </c>
      <c r="Q29" s="54">
        <f>AVERAGE(C29:L29)</f>
        <v>4.6713491433340817E-2</v>
      </c>
    </row>
    <row r="30" spans="1:17" ht="25.5" x14ac:dyDescent="0.2">
      <c r="A30" s="332" t="s">
        <v>718</v>
      </c>
      <c r="B30" s="333" t="s">
        <v>719</v>
      </c>
      <c r="C30" s="334">
        <f>IFERROR('Profit &amp; Loss'!C10/'Profit &amp; Loss'!C4,"NA")</f>
        <v>-8.7924657795401692E-2</v>
      </c>
      <c r="D30" s="334">
        <f>IFERROR('Profit &amp; Loss'!D10/'Profit &amp; Loss'!D4,"NA")</f>
        <v>3.3118065904951151E-3</v>
      </c>
      <c r="E30" s="334">
        <f>IFERROR('Profit &amp; Loss'!E10/'Profit &amp; Loss'!E4,"NA")</f>
        <v>2.3532561082449138E-2</v>
      </c>
      <c r="F30" s="334">
        <f>IFERROR('Profit &amp; Loss'!F10/'Profit &amp; Loss'!F4,"NA")</f>
        <v>7.0044361428904967E-4</v>
      </c>
      <c r="G30" s="334">
        <f>IFERROR('Profit &amp; Loss'!G10/'Profit &amp; Loss'!G4,"NA")</f>
        <v>4.7012666741396703E-2</v>
      </c>
      <c r="H30" s="334">
        <f>IFERROR('Profit &amp; Loss'!H10/'Profit &amp; Loss'!H4,"NA")</f>
        <v>0.10638080026211247</v>
      </c>
      <c r="I30" s="334">
        <f>IFERROR('Profit &amp; Loss'!I10/'Profit &amp; Loss'!I4,"NA")</f>
        <v>8.7189968692718209E-2</v>
      </c>
      <c r="J30" s="334">
        <f>IFERROR('Profit &amp; Loss'!J10/'Profit &amp; Loss'!J4,"NA")</f>
        <v>8.5007889211991594E-2</v>
      </c>
      <c r="K30" s="334">
        <f>IFERROR('Profit &amp; Loss'!K10/'Profit &amp; Loss'!K4,"NA")</f>
        <v>7.5017677687544193E-2</v>
      </c>
      <c r="L30" s="334">
        <f>IFERROR('Profit &amp; Loss'!L10/'Profit &amp; Loss'!L4,"NA")</f>
        <v>6.0166083916083912E-2</v>
      </c>
      <c r="N30" s="334" t="e">
        <f>(L30/C30)^(1/(9-1))-1</f>
        <v>#NUM!</v>
      </c>
      <c r="O30" s="334">
        <f>MIN(C30:L30)</f>
        <v>-8.7924657795401692E-2</v>
      </c>
      <c r="P30" s="334">
        <f>MAX(C30:L30)</f>
        <v>0.10638080026211247</v>
      </c>
      <c r="Q30" s="54">
        <f>AVERAGE(C30:L30)</f>
        <v>4.0039524000367872E-2</v>
      </c>
    </row>
    <row r="31" spans="1:17" ht="25.5" x14ac:dyDescent="0.2">
      <c r="A31" s="332" t="s">
        <v>143</v>
      </c>
      <c r="B31" s="333" t="s">
        <v>720</v>
      </c>
      <c r="C31" s="334">
        <f>IFERROR('Profit &amp; Loss'!C12/'Profit &amp; Loss'!C4,"NA")</f>
        <v>-5.3799519579059749E-2</v>
      </c>
      <c r="D31" s="334">
        <f>IFERROR('Profit &amp; Loss'!D12/'Profit &amp; Loss'!D4,"NA")</f>
        <v>2.2520284815366787E-3</v>
      </c>
      <c r="E31" s="334">
        <f>IFERROR('Profit &amp; Loss'!E12/'Profit &amp; Loss'!E4,"NA")</f>
        <v>1.6402219410104158E-2</v>
      </c>
      <c r="F31" s="334">
        <f>IFERROR('Profit &amp; Loss'!F12/'Profit &amp; Loss'!F4,"NA")</f>
        <v>7.0044361428904967E-4</v>
      </c>
      <c r="G31" s="334">
        <f>IFERROR('Profit &amp; Loss'!G12/'Profit &amp; Loss'!G4,"NA")</f>
        <v>3.1700482008743418E-2</v>
      </c>
      <c r="H31" s="334">
        <f>IFERROR('Profit &amp; Loss'!H12/'Profit &amp; Loss'!H4,"NA")</f>
        <v>7.1220870704836806E-2</v>
      </c>
      <c r="I31" s="334">
        <f>IFERROR('Profit &amp; Loss'!I12/'Profit &amp; Loss'!I4,"NA")</f>
        <v>6.6442811491232337E-2</v>
      </c>
      <c r="J31" s="334">
        <f>IFERROR('Profit &amp; Loss'!J12/'Profit &amp; Loss'!J4,"NA")</f>
        <v>5.7584727528785837E-2</v>
      </c>
      <c r="K31" s="334">
        <f>IFERROR('Profit &amp; Loss'!K12/'Profit &amp; Loss'!K4,"NA")</f>
        <v>6.1229081403072705E-2</v>
      </c>
      <c r="L31" s="334">
        <f>IFERROR('Profit &amp; Loss'!L12/'Profit &amp; Loss'!L4,"NA")</f>
        <v>4.68444055944056E-2</v>
      </c>
      <c r="M31" s="337">
        <f>AVERAGE(J31:L31)</f>
        <v>5.5219404842088045E-2</v>
      </c>
      <c r="N31" s="334" t="e">
        <f>(L31/C31)^(1/(9-1))-1</f>
        <v>#NUM!</v>
      </c>
      <c r="O31" s="334">
        <f>MIN(C31:L31)</f>
        <v>-5.3799519579059749E-2</v>
      </c>
      <c r="P31" s="334">
        <f>MAX(C31:L31)</f>
        <v>7.1220870704836806E-2</v>
      </c>
      <c r="Q31" s="54">
        <f>AVERAGE(C31:L31)</f>
        <v>3.0057755065794688E-2</v>
      </c>
    </row>
    <row r="32" spans="1:17" x14ac:dyDescent="0.2">
      <c r="A32" s="332" t="s">
        <v>262</v>
      </c>
      <c r="B32" s="333"/>
      <c r="C32" s="334">
        <f>'Data Sheet'!C29/'Data Sheet'!C28</f>
        <v>0.38811795316565478</v>
      </c>
      <c r="D32" s="334">
        <f>'Data Sheet'!D29/'Data Sheet'!D28</f>
        <v>0.32</v>
      </c>
      <c r="E32" s="334">
        <f>'Data Sheet'!E29/'Data Sheet'!E28</f>
        <v>0.30299896587383662</v>
      </c>
      <c r="F32" s="334">
        <f>'Data Sheet'!F29/'Data Sheet'!F28</f>
        <v>0</v>
      </c>
      <c r="G32" s="334">
        <f>'Data Sheet'!G29/'Data Sheet'!G28</f>
        <v>0.3261802575107296</v>
      </c>
      <c r="H32" s="334">
        <f>'Data Sheet'!H29/'Data Sheet'!H28</f>
        <v>0.33051010587102986</v>
      </c>
      <c r="I32" s="334">
        <f>'Data Sheet'!I29/'Data Sheet'!I28</f>
        <v>0.23795348837209301</v>
      </c>
      <c r="J32" s="334">
        <f>'Data Sheet'!J29/'Data Sheet'!J28</f>
        <v>0.32274888786623718</v>
      </c>
      <c r="K32" s="334">
        <f>'Data Sheet'!K29/'Data Sheet'!K28</f>
        <v>0.18380462724935734</v>
      </c>
      <c r="L32" s="334">
        <f>'Data Sheet'!K29/'Data Sheet'!K28</f>
        <v>0.18380462724935734</v>
      </c>
      <c r="N32" s="334"/>
      <c r="O32" s="334"/>
      <c r="P32" s="334"/>
      <c r="Q32" s="54"/>
    </row>
    <row r="33" spans="1:17" x14ac:dyDescent="0.2">
      <c r="A33" s="332" t="s">
        <v>721</v>
      </c>
      <c r="B33" s="333"/>
      <c r="C33" s="334">
        <f>'Data Sheet'!C67/'Data Sheet'!C17</f>
        <v>5.8108056582910746E-2</v>
      </c>
      <c r="D33" s="334">
        <f>'Data Sheet'!D67/'Data Sheet'!D17</f>
        <v>3.1130981950654085E-2</v>
      </c>
      <c r="E33" s="334">
        <f>'Data Sheet'!E67/'Data Sheet'!E17</f>
        <v>8.6002141536065418E-2</v>
      </c>
      <c r="F33" s="334">
        <f>'Data Sheet'!F67/'Data Sheet'!F17</f>
        <v>4.3194022881158069E-2</v>
      </c>
      <c r="G33" s="334">
        <f>'Data Sheet'!G67/'Data Sheet'!G17</f>
        <v>6.2862907745768415E-2</v>
      </c>
      <c r="H33" s="334">
        <f>'Data Sheet'!H67/'Data Sheet'!H17</f>
        <v>5.0968587459556867E-2</v>
      </c>
      <c r="I33" s="334">
        <f>'Data Sheet'!I67/'Data Sheet'!I17</f>
        <v>6.5566856456924102E-2</v>
      </c>
      <c r="J33" s="334">
        <f>'Data Sheet'!J67/'Data Sheet'!J17</f>
        <v>5.1182077796758249E-2</v>
      </c>
      <c r="K33" s="334">
        <f>'Data Sheet'!K67/'Data Sheet'!K17</f>
        <v>5.1779553879448881E-2</v>
      </c>
      <c r="L33" s="334">
        <f>'Data Sheet'!K67/'Data Sheet'!K17</f>
        <v>5.1779553879448881E-2</v>
      </c>
      <c r="N33" s="334"/>
      <c r="O33" s="334"/>
      <c r="P33" s="334"/>
      <c r="Q33" s="54">
        <f>AVERAGE(H33:L33)</f>
        <v>5.42553258944274E-2</v>
      </c>
    </row>
    <row r="34" spans="1:17" x14ac:dyDescent="0.2">
      <c r="A34" s="332" t="s">
        <v>722</v>
      </c>
      <c r="B34" s="333"/>
      <c r="C34" s="338">
        <f>'Data Sheet'!C68/'Data Sheet'!C17</f>
        <v>0.15625119152018913</v>
      </c>
      <c r="D34" s="338">
        <f>'Data Sheet'!D68/'Data Sheet'!D17</f>
        <v>0.2517966550753436</v>
      </c>
      <c r="E34" s="338">
        <f>'Data Sheet'!E68/'Data Sheet'!E17</f>
        <v>0.19916285408351991</v>
      </c>
      <c r="F34" s="338">
        <f>'Data Sheet'!F68/'Data Sheet'!F17</f>
        <v>0.18008405323371468</v>
      </c>
      <c r="G34" s="338">
        <f>'Data Sheet'!G68/'Data Sheet'!G17</f>
        <v>0.18361170272390989</v>
      </c>
      <c r="H34" s="338">
        <f>'Data Sheet'!H68/'Data Sheet'!H17</f>
        <v>0.14477618052995864</v>
      </c>
      <c r="I34" s="338">
        <f>'Data Sheet'!I68/'Data Sheet'!I17</f>
        <v>0.15278926792869077</v>
      </c>
      <c r="J34" s="338">
        <f>'Data Sheet'!J68/'Data Sheet'!J17</f>
        <v>0.14964726746384654</v>
      </c>
      <c r="K34" s="338">
        <f>'Data Sheet'!K68/'Data Sheet'!K17</f>
        <v>0.18217660545544151</v>
      </c>
      <c r="L34" s="339">
        <f>'Data Sheet'!K68/'Data Sheet'!K17</f>
        <v>0.18217660545544151</v>
      </c>
      <c r="N34" s="334"/>
      <c r="O34" s="334"/>
      <c r="P34" s="334"/>
      <c r="Q34" s="54">
        <f>AVERAGE(H34:L34)</f>
        <v>0.1623131853666758</v>
      </c>
    </row>
    <row r="35" spans="1:17" x14ac:dyDescent="0.2">
      <c r="A35" s="332" t="s">
        <v>723</v>
      </c>
      <c r="B35" s="333"/>
      <c r="C35" s="334">
        <f>C48/'Data Sheet'!C17</f>
        <v>0.22919129141724176</v>
      </c>
      <c r="D35" s="334">
        <f>D48/'Data Sheet'!D17</f>
        <v>0.30813048517966551</v>
      </c>
      <c r="E35" s="334">
        <f>E48/'Data Sheet'!E17</f>
        <v>0.29470456536552125</v>
      </c>
      <c r="F35" s="334">
        <f>F48/'Data Sheet'!F17</f>
        <v>0.24307728227877656</v>
      </c>
      <c r="G35" s="334">
        <f>G48/'Data Sheet'!G17</f>
        <v>0.21172514292119715</v>
      </c>
      <c r="H35" s="334">
        <f>H48/'Data Sheet'!H17</f>
        <v>0.19500757668837285</v>
      </c>
      <c r="I35" s="334">
        <f>I48/'Data Sheet'!I17</f>
        <v>0.20847729816536084</v>
      </c>
      <c r="J35" s="334">
        <f>J48/'Data Sheet'!J17</f>
        <v>0.20678863431872413</v>
      </c>
      <c r="K35" s="334">
        <f>K48/'Data Sheet'!K17</f>
        <v>0.22002828430007071</v>
      </c>
      <c r="L35" s="340">
        <f>K48/'Data Sheet'!K17</f>
        <v>0.22002828430007071</v>
      </c>
      <c r="N35" s="334">
        <f>IFERROR((L35/G35)^(1/(5-1))-1,-0.1)</f>
        <v>9.6631812380472137E-3</v>
      </c>
      <c r="O35" s="334"/>
      <c r="P35" s="334"/>
      <c r="Q35" s="54"/>
    </row>
    <row r="36" spans="1:17" x14ac:dyDescent="0.2">
      <c r="A36" s="327" t="s">
        <v>724</v>
      </c>
      <c r="B36" s="333"/>
      <c r="C36" s="341">
        <f>C1</f>
        <v>39903</v>
      </c>
      <c r="D36" s="341">
        <f t="shared" ref="D36:L36" si="2">D1</f>
        <v>40268</v>
      </c>
      <c r="E36" s="341">
        <f t="shared" si="2"/>
        <v>40633</v>
      </c>
      <c r="F36" s="341">
        <f t="shared" si="2"/>
        <v>40999</v>
      </c>
      <c r="G36" s="341">
        <f t="shared" si="2"/>
        <v>41364</v>
      </c>
      <c r="H36" s="341">
        <f t="shared" si="2"/>
        <v>41729</v>
      </c>
      <c r="I36" s="341">
        <f t="shared" si="2"/>
        <v>42094</v>
      </c>
      <c r="J36" s="341">
        <f t="shared" si="2"/>
        <v>42460</v>
      </c>
      <c r="K36" s="341">
        <f t="shared" si="2"/>
        <v>42825</v>
      </c>
      <c r="L36" s="341" t="str">
        <f t="shared" si="2"/>
        <v>Trailing</v>
      </c>
      <c r="N36" s="334"/>
      <c r="O36" s="334"/>
      <c r="P36" s="334"/>
    </row>
    <row r="37" spans="1:17" x14ac:dyDescent="0.2">
      <c r="A37" s="332" t="s">
        <v>725</v>
      </c>
      <c r="B37" s="333"/>
      <c r="C37" s="342"/>
      <c r="D37" s="342"/>
      <c r="E37" s="342"/>
      <c r="F37" s="342"/>
      <c r="G37" s="343"/>
      <c r="H37" s="343"/>
      <c r="I37" s="343"/>
      <c r="J37" s="343"/>
      <c r="K37" s="343"/>
      <c r="L37" s="343"/>
      <c r="N37" s="334"/>
      <c r="O37" s="334"/>
      <c r="P37" s="334"/>
    </row>
    <row r="38" spans="1:17" x14ac:dyDescent="0.2">
      <c r="A38" s="332" t="s">
        <v>726</v>
      </c>
      <c r="B38" s="333"/>
      <c r="C38" s="342"/>
      <c r="D38" s="342"/>
      <c r="E38" s="342"/>
      <c r="F38" s="342"/>
      <c r="G38" s="343"/>
      <c r="H38" s="343"/>
      <c r="I38" s="343"/>
      <c r="J38" s="343"/>
      <c r="K38" s="343"/>
      <c r="L38" s="343"/>
      <c r="N38" s="334"/>
      <c r="O38" s="334"/>
      <c r="P38" s="334"/>
    </row>
    <row r="39" spans="1:17" x14ac:dyDescent="0.2">
      <c r="A39" s="332" t="s">
        <v>727</v>
      </c>
      <c r="B39" s="333" t="s">
        <v>728</v>
      </c>
      <c r="C39" s="341"/>
      <c r="D39" s="341"/>
      <c r="E39" s="341"/>
      <c r="F39" s="341"/>
      <c r="G39" s="341"/>
      <c r="H39" s="341"/>
      <c r="I39" s="341"/>
      <c r="J39" s="341"/>
      <c r="K39" s="341"/>
      <c r="L39" s="341"/>
      <c r="N39" s="334"/>
      <c r="O39" s="334"/>
      <c r="P39" s="334"/>
    </row>
    <row r="40" spans="1:17" ht="25.5" x14ac:dyDescent="0.2">
      <c r="A40" s="332" t="s">
        <v>94</v>
      </c>
      <c r="B40" s="333" t="s">
        <v>729</v>
      </c>
      <c r="C40" s="344">
        <f>'Data Sheet'!C90</f>
        <v>4.84</v>
      </c>
      <c r="D40" s="344">
        <f>'Data Sheet'!D90</f>
        <v>8.6999999999999993</v>
      </c>
      <c r="E40" s="344">
        <f>'Data Sheet'!E90</f>
        <v>12.42</v>
      </c>
      <c r="F40" s="344">
        <f>'Data Sheet'!F90</f>
        <v>6.18</v>
      </c>
      <c r="G40" s="344">
        <f>'Data Sheet'!G90</f>
        <v>9.98</v>
      </c>
      <c r="H40" s="344">
        <f>'Data Sheet'!H90</f>
        <v>16.059999999999999</v>
      </c>
      <c r="I40" s="344">
        <f>'Data Sheet'!I90</f>
        <v>38.79</v>
      </c>
      <c r="J40" s="344">
        <f>'Data Sheet'!J90</f>
        <v>65.56</v>
      </c>
      <c r="K40" s="344">
        <f>'Data Sheet'!K90</f>
        <v>130.18</v>
      </c>
      <c r="L40" s="345">
        <f>'Data Sheet'!K90</f>
        <v>130.18</v>
      </c>
      <c r="N40" s="334">
        <f>(L40/I40)^(1/(3-1))-1</f>
        <v>0.83194421112612638</v>
      </c>
      <c r="O40" s="334"/>
      <c r="P40" s="334"/>
    </row>
    <row r="41" spans="1:17" x14ac:dyDescent="0.2">
      <c r="A41" s="332" t="s">
        <v>730</v>
      </c>
      <c r="B41" s="346" t="s">
        <v>731</v>
      </c>
      <c r="C41" s="347">
        <f>'Data Sheet'!C70/10000000</f>
        <v>4.0833944999999998</v>
      </c>
      <c r="D41" s="347">
        <f>'Data Sheet'!D70/10000000</f>
        <v>4.5833944999999998</v>
      </c>
      <c r="E41" s="347">
        <f>'Data Sheet'!E70/10000000</f>
        <v>4.5833944999999998</v>
      </c>
      <c r="F41" s="347">
        <f>'Data Sheet'!F70/10000000</f>
        <v>4.5833944999999998</v>
      </c>
      <c r="G41" s="347">
        <f>'Data Sheet'!G70/10000000</f>
        <v>4.5833944999999998</v>
      </c>
      <c r="H41" s="347">
        <f>'Data Sheet'!H70/10000000</f>
        <v>4.5833944999999998</v>
      </c>
      <c r="I41" s="347">
        <f>'Data Sheet'!I70/10000000</f>
        <v>4.5833944999999998</v>
      </c>
      <c r="J41" s="347">
        <f>'Data Sheet'!J70/10000000</f>
        <v>4.5833944999999998</v>
      </c>
      <c r="K41" s="347">
        <f>'Data Sheet'!K70/10000000</f>
        <v>4.5833944999999998</v>
      </c>
      <c r="L41" s="348">
        <f>'Data Sheet'!K70/10000000</f>
        <v>4.5833944999999998</v>
      </c>
      <c r="N41" s="334">
        <f>(L41/C41)^(1/(9-1))-1</f>
        <v>1.4543651163260174E-2</v>
      </c>
      <c r="O41" s="334"/>
      <c r="P41" s="334"/>
    </row>
    <row r="42" spans="1:17" ht="25.5" x14ac:dyDescent="0.2">
      <c r="A42" s="332" t="s">
        <v>609</v>
      </c>
      <c r="B42" s="333" t="s">
        <v>732</v>
      </c>
      <c r="C42" s="349">
        <f>'Data Sheet'!C70*'Financial Analysis'!C40/10000000</f>
        <v>19.763629379999998</v>
      </c>
      <c r="D42" s="349">
        <f>'Data Sheet'!D70*'Financial Analysis'!D40/10000000</f>
        <v>39.875532149999991</v>
      </c>
      <c r="E42" s="349">
        <f>'Data Sheet'!E70*'Financial Analysis'!E40/10000000</f>
        <v>56.92575969</v>
      </c>
      <c r="F42" s="349">
        <f>'Data Sheet'!F70*'Financial Analysis'!F40/10000000</f>
        <v>28.325378009999998</v>
      </c>
      <c r="G42" s="349">
        <f>'Data Sheet'!G70*'Financial Analysis'!G40/10000000</f>
        <v>45.742277110000003</v>
      </c>
      <c r="H42" s="349">
        <f>'Data Sheet'!H70*'Financial Analysis'!H40/10000000</f>
        <v>73.609315669999987</v>
      </c>
      <c r="I42" s="349">
        <f>'Data Sheet'!I70*'Financial Analysis'!I40/10000000</f>
        <v>177.78987265499998</v>
      </c>
      <c r="J42" s="349">
        <f>'Data Sheet'!J70*'Financial Analysis'!J40/10000000</f>
        <v>300.48734342</v>
      </c>
      <c r="K42" s="349">
        <f>'Data Sheet'!K70*'Financial Analysis'!K40/10000000</f>
        <v>596.66629601</v>
      </c>
      <c r="L42" s="349">
        <f>'Data Sheet'!K70*'Financial Analysis'!L40/10000000</f>
        <v>596.66629601</v>
      </c>
      <c r="N42" s="334">
        <f>(L42/I42)^(1/(3-1))-1</f>
        <v>0.83194421112612638</v>
      </c>
      <c r="O42" s="334" t="s">
        <v>733</v>
      </c>
      <c r="P42" s="334" t="s">
        <v>734</v>
      </c>
      <c r="Q42" s="84" t="s">
        <v>735</v>
      </c>
    </row>
    <row r="43" spans="1:17" x14ac:dyDescent="0.2">
      <c r="A43" s="332" t="s">
        <v>736</v>
      </c>
      <c r="B43" s="333" t="s">
        <v>731</v>
      </c>
      <c r="C43" s="350">
        <f>'Data Sheet'!C31</f>
        <v>0</v>
      </c>
      <c r="D43" s="350">
        <f>'Data Sheet'!D31</f>
        <v>0</v>
      </c>
      <c r="E43" s="350">
        <f>'Data Sheet'!E31</f>
        <v>0</v>
      </c>
      <c r="F43" s="350">
        <f>'Data Sheet'!F31</f>
        <v>0</v>
      </c>
      <c r="G43" s="350">
        <f>'Data Sheet'!G31</f>
        <v>0</v>
      </c>
      <c r="H43" s="350">
        <f>'Data Sheet'!H31</f>
        <v>3.44</v>
      </c>
      <c r="I43" s="350">
        <f>'Data Sheet'!I31</f>
        <v>4.58</v>
      </c>
      <c r="J43" s="350">
        <f>'Data Sheet'!J31</f>
        <v>4.58</v>
      </c>
      <c r="K43" s="350">
        <f>'Data Sheet'!K31</f>
        <v>5.5</v>
      </c>
      <c r="L43" s="350">
        <f>'Data Sheet'!K31</f>
        <v>5.5</v>
      </c>
      <c r="N43" s="334" t="e">
        <f>(L43/C43)^(1/(9-1))-1</f>
        <v>#DIV/0!</v>
      </c>
      <c r="O43" s="351">
        <f t="shared" ref="O43:O55" si="3">SUM(D43:L43)</f>
        <v>23.6</v>
      </c>
      <c r="P43" s="351">
        <f t="shared" ref="P43:P55" si="4">SUM(H43:L43)</f>
        <v>23.6</v>
      </c>
      <c r="Q43" s="352">
        <f t="shared" ref="Q43:Q55" si="5">SUM(J43:L43)</f>
        <v>15.58</v>
      </c>
    </row>
    <row r="44" spans="1:17" x14ac:dyDescent="0.2">
      <c r="A44" s="332" t="s">
        <v>737</v>
      </c>
      <c r="B44" s="333" t="s">
        <v>731</v>
      </c>
      <c r="C44" s="351">
        <f>'Cash Flow'!C4</f>
        <v>14.27</v>
      </c>
      <c r="D44" s="351">
        <f>'Cash Flow'!D4</f>
        <v>0.55000000000000004</v>
      </c>
      <c r="E44" s="351">
        <f>'Cash Flow'!E4</f>
        <v>45.39</v>
      </c>
      <c r="F44" s="351">
        <f>'Cash Flow'!F4</f>
        <v>64.180000000000007</v>
      </c>
      <c r="G44" s="351">
        <f>'Cash Flow'!G4</f>
        <v>88.9</v>
      </c>
      <c r="H44" s="351">
        <f>'Cash Flow'!H4</f>
        <v>86.62</v>
      </c>
      <c r="I44" s="351">
        <f>'Cash Flow'!I4</f>
        <v>44.51</v>
      </c>
      <c r="J44" s="351">
        <f>'Cash Flow'!J4</f>
        <v>100.4</v>
      </c>
      <c r="K44" s="351">
        <f>'Cash Flow'!K4</f>
        <v>59.16</v>
      </c>
      <c r="L44" s="351">
        <f>'Cash Flow'!K4</f>
        <v>59.16</v>
      </c>
      <c r="N44" s="334">
        <f>(L44/C44)^(1/(9-1))-1</f>
        <v>0.19453952428243415</v>
      </c>
      <c r="O44" s="351">
        <f t="shared" si="3"/>
        <v>548.86999999999989</v>
      </c>
      <c r="P44" s="351">
        <f t="shared" si="4"/>
        <v>349.85</v>
      </c>
      <c r="Q44" s="352">
        <f t="shared" si="5"/>
        <v>218.72</v>
      </c>
    </row>
    <row r="45" spans="1:17" ht="38.25" x14ac:dyDescent="0.2">
      <c r="A45" s="332" t="s">
        <v>157</v>
      </c>
      <c r="B45" s="333" t="s">
        <v>738</v>
      </c>
      <c r="C45" s="351">
        <f>('Data Sheet'!C62-'Data Sheet'!B62)+('Data Sheet'!C63-'Data Sheet'!B63)+'Data Sheet'!C26</f>
        <v>22.770000000000032</v>
      </c>
      <c r="D45" s="351">
        <f>('Data Sheet'!D62-'Data Sheet'!C62)+('Data Sheet'!D63-'Data Sheet'!C63)+'Data Sheet'!D26</f>
        <v>0.48999999999995936</v>
      </c>
      <c r="E45" s="351">
        <f>('Data Sheet'!E62-'Data Sheet'!D62)+('Data Sheet'!E63-'Data Sheet'!D63)+'Data Sheet'!E26</f>
        <v>-0.46999999999998465</v>
      </c>
      <c r="F45" s="351">
        <f>('Data Sheet'!F62-'Data Sheet'!E62)+('Data Sheet'!F63-'Data Sheet'!E63)+'Data Sheet'!F26</f>
        <v>6.1700000000000017</v>
      </c>
      <c r="G45" s="351">
        <f>('Data Sheet'!G62-'Data Sheet'!F62)+('Data Sheet'!G63-'Data Sheet'!F63)+'Data Sheet'!G26</f>
        <v>6.0200000000000067</v>
      </c>
      <c r="H45" s="351">
        <f>('Data Sheet'!H62-'Data Sheet'!G62)+('Data Sheet'!H63-'Data Sheet'!G63)+'Data Sheet'!H26</f>
        <v>24.27</v>
      </c>
      <c r="I45" s="351">
        <f>('Data Sheet'!I62-'Data Sheet'!H62)+('Data Sheet'!I63-'Data Sheet'!H63)+'Data Sheet'!I26</f>
        <v>232.29</v>
      </c>
      <c r="J45" s="351">
        <f>('Data Sheet'!J62-'Data Sheet'!I62)+('Data Sheet'!J63-'Data Sheet'!I63)+'Data Sheet'!J26</f>
        <v>21.949999999999985</v>
      </c>
      <c r="K45" s="351">
        <f>('Data Sheet'!K62-'Data Sheet'!J62)+('Data Sheet'!K63-'Data Sheet'!J63)+'Data Sheet'!K26</f>
        <v>256.80999999999995</v>
      </c>
      <c r="L45" s="351">
        <f>('Data Sheet'!K62-'Data Sheet'!J62)+('Data Sheet'!K63-'Data Sheet'!J63)+'Data Sheet'!K26</f>
        <v>256.80999999999995</v>
      </c>
      <c r="N45" s="342">
        <f>SUM(D45:L45)/COUNT(D45:L45)</f>
        <v>89.371111111111105</v>
      </c>
      <c r="O45" s="351">
        <f t="shared" si="3"/>
        <v>804.33999999999992</v>
      </c>
      <c r="P45" s="351">
        <f t="shared" si="4"/>
        <v>792.12999999999988</v>
      </c>
      <c r="Q45" s="352">
        <f t="shared" si="5"/>
        <v>535.56999999999994</v>
      </c>
    </row>
    <row r="46" spans="1:17" ht="25.5" x14ac:dyDescent="0.2">
      <c r="A46" s="332" t="s">
        <v>739</v>
      </c>
      <c r="B46" s="333" t="s">
        <v>740</v>
      </c>
      <c r="C46" s="351">
        <f>'Data Sheet'!C82-'Financial Analysis'!C45</f>
        <v>-8.500000000000032</v>
      </c>
      <c r="D46" s="351">
        <f>'Data Sheet'!D82-'Financial Analysis'!D45</f>
        <v>6.0000000000040687E-2</v>
      </c>
      <c r="E46" s="351">
        <f>'Data Sheet'!E82-'Financial Analysis'!E45</f>
        <v>45.859999999999985</v>
      </c>
      <c r="F46" s="351">
        <f>'Data Sheet'!F82-'Financial Analysis'!F45</f>
        <v>58.010000000000005</v>
      </c>
      <c r="G46" s="351">
        <f>'Data Sheet'!G82-'Financial Analysis'!G45</f>
        <v>82.88</v>
      </c>
      <c r="H46" s="351">
        <f>'Data Sheet'!H82-'Financial Analysis'!H45</f>
        <v>62.350000000000009</v>
      </c>
      <c r="I46" s="351">
        <f>'Data Sheet'!I82-'Financial Analysis'!I45</f>
        <v>-187.78</v>
      </c>
      <c r="J46" s="351">
        <f>'Data Sheet'!J82-'Financial Analysis'!J45</f>
        <v>78.450000000000017</v>
      </c>
      <c r="K46" s="351">
        <f>'Data Sheet'!K82-'Financial Analysis'!K45</f>
        <v>-197.64999999999995</v>
      </c>
      <c r="L46" s="351">
        <f>'Data Sheet'!K82-'Financial Analysis'!K45</f>
        <v>-197.64999999999995</v>
      </c>
      <c r="N46" s="334" t="e">
        <f>(AVERAGE(I46:L46)/AVERAGE(E46:H46))^(1/(5-1))-1</f>
        <v>#NUM!</v>
      </c>
      <c r="O46" s="351">
        <f t="shared" si="3"/>
        <v>-255.46999999999986</v>
      </c>
      <c r="P46" s="351">
        <f t="shared" si="4"/>
        <v>-442.27999999999986</v>
      </c>
      <c r="Q46" s="352">
        <f t="shared" si="5"/>
        <v>-316.84999999999991</v>
      </c>
    </row>
    <row r="47" spans="1:17" ht="38.25" x14ac:dyDescent="0.2">
      <c r="A47" s="332" t="s">
        <v>645</v>
      </c>
      <c r="B47" s="333" t="s">
        <v>741</v>
      </c>
      <c r="C47" s="351">
        <f>'Data Sheet'!C82-'Financial Analysis'!C45-'Data Sheet'!C31</f>
        <v>-8.500000000000032</v>
      </c>
      <c r="D47" s="351">
        <f>'Data Sheet'!D82-'Financial Analysis'!D45-'Data Sheet'!D31</f>
        <v>6.0000000000040687E-2</v>
      </c>
      <c r="E47" s="351">
        <f>'Data Sheet'!E82-'Financial Analysis'!E45-'Data Sheet'!E31</f>
        <v>45.859999999999985</v>
      </c>
      <c r="F47" s="351">
        <f>'Data Sheet'!F82-'Financial Analysis'!F45-'Data Sheet'!F31</f>
        <v>58.010000000000005</v>
      </c>
      <c r="G47" s="351">
        <f>'Data Sheet'!G82-'Financial Analysis'!G45-'Data Sheet'!G31</f>
        <v>82.88</v>
      </c>
      <c r="H47" s="351">
        <f>'Data Sheet'!H82-'Financial Analysis'!H45-'Data Sheet'!H31</f>
        <v>58.910000000000011</v>
      </c>
      <c r="I47" s="351">
        <f>'Data Sheet'!I82-'Financial Analysis'!I45-'Data Sheet'!I31</f>
        <v>-192.36</v>
      </c>
      <c r="J47" s="351">
        <f>'Data Sheet'!J82-'Financial Analysis'!J45-'Data Sheet'!J31</f>
        <v>73.870000000000019</v>
      </c>
      <c r="K47" s="351">
        <f>'Data Sheet'!K82-'Financial Analysis'!K45-'Data Sheet'!K31</f>
        <v>-203.14999999999995</v>
      </c>
      <c r="L47" s="351">
        <f>'Data Sheet'!K82-'Financial Analysis'!K45-'Data Sheet'!K31</f>
        <v>-203.14999999999995</v>
      </c>
      <c r="N47" s="334" t="e">
        <f>(AVERAGE(I47:L47)/AVERAGE(E47:H47))^(1/(5-1))-1</f>
        <v>#NUM!</v>
      </c>
      <c r="O47" s="351">
        <f t="shared" si="3"/>
        <v>-279.06999999999988</v>
      </c>
      <c r="P47" s="351">
        <f t="shared" si="4"/>
        <v>-465.87999999999988</v>
      </c>
      <c r="Q47" s="352">
        <f t="shared" si="5"/>
        <v>-332.42999999999984</v>
      </c>
    </row>
    <row r="48" spans="1:17" ht="25.5" x14ac:dyDescent="0.2">
      <c r="A48" s="332" t="s">
        <v>742</v>
      </c>
      <c r="B48" s="333" t="s">
        <v>743</v>
      </c>
      <c r="C48" s="351">
        <f>'Balance Sheet'!C16</f>
        <v>60.109999999999992</v>
      </c>
      <c r="D48" s="351">
        <f>'Balance Sheet'!D16</f>
        <v>93.039999999999992</v>
      </c>
      <c r="E48" s="351">
        <f>'Balance Sheet'!E16</f>
        <v>121.1</v>
      </c>
      <c r="F48" s="351">
        <f>'Balance Sheet'!F16</f>
        <v>104.11</v>
      </c>
      <c r="G48" s="351">
        <f>'Balance Sheet'!G16</f>
        <v>94.44</v>
      </c>
      <c r="H48" s="351">
        <f>'Balance Sheet'!H16</f>
        <v>95.22999999999999</v>
      </c>
      <c r="I48" s="351">
        <f>'Balance Sheet'!I16</f>
        <v>128.52000000000001</v>
      </c>
      <c r="J48" s="351">
        <f>'Balance Sheet'!J16</f>
        <v>158.57999999999998</v>
      </c>
      <c r="K48" s="351">
        <f>'Balance Sheet'!K16</f>
        <v>205.37</v>
      </c>
      <c r="L48" s="351">
        <f>'Balance Sheet'!K16</f>
        <v>205.37</v>
      </c>
      <c r="N48" s="334">
        <f t="shared" ref="N48:N55" si="6">(L48/C48)^(1/(9-1))-1</f>
        <v>0.16600062816438133</v>
      </c>
      <c r="O48" s="351">
        <f t="shared" si="3"/>
        <v>1205.76</v>
      </c>
      <c r="P48" s="351">
        <f t="shared" si="4"/>
        <v>793.07</v>
      </c>
      <c r="Q48" s="352">
        <f t="shared" si="5"/>
        <v>569.31999999999994</v>
      </c>
    </row>
    <row r="49" spans="1:17" ht="51" x14ac:dyDescent="0.2">
      <c r="A49" s="332" t="s">
        <v>744</v>
      </c>
      <c r="B49" s="333" t="s">
        <v>745</v>
      </c>
      <c r="C49" s="351">
        <f>C48-'Data Sheet'!C69</f>
        <v>59.579999999999991</v>
      </c>
      <c r="D49" s="351">
        <f>D48-'Data Sheet'!D69</f>
        <v>92.94</v>
      </c>
      <c r="E49" s="351">
        <f>E48-'Data Sheet'!E69</f>
        <v>120.96</v>
      </c>
      <c r="F49" s="351">
        <f>F48-'Data Sheet'!F69</f>
        <v>104.03</v>
      </c>
      <c r="G49" s="351">
        <f>G48-'Data Sheet'!G69</f>
        <v>94.16</v>
      </c>
      <c r="H49" s="351">
        <f>H48-'Data Sheet'!H69</f>
        <v>95.169999999999987</v>
      </c>
      <c r="I49" s="351">
        <f>I48-'Data Sheet'!I69</f>
        <v>127.84</v>
      </c>
      <c r="J49" s="351">
        <f>J48-'Data Sheet'!J69</f>
        <v>158.01</v>
      </c>
      <c r="K49" s="351">
        <f>K48-'Data Sheet'!K69</f>
        <v>204.1</v>
      </c>
      <c r="L49" s="351">
        <f>L48-'Data Sheet'!K69</f>
        <v>204.1</v>
      </c>
      <c r="N49" s="334">
        <f t="shared" si="6"/>
        <v>0.16638738317084845</v>
      </c>
      <c r="O49" s="351">
        <f t="shared" si="3"/>
        <v>1201.31</v>
      </c>
      <c r="P49" s="351">
        <f t="shared" si="4"/>
        <v>789.22</v>
      </c>
      <c r="Q49" s="352">
        <f t="shared" si="5"/>
        <v>566.21</v>
      </c>
    </row>
    <row r="50" spans="1:17" x14ac:dyDescent="0.2">
      <c r="A50" s="332" t="s">
        <v>746</v>
      </c>
      <c r="B50" s="333"/>
      <c r="C50" s="350">
        <f>SUM('Data Sheet'!C57:C59)</f>
        <v>373.35</v>
      </c>
      <c r="D50" s="350">
        <f>SUM('Data Sheet'!D57:D59)</f>
        <v>388.12</v>
      </c>
      <c r="E50" s="350">
        <f>SUM('Data Sheet'!E57:E59)</f>
        <v>370.38</v>
      </c>
      <c r="F50" s="350">
        <f>SUM('Data Sheet'!F57:F59)</f>
        <v>335.58</v>
      </c>
      <c r="G50" s="350">
        <f>SUM('Data Sheet'!G57:G59)</f>
        <v>307.42999999999995</v>
      </c>
      <c r="H50" s="350">
        <f>SUM('Data Sheet'!H57:H59)</f>
        <v>307.62</v>
      </c>
      <c r="I50" s="350">
        <f>SUM('Data Sheet'!I57:I59)</f>
        <v>545.26</v>
      </c>
      <c r="J50" s="350">
        <f>SUM('Data Sheet'!J57:J59)</f>
        <v>557.71</v>
      </c>
      <c r="K50" s="350">
        <f>SUM('Data Sheet'!K57:K59)</f>
        <v>819.66000000000008</v>
      </c>
      <c r="L50" s="350">
        <f>SUM('Data Sheet'!K57:K59)</f>
        <v>819.66000000000008</v>
      </c>
      <c r="N50" s="334">
        <f t="shared" si="6"/>
        <v>0.1032900417105489</v>
      </c>
      <c r="O50" s="351">
        <f t="shared" si="3"/>
        <v>4451.4199999999992</v>
      </c>
      <c r="P50" s="351">
        <f t="shared" si="4"/>
        <v>3049.91</v>
      </c>
      <c r="Q50" s="352">
        <f t="shared" si="5"/>
        <v>2197.0300000000002</v>
      </c>
    </row>
    <row r="51" spans="1:17" x14ac:dyDescent="0.2">
      <c r="A51" s="332" t="s">
        <v>747</v>
      </c>
      <c r="B51" s="333"/>
      <c r="C51" s="350">
        <f>C50-'Data Sheet'!C69</f>
        <v>372.82000000000005</v>
      </c>
      <c r="D51" s="350">
        <f>D50-'Data Sheet'!D69</f>
        <v>388.02</v>
      </c>
      <c r="E51" s="350">
        <f>E50-'Data Sheet'!E69</f>
        <v>370.24</v>
      </c>
      <c r="F51" s="350">
        <f>F50-'Data Sheet'!F69</f>
        <v>335.5</v>
      </c>
      <c r="G51" s="350">
        <f>G50-'Data Sheet'!G69</f>
        <v>307.14999999999998</v>
      </c>
      <c r="H51" s="350">
        <f>H50-'Data Sheet'!H69</f>
        <v>307.56</v>
      </c>
      <c r="I51" s="350">
        <f>I50-'Data Sheet'!I69</f>
        <v>544.58000000000004</v>
      </c>
      <c r="J51" s="350">
        <f>J50-'Data Sheet'!J69</f>
        <v>557.14</v>
      </c>
      <c r="K51" s="350">
        <f>K50-'Data Sheet'!K69</f>
        <v>818.3900000000001</v>
      </c>
      <c r="L51" s="350">
        <f>K50-'Data Sheet'!K69</f>
        <v>818.3900000000001</v>
      </c>
      <c r="N51" s="334">
        <f t="shared" si="6"/>
        <v>0.10327210836102796</v>
      </c>
      <c r="O51" s="351">
        <f t="shared" si="3"/>
        <v>4446.97</v>
      </c>
      <c r="P51" s="351">
        <f t="shared" si="4"/>
        <v>3046.0600000000004</v>
      </c>
      <c r="Q51" s="352">
        <f t="shared" si="5"/>
        <v>2193.92</v>
      </c>
    </row>
    <row r="52" spans="1:17" x14ac:dyDescent="0.2">
      <c r="A52" s="332" t="s">
        <v>748</v>
      </c>
      <c r="B52" s="333"/>
      <c r="C52" s="350">
        <f>'Data Sheet'!C62+'Data Sheet'!C63+'Financial Analysis'!C49</f>
        <v>372.82</v>
      </c>
      <c r="D52" s="350">
        <f>'Data Sheet'!D62+'Data Sheet'!D63+'Financial Analysis'!D49</f>
        <v>388.02</v>
      </c>
      <c r="E52" s="350">
        <f>'Data Sheet'!E62+'Data Sheet'!E63+'Financial Analysis'!E49</f>
        <v>370.24</v>
      </c>
      <c r="F52" s="350">
        <f>'Data Sheet'!F62+'Data Sheet'!F63+'Financial Analysis'!F49</f>
        <v>335.5</v>
      </c>
      <c r="G52" s="350">
        <f>'Data Sheet'!G62+'Data Sheet'!G63+'Financial Analysis'!G49</f>
        <v>307.14999999999998</v>
      </c>
      <c r="H52" s="350">
        <f>'Data Sheet'!H62+'Data Sheet'!H63+'Financial Analysis'!H49</f>
        <v>307.56</v>
      </c>
      <c r="I52" s="350">
        <f>'Data Sheet'!I62+'Data Sheet'!I63+'Financial Analysis'!I49</f>
        <v>544.58000000000004</v>
      </c>
      <c r="J52" s="350">
        <f>'Data Sheet'!J62+'Data Sheet'!J63+'Financial Analysis'!J49</f>
        <v>557.14</v>
      </c>
      <c r="K52" s="350">
        <f>'Data Sheet'!K62+'Data Sheet'!K63+'Financial Analysis'!K49</f>
        <v>818.39</v>
      </c>
      <c r="L52" s="350">
        <f>'Data Sheet'!K62+'Data Sheet'!K63+'Financial Analysis'!K49</f>
        <v>818.39</v>
      </c>
      <c r="N52" s="334">
        <f t="shared" si="6"/>
        <v>0.10327210836102796</v>
      </c>
      <c r="O52" s="351">
        <f t="shared" si="3"/>
        <v>4446.9699999999993</v>
      </c>
      <c r="P52" s="351">
        <f t="shared" si="4"/>
        <v>3046.06</v>
      </c>
      <c r="Q52" s="352">
        <f t="shared" si="5"/>
        <v>2193.92</v>
      </c>
    </row>
    <row r="53" spans="1:17" x14ac:dyDescent="0.2">
      <c r="A53" s="332" t="s">
        <v>749</v>
      </c>
      <c r="B53" s="333"/>
      <c r="C53" s="350">
        <f>'Data Sheet'!C62+'Financial Analysis'!C49</f>
        <v>372.74</v>
      </c>
      <c r="D53" s="350">
        <f>'Data Sheet'!D62+'Financial Analysis'!D49</f>
        <v>388.02</v>
      </c>
      <c r="E53" s="350">
        <f>'Data Sheet'!E62+'Financial Analysis'!E49</f>
        <v>370.24</v>
      </c>
      <c r="F53" s="350">
        <f>'Data Sheet'!F62+'Financial Analysis'!F49</f>
        <v>332.12</v>
      </c>
      <c r="G53" s="350">
        <f>'Data Sheet'!G62+'Financial Analysis'!G49</f>
        <v>307.14999999999998</v>
      </c>
      <c r="H53" s="350">
        <f>'Data Sheet'!H62+'Financial Analysis'!H49</f>
        <v>286.38</v>
      </c>
      <c r="I53" s="350">
        <f>'Data Sheet'!I62+'Financial Analysis'!I49</f>
        <v>544.58000000000004</v>
      </c>
      <c r="J53" s="350">
        <f>'Data Sheet'!J62+'Financial Analysis'!J49</f>
        <v>540.07999999999993</v>
      </c>
      <c r="K53" s="350">
        <f>'Data Sheet'!K62+'Financial Analysis'!K49</f>
        <v>818.39</v>
      </c>
      <c r="L53" s="350">
        <f>'Data Sheet'!K62+'Financial Analysis'!K49</f>
        <v>818.39</v>
      </c>
      <c r="N53" s="334">
        <f t="shared" si="6"/>
        <v>0.10330170455477816</v>
      </c>
      <c r="O53" s="351">
        <f t="shared" si="3"/>
        <v>4405.3500000000004</v>
      </c>
      <c r="P53" s="351">
        <f t="shared" si="4"/>
        <v>3007.8199999999997</v>
      </c>
      <c r="Q53" s="352">
        <f t="shared" si="5"/>
        <v>2176.8599999999997</v>
      </c>
    </row>
    <row r="54" spans="1:17" x14ac:dyDescent="0.2">
      <c r="A54" s="332" t="s">
        <v>197</v>
      </c>
      <c r="B54" s="333"/>
      <c r="C54" s="350">
        <f>'Data Sheet'!C27+'Data Sheet'!C28</f>
        <v>0.83999999999999986</v>
      </c>
      <c r="D54" s="350">
        <f>'Data Sheet'!D27+'Data Sheet'!D28</f>
        <v>16.149999999999999</v>
      </c>
      <c r="E54" s="350">
        <f>'Data Sheet'!E27+'Data Sheet'!E28</f>
        <v>30.71</v>
      </c>
      <c r="F54" s="350">
        <f>'Data Sheet'!F27+'Data Sheet'!F28</f>
        <v>21.2</v>
      </c>
      <c r="G54" s="350">
        <f>'Data Sheet'!G27+'Data Sheet'!G28</f>
        <v>48.28</v>
      </c>
      <c r="H54" s="350">
        <f>'Data Sheet'!H27+'Data Sheet'!H28</f>
        <v>69.41</v>
      </c>
      <c r="I54" s="350">
        <f>'Data Sheet'!I27+'Data Sheet'!I28</f>
        <v>76.37</v>
      </c>
      <c r="J54" s="350">
        <f>'Data Sheet'!J27+'Data Sheet'!J28</f>
        <v>98.199999999999989</v>
      </c>
      <c r="K54" s="350">
        <f>'Data Sheet'!K27+'Data Sheet'!K28</f>
        <v>92.259999999999991</v>
      </c>
      <c r="L54" s="350">
        <f>'Data Sheet'!K27+'Data Sheet'!K28</f>
        <v>92.259999999999991</v>
      </c>
      <c r="N54" s="334">
        <f t="shared" si="6"/>
        <v>0.79925107370910919</v>
      </c>
      <c r="O54" s="351">
        <f t="shared" si="3"/>
        <v>544.83999999999992</v>
      </c>
      <c r="P54" s="351">
        <f t="shared" si="4"/>
        <v>428.5</v>
      </c>
      <c r="Q54" s="352">
        <f t="shared" si="5"/>
        <v>282.71999999999997</v>
      </c>
    </row>
    <row r="55" spans="1:17" ht="51" x14ac:dyDescent="0.2">
      <c r="A55" s="332" t="s">
        <v>750</v>
      </c>
      <c r="B55" s="333" t="s">
        <v>751</v>
      </c>
      <c r="C55" s="350">
        <f>'Data Sheet'!C57+'Data Sheet'!C58+'Data Sheet'!C59</f>
        <v>373.35</v>
      </c>
      <c r="D55" s="350">
        <f>'Data Sheet'!D57+'Data Sheet'!D58+'Data Sheet'!D59</f>
        <v>388.12</v>
      </c>
      <c r="E55" s="350">
        <f>'Data Sheet'!E57+'Data Sheet'!E58+'Data Sheet'!E59</f>
        <v>370.38</v>
      </c>
      <c r="F55" s="350">
        <f>'Data Sheet'!F57+'Data Sheet'!F58+'Data Sheet'!F59</f>
        <v>335.58</v>
      </c>
      <c r="G55" s="350">
        <f>'Data Sheet'!G57+'Data Sheet'!G58+'Data Sheet'!G59</f>
        <v>307.42999999999995</v>
      </c>
      <c r="H55" s="350">
        <f>'Data Sheet'!H57+'Data Sheet'!H58+'Data Sheet'!H59</f>
        <v>307.62</v>
      </c>
      <c r="I55" s="350">
        <f>'Data Sheet'!I57+'Data Sheet'!I58+'Data Sheet'!I59</f>
        <v>545.26</v>
      </c>
      <c r="J55" s="350">
        <f>'Data Sheet'!J57+'Data Sheet'!J58+'Data Sheet'!J59</f>
        <v>557.71</v>
      </c>
      <c r="K55" s="350">
        <f>'Data Sheet'!K57+'Data Sheet'!K58+'Data Sheet'!K59</f>
        <v>819.66000000000008</v>
      </c>
      <c r="L55" s="350">
        <f>'Data Sheet'!K57+'Data Sheet'!K58+'Data Sheet'!K59</f>
        <v>819.66000000000008</v>
      </c>
      <c r="N55" s="334">
        <f t="shared" si="6"/>
        <v>0.1032900417105489</v>
      </c>
      <c r="O55" s="351">
        <f t="shared" si="3"/>
        <v>4451.4199999999992</v>
      </c>
      <c r="P55" s="351">
        <f t="shared" si="4"/>
        <v>3049.91</v>
      </c>
      <c r="Q55" s="352">
        <f t="shared" si="5"/>
        <v>2197.0300000000002</v>
      </c>
    </row>
    <row r="56" spans="1:17" x14ac:dyDescent="0.2">
      <c r="A56" s="332" t="s">
        <v>752</v>
      </c>
      <c r="B56" s="333"/>
      <c r="C56" s="350"/>
      <c r="D56" s="350"/>
      <c r="E56" s="350"/>
      <c r="F56" s="350"/>
      <c r="G56" s="350"/>
      <c r="H56" s="350"/>
      <c r="I56" s="350"/>
      <c r="J56" s="350"/>
      <c r="K56" s="350"/>
      <c r="L56" s="350"/>
      <c r="N56" s="334"/>
      <c r="O56" s="351"/>
      <c r="P56" s="351"/>
      <c r="Q56" s="352"/>
    </row>
    <row r="57" spans="1:17" x14ac:dyDescent="0.2">
      <c r="A57" s="332" t="s">
        <v>10</v>
      </c>
      <c r="B57" s="333"/>
      <c r="C57" s="350">
        <f>'Data Sheet'!C26</f>
        <v>-3.07</v>
      </c>
      <c r="D57" s="350">
        <f>'Data Sheet'!D26</f>
        <v>18.649999999999999</v>
      </c>
      <c r="E57" s="350">
        <f>'Data Sheet'!E26</f>
        <v>45.33</v>
      </c>
      <c r="F57" s="350">
        <f>'Data Sheet'!F26</f>
        <v>23.98</v>
      </c>
      <c r="G57" s="350">
        <f>'Data Sheet'!G26</f>
        <v>24.5</v>
      </c>
      <c r="H57" s="350">
        <f>'Data Sheet'!H26</f>
        <v>24.87</v>
      </c>
      <c r="I57" s="350">
        <f>'Data Sheet'!I26</f>
        <v>27.94</v>
      </c>
      <c r="J57" s="350">
        <f>'Data Sheet'!J26</f>
        <v>39.56</v>
      </c>
      <c r="K57" s="350">
        <f>'Data Sheet'!K26</f>
        <v>41.65</v>
      </c>
      <c r="L57" s="350">
        <f>'Data Sheet'!K26</f>
        <v>41.65</v>
      </c>
      <c r="M57" s="342">
        <f>AVERAGE(H57:L57)</f>
        <v>35.134</v>
      </c>
      <c r="O57" s="351">
        <f>SUM(D57:L57)</f>
        <v>288.13</v>
      </c>
      <c r="P57" s="351">
        <f>SUM(H57:L57)</f>
        <v>175.67000000000002</v>
      </c>
      <c r="Q57" s="352">
        <f>SUM(J57:L57)</f>
        <v>122.86000000000001</v>
      </c>
    </row>
    <row r="58" spans="1:17" x14ac:dyDescent="0.2">
      <c r="A58" s="332" t="s">
        <v>125</v>
      </c>
      <c r="B58" s="333"/>
      <c r="C58" s="350">
        <f>'Data Sheet'!C62</f>
        <v>313.16000000000003</v>
      </c>
      <c r="D58" s="350">
        <f>'Data Sheet'!D62</f>
        <v>295.08</v>
      </c>
      <c r="E58" s="350">
        <f>'Data Sheet'!E62</f>
        <v>249.28</v>
      </c>
      <c r="F58" s="350">
        <f>'Data Sheet'!F62</f>
        <v>228.09</v>
      </c>
      <c r="G58" s="350">
        <f>'Data Sheet'!G62</f>
        <v>212.99</v>
      </c>
      <c r="H58" s="350">
        <f>'Data Sheet'!H62</f>
        <v>191.21</v>
      </c>
      <c r="I58" s="350">
        <f>'Data Sheet'!I62</f>
        <v>416.74</v>
      </c>
      <c r="J58" s="350">
        <f>'Data Sheet'!J62</f>
        <v>382.07</v>
      </c>
      <c r="K58" s="350">
        <f>'Data Sheet'!K62</f>
        <v>614.29</v>
      </c>
      <c r="L58" s="350">
        <f>'Data Sheet'!K62</f>
        <v>614.29</v>
      </c>
      <c r="M58" s="342">
        <f>AVERAGE(H58:L58)</f>
        <v>443.71999999999997</v>
      </c>
      <c r="O58" s="351">
        <f>SUM(D58:L58)</f>
        <v>3204.04</v>
      </c>
      <c r="P58" s="351">
        <f>SUM(H58:L58)</f>
        <v>2218.6</v>
      </c>
      <c r="Q58" s="352">
        <f>SUM(J58:L58)</f>
        <v>1610.6499999999999</v>
      </c>
    </row>
    <row r="59" spans="1:17" x14ac:dyDescent="0.2">
      <c r="A59" s="332" t="s">
        <v>753</v>
      </c>
      <c r="B59" s="333"/>
      <c r="C59" s="353">
        <f>C57/C58</f>
        <v>-9.8032954400306543E-3</v>
      </c>
      <c r="D59" s="353">
        <f t="shared" ref="D59:K59" si="7">D57/D58</f>
        <v>6.3203199132438659E-2</v>
      </c>
      <c r="E59" s="353">
        <f t="shared" si="7"/>
        <v>0.18184370988446727</v>
      </c>
      <c r="F59" s="353">
        <f t="shared" si="7"/>
        <v>0.10513393835766584</v>
      </c>
      <c r="G59" s="353">
        <f t="shared" si="7"/>
        <v>0.1150288745950514</v>
      </c>
      <c r="H59" s="353">
        <f t="shared" si="7"/>
        <v>0.13006641912033889</v>
      </c>
      <c r="I59" s="353">
        <f t="shared" si="7"/>
        <v>6.7044200220761144E-2</v>
      </c>
      <c r="J59" s="353">
        <f t="shared" si="7"/>
        <v>0.10354123589918078</v>
      </c>
      <c r="K59" s="353">
        <f t="shared" si="7"/>
        <v>6.78018525452148E-2</v>
      </c>
      <c r="L59" s="353">
        <f>L57/L58</f>
        <v>6.78018525452148E-2</v>
      </c>
      <c r="M59" s="334">
        <f>AVERAGE(H59:L59)</f>
        <v>8.7251112066142084E-2</v>
      </c>
      <c r="O59" s="351"/>
      <c r="P59" s="351"/>
      <c r="Q59" s="352"/>
    </row>
    <row r="60" spans="1:17" x14ac:dyDescent="0.2">
      <c r="A60" s="332" t="s">
        <v>754</v>
      </c>
      <c r="B60" s="333"/>
      <c r="C60" s="354" t="e">
        <f>'Data Sheet'!C17/B58</f>
        <v>#DIV/0!</v>
      </c>
      <c r="D60" s="354">
        <f>'Data Sheet'!D17/C58</f>
        <v>0.96420360199259159</v>
      </c>
      <c r="E60" s="354">
        <f>'Data Sheet'!E17/D58</f>
        <v>1.3925715060322625</v>
      </c>
      <c r="F60" s="354">
        <f>'Data Sheet'!F17/E58</f>
        <v>1.7181482670089858</v>
      </c>
      <c r="G60" s="354">
        <f>'Data Sheet'!G17/F58</f>
        <v>1.9555877066070411</v>
      </c>
      <c r="H60" s="354">
        <f>'Data Sheet'!H17/G58</f>
        <v>2.2927836987651999</v>
      </c>
      <c r="I60" s="354">
        <f>'Data Sheet'!I17/H58</f>
        <v>3.2240468594738769</v>
      </c>
      <c r="J60" s="354">
        <f>'Data Sheet'!J17/I58</f>
        <v>1.8401641311129242</v>
      </c>
      <c r="K60" s="354">
        <f>'Data Sheet'!K17/J58</f>
        <v>2.4429554793624204</v>
      </c>
      <c r="L60" s="354">
        <f>'Data Sheet'!K17/J58</f>
        <v>2.4429554793624204</v>
      </c>
      <c r="M60" s="351">
        <f>AVERAGE(H60:L60)</f>
        <v>2.4485811296153686</v>
      </c>
      <c r="O60" s="351">
        <f>SUM(D60:L60)</f>
        <v>18.273416729717724</v>
      </c>
      <c r="P60" s="351">
        <f>SUM(H60:L60)</f>
        <v>12.242905648076842</v>
      </c>
      <c r="Q60" s="352">
        <f>SUM(J60:L60)</f>
        <v>6.7260750898377646</v>
      </c>
    </row>
    <row r="61" spans="1:17" x14ac:dyDescent="0.2">
      <c r="A61" s="332" t="s">
        <v>192</v>
      </c>
      <c r="B61" s="333"/>
      <c r="C61" s="350"/>
      <c r="D61" s="353">
        <f>((1-D59)+(D60*D31*(1-D79)))-1</f>
        <v>-6.1031785158751073E-2</v>
      </c>
      <c r="E61" s="353">
        <f t="shared" ref="E61:M61" si="8">((1-E59)+(E60*E31*(1-E79)))-1</f>
        <v>-0.15900244649826689</v>
      </c>
      <c r="F61" s="353">
        <f t="shared" si="8"/>
        <v>-0.10393047237563757</v>
      </c>
      <c r="G61" s="353">
        <f t="shared" si="8"/>
        <v>-5.303580168523514E-2</v>
      </c>
      <c r="H61" s="353">
        <f t="shared" si="8"/>
        <v>1.7076639239208546E-2</v>
      </c>
      <c r="I61" s="353">
        <f t="shared" si="8"/>
        <v>0.12321781536419785</v>
      </c>
      <c r="J61" s="353">
        <f t="shared" si="8"/>
        <v>-8.5659515492263472E-3</v>
      </c>
      <c r="K61" s="353">
        <f t="shared" si="8"/>
        <v>6.7382799481900735E-2</v>
      </c>
      <c r="L61" s="353">
        <f>((1-L59)+(L60*L31*(1-L79)))-1</f>
        <v>3.5623587206343954E-2</v>
      </c>
      <c r="M61" s="353">
        <f t="shared" si="8"/>
        <v>3.4250206709087294E-2</v>
      </c>
      <c r="N61" s="334"/>
      <c r="O61" s="334"/>
      <c r="P61" s="334"/>
    </row>
    <row r="62" spans="1:17" x14ac:dyDescent="0.2">
      <c r="A62" s="332" t="s">
        <v>991</v>
      </c>
      <c r="B62" s="333"/>
      <c r="C62" s="350"/>
      <c r="D62" s="353"/>
      <c r="E62" s="405" t="e">
        <f>(AVERAGE(C60:E60)*AVERAGE(C31:E31)*(1-AVERAGE(C79:E79)))-AVERAGE(C59:E59)</f>
        <v>#DIV/0!</v>
      </c>
      <c r="F62" s="405">
        <f t="shared" ref="F62:K62" si="9">(AVERAGE(D60:F60)*AVERAGE(D31:F31)*(1-AVERAGE(D79:F79)))-AVERAGE(D59:F59)</f>
        <v>-0.10796373969884808</v>
      </c>
      <c r="G62" s="405">
        <f t="shared" si="9"/>
        <v>-0.10652975886664591</v>
      </c>
      <c r="H62" s="405">
        <f t="shared" si="9"/>
        <v>-5.0312195448732569E-2</v>
      </c>
      <c r="I62" s="405">
        <f t="shared" si="9"/>
        <v>2.6694094817665229E-2</v>
      </c>
      <c r="J62" s="405">
        <f t="shared" si="9"/>
        <v>4.2658764149751935E-2</v>
      </c>
      <c r="K62" s="405">
        <f t="shared" si="9"/>
        <v>5.9006629952613007E-2</v>
      </c>
      <c r="L62" s="353"/>
      <c r="M62" s="353"/>
      <c r="N62" s="334"/>
      <c r="O62" s="334"/>
      <c r="P62" s="334"/>
    </row>
    <row r="63" spans="1:17" x14ac:dyDescent="0.2">
      <c r="A63" s="332"/>
      <c r="B63" s="333"/>
      <c r="C63" s="350"/>
      <c r="D63" s="350"/>
      <c r="E63" s="350"/>
      <c r="F63" s="350"/>
      <c r="G63" s="350"/>
      <c r="H63" s="350"/>
      <c r="I63" s="350"/>
      <c r="J63" s="350"/>
      <c r="K63" s="350"/>
      <c r="L63" s="350"/>
      <c r="N63" s="334"/>
      <c r="O63" s="334"/>
      <c r="P63" s="334"/>
    </row>
    <row r="64" spans="1:17" x14ac:dyDescent="0.2">
      <c r="A64" s="327" t="s">
        <v>755</v>
      </c>
      <c r="B64" s="333"/>
      <c r="C64" s="341">
        <f>C36</f>
        <v>39903</v>
      </c>
      <c r="D64" s="341">
        <f t="shared" ref="D64:L64" si="10">D36</f>
        <v>40268</v>
      </c>
      <c r="E64" s="341">
        <f t="shared" si="10"/>
        <v>40633</v>
      </c>
      <c r="F64" s="341">
        <f t="shared" si="10"/>
        <v>40999</v>
      </c>
      <c r="G64" s="341">
        <f t="shared" si="10"/>
        <v>41364</v>
      </c>
      <c r="H64" s="341">
        <f t="shared" si="10"/>
        <v>41729</v>
      </c>
      <c r="I64" s="341">
        <f t="shared" si="10"/>
        <v>42094</v>
      </c>
      <c r="J64" s="341">
        <f t="shared" si="10"/>
        <v>42460</v>
      </c>
      <c r="K64" s="341">
        <f t="shared" si="10"/>
        <v>42825</v>
      </c>
      <c r="L64" s="341" t="str">
        <f t="shared" si="10"/>
        <v>Trailing</v>
      </c>
      <c r="N64" s="334"/>
      <c r="O64" s="355" t="str">
        <f>O26</f>
        <v>Min</v>
      </c>
      <c r="P64" s="355" t="str">
        <f>P26</f>
        <v>Max</v>
      </c>
      <c r="Q64" s="355" t="str">
        <f>Q26</f>
        <v>Avg.</v>
      </c>
    </row>
    <row r="65" spans="1:17" x14ac:dyDescent="0.2">
      <c r="A65" s="332" t="s">
        <v>756</v>
      </c>
      <c r="C65" s="356">
        <f>(C54/C50)*(1-('Data Sheet'!C29/'Data Sheet'!C28))</f>
        <v>1.3766731467546535E-3</v>
      </c>
      <c r="D65" s="356">
        <f>(D54/D50)*(1-('Data Sheet'!D29/'Data Sheet'!D28))</f>
        <v>2.8295372565186022E-2</v>
      </c>
      <c r="E65" s="356">
        <f>(E54/E50)*(1-('Data Sheet'!E29/'Data Sheet'!E28))</f>
        <v>5.7791732161602889E-2</v>
      </c>
      <c r="F65" s="356">
        <f>(F54/F50)*(1-('Data Sheet'!F29/'Data Sheet'!F28))</f>
        <v>6.3174205852553789E-2</v>
      </c>
      <c r="G65" s="356">
        <f>(G54/G50)*(1-('Data Sheet'!G29/'Data Sheet'!G28))</f>
        <v>0.10581926671886929</v>
      </c>
      <c r="H65" s="356">
        <f>(H54/H50)*(1-('Data Sheet'!H29/'Data Sheet'!H28))</f>
        <v>0.15106070330762569</v>
      </c>
      <c r="I65" s="356">
        <f>(I54/I50)*(1-('Data Sheet'!I29/'Data Sheet'!I28))</f>
        <v>0.10673347044166684</v>
      </c>
      <c r="J65" s="356">
        <f>(J54/J50)*(1-('Data Sheet'!J29/'Data Sheet'!J28))</f>
        <v>0.11924846104881658</v>
      </c>
      <c r="K65" s="356">
        <f>(K54/K50)*(1-('Data Sheet'!K29/'Data Sheet'!K28))</f>
        <v>9.1870025486145812E-2</v>
      </c>
      <c r="L65" s="356">
        <f>(L54/L50)*(1-('Data Sheet'!K29/'Data Sheet'!K28))</f>
        <v>9.1870025486145812E-2</v>
      </c>
      <c r="N65" s="334">
        <f>(L65/C65)^(1/(9-1))-1</f>
        <v>0.69060782373825447</v>
      </c>
      <c r="O65" s="334">
        <f>MIN(C65:L65)</f>
        <v>1.3766731467546535E-3</v>
      </c>
      <c r="P65" s="334">
        <f>MAX(C65:L65)</f>
        <v>0.15106070330762569</v>
      </c>
      <c r="Q65" s="54">
        <f>AVERAGE(C65:L65)</f>
        <v>8.1723993621536734E-2</v>
      </c>
    </row>
    <row r="66" spans="1:17" x14ac:dyDescent="0.2">
      <c r="A66" s="332" t="s">
        <v>757</v>
      </c>
      <c r="C66" s="356">
        <f>(C54/C51)*(1-('Data Sheet'!C29/'Data Sheet'!C28))</f>
        <v>1.3786302219324332E-3</v>
      </c>
      <c r="D66" s="356">
        <f>(D54/D51)*(1-('Data Sheet'!D29/'Data Sheet'!D28))</f>
        <v>2.8302664811092209E-2</v>
      </c>
      <c r="E66" s="356">
        <f>(E54/E51)*(1-('Data Sheet'!E29/'Data Sheet'!E28))</f>
        <v>5.7813585128604364E-2</v>
      </c>
      <c r="F66" s="356">
        <f>(F54/F51)*(1-('Data Sheet'!F29/'Data Sheet'!F28))</f>
        <v>6.3189269746646792E-2</v>
      </c>
      <c r="G66" s="356">
        <f>(G54/G51)*(1-('Data Sheet'!G29/'Data Sheet'!G28))</f>
        <v>0.10591573227212105</v>
      </c>
      <c r="H66" s="356">
        <f>(H54/H51)*(1-('Data Sheet'!H29/'Data Sheet'!H28))</f>
        <v>0.15109017281665957</v>
      </c>
      <c r="I66" s="356">
        <f>(I54/I51)*(1-('Data Sheet'!I29/'Data Sheet'!I28))</f>
        <v>0.10686674518532309</v>
      </c>
      <c r="J66" s="356">
        <f>(J54/J51)*(1-('Data Sheet'!J29/'Data Sheet'!J28))</f>
        <v>0.11937046202307409</v>
      </c>
      <c r="K66" s="356">
        <f>(K54/K51)*(1-('Data Sheet'!K29/'Data Sheet'!K28))</f>
        <v>9.2012591906028021E-2</v>
      </c>
      <c r="L66" s="356">
        <f>(L54/L51)*(1-('Data Sheet'!K29/'Data Sheet'!K28))</f>
        <v>9.2012591906028021E-2</v>
      </c>
      <c r="N66" s="334">
        <f>(L66/C66)^(1/(9-1))-1</f>
        <v>0.69063530404957252</v>
      </c>
      <c r="O66" s="334">
        <f>MIN(C66:L66)</f>
        <v>1.3786302219324332E-3</v>
      </c>
      <c r="P66" s="334">
        <f>MAX(C66:L66)</f>
        <v>0.15109017281665957</v>
      </c>
      <c r="Q66" s="54">
        <f>AVERAGE(C66:L66)</f>
        <v>8.1795244601750985E-2</v>
      </c>
    </row>
    <row r="67" spans="1:17" x14ac:dyDescent="0.2">
      <c r="A67" s="332" t="s">
        <v>758</v>
      </c>
      <c r="C67" s="356">
        <f>(C54/C52)*(1-('Data Sheet'!C29/'Data Sheet'!C28))</f>
        <v>1.3786302219324336E-3</v>
      </c>
      <c r="D67" s="356">
        <f>(D54/D52)*(1-('Data Sheet'!D29/'Data Sheet'!D28))</f>
        <v>2.8302664811092209E-2</v>
      </c>
      <c r="E67" s="356">
        <f>(E54/E52)*(1-('Data Sheet'!E29/'Data Sheet'!E28))</f>
        <v>5.7813585128604364E-2</v>
      </c>
      <c r="F67" s="356">
        <f>(F54/F52)*(1-('Data Sheet'!F29/'Data Sheet'!F28))</f>
        <v>6.3189269746646792E-2</v>
      </c>
      <c r="G67" s="356">
        <f>(G54/G52)*(1-('Data Sheet'!G29/'Data Sheet'!G28))</f>
        <v>0.10591573227212105</v>
      </c>
      <c r="H67" s="356">
        <f>(H54/H52)*(1-('Data Sheet'!H29/'Data Sheet'!H28))</f>
        <v>0.15109017281665957</v>
      </c>
      <c r="I67" s="356">
        <f>(I54/I52)*(1-('Data Sheet'!I29/'Data Sheet'!I28))</f>
        <v>0.10686674518532309</v>
      </c>
      <c r="J67" s="356">
        <f>(J54/J52)*(1-('Data Sheet'!J29/'Data Sheet'!J28))</f>
        <v>0.11937046202307409</v>
      </c>
      <c r="K67" s="356">
        <f>(K54/K52)*(1-('Data Sheet'!K29/'Data Sheet'!K28))</f>
        <v>9.2012591906028035E-2</v>
      </c>
      <c r="L67" s="356">
        <f>(L54/L52)*(1-('Data Sheet'!K29/'Data Sheet'!K28))</f>
        <v>9.2012591906028035E-2</v>
      </c>
      <c r="N67" s="334">
        <f>(L67/C67)^(1/(9-1))-1</f>
        <v>0.69063530404957252</v>
      </c>
      <c r="O67" s="334">
        <f>MIN(C67:L67)</f>
        <v>1.3786302219324336E-3</v>
      </c>
      <c r="P67" s="334">
        <f>MAX(C67:L67)</f>
        <v>0.15109017281665957</v>
      </c>
      <c r="Q67" s="54">
        <f>AVERAGE(C67:L67)</f>
        <v>8.1795244601750985E-2</v>
      </c>
    </row>
    <row r="68" spans="1:17" x14ac:dyDescent="0.2">
      <c r="A68" s="332" t="s">
        <v>759</v>
      </c>
      <c r="C68" s="356">
        <f>(C54/C53)*(1-('Data Sheet'!C29/'Data Sheet'!C28))</f>
        <v>1.3789261129496428E-3</v>
      </c>
      <c r="D68" s="356">
        <f>(D54/D53)*(1-('Data Sheet'!D29/'Data Sheet'!D28))</f>
        <v>2.8302664811092209E-2</v>
      </c>
      <c r="E68" s="356">
        <f>(E54/E53)*(1-('Data Sheet'!E29/'Data Sheet'!E28))</f>
        <v>5.7813585128604364E-2</v>
      </c>
      <c r="F68" s="356">
        <f>(F54/F53)*(1-('Data Sheet'!F29/'Data Sheet'!F28))</f>
        <v>6.3832349753101286E-2</v>
      </c>
      <c r="G68" s="356">
        <f>(G54/G53)*(1-('Data Sheet'!G29/'Data Sheet'!G28))</f>
        <v>0.10591573227212105</v>
      </c>
      <c r="H68" s="356">
        <f>(H54/H53)*(1-('Data Sheet'!H29/'Data Sheet'!H28))</f>
        <v>0.16226445125878838</v>
      </c>
      <c r="I68" s="356">
        <f>(I54/I53)*(1-('Data Sheet'!I29/'Data Sheet'!I28))</f>
        <v>0.10686674518532309</v>
      </c>
      <c r="J68" s="356">
        <f>(J54/J53)*(1-('Data Sheet'!J29/'Data Sheet'!J28))</f>
        <v>0.12314112578050568</v>
      </c>
      <c r="K68" s="356">
        <f>(K54/K53)*(1-('Data Sheet'!K29/'Data Sheet'!K28))</f>
        <v>9.2012591906028035E-2</v>
      </c>
      <c r="L68" s="356">
        <f>(L54/L53)*(1-('Data Sheet'!K29/'Data Sheet'!K28))</f>
        <v>9.2012591906028035E-2</v>
      </c>
      <c r="N68" s="334">
        <f>(L68/C68)^(1/(9-1))-1</f>
        <v>0.69058995256519329</v>
      </c>
      <c r="O68" s="334">
        <f>MIN(C68:L68)</f>
        <v>1.3789261129496428E-3</v>
      </c>
      <c r="P68" s="334">
        <f>MAX(C68:L68)</f>
        <v>0.16226445125878838</v>
      </c>
      <c r="Q68" s="54">
        <f>AVERAGE(C68:L68)</f>
        <v>8.3354076411454175E-2</v>
      </c>
    </row>
    <row r="69" spans="1:17" x14ac:dyDescent="0.2">
      <c r="A69" s="332" t="s">
        <v>760</v>
      </c>
      <c r="B69" s="333" t="s">
        <v>761</v>
      </c>
      <c r="C69" s="356">
        <f>'Data Sheet'!C30/'Data Sheet'!C66</f>
        <v>-3.290041271247697E-2</v>
      </c>
      <c r="D69" s="356">
        <f>'Data Sheet'!D30/'Data Sheet'!D66</f>
        <v>1.5785686096989114E-3</v>
      </c>
      <c r="E69" s="356">
        <f>'Data Sheet'!E30/'Data Sheet'!E66</f>
        <v>1.6488086501296541E-2</v>
      </c>
      <c r="F69" s="356">
        <f>'Data Sheet'!F30/'Data Sheet'!F66</f>
        <v>8.6380650734235525E-4</v>
      </c>
      <c r="G69" s="356">
        <f>'Data Sheet'!G30/'Data Sheet'!G66</f>
        <v>3.8866441274291529E-2</v>
      </c>
      <c r="H69" s="356">
        <f>'Data Sheet'!H30/'Data Sheet'!H66</f>
        <v>9.7880843159879563E-2</v>
      </c>
      <c r="I69" s="356">
        <f>'Data Sheet'!I30/'Data Sheet'!I66</f>
        <v>6.692701099655235E-2</v>
      </c>
      <c r="J69" s="356">
        <f>'Data Sheet'!J30/'Data Sheet'!J66</f>
        <v>6.9314079422382657E-2</v>
      </c>
      <c r="K69" s="356">
        <f>'Data Sheet'!K30/'Data Sheet'!K66</f>
        <v>6.1694410259731845E-2</v>
      </c>
      <c r="L69" s="356">
        <f>'Data Sheet'!K30/'Data Sheet'!K66</f>
        <v>6.1694410259731845E-2</v>
      </c>
      <c r="N69" s="334" t="e">
        <f>(L69/C69)^(1/(9-1))-1</f>
        <v>#NUM!</v>
      </c>
      <c r="O69" s="334">
        <f>MIN(C69:L69)</f>
        <v>-3.290041271247697E-2</v>
      </c>
      <c r="P69" s="334">
        <f>MAX(C69:L69)</f>
        <v>9.7880843159879563E-2</v>
      </c>
      <c r="Q69" s="54">
        <f>AVERAGE(C69:L69)</f>
        <v>3.8240724427843056E-2</v>
      </c>
    </row>
    <row r="70" spans="1:17" x14ac:dyDescent="0.2">
      <c r="A70" s="332" t="s">
        <v>762</v>
      </c>
      <c r="B70" s="333"/>
      <c r="C70" s="356"/>
      <c r="D70" s="356"/>
      <c r="E70" s="356"/>
      <c r="F70" s="356"/>
      <c r="G70" s="356"/>
      <c r="H70" s="356"/>
      <c r="I70" s="356"/>
      <c r="J70" s="356"/>
      <c r="K70" s="356"/>
      <c r="L70" s="356"/>
      <c r="N70" s="334"/>
      <c r="O70" s="334"/>
      <c r="P70" s="334"/>
      <c r="Q70" s="54"/>
    </row>
    <row r="71" spans="1:17" ht="25.5" x14ac:dyDescent="0.2">
      <c r="A71" s="332" t="s">
        <v>763</v>
      </c>
      <c r="B71" s="333" t="s">
        <v>764</v>
      </c>
      <c r="C71" s="356">
        <f>C54/C55</f>
        <v>2.2498995580554435E-3</v>
      </c>
      <c r="D71" s="356">
        <f t="shared" ref="D71:L71" si="11">D54/D55</f>
        <v>4.1610842007626506E-2</v>
      </c>
      <c r="E71" s="356">
        <f t="shared" si="11"/>
        <v>8.2914844214050432E-2</v>
      </c>
      <c r="F71" s="356">
        <f t="shared" si="11"/>
        <v>6.3174205852553789E-2</v>
      </c>
      <c r="G71" s="356">
        <f t="shared" si="11"/>
        <v>0.15704387990762128</v>
      </c>
      <c r="H71" s="356">
        <f t="shared" si="11"/>
        <v>0.22563552434822182</v>
      </c>
      <c r="I71" s="356">
        <f t="shared" si="11"/>
        <v>0.14006162197850569</v>
      </c>
      <c r="J71" s="356">
        <f t="shared" si="11"/>
        <v>0.17607717272417561</v>
      </c>
      <c r="K71" s="356">
        <f t="shared" si="11"/>
        <v>0.11255886587121487</v>
      </c>
      <c r="L71" s="356">
        <f t="shared" si="11"/>
        <v>0.11255886587121487</v>
      </c>
      <c r="N71" s="334">
        <f>(L71/C71)^(1/(9-1))-1</f>
        <v>0.63080514251677378</v>
      </c>
      <c r="O71" s="334">
        <f>MIN(C71:L71)</f>
        <v>2.2498995580554435E-3</v>
      </c>
      <c r="P71" s="334">
        <f>MAX(C71:L71)</f>
        <v>0.22563552434822182</v>
      </c>
      <c r="Q71" s="54">
        <f>AVERAGE(C71:L71)</f>
        <v>0.11138857223332403</v>
      </c>
    </row>
    <row r="72" spans="1:17" x14ac:dyDescent="0.2">
      <c r="A72" s="332" t="s">
        <v>765</v>
      </c>
      <c r="B72" s="357"/>
      <c r="C72" s="84"/>
      <c r="D72" s="84"/>
      <c r="E72" s="84"/>
      <c r="F72" s="84"/>
      <c r="G72" s="84"/>
      <c r="H72" s="84"/>
      <c r="I72" s="84"/>
      <c r="J72" s="84"/>
      <c r="K72" s="84"/>
      <c r="L72" s="84"/>
      <c r="N72" s="334"/>
      <c r="O72" s="334"/>
      <c r="P72" s="334"/>
      <c r="Q72" s="54"/>
    </row>
    <row r="73" spans="1:17" ht="25.5" x14ac:dyDescent="0.2">
      <c r="A73" s="332" t="s">
        <v>60</v>
      </c>
      <c r="B73" s="333" t="s">
        <v>766</v>
      </c>
      <c r="C73" s="356">
        <f>'Data Sheet'!C30/('Data Sheet'!C57+'Data Sheet'!C58)</f>
        <v>-0.19083040302948337</v>
      </c>
      <c r="D73" s="356">
        <f>'Data Sheet'!D30/('Data Sheet'!D57+'Data Sheet'!D58)</f>
        <v>8.5416404974249481E-3</v>
      </c>
      <c r="E73" s="356">
        <f>'Data Sheet'!E30/('Data Sheet'!E57+'Data Sheet'!E58)</f>
        <v>7.8054429646786341E-2</v>
      </c>
      <c r="F73" s="356">
        <f>'Data Sheet'!F30/('Data Sheet'!F57+'Data Sheet'!F58)</f>
        <v>3.4618047542118624E-3</v>
      </c>
      <c r="G73" s="356">
        <f>'Data Sheet'!G30/('Data Sheet'!G57+'Data Sheet'!G58)</f>
        <v>0.14029169560472271</v>
      </c>
      <c r="H73" s="356">
        <f>'Data Sheet'!H30/('Data Sheet'!H57+'Data Sheet'!H58)</f>
        <v>0.26438616495629036</v>
      </c>
      <c r="I73" s="356">
        <f>'Data Sheet'!I30/('Data Sheet'!I57+'Data Sheet'!I58)</f>
        <v>0.24528414875142224</v>
      </c>
      <c r="J73" s="356">
        <f>'Data Sheet'!J30/('Data Sheet'!J57+'Data Sheet'!J58)</f>
        <v>0.2147442131880957</v>
      </c>
      <c r="K73" s="356">
        <f>'Data Sheet'!K30/('Data Sheet'!K57+'Data Sheet'!K58)</f>
        <v>0.22309403911465039</v>
      </c>
      <c r="L73" s="356">
        <f>'Data Sheet'!K30/('Data Sheet'!K57+'Data Sheet'!K58)</f>
        <v>0.22309403911465039</v>
      </c>
      <c r="N73" s="334" t="e">
        <f>(L73/C73)^(1/(9-1))-1</f>
        <v>#NUM!</v>
      </c>
      <c r="O73" s="334">
        <f t="shared" ref="O73:O79" si="12">MIN(C73:L73)</f>
        <v>-0.19083040302948337</v>
      </c>
      <c r="P73" s="334">
        <f t="shared" ref="P73:P79" si="13">MAX(C73:L73)</f>
        <v>0.26438616495629036</v>
      </c>
      <c r="Q73" s="54">
        <f t="shared" ref="Q73:Q79" si="14">AVERAGE(C73:L73)</f>
        <v>0.12101217725987716</v>
      </c>
    </row>
    <row r="74" spans="1:17" x14ac:dyDescent="0.2">
      <c r="A74" s="332" t="s">
        <v>525</v>
      </c>
      <c r="B74" s="333" t="s">
        <v>767</v>
      </c>
      <c r="C74" s="54">
        <f t="shared" ref="C74:L74" si="15">C31</f>
        <v>-5.3799519579059749E-2</v>
      </c>
      <c r="D74" s="54">
        <f t="shared" si="15"/>
        <v>2.2520284815366787E-3</v>
      </c>
      <c r="E74" s="54">
        <f t="shared" si="15"/>
        <v>1.6402219410104158E-2</v>
      </c>
      <c r="F74" s="54">
        <f t="shared" si="15"/>
        <v>7.0044361428904967E-4</v>
      </c>
      <c r="G74" s="54">
        <f t="shared" si="15"/>
        <v>3.1700482008743418E-2</v>
      </c>
      <c r="H74" s="54">
        <f t="shared" si="15"/>
        <v>7.1220870704836806E-2</v>
      </c>
      <c r="I74" s="54">
        <f t="shared" si="15"/>
        <v>6.6442811491232337E-2</v>
      </c>
      <c r="J74" s="54">
        <f t="shared" si="15"/>
        <v>5.7584727528785837E-2</v>
      </c>
      <c r="K74" s="54">
        <f t="shared" si="15"/>
        <v>6.1229081403072705E-2</v>
      </c>
      <c r="L74" s="54">
        <f t="shared" si="15"/>
        <v>4.68444055944056E-2</v>
      </c>
      <c r="N74" s="334" t="e">
        <f>(L74/C74)^(1/(9-1))-1</f>
        <v>#NUM!</v>
      </c>
      <c r="O74" s="334">
        <f t="shared" si="12"/>
        <v>-5.3799519579059749E-2</v>
      </c>
      <c r="P74" s="334">
        <f t="shared" si="13"/>
        <v>7.1220870704836806E-2</v>
      </c>
      <c r="Q74" s="54">
        <f t="shared" si="14"/>
        <v>3.0057755065794688E-2</v>
      </c>
    </row>
    <row r="75" spans="1:17" x14ac:dyDescent="0.2">
      <c r="A75" s="332" t="s">
        <v>526</v>
      </c>
      <c r="B75" s="333" t="s">
        <v>768</v>
      </c>
      <c r="C75" s="358">
        <f>'Data Sheet'!C17/'Data Sheet'!C66</f>
        <v>0.61153729568400672</v>
      </c>
      <c r="D75" s="358">
        <f>'Data Sheet'!D17/'Data Sheet'!D66</f>
        <v>0.70095410543909742</v>
      </c>
      <c r="E75" s="358">
        <f>'Data Sheet'!E17/'Data Sheet'!E66</f>
        <v>1.0052350897793436</v>
      </c>
      <c r="F75" s="358">
        <f>'Data Sheet'!F17/'Data Sheet'!F66</f>
        <v>1.2332277569824359</v>
      </c>
      <c r="G75" s="358">
        <f>'Data Sheet'!G17/'Data Sheet'!G66</f>
        <v>1.2260520601412825</v>
      </c>
      <c r="H75" s="358">
        <f>'Data Sheet'!H17/'Data Sheet'!H66</f>
        <v>1.3743280893817016</v>
      </c>
      <c r="I75" s="358">
        <f>'Data Sheet'!I17/'Data Sheet'!I66</f>
        <v>1.0072874626231598</v>
      </c>
      <c r="J75" s="358">
        <f>'Data Sheet'!J17/'Data Sheet'!J66</f>
        <v>1.2036885889185371</v>
      </c>
      <c r="K75" s="358">
        <f>'Data Sheet'!K17/'Data Sheet'!K66</f>
        <v>1.0075998013688279</v>
      </c>
      <c r="L75" s="358">
        <f>'Data Sheet'!K17/'Data Sheet'!K66</f>
        <v>1.0075998013688279</v>
      </c>
      <c r="M75" s="63">
        <f>(L75/G75)^(1/(5-1))-1</f>
        <v>-4.7873198221439983E-2</v>
      </c>
      <c r="N75" s="334">
        <f>(L75/C75)^(1/(9-1))-1</f>
        <v>6.4408025954576287E-2</v>
      </c>
      <c r="O75" s="339">
        <f t="shared" si="12"/>
        <v>0.61153729568400672</v>
      </c>
      <c r="P75" s="339">
        <f t="shared" si="13"/>
        <v>1.3743280893817016</v>
      </c>
      <c r="Q75" s="358">
        <f t="shared" si="14"/>
        <v>1.037751005168722</v>
      </c>
    </row>
    <row r="76" spans="1:17" ht="25.5" x14ac:dyDescent="0.2">
      <c r="A76" s="332" t="s">
        <v>307</v>
      </c>
      <c r="B76" s="333" t="s">
        <v>769</v>
      </c>
      <c r="C76" s="359">
        <f>'Data Sheet'!C66/('Data Sheet'!C57+'Data Sheet'!C58)</f>
        <v>5.8002434406275363</v>
      </c>
      <c r="D76" s="359">
        <f>'Data Sheet'!D66/('Data Sheet'!D57+'Data Sheet'!D58)</f>
        <v>5.4110036427584474</v>
      </c>
      <c r="E76" s="359">
        <f>'Data Sheet'!E66/('Data Sheet'!E57+'Data Sheet'!E58)</f>
        <v>4.7339895773016796</v>
      </c>
      <c r="F76" s="359">
        <f>'Data Sheet'!F66/('Data Sheet'!F57+'Data Sheet'!F58)</f>
        <v>4.0076159704592662</v>
      </c>
      <c r="G76" s="359">
        <f>'Data Sheet'!G66/('Data Sheet'!G57+'Data Sheet'!G58)</f>
        <v>3.6095842841551744</v>
      </c>
      <c r="H76" s="359">
        <f>'Data Sheet'!H66/('Data Sheet'!H57+'Data Sheet'!H58)</f>
        <v>2.7011022424933482</v>
      </c>
      <c r="I76" s="359">
        <f>'Data Sheet'!I66/('Data Sheet'!I57+'Data Sheet'!I58)</f>
        <v>3.6649499970058086</v>
      </c>
      <c r="J76" s="359">
        <f>'Data Sheet'!J66/('Data Sheet'!J57+'Data Sheet'!J58)</f>
        <v>3.0981326590157559</v>
      </c>
      <c r="K76" s="359">
        <f>'Data Sheet'!K66/('Data Sheet'!K57+'Data Sheet'!K58)</f>
        <v>3.6161142990982551</v>
      </c>
      <c r="L76" s="358">
        <f>'Data Sheet'!K66/('Data Sheet'!K57+'Data Sheet'!K58)</f>
        <v>3.6161142990982551</v>
      </c>
      <c r="N76" s="334">
        <f>(L76/C76)^(1/(9-1))-1</f>
        <v>-5.7352129074299096E-2</v>
      </c>
      <c r="O76" s="339">
        <f t="shared" si="12"/>
        <v>2.7011022424933482</v>
      </c>
      <c r="P76" s="339">
        <f t="shared" si="13"/>
        <v>5.8002434406275363</v>
      </c>
      <c r="Q76" s="358">
        <f t="shared" si="14"/>
        <v>4.025885041201354</v>
      </c>
    </row>
    <row r="77" spans="1:17" ht="38.25" x14ac:dyDescent="0.2">
      <c r="A77" s="332" t="s">
        <v>770</v>
      </c>
      <c r="B77" s="333" t="s">
        <v>771</v>
      </c>
      <c r="C77" s="356">
        <f>C74*C75*C76</f>
        <v>-0.19083040302948334</v>
      </c>
      <c r="D77" s="356">
        <f t="shared" ref="D77:L77" si="16">D74*D75*D76</f>
        <v>8.5416404974249481E-3</v>
      </c>
      <c r="E77" s="356">
        <f t="shared" si="16"/>
        <v>7.8054429646786355E-2</v>
      </c>
      <c r="F77" s="356">
        <f t="shared" si="16"/>
        <v>3.4618047542118624E-3</v>
      </c>
      <c r="G77" s="356">
        <f t="shared" si="16"/>
        <v>0.14029169560472271</v>
      </c>
      <c r="H77" s="356">
        <f t="shared" si="16"/>
        <v>0.26438616495629041</v>
      </c>
      <c r="I77" s="356">
        <f t="shared" si="16"/>
        <v>0.24528414875142227</v>
      </c>
      <c r="J77" s="356">
        <f t="shared" si="16"/>
        <v>0.21474421318809567</v>
      </c>
      <c r="K77" s="356">
        <f t="shared" si="16"/>
        <v>0.22309403911465045</v>
      </c>
      <c r="L77" s="356">
        <f t="shared" si="16"/>
        <v>0.17068209116487607</v>
      </c>
      <c r="N77" s="334" t="e">
        <f>(L77/C77)^(1/(9-1))-1</f>
        <v>#NUM!</v>
      </c>
      <c r="O77" s="334">
        <f t="shared" si="12"/>
        <v>-0.19083040302948334</v>
      </c>
      <c r="P77" s="334">
        <f t="shared" si="13"/>
        <v>0.26438616495629041</v>
      </c>
      <c r="Q77" s="54">
        <f t="shared" si="14"/>
        <v>0.11577098246489974</v>
      </c>
    </row>
    <row r="78" spans="1:17" ht="25.5" x14ac:dyDescent="0.2">
      <c r="A78" s="332" t="s">
        <v>537</v>
      </c>
      <c r="B78" s="333" t="s">
        <v>772</v>
      </c>
      <c r="C78" s="356">
        <f>IFERROR((C43/C41)/C40,"NA")</f>
        <v>0</v>
      </c>
      <c r="D78" s="356">
        <f t="shared" ref="D78:L78" si="17">IFERROR((D43/D41)/D40,"NA")</f>
        <v>0</v>
      </c>
      <c r="E78" s="356">
        <f t="shared" si="17"/>
        <v>0</v>
      </c>
      <c r="F78" s="356">
        <f t="shared" si="17"/>
        <v>0</v>
      </c>
      <c r="G78" s="356">
        <f t="shared" si="17"/>
        <v>0</v>
      </c>
      <c r="H78" s="356">
        <f t="shared" si="17"/>
        <v>4.6733215336791895E-2</v>
      </c>
      <c r="I78" s="356">
        <f t="shared" si="17"/>
        <v>2.5760747401442026E-2</v>
      </c>
      <c r="J78" s="356">
        <f t="shared" si="17"/>
        <v>1.524190652382453E-2</v>
      </c>
      <c r="K78" s="356">
        <f t="shared" si="17"/>
        <v>9.2178828212341694E-3</v>
      </c>
      <c r="L78" s="356">
        <f t="shared" si="17"/>
        <v>9.2178828212341694E-3</v>
      </c>
      <c r="N78" s="334"/>
      <c r="O78" s="334">
        <f t="shared" si="12"/>
        <v>0</v>
      </c>
      <c r="P78" s="334">
        <f t="shared" si="13"/>
        <v>4.6733215336791895E-2</v>
      </c>
      <c r="Q78" s="54">
        <f t="shared" si="14"/>
        <v>1.0617163490452679E-2</v>
      </c>
    </row>
    <row r="79" spans="1:17" ht="38.25" x14ac:dyDescent="0.2">
      <c r="A79" s="332" t="s">
        <v>773</v>
      </c>
      <c r="B79" s="333" t="s">
        <v>774</v>
      </c>
      <c r="C79" s="338">
        <f>'Data Sheet'!C31/'Data Sheet'!C30</f>
        <v>0</v>
      </c>
      <c r="D79" s="338">
        <f>'Data Sheet'!D31/'Data Sheet'!D30</f>
        <v>0</v>
      </c>
      <c r="E79" s="338">
        <f>'Data Sheet'!E31/'Data Sheet'!E30</f>
        <v>0</v>
      </c>
      <c r="F79" s="338">
        <f>'Data Sheet'!F31/'Data Sheet'!F30</f>
        <v>0</v>
      </c>
      <c r="G79" s="338">
        <f>'Data Sheet'!G31/'Data Sheet'!G30</f>
        <v>0</v>
      </c>
      <c r="H79" s="338">
        <f>'Data Sheet'!H31/'Data Sheet'!H30</f>
        <v>9.8907418056354224E-2</v>
      </c>
      <c r="I79" s="338">
        <f>'Data Sheet'!I31/'Data Sheet'!I30</f>
        <v>0.11181640625</v>
      </c>
      <c r="J79" s="340">
        <f>'Data Sheet'!J31/'Data Sheet'!J30</f>
        <v>0.10371376811594205</v>
      </c>
      <c r="K79" s="340">
        <f>'Data Sheet'!K31/'Data Sheet'!K30</f>
        <v>9.6237970253718289E-2</v>
      </c>
      <c r="L79" s="334">
        <f>'Data Sheet'!K31/'Data Sheet'!K30</f>
        <v>9.6237970253718289E-2</v>
      </c>
      <c r="M79" s="337">
        <f>AVERAGE(H79:L79)</f>
        <v>0.10138270658594657</v>
      </c>
      <c r="N79" s="334"/>
      <c r="O79" s="334">
        <f t="shared" si="12"/>
        <v>0</v>
      </c>
      <c r="P79" s="334">
        <f t="shared" si="13"/>
        <v>0.11181640625</v>
      </c>
      <c r="Q79" s="54">
        <f t="shared" si="14"/>
        <v>5.0691353292973286E-2</v>
      </c>
    </row>
    <row r="80" spans="1:17" x14ac:dyDescent="0.2">
      <c r="A80" s="332"/>
      <c r="B80" s="333"/>
      <c r="C80" s="334"/>
      <c r="D80" s="334"/>
      <c r="E80" s="334"/>
      <c r="F80" s="334"/>
      <c r="G80" s="334"/>
      <c r="H80" s="334"/>
      <c r="I80" s="334"/>
      <c r="J80" s="334"/>
      <c r="K80" s="334"/>
      <c r="L80" s="334"/>
      <c r="N80" s="334"/>
      <c r="O80" s="334"/>
      <c r="P80" s="334"/>
      <c r="Q80" s="54"/>
    </row>
    <row r="81" spans="1:17" x14ac:dyDescent="0.2">
      <c r="A81" s="327" t="s">
        <v>775</v>
      </c>
      <c r="C81" s="336">
        <f>C64</f>
        <v>39903</v>
      </c>
      <c r="D81" s="336">
        <f t="shared" ref="D81:L81" si="18">D64</f>
        <v>40268</v>
      </c>
      <c r="E81" s="336">
        <f t="shared" si="18"/>
        <v>40633</v>
      </c>
      <c r="F81" s="336">
        <f t="shared" si="18"/>
        <v>40999</v>
      </c>
      <c r="G81" s="336">
        <f t="shared" si="18"/>
        <v>41364</v>
      </c>
      <c r="H81" s="336">
        <f t="shared" si="18"/>
        <v>41729</v>
      </c>
      <c r="I81" s="336">
        <f t="shared" si="18"/>
        <v>42094</v>
      </c>
      <c r="J81" s="336">
        <f t="shared" si="18"/>
        <v>42460</v>
      </c>
      <c r="K81" s="336">
        <f t="shared" si="18"/>
        <v>42825</v>
      </c>
      <c r="L81" s="336" t="str">
        <f t="shared" si="18"/>
        <v>Trailing</v>
      </c>
      <c r="N81" s="334"/>
      <c r="O81" s="355" t="str">
        <f>O64</f>
        <v>Min</v>
      </c>
      <c r="P81" s="355" t="str">
        <f>P64</f>
        <v>Max</v>
      </c>
      <c r="Q81" s="355" t="str">
        <f>Q64</f>
        <v>Avg.</v>
      </c>
    </row>
    <row r="82" spans="1:17" ht="25.5" x14ac:dyDescent="0.2">
      <c r="A82" s="332" t="s">
        <v>776</v>
      </c>
      <c r="B82" s="333" t="s">
        <v>777</v>
      </c>
      <c r="C82" s="334">
        <f>'Data Sheet'!C67/'Data Sheet'!C17</f>
        <v>5.8108056582910746E-2</v>
      </c>
      <c r="D82" s="334">
        <f>'Data Sheet'!D67/'Data Sheet'!D17</f>
        <v>3.1130981950654085E-2</v>
      </c>
      <c r="E82" s="334">
        <f>'Data Sheet'!E67/'Data Sheet'!E17</f>
        <v>8.6002141536065418E-2</v>
      </c>
      <c r="F82" s="334">
        <f>'Data Sheet'!F67/'Data Sheet'!F17</f>
        <v>4.3194022881158069E-2</v>
      </c>
      <c r="G82" s="334">
        <f>'Data Sheet'!G67/'Data Sheet'!G17</f>
        <v>6.2862907745768415E-2</v>
      </c>
      <c r="H82" s="334">
        <f>'Data Sheet'!H67/'Data Sheet'!H17</f>
        <v>5.0968587459556867E-2</v>
      </c>
      <c r="I82" s="334">
        <f>'Data Sheet'!I67/'Data Sheet'!I17</f>
        <v>6.5566856456924102E-2</v>
      </c>
      <c r="J82" s="334">
        <f>'Data Sheet'!J67/'Data Sheet'!J17</f>
        <v>5.1182077796758249E-2</v>
      </c>
      <c r="K82" s="334">
        <f>'Data Sheet'!K67/'Data Sheet'!K17</f>
        <v>5.1779553879448881E-2</v>
      </c>
      <c r="L82" s="334">
        <f>'Data Sheet'!K67/'Data Sheet'!K17</f>
        <v>5.1779553879448881E-2</v>
      </c>
      <c r="N82" s="334">
        <f>AVERAGE(C82:L82)</f>
        <v>5.5257474016869368E-2</v>
      </c>
      <c r="O82" s="334">
        <f>MIN(C82:L82)</f>
        <v>3.1130981950654085E-2</v>
      </c>
      <c r="P82" s="334">
        <f>MAX(C82:L82)</f>
        <v>8.6002141536065418E-2</v>
      </c>
      <c r="Q82" s="54">
        <f>AVERAGE(C82:L82)</f>
        <v>5.5257474016869368E-2</v>
      </c>
    </row>
    <row r="83" spans="1:17" x14ac:dyDescent="0.2">
      <c r="A83" s="332" t="s">
        <v>264</v>
      </c>
      <c r="B83" s="333" t="s">
        <v>778</v>
      </c>
      <c r="C83" s="338">
        <f>'Data Sheet'!C68/'Data Sheet'!C17</f>
        <v>0.15625119152018913</v>
      </c>
      <c r="D83" s="338">
        <f>'Data Sheet'!D68/'Data Sheet'!D17</f>
        <v>0.2517966550753436</v>
      </c>
      <c r="E83" s="338">
        <f>'Data Sheet'!E68/'Data Sheet'!E17</f>
        <v>0.19916285408351991</v>
      </c>
      <c r="F83" s="338">
        <f>'Data Sheet'!F68/'Data Sheet'!F17</f>
        <v>0.18008405323371468</v>
      </c>
      <c r="G83" s="338">
        <f>'Data Sheet'!G68/'Data Sheet'!G17</f>
        <v>0.18361170272390989</v>
      </c>
      <c r="H83" s="338">
        <f>'Data Sheet'!H68/'Data Sheet'!H17</f>
        <v>0.14477618052995864</v>
      </c>
      <c r="I83" s="338">
        <f>'Data Sheet'!I68/'Data Sheet'!I17</f>
        <v>0.15278926792869077</v>
      </c>
      <c r="J83" s="338">
        <f>'Data Sheet'!J68/'Data Sheet'!J17</f>
        <v>0.14964726746384654</v>
      </c>
      <c r="K83" s="338">
        <f>'Data Sheet'!K68/'Data Sheet'!K17</f>
        <v>0.18217660545544151</v>
      </c>
      <c r="L83" s="339">
        <f>'Data Sheet'!K68/'Data Sheet'!K17</f>
        <v>0.18217660545544151</v>
      </c>
      <c r="N83" s="334">
        <f>AVERAGE(C83:L83)</f>
        <v>0.17824723834700559</v>
      </c>
      <c r="O83" s="334">
        <f t="shared" ref="O83:O130" si="19">MIN(C83:L83)</f>
        <v>0.14477618052995864</v>
      </c>
      <c r="P83" s="334">
        <f t="shared" ref="P83:P130" si="20">MAX(C83:L83)</f>
        <v>0.2517966550753436</v>
      </c>
      <c r="Q83" s="54">
        <f t="shared" ref="Q83:Q130" si="21">AVERAGE(C83:L83)</f>
        <v>0.17824723834700559</v>
      </c>
    </row>
    <row r="84" spans="1:17" x14ac:dyDescent="0.2">
      <c r="A84" s="332" t="s">
        <v>779</v>
      </c>
      <c r="B84" s="333" t="s">
        <v>780</v>
      </c>
      <c r="C84" s="334">
        <f>'Data Sheet'!C69/'Data Sheet'!C59</f>
        <v>1.7701479576500451E-3</v>
      </c>
      <c r="D84" s="334">
        <f>'Data Sheet'!D69/'Data Sheet'!D59</f>
        <v>3.2413860166607245E-4</v>
      </c>
      <c r="E84" s="334">
        <f>'Data Sheet'!E69/'Data Sheet'!E59</f>
        <v>4.9290567897757292E-4</v>
      </c>
      <c r="F84" s="334">
        <f>'Data Sheet'!F69/'Data Sheet'!F59</f>
        <v>3.2138839787883657E-4</v>
      </c>
      <c r="G84" s="334">
        <f>'Data Sheet'!G69/'Data Sheet'!G59</f>
        <v>1.3550135501355016E-3</v>
      </c>
      <c r="H84" s="334">
        <f>'Data Sheet'!H69/'Data Sheet'!H59</f>
        <v>3.4077355597205659E-4</v>
      </c>
      <c r="I84" s="334">
        <f>'Data Sheet'!I69/'Data Sheet'!I59</f>
        <v>1.7976577576863089E-3</v>
      </c>
      <c r="J84" s="340">
        <f>'Data Sheet'!J69/'Data Sheet'!J59</f>
        <v>1.6189962223421477E-3</v>
      </c>
      <c r="K84" s="340">
        <f>'Data Sheet'!K69/'Data Sheet'!K59</f>
        <v>2.2538110702940602E-3</v>
      </c>
      <c r="L84" s="334">
        <f>'Data Sheet'!K69/'Data Sheet'!K59</f>
        <v>2.2538110702940602E-3</v>
      </c>
      <c r="N84" s="334"/>
      <c r="O84" s="334">
        <f t="shared" si="19"/>
        <v>3.2138839787883657E-4</v>
      </c>
      <c r="P84" s="334">
        <f t="shared" si="20"/>
        <v>2.2538110702940602E-3</v>
      </c>
      <c r="Q84" s="54">
        <f t="shared" si="21"/>
        <v>1.2528643862896663E-3</v>
      </c>
    </row>
    <row r="85" spans="1:17" x14ac:dyDescent="0.2">
      <c r="A85" s="332" t="s">
        <v>781</v>
      </c>
      <c r="B85" s="333"/>
      <c r="C85" s="334">
        <f>'Data Sheet'!C27/'Data Sheet'!C59</f>
        <v>7.982365318459636E-2</v>
      </c>
      <c r="D85" s="334">
        <f>'Data Sheet'!D27/'Data Sheet'!D59</f>
        <v>4.9106998152409972E-2</v>
      </c>
      <c r="E85" s="334">
        <f>'Data Sheet'!E27/'Data Sheet'!E59</f>
        <v>7.4076682040629518E-2</v>
      </c>
      <c r="F85" s="334">
        <f>'Data Sheet'!F27/'Data Sheet'!F59</f>
        <v>8.396271894584606E-2</v>
      </c>
      <c r="G85" s="334">
        <f>'Data Sheet'!G27/'Data Sheet'!G59</f>
        <v>0.13216221447928767</v>
      </c>
      <c r="H85" s="334">
        <f>'Data Sheet'!H27/'Data Sheet'!H59</f>
        <v>9.9165104787868469E-2</v>
      </c>
      <c r="I85" s="334">
        <f>'Data Sheet'!I27/'Data Sheet'!I59</f>
        <v>5.979855658656516E-2</v>
      </c>
      <c r="J85" s="340">
        <f>'Data Sheet'!J27/'Data Sheet'!J59</f>
        <v>9.3759763683358421E-2</v>
      </c>
      <c r="K85" s="340">
        <f>'Data Sheet'!K27/'Data Sheet'!K59</f>
        <v>3.9468313545936926E-2</v>
      </c>
      <c r="L85" s="334">
        <f>'Data Sheet'!K27/'Data Sheet'!K59</f>
        <v>3.9468313545936926E-2</v>
      </c>
      <c r="N85" s="334"/>
      <c r="O85" s="334">
        <f t="shared" si="19"/>
        <v>3.9468313545936926E-2</v>
      </c>
      <c r="P85" s="334">
        <f t="shared" si="20"/>
        <v>0.13216221447928767</v>
      </c>
      <c r="Q85" s="54">
        <f t="shared" si="21"/>
        <v>7.5079231895243542E-2</v>
      </c>
    </row>
    <row r="86" spans="1:17" ht="25.5" x14ac:dyDescent="0.2">
      <c r="A86" s="332" t="s">
        <v>782</v>
      </c>
      <c r="B86" s="333" t="s">
        <v>783</v>
      </c>
      <c r="C86" s="334">
        <f>('Data Sheet'!C67+'Data Sheet'!C68)/'Data Sheet'!C17</f>
        <v>0.21435924810309986</v>
      </c>
      <c r="D86" s="334">
        <f>('Data Sheet'!D67+'Data Sheet'!D68)/'Data Sheet'!D17</f>
        <v>0.28292763702599771</v>
      </c>
      <c r="E86" s="334">
        <f>('Data Sheet'!E67+'Data Sheet'!E68)/'Data Sheet'!E17</f>
        <v>0.2851649956195853</v>
      </c>
      <c r="F86" s="334">
        <f>('Data Sheet'!F67+'Data Sheet'!F68)/'Data Sheet'!F17</f>
        <v>0.22327807611487274</v>
      </c>
      <c r="G86" s="334">
        <f>('Data Sheet'!G67+'Data Sheet'!G68)/'Data Sheet'!G17</f>
        <v>0.24647461046967828</v>
      </c>
      <c r="H86" s="334">
        <f>('Data Sheet'!H67+'Data Sheet'!H68)/'Data Sheet'!H17</f>
        <v>0.19574476798951551</v>
      </c>
      <c r="I86" s="334">
        <f>('Data Sheet'!I67+'Data Sheet'!I68)/'Data Sheet'!I17</f>
        <v>0.21835612438561489</v>
      </c>
      <c r="J86" s="334">
        <f>('Data Sheet'!J67+'Data Sheet'!J68)/'Data Sheet'!J17</f>
        <v>0.20082934526060478</v>
      </c>
      <c r="K86" s="334">
        <f>('Data Sheet'!K67+'Data Sheet'!K68)/'Data Sheet'!K17</f>
        <v>0.23395615933489042</v>
      </c>
      <c r="L86" s="340">
        <f>('Data Sheet'!K67+'Data Sheet'!K68)/'Data Sheet'!K17</f>
        <v>0.23395615933489042</v>
      </c>
      <c r="N86" s="334">
        <f>AVERAGE(C86:L86)</f>
        <v>0.23350471236387493</v>
      </c>
      <c r="O86" s="334">
        <f t="shared" si="19"/>
        <v>0.19574476798951551</v>
      </c>
      <c r="P86" s="334">
        <f t="shared" si="20"/>
        <v>0.2851649956195853</v>
      </c>
      <c r="Q86" s="54">
        <f t="shared" si="21"/>
        <v>0.23350471236387493</v>
      </c>
    </row>
    <row r="87" spans="1:17" ht="38.25" x14ac:dyDescent="0.2">
      <c r="A87" s="332" t="s">
        <v>784</v>
      </c>
      <c r="B87" s="333" t="s">
        <v>785</v>
      </c>
      <c r="C87" s="351">
        <f>'Balance Sheet'!C13/'Balance Sheet'!C7</f>
        <v>2.0826729106628239</v>
      </c>
      <c r="D87" s="351">
        <f>'Balance Sheet'!D13/'Balance Sheet'!D7</f>
        <v>3.1814771395076202</v>
      </c>
      <c r="E87" s="351">
        <f>'Balance Sheet'!E13/'Balance Sheet'!E7</f>
        <v>4.1536458333333339</v>
      </c>
      <c r="F87" s="351">
        <f>'Balance Sheet'!F13/'Balance Sheet'!F7</f>
        <v>9.8831058020477816</v>
      </c>
      <c r="G87" s="351">
        <f>'Balance Sheet'!G13/'Balance Sheet'!G7</f>
        <v>2.67506207875133</v>
      </c>
      <c r="H87" s="351">
        <f>'Balance Sheet'!H13/'Balance Sheet'!H7</f>
        <v>2.9960176063718298</v>
      </c>
      <c r="I87" s="351">
        <f>'Balance Sheet'!I13/'Balance Sheet'!I7</f>
        <v>2.9253932584269666</v>
      </c>
      <c r="J87" s="351">
        <f>'Balance Sheet'!J13/'Balance Sheet'!J7</f>
        <v>2.9974807910316161</v>
      </c>
      <c r="K87" s="351">
        <f>'Balance Sheet'!K13/'Balance Sheet'!K7</f>
        <v>2.9251031121109858</v>
      </c>
      <c r="L87" s="351">
        <f>'Balance Sheet'!K13/'Balance Sheet'!K7</f>
        <v>2.9251031121109858</v>
      </c>
      <c r="N87" s="334"/>
      <c r="O87" s="339">
        <f t="shared" si="19"/>
        <v>2.0826729106628239</v>
      </c>
      <c r="P87" s="339">
        <f t="shared" si="20"/>
        <v>9.8831058020477816</v>
      </c>
      <c r="Q87" s="358">
        <f t="shared" si="21"/>
        <v>3.6745061644355275</v>
      </c>
    </row>
    <row r="88" spans="1:17" ht="25.5" x14ac:dyDescent="0.2">
      <c r="A88" s="332" t="s">
        <v>786</v>
      </c>
      <c r="B88" s="333" t="s">
        <v>311</v>
      </c>
      <c r="C88" s="338">
        <f>C48/'Profit &amp; Loss'!C4</f>
        <v>0.22919129141724176</v>
      </c>
      <c r="D88" s="338">
        <f>D48/'Profit &amp; Loss'!D4</f>
        <v>0.30813048517966551</v>
      </c>
      <c r="E88" s="338">
        <f>E48/'Profit &amp; Loss'!E4</f>
        <v>0.29470456536552125</v>
      </c>
      <c r="F88" s="338">
        <f>F48/'Profit &amp; Loss'!F4</f>
        <v>0.24307728227877656</v>
      </c>
      <c r="G88" s="338">
        <f>G48/'Profit &amp; Loss'!G4</f>
        <v>0.21172514292119715</v>
      </c>
      <c r="H88" s="338">
        <f>H48/'Profit &amp; Loss'!H4</f>
        <v>0.19500757668837285</v>
      </c>
      <c r="I88" s="338">
        <f>I48/'Profit &amp; Loss'!I4</f>
        <v>0.20847729816536084</v>
      </c>
      <c r="J88" s="338">
        <f>J48/'Profit &amp; Loss'!J4</f>
        <v>0.20678863431872413</v>
      </c>
      <c r="K88" s="338">
        <f>K48/'Profit &amp; Loss'!K4</f>
        <v>0.22002828430007071</v>
      </c>
      <c r="L88" s="338">
        <f>L48/'Profit &amp; Loss'!L4</f>
        <v>0.17951923076923076</v>
      </c>
      <c r="N88" s="334"/>
      <c r="O88" s="334">
        <f t="shared" si="19"/>
        <v>0.17951923076923076</v>
      </c>
      <c r="P88" s="334">
        <f t="shared" si="20"/>
        <v>0.30813048517966551</v>
      </c>
      <c r="Q88" s="54">
        <f t="shared" si="21"/>
        <v>0.22966497914041617</v>
      </c>
    </row>
    <row r="89" spans="1:17" ht="25.5" x14ac:dyDescent="0.2">
      <c r="A89" s="332" t="s">
        <v>787</v>
      </c>
      <c r="B89" s="333" t="s">
        <v>788</v>
      </c>
      <c r="C89" s="338">
        <f>C55/'Profit &amp; Loss'!C4</f>
        <v>1.4235330003431581</v>
      </c>
      <c r="D89" s="338">
        <f>D55/'Profit &amp; Loss'!D4</f>
        <v>1.2853783739029641</v>
      </c>
      <c r="E89" s="338">
        <f>E55/'Profit &amp; Loss'!E4</f>
        <v>0.90134332716830523</v>
      </c>
      <c r="F89" s="338">
        <f>F55/'Profit &amp; Loss'!F4</f>
        <v>0.78351622694373102</v>
      </c>
      <c r="G89" s="338">
        <f>G55/'Profit &amp; Loss'!G4</f>
        <v>0.68922766505997068</v>
      </c>
      <c r="H89" s="338">
        <f>H55/'Profit &amp; Loss'!H4</f>
        <v>0.62992996682639146</v>
      </c>
      <c r="I89" s="338">
        <f>I55/'Profit &amp; Loss'!I4</f>
        <v>0.88448748519798204</v>
      </c>
      <c r="J89" s="338">
        <f>J55/'Profit &amp; Loss'!J4</f>
        <v>0.72725494542751712</v>
      </c>
      <c r="K89" s="338">
        <f>K55/'Profit &amp; Loss'!K4</f>
        <v>0.87816323469540813</v>
      </c>
      <c r="L89" s="338">
        <f>L55/'Profit &amp; Loss'!L4</f>
        <v>0.71648601398601408</v>
      </c>
      <c r="N89" s="334"/>
      <c r="O89" s="334">
        <f t="shared" si="19"/>
        <v>0.62992996682639146</v>
      </c>
      <c r="P89" s="334">
        <f t="shared" si="20"/>
        <v>1.4235330003431581</v>
      </c>
      <c r="Q89" s="54">
        <f t="shared" si="21"/>
        <v>0.89193202395514404</v>
      </c>
    </row>
    <row r="90" spans="1:17" x14ac:dyDescent="0.2">
      <c r="A90" s="332" t="s">
        <v>789</v>
      </c>
      <c r="B90" s="333" t="s">
        <v>790</v>
      </c>
      <c r="C90" s="338">
        <f>C48/'Profit &amp; Loss'!C12</f>
        <v>-4.2600992204110559</v>
      </c>
      <c r="D90" s="338">
        <f>D48/'Profit &amp; Loss'!D12</f>
        <v>136.8235294117647</v>
      </c>
      <c r="E90" s="338">
        <f>E48/'Profit &amp; Loss'!E12</f>
        <v>17.967359050445104</v>
      </c>
      <c r="F90" s="338">
        <f>F48/'Profit &amp; Loss'!F12</f>
        <v>347.03333333333336</v>
      </c>
      <c r="G90" s="338">
        <f>G48/'Profit &amp; Loss'!G12</f>
        <v>6.6789250353606784</v>
      </c>
      <c r="H90" s="338">
        <f>H48/'Profit &amp; Loss'!H12</f>
        <v>2.7380678550891311</v>
      </c>
      <c r="I90" s="338">
        <f>I48/'Profit &amp; Loss'!I12</f>
        <v>3.1376953125</v>
      </c>
      <c r="J90" s="338">
        <f>J48/'Profit &amp; Loss'!J12</f>
        <v>3.5910326086956519</v>
      </c>
      <c r="K90" s="338">
        <f>K48/'Profit &amp; Loss'!K12</f>
        <v>3.5935258092738409</v>
      </c>
      <c r="L90" s="338">
        <f>L48/'Profit &amp; Loss'!L12</f>
        <v>3.8322448217951108</v>
      </c>
      <c r="N90" s="334"/>
      <c r="O90" s="334">
        <f t="shared" si="19"/>
        <v>-4.2600992204110559</v>
      </c>
      <c r="P90" s="334">
        <f t="shared" si="20"/>
        <v>347.03333333333336</v>
      </c>
      <c r="Q90" s="54">
        <f t="shared" si="21"/>
        <v>52.113561401784658</v>
      </c>
    </row>
    <row r="91" spans="1:17" ht="25.5" x14ac:dyDescent="0.2">
      <c r="A91" s="332" t="s">
        <v>791</v>
      </c>
      <c r="B91" s="333" t="s">
        <v>792</v>
      </c>
      <c r="C91" s="339">
        <f>'Profit &amp; Loss'!C12/'Financial Analysis'!C55</f>
        <v>-3.7792955671621796E-2</v>
      </c>
      <c r="D91" s="339">
        <f>'Profit &amp; Loss'!D12/'Financial Analysis'!D55</f>
        <v>1.7520354529526952E-3</v>
      </c>
      <c r="E91" s="339">
        <f>'Profit &amp; Loss'!E12/'Financial Analysis'!E55</f>
        <v>1.8197526864301528E-2</v>
      </c>
      <c r="F91" s="339">
        <f>'Profit &amp; Loss'!F12/'Financial Analysis'!F55</f>
        <v>8.9397461112104414E-4</v>
      </c>
      <c r="G91" s="339">
        <f>'Profit &amp; Loss'!G12/'Financial Analysis'!G55</f>
        <v>4.5994210064079638E-2</v>
      </c>
      <c r="H91" s="339">
        <f>'Profit &amp; Loss'!H12/'Financial Analysis'!H55</f>
        <v>0.11306156946882517</v>
      </c>
      <c r="I91" s="339">
        <f>'Profit &amp; Loss'!I12/'Financial Analysis'!I55</f>
        <v>7.5120126178336938E-2</v>
      </c>
      <c r="J91" s="339">
        <f>'Profit &amp; Loss'!J12/'Financial Analysis'!J55</f>
        <v>7.9180936328916457E-2</v>
      </c>
      <c r="K91" s="339">
        <f>'Profit &amp; Loss'!K12/'Financial Analysis'!K55</f>
        <v>6.9724031915672349E-2</v>
      </c>
      <c r="L91" s="339">
        <f>'Profit &amp; Loss'!L12/'Financial Analysis'!L55</f>
        <v>6.5380767635361006E-2</v>
      </c>
      <c r="N91" s="334"/>
      <c r="O91" s="334">
        <f t="shared" si="19"/>
        <v>-3.7792955671621796E-2</v>
      </c>
      <c r="P91" s="334">
        <f t="shared" si="20"/>
        <v>0.11306156946882517</v>
      </c>
      <c r="Q91" s="54">
        <f t="shared" si="21"/>
        <v>4.3151222284794497E-2</v>
      </c>
    </row>
    <row r="92" spans="1:17" x14ac:dyDescent="0.2">
      <c r="A92" s="332" t="s">
        <v>793</v>
      </c>
      <c r="B92" s="333" t="s">
        <v>794</v>
      </c>
      <c r="C92" s="334"/>
      <c r="D92" s="334"/>
      <c r="E92" s="334"/>
      <c r="F92" s="334"/>
      <c r="G92" s="334"/>
      <c r="H92" s="334"/>
      <c r="I92" s="334"/>
      <c r="J92" s="334"/>
      <c r="K92" s="334"/>
      <c r="L92" s="334"/>
      <c r="N92" s="334"/>
      <c r="O92" s="334">
        <f t="shared" si="19"/>
        <v>0</v>
      </c>
      <c r="P92" s="334">
        <f t="shared" si="20"/>
        <v>0</v>
      </c>
      <c r="Q92" s="54" t="e">
        <f t="shared" si="21"/>
        <v>#DIV/0!</v>
      </c>
    </row>
    <row r="93" spans="1:17" ht="25.5" x14ac:dyDescent="0.2">
      <c r="A93" s="332" t="s">
        <v>795</v>
      </c>
      <c r="B93" s="333" t="s">
        <v>796</v>
      </c>
      <c r="C93" s="334"/>
      <c r="D93" s="334"/>
      <c r="E93" s="334"/>
      <c r="F93" s="334"/>
      <c r="G93" s="334"/>
      <c r="H93" s="334"/>
      <c r="I93" s="334"/>
      <c r="J93" s="334"/>
      <c r="K93" s="334"/>
      <c r="L93" s="334"/>
      <c r="N93" s="334"/>
      <c r="O93" s="334">
        <f t="shared" si="19"/>
        <v>0</v>
      </c>
      <c r="P93" s="334">
        <f t="shared" si="20"/>
        <v>0</v>
      </c>
      <c r="Q93" s="54" t="e">
        <f t="shared" si="21"/>
        <v>#DIV/0!</v>
      </c>
    </row>
    <row r="94" spans="1:17" x14ac:dyDescent="0.2">
      <c r="A94" s="332" t="s">
        <v>797</v>
      </c>
      <c r="B94" s="333" t="s">
        <v>685</v>
      </c>
      <c r="C94" s="334"/>
      <c r="D94" s="334"/>
      <c r="E94" s="334"/>
      <c r="F94" s="334"/>
      <c r="G94" s="334"/>
      <c r="H94" s="334"/>
      <c r="I94" s="334"/>
      <c r="J94" s="334"/>
      <c r="K94" s="334"/>
      <c r="L94" s="334"/>
      <c r="N94" s="334"/>
      <c r="O94" s="334">
        <f t="shared" si="19"/>
        <v>0</v>
      </c>
      <c r="P94" s="334">
        <f t="shared" si="20"/>
        <v>0</v>
      </c>
      <c r="Q94" s="54" t="e">
        <f t="shared" si="21"/>
        <v>#DIV/0!</v>
      </c>
    </row>
    <row r="95" spans="1:17" x14ac:dyDescent="0.2">
      <c r="A95" s="332" t="s">
        <v>798</v>
      </c>
      <c r="B95" s="333" t="s">
        <v>685</v>
      </c>
      <c r="C95" s="334"/>
      <c r="D95" s="334"/>
      <c r="E95" s="334"/>
      <c r="F95" s="334"/>
      <c r="G95" s="334"/>
      <c r="H95" s="334"/>
      <c r="I95" s="334"/>
      <c r="J95" s="334"/>
      <c r="K95" s="334"/>
      <c r="L95" s="334"/>
      <c r="N95" s="334"/>
      <c r="O95" s="334">
        <f t="shared" si="19"/>
        <v>0</v>
      </c>
      <c r="P95" s="334">
        <f t="shared" si="20"/>
        <v>0</v>
      </c>
      <c r="Q95" s="54" t="e">
        <f t="shared" si="21"/>
        <v>#DIV/0!</v>
      </c>
    </row>
    <row r="96" spans="1:17" x14ac:dyDescent="0.2">
      <c r="A96" s="332" t="s">
        <v>47</v>
      </c>
      <c r="B96" s="333" t="s">
        <v>799</v>
      </c>
      <c r="C96" s="359">
        <f>IFERROR('Data Sheet'!C17/'Data Sheet'!C68,"NA")</f>
        <v>6.3999511957052224</v>
      </c>
      <c r="D96" s="359">
        <f>IFERROR('Data Sheet'!D17/'Data Sheet'!D68,"NA")</f>
        <v>3.9714586347494407</v>
      </c>
      <c r="E96" s="359">
        <f>IFERROR('Data Sheet'!E17/'Data Sheet'!E68,"NA")</f>
        <v>5.0210166177908118</v>
      </c>
      <c r="F96" s="359">
        <f>IFERROR('Data Sheet'!F17/'Data Sheet'!F68,"NA")</f>
        <v>5.5529625307921693</v>
      </c>
      <c r="G96" s="359">
        <f>IFERROR('Data Sheet'!G17/'Data Sheet'!G68,"NA")</f>
        <v>5.4462759462759465</v>
      </c>
      <c r="H96" s="359">
        <f>IFERROR('Data Sheet'!H17/'Data Sheet'!H68,"NA")</f>
        <v>6.9072135785007065</v>
      </c>
      <c r="I96" s="359">
        <f>IFERROR('Data Sheet'!I17/'Data Sheet'!I68,"NA")</f>
        <v>6.5449623102240153</v>
      </c>
      <c r="J96" s="359">
        <f>IFERROR('Data Sheet'!J17/'Data Sheet'!J68,"NA")</f>
        <v>6.682380620425235</v>
      </c>
      <c r="K96" s="359">
        <f>IFERROR('Data Sheet'!K17/'Data Sheet'!K68,"NA")</f>
        <v>5.4891790167019527</v>
      </c>
      <c r="L96" s="359">
        <f>IFERROR('Data Sheet'!K17/'Data Sheet'!K68,"NA")</f>
        <v>5.4891790167019527</v>
      </c>
      <c r="N96" s="334"/>
      <c r="O96" s="339">
        <f t="shared" si="19"/>
        <v>3.9714586347494407</v>
      </c>
      <c r="P96" s="339">
        <f t="shared" si="20"/>
        <v>6.9072135785007065</v>
      </c>
      <c r="Q96" s="358">
        <f t="shared" si="21"/>
        <v>5.7504579467867458</v>
      </c>
    </row>
    <row r="97" spans="1:17" x14ac:dyDescent="0.2">
      <c r="A97" s="332" t="s">
        <v>520</v>
      </c>
      <c r="B97" s="333" t="s">
        <v>800</v>
      </c>
      <c r="C97" s="359">
        <f>'Data Sheet'!C17/'Data Sheet'!C62</f>
        <v>0.8374952101162344</v>
      </c>
      <c r="D97" s="359">
        <f>'Data Sheet'!D17/'Data Sheet'!D62</f>
        <v>1.0232818218788124</v>
      </c>
      <c r="E97" s="359">
        <f>'Data Sheet'!E17/'Data Sheet'!E62</f>
        <v>1.6484274711168165</v>
      </c>
      <c r="F97" s="359">
        <f>'Data Sheet'!F17/'Data Sheet'!F62</f>
        <v>1.8777675478977596</v>
      </c>
      <c r="G97" s="359">
        <f>'Data Sheet'!G17/'Data Sheet'!G62</f>
        <v>2.0942297760458235</v>
      </c>
      <c r="H97" s="359">
        <f>'Data Sheet'!H17/'Data Sheet'!H62</f>
        <v>2.5539459233303696</v>
      </c>
      <c r="I97" s="359">
        <f>'Data Sheet'!I17/'Data Sheet'!I62</f>
        <v>1.4792676488937948</v>
      </c>
      <c r="J97" s="359">
        <f>'Data Sheet'!J17/'Data Sheet'!J62</f>
        <v>2.0071452875127593</v>
      </c>
      <c r="K97" s="359">
        <f>'Data Sheet'!K17/'Data Sheet'!K62</f>
        <v>1.5194452131729315</v>
      </c>
      <c r="L97" s="359">
        <f>'Data Sheet'!K17/'Data Sheet'!K62</f>
        <v>1.5194452131729315</v>
      </c>
      <c r="N97" s="334"/>
      <c r="O97" s="339">
        <f t="shared" si="19"/>
        <v>0.8374952101162344</v>
      </c>
      <c r="P97" s="339">
        <f t="shared" si="20"/>
        <v>2.5539459233303696</v>
      </c>
      <c r="Q97" s="358">
        <f t="shared" si="21"/>
        <v>1.6560451113138233</v>
      </c>
    </row>
    <row r="98" spans="1:17" ht="25.5" x14ac:dyDescent="0.2">
      <c r="A98" s="332" t="s">
        <v>801</v>
      </c>
      <c r="B98" s="333" t="s">
        <v>802</v>
      </c>
      <c r="N98" s="334"/>
      <c r="O98" s="334"/>
      <c r="P98" s="334"/>
      <c r="Q98" s="54"/>
    </row>
    <row r="99" spans="1:17" ht="25.5" x14ac:dyDescent="0.2">
      <c r="A99" s="332" t="s">
        <v>803</v>
      </c>
      <c r="B99" s="333" t="s">
        <v>804</v>
      </c>
      <c r="C99" s="359">
        <f>IFERROR(('Data Sheet'!C68/'Data Sheet'!C17)*365,"NA")</f>
        <v>57.031684904869032</v>
      </c>
      <c r="D99" s="359">
        <f>IFERROR(('Data Sheet'!D68/'Data Sheet'!D17)*365,"NA")</f>
        <v>91.905779102500418</v>
      </c>
      <c r="E99" s="359">
        <f>IFERROR(('Data Sheet'!E68/'Data Sheet'!E17)*365,"NA")</f>
        <v>72.694441740484763</v>
      </c>
      <c r="F99" s="359">
        <f>IFERROR(('Data Sheet'!F68/'Data Sheet'!F17)*365,"NA")</f>
        <v>65.730679430305855</v>
      </c>
      <c r="G99" s="359">
        <f>IFERROR(('Data Sheet'!G68/'Data Sheet'!G17)*365,"NA")</f>
        <v>67.018271494227108</v>
      </c>
      <c r="H99" s="359">
        <f>IFERROR(('Data Sheet'!H68/'Data Sheet'!H17)*365,"NA")</f>
        <v>52.843305893434902</v>
      </c>
      <c r="I99" s="359">
        <f>IFERROR(('Data Sheet'!I68/'Data Sheet'!I17)*365,"NA")</f>
        <v>55.768082793972134</v>
      </c>
      <c r="J99" s="359">
        <f>IFERROR(('Data Sheet'!J68/'Data Sheet'!J17)*365,"NA")</f>
        <v>54.621252624303992</v>
      </c>
      <c r="K99" s="359">
        <f>IFERROR(('Data Sheet'!K68/'Data Sheet'!K17)*365,"NA")</f>
        <v>66.494460991236153</v>
      </c>
      <c r="L99" s="359">
        <f>IFERROR(('Data Sheet'!K68/'Data Sheet'!K17)*365,"NA")</f>
        <v>66.494460991236153</v>
      </c>
      <c r="N99" s="334"/>
      <c r="O99" s="351">
        <f t="shared" si="19"/>
        <v>52.843305893434902</v>
      </c>
      <c r="P99" s="351">
        <f t="shared" si="20"/>
        <v>91.905779102500418</v>
      </c>
      <c r="Q99" s="359">
        <f t="shared" si="21"/>
        <v>65.060241996657041</v>
      </c>
    </row>
    <row r="100" spans="1:17" ht="38.25" x14ac:dyDescent="0.2">
      <c r="A100" s="332" t="s">
        <v>805</v>
      </c>
      <c r="B100" s="333" t="s">
        <v>806</v>
      </c>
      <c r="C100" s="359">
        <f>IFERROR(('Data Sheet'!C67/'Data Sheet'!C17)*365,"NA")</f>
        <v>21.209440652762421</v>
      </c>
      <c r="D100" s="359">
        <f>IFERROR(('Data Sheet'!D67/'Data Sheet'!D17)*365,"NA")</f>
        <v>11.362808411988741</v>
      </c>
      <c r="E100" s="359">
        <f>IFERROR(('Data Sheet'!E67/'Data Sheet'!E17)*365,"NA")</f>
        <v>31.390781660663876</v>
      </c>
      <c r="F100" s="359">
        <f>IFERROR(('Data Sheet'!F67/'Data Sheet'!F17)*365,"NA")</f>
        <v>15.765818351622695</v>
      </c>
      <c r="G100" s="359">
        <f>IFERROR(('Data Sheet'!G67/'Data Sheet'!G17)*365,"NA")</f>
        <v>22.944961327205473</v>
      </c>
      <c r="H100" s="359">
        <f>IFERROR(('Data Sheet'!H67/'Data Sheet'!H17)*365,"NA")</f>
        <v>18.603534422738257</v>
      </c>
      <c r="I100" s="359">
        <f>IFERROR(('Data Sheet'!I67/'Data Sheet'!I17)*365,"NA")</f>
        <v>23.931902606777296</v>
      </c>
      <c r="J100" s="359">
        <f>IFERROR(('Data Sheet'!J67/'Data Sheet'!J17)*365,"NA")</f>
        <v>18.681458395816762</v>
      </c>
      <c r="K100" s="359">
        <f>IFERROR(('Data Sheet'!K67/'Data Sheet'!K17)*365,"NA")</f>
        <v>18.89953716599884</v>
      </c>
      <c r="L100" s="359">
        <f>IFERROR(('Data Sheet'!K67/'Data Sheet'!K17)*365,"NA")</f>
        <v>18.89953716599884</v>
      </c>
      <c r="N100" s="334"/>
      <c r="O100" s="351">
        <f t="shared" si="19"/>
        <v>11.362808411988741</v>
      </c>
      <c r="P100" s="351">
        <f t="shared" si="20"/>
        <v>31.390781660663876</v>
      </c>
      <c r="Q100" s="359">
        <f t="shared" si="21"/>
        <v>20.168978016157325</v>
      </c>
    </row>
    <row r="101" spans="1:17" ht="38.25" x14ac:dyDescent="0.2">
      <c r="A101" s="332" t="s">
        <v>807</v>
      </c>
      <c r="B101" s="333" t="s">
        <v>808</v>
      </c>
      <c r="C101" s="84"/>
      <c r="D101" s="84"/>
      <c r="E101" s="84"/>
      <c r="F101" s="84"/>
      <c r="G101" s="84"/>
      <c r="H101" s="84"/>
      <c r="I101" s="84"/>
      <c r="J101" s="84"/>
      <c r="K101" s="84"/>
      <c r="N101" s="334"/>
      <c r="O101" s="334"/>
      <c r="P101" s="334"/>
      <c r="Q101" s="54"/>
    </row>
    <row r="102" spans="1:17" x14ac:dyDescent="0.2">
      <c r="A102" s="332" t="s">
        <v>809</v>
      </c>
      <c r="B102" s="333" t="s">
        <v>810</v>
      </c>
      <c r="C102" s="84"/>
      <c r="D102" s="84"/>
      <c r="E102" s="84"/>
      <c r="F102" s="84"/>
      <c r="G102" s="84"/>
      <c r="H102" s="84"/>
      <c r="I102" s="84"/>
      <c r="J102" s="84"/>
      <c r="K102" s="84"/>
      <c r="N102" s="334"/>
      <c r="O102" s="334"/>
      <c r="P102" s="334"/>
      <c r="Q102" s="54"/>
    </row>
    <row r="103" spans="1:17" x14ac:dyDescent="0.2">
      <c r="A103" s="332" t="s">
        <v>811</v>
      </c>
      <c r="B103" s="333" t="s">
        <v>810</v>
      </c>
      <c r="N103" s="334"/>
      <c r="O103" s="334"/>
      <c r="P103" s="334"/>
      <c r="Q103" s="54"/>
    </row>
    <row r="104" spans="1:17" x14ac:dyDescent="0.2">
      <c r="A104" s="332" t="s">
        <v>145</v>
      </c>
      <c r="B104" s="333"/>
      <c r="D104" s="37">
        <f>'Data Sheet'!D30</f>
        <v>0.68</v>
      </c>
      <c r="E104" s="37">
        <f>'Data Sheet'!E30</f>
        <v>6.74</v>
      </c>
      <c r="F104" s="37">
        <f>'Data Sheet'!F30</f>
        <v>0.3</v>
      </c>
      <c r="G104" s="37">
        <f>'Data Sheet'!G30</f>
        <v>14.14</v>
      </c>
      <c r="H104" s="37">
        <f>'Data Sheet'!H30</f>
        <v>34.78</v>
      </c>
      <c r="I104" s="37">
        <f>'Data Sheet'!I30</f>
        <v>40.96</v>
      </c>
      <c r="J104" s="37">
        <f>'Data Sheet'!J30</f>
        <v>44.16</v>
      </c>
      <c r="K104" s="37">
        <f>'Data Sheet'!K30</f>
        <v>57.15</v>
      </c>
      <c r="L104" s="360">
        <f>'Data Sheet'!K30</f>
        <v>57.15</v>
      </c>
      <c r="N104" s="342">
        <f>SUM(D104:L104)</f>
        <v>256.06</v>
      </c>
      <c r="O104" s="334"/>
      <c r="P104" s="334"/>
      <c r="Q104" s="54"/>
    </row>
    <row r="105" spans="1:17" x14ac:dyDescent="0.2">
      <c r="A105" s="332" t="s">
        <v>146</v>
      </c>
      <c r="B105" s="333"/>
      <c r="D105" s="37">
        <f>'Data Sheet'!D82</f>
        <v>0.55000000000000004</v>
      </c>
      <c r="E105" s="37">
        <f>'Data Sheet'!E82</f>
        <v>45.39</v>
      </c>
      <c r="F105" s="37">
        <f>'Data Sheet'!F82</f>
        <v>64.180000000000007</v>
      </c>
      <c r="G105" s="37">
        <f>'Data Sheet'!G82</f>
        <v>88.9</v>
      </c>
      <c r="H105" s="37">
        <f>'Data Sheet'!H82</f>
        <v>86.62</v>
      </c>
      <c r="I105" s="37">
        <f>'Data Sheet'!I82</f>
        <v>44.51</v>
      </c>
      <c r="J105" s="37">
        <f>'Data Sheet'!J82</f>
        <v>100.4</v>
      </c>
      <c r="K105" s="37">
        <f>'Data Sheet'!K82</f>
        <v>59.16</v>
      </c>
      <c r="L105" s="360">
        <f>'Data Sheet'!K82</f>
        <v>59.16</v>
      </c>
      <c r="N105" s="342">
        <f>SUM(D105:L105)</f>
        <v>548.86999999999989</v>
      </c>
      <c r="O105" s="334"/>
      <c r="P105" s="334"/>
      <c r="Q105" s="54"/>
    </row>
    <row r="106" spans="1:17" x14ac:dyDescent="0.2">
      <c r="A106" s="332" t="s">
        <v>181</v>
      </c>
      <c r="B106" s="333" t="s">
        <v>812</v>
      </c>
      <c r="D106" s="352">
        <f>'Data Sheet'!D82-'Financial Analysis'!D45</f>
        <v>6.0000000000040687E-2</v>
      </c>
      <c r="E106" s="352">
        <f>'Data Sheet'!E82-'Financial Analysis'!E45</f>
        <v>45.859999999999985</v>
      </c>
      <c r="F106" s="352">
        <f>'Data Sheet'!F82-'Financial Analysis'!F45</f>
        <v>58.010000000000005</v>
      </c>
      <c r="G106" s="352">
        <f>'Data Sheet'!G82-'Financial Analysis'!G45</f>
        <v>82.88</v>
      </c>
      <c r="H106" s="352">
        <f>'Data Sheet'!H82-'Financial Analysis'!H45</f>
        <v>62.350000000000009</v>
      </c>
      <c r="I106" s="352">
        <f>'Data Sheet'!I82-'Financial Analysis'!I45</f>
        <v>-187.78</v>
      </c>
      <c r="J106" s="352">
        <f>'Data Sheet'!J82-'Financial Analysis'!J45</f>
        <v>78.450000000000017</v>
      </c>
      <c r="K106" s="352">
        <f>'Data Sheet'!K82-'Financial Analysis'!K45</f>
        <v>-197.64999999999995</v>
      </c>
      <c r="L106" s="352">
        <f>'Data Sheet'!K82-'Financial Analysis'!K45</f>
        <v>-197.64999999999995</v>
      </c>
      <c r="N106" s="342">
        <f>SUM(D106:L106)</f>
        <v>-255.46999999999986</v>
      </c>
      <c r="O106" s="334"/>
      <c r="P106" s="334"/>
      <c r="Q106" s="54"/>
    </row>
    <row r="107" spans="1:17" x14ac:dyDescent="0.2">
      <c r="A107" s="332"/>
      <c r="B107" s="333"/>
      <c r="D107" s="352"/>
      <c r="N107" s="334"/>
      <c r="O107" s="334"/>
      <c r="P107" s="334"/>
      <c r="Q107" s="54"/>
    </row>
    <row r="108" spans="1:17" x14ac:dyDescent="0.2">
      <c r="A108" s="332" t="s">
        <v>813</v>
      </c>
      <c r="B108" s="333"/>
      <c r="C108" s="352"/>
      <c r="D108" s="361">
        <f>D42/D105</f>
        <v>72.500967545454529</v>
      </c>
      <c r="E108" s="361">
        <f t="shared" ref="E108:L108" si="22">E42/E105</f>
        <v>1.2541476027759417</v>
      </c>
      <c r="F108" s="361">
        <f t="shared" si="22"/>
        <v>0.44134275490807096</v>
      </c>
      <c r="G108" s="361">
        <f t="shared" si="22"/>
        <v>0.51453630044994381</v>
      </c>
      <c r="H108" s="361">
        <f t="shared" si="22"/>
        <v>0.84979584010621079</v>
      </c>
      <c r="I108" s="361">
        <f t="shared" si="22"/>
        <v>3.9943804236126712</v>
      </c>
      <c r="J108" s="361">
        <f t="shared" si="22"/>
        <v>2.9929018268924303</v>
      </c>
      <c r="K108" s="361">
        <f t="shared" si="22"/>
        <v>10.085637187457742</v>
      </c>
      <c r="L108" s="361">
        <f t="shared" si="22"/>
        <v>10.085637187457742</v>
      </c>
      <c r="N108" s="334"/>
      <c r="O108" s="334"/>
      <c r="P108" s="334"/>
      <c r="Q108" s="54"/>
    </row>
    <row r="109" spans="1:17" x14ac:dyDescent="0.2">
      <c r="A109" s="327" t="s">
        <v>814</v>
      </c>
      <c r="B109" s="333"/>
      <c r="C109" s="336">
        <f>C81</f>
        <v>39903</v>
      </c>
      <c r="D109" s="336">
        <f t="shared" ref="D109:L109" si="23">D81</f>
        <v>40268</v>
      </c>
      <c r="E109" s="336">
        <f t="shared" si="23"/>
        <v>40633</v>
      </c>
      <c r="F109" s="336">
        <f t="shared" si="23"/>
        <v>40999</v>
      </c>
      <c r="G109" s="336">
        <f t="shared" si="23"/>
        <v>41364</v>
      </c>
      <c r="H109" s="336">
        <f t="shared" si="23"/>
        <v>41729</v>
      </c>
      <c r="I109" s="336">
        <f t="shared" si="23"/>
        <v>42094</v>
      </c>
      <c r="J109" s="336">
        <f t="shared" si="23"/>
        <v>42460</v>
      </c>
      <c r="K109" s="336">
        <f t="shared" si="23"/>
        <v>42825</v>
      </c>
      <c r="L109" s="336" t="str">
        <f t="shared" si="23"/>
        <v>Trailing</v>
      </c>
      <c r="O109" s="334">
        <f t="shared" si="19"/>
        <v>39903</v>
      </c>
      <c r="P109" s="334">
        <f t="shared" si="20"/>
        <v>42825</v>
      </c>
      <c r="Q109" s="54">
        <f t="shared" si="21"/>
        <v>41363.888888888891</v>
      </c>
    </row>
    <row r="110" spans="1:17" ht="25.5" x14ac:dyDescent="0.2">
      <c r="A110" s="332" t="s">
        <v>815</v>
      </c>
      <c r="B110" s="333" t="s">
        <v>816</v>
      </c>
      <c r="C110" s="358">
        <f>('Data Sheet'!C59)/('Data Sheet'!C57+'Data Sheet'!C58)</f>
        <v>4.0493643494725458</v>
      </c>
      <c r="D110" s="358">
        <f>('Data Sheet'!D59)/('Data Sheet'!D57+'Data Sheet'!D58)</f>
        <v>3.8752669262655446</v>
      </c>
      <c r="E110" s="358">
        <f>('Data Sheet'!E59)/('Data Sheet'!E57+'Data Sheet'!E58)</f>
        <v>3.2892877822814128</v>
      </c>
      <c r="F110" s="358">
        <f>('Data Sheet'!F59)/('Data Sheet'!F57+'Data Sheet'!F58)</f>
        <v>2.8723747980613892</v>
      </c>
      <c r="G110" s="358">
        <f>('Data Sheet'!G59)/('Data Sheet'!G57+'Data Sheet'!G58)</f>
        <v>2.0502033931937693</v>
      </c>
      <c r="H110" s="358">
        <f>('Data Sheet'!H59)/('Data Sheet'!H57+'Data Sheet'!H58)</f>
        <v>1.3384264538198403</v>
      </c>
      <c r="I110" s="358">
        <f>('Data Sheet'!I59)/('Data Sheet'!I57+'Data Sheet'!I58)</f>
        <v>2.265225462602551</v>
      </c>
      <c r="J110" s="358">
        <f>('Data Sheet'!J59)/('Data Sheet'!J57+'Data Sheet'!J58)</f>
        <v>1.7120696362575376</v>
      </c>
      <c r="K110" s="358">
        <f>('Data Sheet'!K59)/('Data Sheet'!K57+'Data Sheet'!K58)</f>
        <v>2.1996720927509075</v>
      </c>
      <c r="L110" s="358">
        <f>('Data Sheet'!K59)/('Data Sheet'!K57+'Data Sheet'!K58)</f>
        <v>2.1996720927509075</v>
      </c>
      <c r="N110" s="334">
        <f t="shared" ref="N110:N119" si="24">(L110/C110)^(1/(9-1))-1</f>
        <v>-7.3444611189230513E-2</v>
      </c>
      <c r="O110" s="334">
        <f t="shared" si="19"/>
        <v>1.3384264538198403</v>
      </c>
      <c r="P110" s="334">
        <f t="shared" si="20"/>
        <v>4.0493643494725458</v>
      </c>
      <c r="Q110" s="54">
        <f t="shared" si="21"/>
        <v>2.5851562987456407</v>
      </c>
    </row>
    <row r="111" spans="1:17" x14ac:dyDescent="0.2">
      <c r="A111" s="332" t="s">
        <v>507</v>
      </c>
      <c r="B111" s="333" t="s">
        <v>817</v>
      </c>
      <c r="C111" s="359">
        <f>C54/'Profit &amp; Loss'!C9</f>
        <v>3.5146443514644347E-2</v>
      </c>
      <c r="D111" s="359">
        <f>D54/'Profit &amp; Loss'!D9</f>
        <v>1.0660066006600659</v>
      </c>
      <c r="E111" s="359">
        <f>E54/'Profit &amp; Loss'!E9</f>
        <v>1.459600760456274</v>
      </c>
      <c r="F111" s="359">
        <f>F54/'Profit &amp; Loss'!F9</f>
        <v>1.0143540669856459</v>
      </c>
      <c r="G111" s="359">
        <f>G54/'Profit &amp; Loss'!G9</f>
        <v>1.7678506041742952</v>
      </c>
      <c r="H111" s="359">
        <f>H54/'Profit &amp; Loss'!H9</f>
        <v>3.9753722794959905</v>
      </c>
      <c r="I111" s="359">
        <f>I54/'Profit &amp; Loss'!I9</f>
        <v>3.3762157382847038</v>
      </c>
      <c r="J111" s="359">
        <f>J54/'Profit &amp; Loss'!J9</f>
        <v>2.9748561042108452</v>
      </c>
      <c r="K111" s="359">
        <f>K54/'Profit &amp; Loss'!K9</f>
        <v>4.1483812949640289</v>
      </c>
      <c r="L111" s="359">
        <f>L54/'Profit &amp; Loss'!L9</f>
        <v>3.189077082613204</v>
      </c>
      <c r="N111" s="334">
        <f t="shared" si="24"/>
        <v>0.75680255319427259</v>
      </c>
      <c r="O111" s="334">
        <f t="shared" si="19"/>
        <v>3.5146443514644347E-2</v>
      </c>
      <c r="P111" s="334">
        <f t="shared" si="20"/>
        <v>4.1483812949640289</v>
      </c>
      <c r="Q111" s="54">
        <f t="shared" si="21"/>
        <v>2.3006860975359693</v>
      </c>
    </row>
    <row r="112" spans="1:17" ht="25.5" x14ac:dyDescent="0.2">
      <c r="A112" s="332" t="s">
        <v>818</v>
      </c>
      <c r="B112" s="333" t="s">
        <v>819</v>
      </c>
      <c r="C112" s="359">
        <f>'Data Sheet'!C82/('Data Sheet'!C59+'Data Sheet'!C60)</f>
        <v>4.0205110866931508E-2</v>
      </c>
      <c r="D112" s="359">
        <f>'Data Sheet'!D82/('Data Sheet'!D59+'Data Sheet'!D60)</f>
        <v>1.5662376124843378E-3</v>
      </c>
      <c r="E112" s="359">
        <f>'Data Sheet'!E82/('Data Sheet'!E59+'Data Sheet'!E60)</f>
        <v>0.14077474180442268</v>
      </c>
      <c r="F112" s="359">
        <f>'Data Sheet'!F82/('Data Sheet'!F59+'Data Sheet'!F60)</f>
        <v>0.24624002455494173</v>
      </c>
      <c r="G112" s="359">
        <f>'Data Sheet'!G82/('Data Sheet'!G59+'Data Sheet'!G60)</f>
        <v>0.33799711048589465</v>
      </c>
      <c r="H112" s="359">
        <f>'Data Sheet'!H82/('Data Sheet'!H59+'Data Sheet'!H60)</f>
        <v>0.38707659308249176</v>
      </c>
      <c r="I112" s="359">
        <f>'Data Sheet'!I82/('Data Sheet'!I59+'Data Sheet'!I60)</f>
        <v>0.10001797672014741</v>
      </c>
      <c r="J112" s="359">
        <f>'Data Sheet'!J82/('Data Sheet'!J59+'Data Sheet'!J60)</f>
        <v>0.2326982802577296</v>
      </c>
      <c r="K112" s="359">
        <f>'Data Sheet'!K82/('Data Sheet'!K59+'Data Sheet'!K60)</f>
        <v>8.827610904695822E-2</v>
      </c>
      <c r="L112" s="359">
        <f>'Data Sheet'!K82/('Data Sheet'!K59+'Data Sheet'!K60)</f>
        <v>8.827610904695822E-2</v>
      </c>
      <c r="N112" s="334">
        <f t="shared" si="24"/>
        <v>0.10330411965688113</v>
      </c>
      <c r="O112" s="339">
        <f t="shared" si="19"/>
        <v>1.5662376124843378E-3</v>
      </c>
      <c r="P112" s="339">
        <f t="shared" si="20"/>
        <v>0.38707659308249176</v>
      </c>
      <c r="Q112" s="358">
        <f t="shared" si="21"/>
        <v>0.16631282934789599</v>
      </c>
    </row>
    <row r="113" spans="1:17" ht="38.25" x14ac:dyDescent="0.2">
      <c r="A113" s="332" t="s">
        <v>267</v>
      </c>
      <c r="B113" s="333" t="s">
        <v>785</v>
      </c>
      <c r="C113" s="359">
        <f>C87</f>
        <v>2.0826729106628239</v>
      </c>
      <c r="D113" s="359">
        <f t="shared" ref="D113:L113" si="25">D87</f>
        <v>3.1814771395076202</v>
      </c>
      <c r="E113" s="359">
        <f t="shared" si="25"/>
        <v>4.1536458333333339</v>
      </c>
      <c r="F113" s="359">
        <f t="shared" si="25"/>
        <v>9.8831058020477816</v>
      </c>
      <c r="G113" s="359">
        <f t="shared" si="25"/>
        <v>2.67506207875133</v>
      </c>
      <c r="H113" s="359">
        <f t="shared" si="25"/>
        <v>2.9960176063718298</v>
      </c>
      <c r="I113" s="359">
        <f t="shared" si="25"/>
        <v>2.9253932584269666</v>
      </c>
      <c r="J113" s="359">
        <f t="shared" si="25"/>
        <v>2.9974807910316161</v>
      </c>
      <c r="K113" s="359">
        <f t="shared" si="25"/>
        <v>2.9251031121109858</v>
      </c>
      <c r="L113" s="359">
        <f t="shared" si="25"/>
        <v>2.9251031121109858</v>
      </c>
      <c r="N113" s="334">
        <f t="shared" si="24"/>
        <v>4.3374008874274672E-2</v>
      </c>
      <c r="O113" s="339">
        <f t="shared" si="19"/>
        <v>2.0826729106628239</v>
      </c>
      <c r="P113" s="339">
        <f t="shared" si="20"/>
        <v>9.8831058020477816</v>
      </c>
      <c r="Q113" s="358">
        <f t="shared" si="21"/>
        <v>3.6745061644355275</v>
      </c>
    </row>
    <row r="114" spans="1:17" ht="38.25" x14ac:dyDescent="0.2">
      <c r="A114" s="332" t="s">
        <v>509</v>
      </c>
      <c r="B114" s="333" t="s">
        <v>820</v>
      </c>
      <c r="C114" s="359">
        <f>('Data Sheet'!C65-'Data Sheet'!C68)/'Data Sheet'!C60</f>
        <v>1.3445605187319885</v>
      </c>
      <c r="D114" s="359">
        <f>('Data Sheet'!D65-'Data Sheet'!D68)/'Data Sheet'!D60</f>
        <v>1.3988276670574442</v>
      </c>
      <c r="E114" s="359">
        <f>('Data Sheet'!E65-'Data Sheet'!E68)/'Data Sheet'!E60</f>
        <v>2.0223958333333334</v>
      </c>
      <c r="F114" s="359">
        <f>('Data Sheet'!F65-'Data Sheet'!F68)/'Data Sheet'!F60</f>
        <v>3.302047781569966</v>
      </c>
      <c r="G114" s="359">
        <f>('Data Sheet'!G65-'Data Sheet'!G68)/'Data Sheet'!G60</f>
        <v>1.2224192976232704</v>
      </c>
      <c r="H114" s="359">
        <f>('Data Sheet'!H65-'Data Sheet'!H68)/'Data Sheet'!H60</f>
        <v>1.514147977363236</v>
      </c>
      <c r="I114" s="359">
        <f>('Data Sheet'!I65-'Data Sheet'!I68)/'Data Sheet'!I60</f>
        <v>1.5143071161048691</v>
      </c>
      <c r="J114" s="359">
        <f>('Data Sheet'!J65-'Data Sheet'!J68)/'Data Sheet'!J60</f>
        <v>1.5519586849729183</v>
      </c>
      <c r="K114" s="359">
        <f>('Data Sheet'!K65-'Data Sheet'!K68)/'Data Sheet'!K60</f>
        <v>1.3311773528308963</v>
      </c>
      <c r="L114" s="359">
        <f>('Data Sheet'!K65-'Data Sheet'!K68)/'Data Sheet'!K60</f>
        <v>1.3311773528308963</v>
      </c>
      <c r="N114" s="334">
        <f t="shared" si="24"/>
        <v>-1.2496472202543352E-3</v>
      </c>
      <c r="O114" s="339">
        <f t="shared" si="19"/>
        <v>1.2224192976232704</v>
      </c>
      <c r="P114" s="339">
        <f t="shared" si="20"/>
        <v>3.302047781569966</v>
      </c>
      <c r="Q114" s="358">
        <f t="shared" si="21"/>
        <v>1.6533019582418818</v>
      </c>
    </row>
    <row r="115" spans="1:17" ht="51" x14ac:dyDescent="0.2">
      <c r="A115" s="332" t="s">
        <v>821</v>
      </c>
      <c r="B115" s="333" t="s">
        <v>822</v>
      </c>
      <c r="C115" s="359">
        <f>'Data Sheet'!C69/'Data Sheet'!C60</f>
        <v>9.5461095100864545E-3</v>
      </c>
      <c r="D115" s="359">
        <f>'Data Sheet'!D69/'Data Sheet'!D60</f>
        <v>2.3446658851113719E-3</v>
      </c>
      <c r="E115" s="359">
        <f>'Data Sheet'!E69/'Data Sheet'!E60</f>
        <v>3.6458333333333338E-3</v>
      </c>
      <c r="F115" s="359">
        <f>'Data Sheet'!F69/'Data Sheet'!F60</f>
        <v>6.8259385665529011E-3</v>
      </c>
      <c r="G115" s="359">
        <f>'Data Sheet'!G69/'Data Sheet'!G60</f>
        <v>4.9663001064207167E-3</v>
      </c>
      <c r="H115" s="359">
        <f>'Data Sheet'!H69/'Data Sheet'!H60</f>
        <v>1.2575979878432194E-3</v>
      </c>
      <c r="I115" s="359">
        <f>'Data Sheet'!I69/'Data Sheet'!I60</f>
        <v>1.0187265917602996E-2</v>
      </c>
      <c r="J115" s="359">
        <f>'Data Sheet'!J69/'Data Sheet'!J60</f>
        <v>7.1797455598941922E-3</v>
      </c>
      <c r="K115" s="359">
        <f>'Data Sheet'!K69/'Data Sheet'!K60</f>
        <v>1.1904761904761904E-2</v>
      </c>
      <c r="L115" s="359">
        <f>'Data Sheet'!K69/'Data Sheet'!K60</f>
        <v>1.1904761904761904E-2</v>
      </c>
      <c r="N115" s="334">
        <f t="shared" si="24"/>
        <v>2.7985023887361793E-2</v>
      </c>
      <c r="O115" s="339">
        <f t="shared" si="19"/>
        <v>1.2575979878432194E-3</v>
      </c>
      <c r="P115" s="339">
        <f t="shared" si="20"/>
        <v>1.1904761904761904E-2</v>
      </c>
      <c r="Q115" s="358">
        <f t="shared" si="21"/>
        <v>6.9762980676368993E-3</v>
      </c>
    </row>
    <row r="116" spans="1:17" ht="25.5" x14ac:dyDescent="0.2">
      <c r="A116" s="332" t="s">
        <v>823</v>
      </c>
      <c r="B116" s="333" t="s">
        <v>824</v>
      </c>
      <c r="C116" s="359">
        <f>'Data Sheet'!C82/'Data Sheet'!C60</f>
        <v>0.2570244956772334</v>
      </c>
      <c r="D116" s="359">
        <f>'Data Sheet'!D82/'Data Sheet'!D60</f>
        <v>1.2895662368112546E-2</v>
      </c>
      <c r="E116" s="359">
        <f>'Data Sheet'!E82/'Data Sheet'!E60</f>
        <v>1.1820312500000001</v>
      </c>
      <c r="F116" s="359">
        <f>'Data Sheet'!F82/'Data Sheet'!F60</f>
        <v>5.4761092150170647</v>
      </c>
      <c r="G116" s="359">
        <f>'Data Sheet'!G82/'Data Sheet'!G60</f>
        <v>1.5768002837885775</v>
      </c>
      <c r="H116" s="359">
        <f>'Data Sheet'!H82/'Data Sheet'!H60</f>
        <v>1.8155522951163279</v>
      </c>
      <c r="I116" s="359">
        <f>'Data Sheet'!I82/'Data Sheet'!I60</f>
        <v>0.66681647940074906</v>
      </c>
      <c r="J116" s="359">
        <f>'Data Sheet'!J82/'Data Sheet'!J60</f>
        <v>1.2646429021287315</v>
      </c>
      <c r="K116" s="359">
        <f>'Data Sheet'!K82/'Data Sheet'!K60</f>
        <v>0.55455568053993243</v>
      </c>
      <c r="L116" s="359">
        <f>'Data Sheet'!K82/'Data Sheet'!K60</f>
        <v>0.55455568053993243</v>
      </c>
      <c r="N116" s="334">
        <f t="shared" si="24"/>
        <v>0.10089609270432698</v>
      </c>
      <c r="O116" s="339">
        <f t="shared" si="19"/>
        <v>1.2895662368112546E-2</v>
      </c>
      <c r="P116" s="339">
        <f t="shared" si="20"/>
        <v>5.4761092150170647</v>
      </c>
      <c r="Q116" s="358">
        <f t="shared" si="21"/>
        <v>1.3360983944576661</v>
      </c>
    </row>
    <row r="117" spans="1:17" ht="25.5" x14ac:dyDescent="0.2">
      <c r="A117" s="332" t="s">
        <v>825</v>
      </c>
      <c r="B117" s="333" t="s">
        <v>826</v>
      </c>
      <c r="C117" s="339">
        <f>'Data Sheet'!C82/'Financial Analysis'!C45</f>
        <v>0.62670180061484315</v>
      </c>
      <c r="D117" s="339">
        <f>'Data Sheet'!D82/'Financial Analysis'!D45</f>
        <v>1.1224489795919299</v>
      </c>
      <c r="E117" s="339">
        <f>'Data Sheet'!E82/'Financial Analysis'!E45</f>
        <v>-96.574468085109544</v>
      </c>
      <c r="F117" s="339">
        <f>'Data Sheet'!F82/'Financial Analysis'!F45</f>
        <v>10.401944894651537</v>
      </c>
      <c r="G117" s="339">
        <f>'Data Sheet'!G82/'Financial Analysis'!G45</f>
        <v>14.767441860465102</v>
      </c>
      <c r="H117" s="339">
        <f>'Data Sheet'!H82/'Financial Analysis'!H45</f>
        <v>3.5690152451586323</v>
      </c>
      <c r="I117" s="339">
        <f>'Data Sheet'!I82/'Financial Analysis'!I45</f>
        <v>0.1916139308622842</v>
      </c>
      <c r="J117" s="339">
        <f>'Data Sheet'!J82/'Financial Analysis'!J45</f>
        <v>4.5740318906605957</v>
      </c>
      <c r="K117" s="339">
        <f>'Data Sheet'!K82/'Financial Analysis'!K45</f>
        <v>0.23036486118141822</v>
      </c>
      <c r="L117" s="339">
        <f>'Data Sheet'!K82/'Financial Analysis'!K45</f>
        <v>0.23036486118141822</v>
      </c>
      <c r="N117" s="334">
        <f>(L117/D117)^(1/(8-1))-1</f>
        <v>-0.20246464158486799</v>
      </c>
      <c r="O117" s="334">
        <f t="shared" si="19"/>
        <v>-96.574468085109544</v>
      </c>
      <c r="P117" s="334">
        <f t="shared" si="20"/>
        <v>14.767441860465102</v>
      </c>
      <c r="Q117" s="54">
        <f t="shared" si="21"/>
        <v>-6.0860539760741776</v>
      </c>
    </row>
    <row r="118" spans="1:17" ht="25.5" x14ac:dyDescent="0.2">
      <c r="A118" s="332" t="s">
        <v>827</v>
      </c>
      <c r="B118" s="333" t="s">
        <v>828</v>
      </c>
      <c r="C118" s="334">
        <f>'Data Sheet'!C82/'Data Sheet'!C17</f>
        <v>5.4409577915888206E-2</v>
      </c>
      <c r="D118" s="334">
        <f>'Data Sheet'!D82/'Data Sheet'!D17</f>
        <v>1.8214936247723135E-3</v>
      </c>
      <c r="E118" s="334">
        <f>'Data Sheet'!E82/'Data Sheet'!E17</f>
        <v>0.11045945682857977</v>
      </c>
      <c r="F118" s="334">
        <f>'Data Sheet'!F82/'Data Sheet'!F17</f>
        <v>0.14984823721690405</v>
      </c>
      <c r="G118" s="334">
        <f>'Data Sheet'!G82/'Data Sheet'!G17</f>
        <v>0.19930501064903039</v>
      </c>
      <c r="H118" s="334">
        <f>'Data Sheet'!H82/'Data Sheet'!H17</f>
        <v>0.1773764180693779</v>
      </c>
      <c r="I118" s="334">
        <f>'Data Sheet'!I82/'Data Sheet'!I17</f>
        <v>7.2201404772332792E-2</v>
      </c>
      <c r="J118" s="334">
        <f>'Data Sheet'!J82/'Data Sheet'!J17</f>
        <v>0.13092179900113449</v>
      </c>
      <c r="K118" s="334">
        <f>'Data Sheet'!K82/'Data Sheet'!K17</f>
        <v>6.3382545158456358E-2</v>
      </c>
      <c r="L118" s="334">
        <f>'Data Sheet'!K82/'Data Sheet'!K17</f>
        <v>6.3382545158456358E-2</v>
      </c>
      <c r="N118" s="334">
        <f t="shared" si="24"/>
        <v>1.9264244863243629E-2</v>
      </c>
      <c r="O118" s="334">
        <f t="shared" si="19"/>
        <v>1.8214936247723135E-3</v>
      </c>
      <c r="P118" s="334">
        <f t="shared" si="20"/>
        <v>0.19930501064903039</v>
      </c>
      <c r="Q118" s="54">
        <f t="shared" si="21"/>
        <v>0.10231084883949326</v>
      </c>
    </row>
    <row r="119" spans="1:17" ht="25.5" x14ac:dyDescent="0.2">
      <c r="A119" s="332" t="s">
        <v>829</v>
      </c>
      <c r="B119" s="333" t="s">
        <v>830</v>
      </c>
      <c r="C119" s="334">
        <f>'Data Sheet'!C85/'Data Sheet'!C17</f>
        <v>4.9567239867312322E-4</v>
      </c>
      <c r="D119" s="334">
        <f>'Data Sheet'!D85/'Data Sheet'!D17</f>
        <v>-1.4240768339128995E-3</v>
      </c>
      <c r="E119" s="334">
        <f>'Data Sheet'!E85/'Data Sheet'!E17</f>
        <v>-2.4335637106979461E-5</v>
      </c>
      <c r="F119" s="334">
        <f>'Data Sheet'!F85/'Data Sheet'!F17</f>
        <v>-1.4008872285780995E-4</v>
      </c>
      <c r="G119" s="334">
        <f>'Data Sheet'!G85/'Data Sheet'!G17</f>
        <v>4.2596121511041362E-4</v>
      </c>
      <c r="H119" s="334">
        <f>'Data Sheet'!H85/'Data Sheet'!H17</f>
        <v>-4.3002825899987715E-4</v>
      </c>
      <c r="I119" s="334">
        <f>'Data Sheet'!I85/'Data Sheet'!I17</f>
        <v>1.005726150502052E-3</v>
      </c>
      <c r="J119" s="334">
        <f>'Data Sheet'!J85/'Data Sheet'!J17</f>
        <v>-1.4344021802913139E-4</v>
      </c>
      <c r="K119" s="334">
        <f>'Data Sheet'!K85/'Data Sheet'!K17</f>
        <v>7.4996250187490618E-4</v>
      </c>
      <c r="L119" s="334">
        <f>'Data Sheet'!K85/'Data Sheet'!K17</f>
        <v>7.4996250187490618E-4</v>
      </c>
      <c r="N119" s="334">
        <f t="shared" si="24"/>
        <v>5.312664673995604E-2</v>
      </c>
      <c r="O119" s="334">
        <f t="shared" si="19"/>
        <v>-1.4240768339128995E-3</v>
      </c>
      <c r="P119" s="334">
        <f t="shared" si="20"/>
        <v>1.005726150502052E-3</v>
      </c>
      <c r="Q119" s="54">
        <f t="shared" si="21"/>
        <v>1.2653150971287039E-4</v>
      </c>
    </row>
    <row r="120" spans="1:17" x14ac:dyDescent="0.2">
      <c r="O120" s="334">
        <f t="shared" si="19"/>
        <v>0</v>
      </c>
      <c r="P120" s="334">
        <f t="shared" si="20"/>
        <v>0</v>
      </c>
      <c r="Q120" s="54" t="e">
        <f t="shared" si="21"/>
        <v>#DIV/0!</v>
      </c>
    </row>
    <row r="121" spans="1:17" x14ac:dyDescent="0.2">
      <c r="A121" s="327" t="s">
        <v>831</v>
      </c>
      <c r="O121" s="334">
        <f t="shared" si="19"/>
        <v>0</v>
      </c>
      <c r="P121" s="334">
        <f t="shared" si="20"/>
        <v>0</v>
      </c>
      <c r="Q121" s="54" t="e">
        <f t="shared" si="21"/>
        <v>#DIV/0!</v>
      </c>
    </row>
    <row r="122" spans="1:17" ht="89.25" x14ac:dyDescent="0.2">
      <c r="A122" s="332" t="s">
        <v>191</v>
      </c>
      <c r="B122" s="333" t="s">
        <v>832</v>
      </c>
      <c r="C122" s="363"/>
      <c r="D122" s="363"/>
      <c r="E122" s="363"/>
      <c r="F122" s="363"/>
      <c r="G122" s="363"/>
      <c r="H122" s="363"/>
      <c r="I122" s="363"/>
      <c r="J122" s="363"/>
      <c r="K122" s="363"/>
      <c r="O122" s="334"/>
      <c r="P122" s="334"/>
      <c r="Q122" s="54"/>
    </row>
    <row r="123" spans="1:17" x14ac:dyDescent="0.2">
      <c r="A123" s="364" t="s">
        <v>833</v>
      </c>
      <c r="B123" s="357"/>
      <c r="C123" s="363"/>
      <c r="D123" s="363"/>
      <c r="E123" s="363"/>
      <c r="F123" s="363"/>
      <c r="G123" s="363"/>
      <c r="H123" s="363"/>
      <c r="I123" s="363"/>
      <c r="J123" s="363"/>
      <c r="K123" s="363"/>
      <c r="O123" s="334"/>
      <c r="P123" s="334"/>
      <c r="Q123" s="54"/>
    </row>
    <row r="124" spans="1:17" ht="25.5" x14ac:dyDescent="0.2">
      <c r="A124" s="332" t="s">
        <v>834</v>
      </c>
      <c r="B124" s="333" t="s">
        <v>835</v>
      </c>
      <c r="C124" s="359">
        <f>Other_input_data!D85</f>
        <v>-1.4006824507441531</v>
      </c>
      <c r="D124" s="359">
        <f>Other_input_data!E85</f>
        <v>58.640488455882348</v>
      </c>
      <c r="E124" s="359">
        <f>Other_input_data!F85</f>
        <v>8.4459584109792285</v>
      </c>
      <c r="F124" s="359">
        <f>Other_input_data!G85</f>
        <v>94.417926699999981</v>
      </c>
      <c r="G124" s="359">
        <f>Other_input_data!H85</f>
        <v>3.2349559483734085</v>
      </c>
      <c r="H124" s="359">
        <f>Other_input_data!I85</f>
        <v>2.1164265575043126</v>
      </c>
      <c r="I124" s="359">
        <f>Other_input_data!J85</f>
        <v>4.34057306286621</v>
      </c>
      <c r="J124" s="359">
        <f>Other_input_data!K85</f>
        <v>6.8045141173007249</v>
      </c>
      <c r="K124" s="359">
        <f>Other_input_data!L85</f>
        <v>10.440355135783028</v>
      </c>
      <c r="L124" s="359">
        <f>Other_input_data!M85</f>
        <v>10.552715058779622</v>
      </c>
      <c r="O124" s="351">
        <f>MIN(D124:L124)</f>
        <v>2.1164265575043126</v>
      </c>
      <c r="P124" s="351">
        <f>MAX(D124:L124)</f>
        <v>94.417926699999981</v>
      </c>
      <c r="Q124" s="359">
        <f>AVERAGE(D124:L124)</f>
        <v>22.11043482749654</v>
      </c>
    </row>
    <row r="125" spans="1:17" ht="25.5" x14ac:dyDescent="0.2">
      <c r="A125" s="364" t="s">
        <v>836</v>
      </c>
      <c r="B125" s="357" t="s">
        <v>837</v>
      </c>
      <c r="O125" s="351"/>
      <c r="P125" s="351"/>
      <c r="Q125" s="359"/>
    </row>
    <row r="126" spans="1:17" ht="25.5" x14ac:dyDescent="0.2">
      <c r="A126" s="364" t="s">
        <v>188</v>
      </c>
      <c r="B126" s="357" t="s">
        <v>663</v>
      </c>
      <c r="O126" s="351"/>
      <c r="P126" s="351"/>
      <c r="Q126" s="359"/>
    </row>
    <row r="127" spans="1:17" ht="25.5" x14ac:dyDescent="0.2">
      <c r="A127" s="332" t="s">
        <v>838</v>
      </c>
      <c r="B127" s="333" t="s">
        <v>839</v>
      </c>
      <c r="D127" s="358">
        <f t="shared" ref="D127:L127" si="26">(D124/D8)/100</f>
        <v>-0.5622638348929716</v>
      </c>
      <c r="E127" s="358">
        <f t="shared" si="26"/>
        <v>9.4773130684255372E-3</v>
      </c>
      <c r="F127" s="358">
        <f t="shared" si="26"/>
        <v>-0.98816277322670787</v>
      </c>
      <c r="G127" s="358">
        <f t="shared" si="26"/>
        <v>7.012187749364325E-4</v>
      </c>
      <c r="H127" s="358">
        <f t="shared" si="26"/>
        <v>1.4499162559646794E-2</v>
      </c>
      <c r="I127" s="358">
        <f t="shared" si="26"/>
        <v>0.2442801474538619</v>
      </c>
      <c r="J127" s="358">
        <f t="shared" si="26"/>
        <v>0.87097780701449423</v>
      </c>
      <c r="K127" s="358">
        <f t="shared" si="26"/>
        <v>0.35492385126726606</v>
      </c>
      <c r="L127" s="358">
        <f t="shared" si="26"/>
        <v>-0.46624912975129218</v>
      </c>
      <c r="O127" s="351">
        <f t="shared" si="19"/>
        <v>-0.98816277322670787</v>
      </c>
      <c r="P127" s="351">
        <f t="shared" si="20"/>
        <v>0.87097780701449423</v>
      </c>
      <c r="Q127" s="359">
        <f t="shared" si="21"/>
        <v>-5.7979581970260083E-2</v>
      </c>
    </row>
    <row r="128" spans="1:17" ht="51" x14ac:dyDescent="0.2">
      <c r="A128" s="332" t="s">
        <v>840</v>
      </c>
      <c r="B128" s="333" t="s">
        <v>841</v>
      </c>
      <c r="C128" s="358">
        <f>C42/'Data Sheet'!C17</f>
        <v>7.5356042932855444E-2</v>
      </c>
      <c r="D128" s="358">
        <f>D42/'Data Sheet'!D17</f>
        <v>0.13206005017386982</v>
      </c>
      <c r="E128" s="358">
        <f>E42/'Data Sheet'!E17</f>
        <v>0.13853246298549596</v>
      </c>
      <c r="F128" s="358">
        <f>F42/'Data Sheet'!F17</f>
        <v>6.6134433831426559E-2</v>
      </c>
      <c r="G128" s="358">
        <f>G42/'Data Sheet'!G17</f>
        <v>0.10254966284048873</v>
      </c>
      <c r="H128" s="358">
        <f>H42/'Data Sheet'!H17</f>
        <v>0.15073374220829747</v>
      </c>
      <c r="I128" s="358">
        <f>I42/'Data Sheet'!I17</f>
        <v>0.28839987777994058</v>
      </c>
      <c r="J128" s="358">
        <f>J42/'Data Sheet'!J17</f>
        <v>0.39183609141053893</v>
      </c>
      <c r="K128" s="358">
        <f>K42/'Data Sheet'!K17</f>
        <v>0.63925335448584708</v>
      </c>
      <c r="L128" s="358">
        <f>L42/'Data Sheet'!K17</f>
        <v>0.63925335448584708</v>
      </c>
      <c r="O128" s="351">
        <f t="shared" si="19"/>
        <v>6.6134433831426559E-2</v>
      </c>
      <c r="P128" s="351">
        <f t="shared" si="20"/>
        <v>0.63925335448584708</v>
      </c>
      <c r="Q128" s="359">
        <f t="shared" si="21"/>
        <v>0.26241090731346073</v>
      </c>
    </row>
    <row r="129" spans="1:17" ht="51" x14ac:dyDescent="0.2">
      <c r="A129" s="364" t="s">
        <v>842</v>
      </c>
      <c r="B129" s="333" t="s">
        <v>843</v>
      </c>
      <c r="C129" s="359">
        <f>'Data Sheet'!C69/'Financial Analysis'!C41</f>
        <v>0.12979397410659196</v>
      </c>
      <c r="D129" s="359">
        <f>'Data Sheet'!D69/'Financial Analysis'!D41</f>
        <v>2.1817890648513891E-2</v>
      </c>
      <c r="E129" s="359">
        <f>'Data Sheet'!E69/'Financial Analysis'!E41</f>
        <v>3.0545046907919451E-2</v>
      </c>
      <c r="F129" s="359">
        <f>'Data Sheet'!F69/'Financial Analysis'!F41</f>
        <v>1.7454312518811115E-2</v>
      </c>
      <c r="G129" s="359">
        <f>'Data Sheet'!G69/'Financial Analysis'!G41</f>
        <v>6.1090093815838901E-2</v>
      </c>
      <c r="H129" s="359">
        <f>'Data Sheet'!H69/'Financial Analysis'!H41</f>
        <v>1.3090734389108334E-2</v>
      </c>
      <c r="I129" s="359">
        <f>'Data Sheet'!I69/'Financial Analysis'!I41</f>
        <v>0.14836165640989446</v>
      </c>
      <c r="J129" s="359">
        <f>'Data Sheet'!J69/'Financial Analysis'!J41</f>
        <v>0.12436197669652917</v>
      </c>
      <c r="K129" s="359">
        <f>'Data Sheet'!K69/'Financial Analysis'!K41</f>
        <v>0.27708721123612645</v>
      </c>
      <c r="L129" s="359">
        <f>'Data Sheet'!K69/'Financial Analysis'!L41</f>
        <v>0.27708721123612645</v>
      </c>
      <c r="N129" s="334"/>
      <c r="O129" s="339">
        <f t="shared" si="19"/>
        <v>1.3090734389108334E-2</v>
      </c>
      <c r="P129" s="339">
        <f t="shared" si="20"/>
        <v>0.27708721123612645</v>
      </c>
      <c r="Q129" s="358">
        <f t="shared" si="21"/>
        <v>0.11006901079654603</v>
      </c>
    </row>
    <row r="130" spans="1:17" ht="25.5" x14ac:dyDescent="0.2">
      <c r="A130" s="364" t="s">
        <v>844</v>
      </c>
      <c r="B130" s="333" t="s">
        <v>845</v>
      </c>
      <c r="C130" s="334">
        <f>C129/C40</f>
        <v>2.6816936798882637E-2</v>
      </c>
      <c r="D130" s="334">
        <f t="shared" ref="D130:L130" si="27">D129/D40</f>
        <v>2.5078035228176887E-3</v>
      </c>
      <c r="E130" s="334">
        <f t="shared" si="27"/>
        <v>2.4593435513622745E-3</v>
      </c>
      <c r="F130" s="334">
        <f t="shared" si="27"/>
        <v>2.8243224140471063E-3</v>
      </c>
      <c r="G130" s="334">
        <f t="shared" si="27"/>
        <v>6.121251885354599E-3</v>
      </c>
      <c r="H130" s="334">
        <f t="shared" si="27"/>
        <v>8.1511422099055629E-4</v>
      </c>
      <c r="I130" s="334">
        <f t="shared" si="27"/>
        <v>3.8247397888603882E-3</v>
      </c>
      <c r="J130" s="334">
        <f t="shared" si="27"/>
        <v>1.8969184975065462E-3</v>
      </c>
      <c r="K130" s="334">
        <f t="shared" si="27"/>
        <v>2.128492942357708E-3</v>
      </c>
      <c r="L130" s="334">
        <f t="shared" si="27"/>
        <v>2.128492942357708E-3</v>
      </c>
      <c r="O130" s="334">
        <f t="shared" si="19"/>
        <v>8.1511422099055629E-4</v>
      </c>
      <c r="P130" s="334">
        <f t="shared" si="20"/>
        <v>2.6816936798882637E-2</v>
      </c>
      <c r="Q130" s="54">
        <f t="shared" si="21"/>
        <v>5.1523416564537208E-3</v>
      </c>
    </row>
    <row r="131" spans="1:17" x14ac:dyDescent="0.2">
      <c r="A131" s="364"/>
      <c r="B131" s="333"/>
    </row>
    <row r="132" spans="1:17" x14ac:dyDescent="0.2">
      <c r="A132" s="327" t="s">
        <v>846</v>
      </c>
    </row>
    <row r="133" spans="1:17" ht="51" x14ac:dyDescent="0.2">
      <c r="A133" s="364" t="s">
        <v>847</v>
      </c>
      <c r="B133" s="357" t="s">
        <v>848</v>
      </c>
    </row>
    <row r="134" spans="1:17" x14ac:dyDescent="0.2">
      <c r="A134" s="364" t="s">
        <v>849</v>
      </c>
      <c r="B134" s="357" t="s">
        <v>850</v>
      </c>
    </row>
    <row r="135" spans="1:17" x14ac:dyDescent="0.2">
      <c r="A135" s="364" t="s">
        <v>851</v>
      </c>
      <c r="B135" s="357" t="s">
        <v>850</v>
      </c>
    </row>
    <row r="136" spans="1:17" x14ac:dyDescent="0.2">
      <c r="A136" s="364" t="s">
        <v>852</v>
      </c>
      <c r="B136" s="357" t="s">
        <v>850</v>
      </c>
    </row>
    <row r="137" spans="1:17" x14ac:dyDescent="0.2">
      <c r="A137" s="332"/>
      <c r="B137" s="333"/>
    </row>
    <row r="138" spans="1:17" x14ac:dyDescent="0.2">
      <c r="A138" s="327" t="s">
        <v>853</v>
      </c>
      <c r="B138" s="333"/>
    </row>
    <row r="139" spans="1:17" x14ac:dyDescent="0.2">
      <c r="A139" s="364" t="s">
        <v>854</v>
      </c>
      <c r="B139" s="357" t="s">
        <v>855</v>
      </c>
    </row>
    <row r="140" spans="1:17" x14ac:dyDescent="0.2">
      <c r="A140" s="364" t="s">
        <v>856</v>
      </c>
      <c r="B140" s="357" t="s">
        <v>857</v>
      </c>
    </row>
    <row r="141" spans="1:17" x14ac:dyDescent="0.2">
      <c r="A141" s="364" t="s">
        <v>858</v>
      </c>
      <c r="B141" s="357" t="s">
        <v>859</v>
      </c>
    </row>
    <row r="142" spans="1:17" x14ac:dyDescent="0.2">
      <c r="A142" s="364" t="s">
        <v>860</v>
      </c>
      <c r="B142" s="357" t="s">
        <v>850</v>
      </c>
    </row>
    <row r="143" spans="1:17" x14ac:dyDescent="0.2">
      <c r="A143" s="364" t="s">
        <v>861</v>
      </c>
      <c r="B143" s="357" t="s">
        <v>850</v>
      </c>
    </row>
    <row r="144" spans="1:17" x14ac:dyDescent="0.2">
      <c r="A144" s="364" t="s">
        <v>862</v>
      </c>
      <c r="B144" s="357" t="s">
        <v>850</v>
      </c>
    </row>
    <row r="145" spans="1:2" x14ac:dyDescent="0.2">
      <c r="A145" s="364" t="s">
        <v>863</v>
      </c>
      <c r="B145" s="357" t="s">
        <v>850</v>
      </c>
    </row>
    <row r="146" spans="1:2" x14ac:dyDescent="0.2">
      <c r="A146" s="362" t="s">
        <v>864</v>
      </c>
    </row>
    <row r="148" spans="1:2" x14ac:dyDescent="0.2">
      <c r="A148" s="327"/>
    </row>
  </sheetData>
  <conditionalFormatting sqref="C3:L8">
    <cfRule type="expression" dxfId="107" priority="5" stopIfTrue="1">
      <formula>C3&lt;0</formula>
    </cfRule>
    <cfRule type="expression" dxfId="106" priority="6" stopIfTrue="1">
      <formula>0&lt;C3&lt;0.05</formula>
    </cfRule>
    <cfRule type="expression" dxfId="105" priority="7" stopIfTrue="1">
      <formula>0.05&lt;C3&lt;0.1</formula>
    </cfRule>
    <cfRule type="expression" dxfId="104" priority="8" stopIfTrue="1">
      <formula>C3&gt;0.1</formula>
    </cfRule>
  </conditionalFormatting>
  <conditionalFormatting sqref="N3:P8">
    <cfRule type="expression" dxfId="103" priority="1" stopIfTrue="1">
      <formula>N3&lt;0</formula>
    </cfRule>
    <cfRule type="expression" dxfId="102" priority="2" stopIfTrue="1">
      <formula>0&lt;N3&lt;0.05</formula>
    </cfRule>
    <cfRule type="expression" dxfId="101" priority="3" stopIfTrue="1">
      <formula>0.05&lt;N3&lt;0.1</formula>
    </cfRule>
    <cfRule type="expression" dxfId="100" priority="4" stopIfTrue="1">
      <formula>N3&gt;0.1</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77"/>
  <sheetViews>
    <sheetView workbookViewId="0">
      <selection sqref="A1:B1"/>
    </sheetView>
  </sheetViews>
  <sheetFormatPr defaultRowHeight="15" x14ac:dyDescent="0.25"/>
  <cols>
    <col min="1" max="1" width="13.5703125" bestFit="1" customWidth="1"/>
    <col min="2" max="2" width="18.7109375" bestFit="1" customWidth="1"/>
    <col min="4" max="4" width="18.42578125" bestFit="1" customWidth="1"/>
  </cols>
  <sheetData>
    <row r="1" spans="1:5" x14ac:dyDescent="0.25">
      <c r="A1" s="436" t="s">
        <v>997</v>
      </c>
      <c r="B1" s="436"/>
      <c r="D1" t="s">
        <v>970</v>
      </c>
      <c r="E1">
        <f>'Data Sheet'!B6</f>
        <v>5.5552062868369347</v>
      </c>
    </row>
    <row r="3" spans="1:5" x14ac:dyDescent="0.25">
      <c r="A3" t="s">
        <v>968</v>
      </c>
      <c r="B3" t="s">
        <v>967</v>
      </c>
      <c r="C3" t="s">
        <v>969</v>
      </c>
    </row>
    <row r="4" spans="1:5" x14ac:dyDescent="0.25">
      <c r="A4" s="402">
        <v>40273.645833333336</v>
      </c>
      <c r="B4">
        <v>8.8000000000000007</v>
      </c>
      <c r="C4">
        <f>$E$1*B4</f>
        <v>48.88581532416503</v>
      </c>
    </row>
    <row r="5" spans="1:5" x14ac:dyDescent="0.25">
      <c r="A5" s="402">
        <v>40274.645833333336</v>
      </c>
      <c r="B5">
        <v>8.5500000000000007</v>
      </c>
      <c r="C5">
        <f>$E$1*B5</f>
        <v>47.497013752455793</v>
      </c>
    </row>
    <row r="6" spans="1:5" x14ac:dyDescent="0.25">
      <c r="A6" s="402">
        <v>40275.645833333336</v>
      </c>
      <c r="B6">
        <v>8.35</v>
      </c>
      <c r="C6">
        <f>$E$1*B6</f>
        <v>46.385972495088403</v>
      </c>
    </row>
    <row r="7" spans="1:5" x14ac:dyDescent="0.25">
      <c r="A7" s="402">
        <v>40276.645833333336</v>
      </c>
      <c r="B7">
        <v>8.15</v>
      </c>
      <c r="C7">
        <f>$E$1*B7</f>
        <v>45.27493123772102</v>
      </c>
    </row>
    <row r="8" spans="1:5" x14ac:dyDescent="0.25">
      <c r="A8" s="402">
        <v>40277.645833333336</v>
      </c>
      <c r="B8">
        <v>8.1</v>
      </c>
      <c r="C8">
        <f>$E$1*B8</f>
        <v>44.997170923379173</v>
      </c>
    </row>
    <row r="9" spans="1:5" x14ac:dyDescent="0.25">
      <c r="A9" s="402">
        <v>40280.645833333336</v>
      </c>
      <c r="B9">
        <v>8.4499999999999993</v>
      </c>
      <c r="C9">
        <f>$E$1*B9</f>
        <v>46.941493123772098</v>
      </c>
    </row>
    <row r="10" spans="1:5" x14ac:dyDescent="0.25">
      <c r="A10" s="402">
        <v>40281.645833333336</v>
      </c>
      <c r="B10">
        <v>8.1999999999999993</v>
      </c>
      <c r="C10">
        <f>$E$1*B10</f>
        <v>45.552691552062861</v>
      </c>
    </row>
    <row r="11" spans="1:5" x14ac:dyDescent="0.25">
      <c r="A11" s="402">
        <v>40283.645833333336</v>
      </c>
      <c r="B11">
        <v>8.15</v>
      </c>
      <c r="C11">
        <f>$E$1*B11</f>
        <v>45.27493123772102</v>
      </c>
    </row>
    <row r="12" spans="1:5" x14ac:dyDescent="0.25">
      <c r="A12" s="402">
        <v>40284.645833333336</v>
      </c>
      <c r="B12">
        <v>8.8000000000000007</v>
      </c>
      <c r="C12">
        <f>$E$1*B12</f>
        <v>48.88581532416503</v>
      </c>
    </row>
    <row r="13" spans="1:5" x14ac:dyDescent="0.25">
      <c r="A13" s="402">
        <v>40287.645833333336</v>
      </c>
      <c r="B13">
        <v>8.6</v>
      </c>
      <c r="C13">
        <f>$E$1*B13</f>
        <v>47.77477406679764</v>
      </c>
    </row>
    <row r="14" spans="1:5" x14ac:dyDescent="0.25">
      <c r="A14" s="402">
        <v>40288.645833333336</v>
      </c>
      <c r="B14">
        <v>9.4499999999999993</v>
      </c>
      <c r="C14">
        <f>$E$1*B14</f>
        <v>52.496699410609033</v>
      </c>
    </row>
    <row r="15" spans="1:5" x14ac:dyDescent="0.25">
      <c r="A15" s="402">
        <v>40289.645833333336</v>
      </c>
      <c r="B15">
        <v>9.85</v>
      </c>
      <c r="C15">
        <f>$E$1*B15</f>
        <v>54.718781925343805</v>
      </c>
    </row>
    <row r="16" spans="1:5" x14ac:dyDescent="0.25">
      <c r="A16" s="402">
        <v>40290.645833333336</v>
      </c>
      <c r="B16">
        <v>9.9499999999999993</v>
      </c>
      <c r="C16">
        <f>$E$1*B16</f>
        <v>55.2743025540275</v>
      </c>
    </row>
    <row r="17" spans="1:3" x14ac:dyDescent="0.25">
      <c r="A17" s="402">
        <v>40291.645833333336</v>
      </c>
      <c r="B17">
        <v>9.6999999999999993</v>
      </c>
      <c r="C17">
        <f>$E$1*B17</f>
        <v>53.885500982318263</v>
      </c>
    </row>
    <row r="18" spans="1:3" x14ac:dyDescent="0.25">
      <c r="A18" s="402">
        <v>40294.645833333336</v>
      </c>
      <c r="B18">
        <v>9.0500000000000007</v>
      </c>
      <c r="C18">
        <f>$E$1*B18</f>
        <v>50.27461689587426</v>
      </c>
    </row>
    <row r="19" spans="1:3" x14ac:dyDescent="0.25">
      <c r="A19" s="402">
        <v>40295.645833333336</v>
      </c>
      <c r="B19">
        <v>8.9</v>
      </c>
      <c r="C19">
        <f>$E$1*B19</f>
        <v>49.441335952848718</v>
      </c>
    </row>
    <row r="20" spans="1:3" x14ac:dyDescent="0.25">
      <c r="A20" s="402">
        <v>40296.645833333336</v>
      </c>
      <c r="B20">
        <v>8.85</v>
      </c>
      <c r="C20">
        <f>$E$1*B20</f>
        <v>49.16357563850687</v>
      </c>
    </row>
    <row r="21" spans="1:3" x14ac:dyDescent="0.25">
      <c r="A21" s="402">
        <v>40297.645833333336</v>
      </c>
      <c r="B21">
        <v>9</v>
      </c>
      <c r="C21">
        <f>$E$1*B21</f>
        <v>49.996856581532413</v>
      </c>
    </row>
    <row r="22" spans="1:3" x14ac:dyDescent="0.25">
      <c r="A22" s="402">
        <v>40298.645833333336</v>
      </c>
      <c r="B22">
        <v>8.9499999999999993</v>
      </c>
      <c r="C22">
        <f>$E$1*B22</f>
        <v>49.719096267190565</v>
      </c>
    </row>
    <row r="23" spans="1:3" x14ac:dyDescent="0.25">
      <c r="A23" s="402">
        <v>40301.645833333336</v>
      </c>
      <c r="B23">
        <v>8.5</v>
      </c>
      <c r="C23">
        <f>$E$1*B23</f>
        <v>47.219253438113945</v>
      </c>
    </row>
    <row r="24" spans="1:3" x14ac:dyDescent="0.25">
      <c r="A24" s="402">
        <v>40302.645833333336</v>
      </c>
      <c r="B24">
        <v>8.1</v>
      </c>
      <c r="C24">
        <f>$E$1*B24</f>
        <v>44.997170923379173</v>
      </c>
    </row>
    <row r="25" spans="1:3" x14ac:dyDescent="0.25">
      <c r="A25" s="402">
        <v>40303.645833333336</v>
      </c>
      <c r="B25">
        <v>8.15</v>
      </c>
      <c r="C25">
        <f>$E$1*B25</f>
        <v>45.27493123772102</v>
      </c>
    </row>
    <row r="26" spans="1:3" x14ac:dyDescent="0.25">
      <c r="A26" s="402">
        <v>40304.645833333336</v>
      </c>
      <c r="B26">
        <v>7.9</v>
      </c>
      <c r="C26">
        <f>$E$1*B26</f>
        <v>43.886129666011783</v>
      </c>
    </row>
    <row r="27" spans="1:3" x14ac:dyDescent="0.25">
      <c r="A27" s="402">
        <v>40305.645833333336</v>
      </c>
      <c r="B27">
        <v>7.7</v>
      </c>
      <c r="C27">
        <f>$E$1*B27</f>
        <v>42.7750884086444</v>
      </c>
    </row>
    <row r="28" spans="1:3" x14ac:dyDescent="0.25">
      <c r="A28" s="402">
        <v>40308.645833333336</v>
      </c>
      <c r="B28">
        <v>8</v>
      </c>
      <c r="C28">
        <f>$E$1*B28</f>
        <v>44.441650294695478</v>
      </c>
    </row>
    <row r="29" spans="1:3" x14ac:dyDescent="0.25">
      <c r="A29" s="402">
        <v>40309.645833333336</v>
      </c>
      <c r="B29">
        <v>7.9</v>
      </c>
      <c r="C29">
        <f>$E$1*B29</f>
        <v>43.886129666011783</v>
      </c>
    </row>
    <row r="30" spans="1:3" x14ac:dyDescent="0.25">
      <c r="A30" s="402">
        <v>40311.645833333336</v>
      </c>
      <c r="B30">
        <v>8</v>
      </c>
      <c r="C30">
        <f>$E$1*B30</f>
        <v>44.441650294695478</v>
      </c>
    </row>
    <row r="31" spans="1:3" x14ac:dyDescent="0.25">
      <c r="A31" s="402">
        <v>40312.645833333336</v>
      </c>
      <c r="B31">
        <v>7.75</v>
      </c>
      <c r="C31">
        <f>$E$1*B31</f>
        <v>43.052848722986241</v>
      </c>
    </row>
    <row r="32" spans="1:3" x14ac:dyDescent="0.25">
      <c r="A32" s="402">
        <v>40315.645833333336</v>
      </c>
      <c r="B32">
        <v>7.8</v>
      </c>
      <c r="C32">
        <f>$E$1*B32</f>
        <v>43.330609037328088</v>
      </c>
    </row>
    <row r="33" spans="1:3" x14ac:dyDescent="0.25">
      <c r="A33" s="402">
        <v>40316.645833333336</v>
      </c>
      <c r="B33">
        <v>7.7</v>
      </c>
      <c r="C33">
        <f>$E$1*B33</f>
        <v>42.7750884086444</v>
      </c>
    </row>
    <row r="34" spans="1:3" x14ac:dyDescent="0.25">
      <c r="A34" s="402">
        <v>40317.645833333336</v>
      </c>
      <c r="B34">
        <v>7.6</v>
      </c>
      <c r="C34">
        <f>$E$1*B34</f>
        <v>42.219567779960705</v>
      </c>
    </row>
    <row r="35" spans="1:3" x14ac:dyDescent="0.25">
      <c r="A35" s="402">
        <v>40318.645833333336</v>
      </c>
      <c r="B35">
        <v>7.2</v>
      </c>
      <c r="C35">
        <f>$E$1*B35</f>
        <v>39.997485265225933</v>
      </c>
    </row>
    <row r="36" spans="1:3" x14ac:dyDescent="0.25">
      <c r="A36" s="402">
        <v>40319.645833333336</v>
      </c>
      <c r="B36">
        <v>7.75</v>
      </c>
      <c r="C36">
        <f>$E$1*B36</f>
        <v>43.052848722986241</v>
      </c>
    </row>
    <row r="37" spans="1:3" x14ac:dyDescent="0.25">
      <c r="A37" s="402">
        <v>40322.645833333336</v>
      </c>
      <c r="B37">
        <v>7.45</v>
      </c>
      <c r="C37">
        <f>$E$1*B37</f>
        <v>41.386286836935163</v>
      </c>
    </row>
    <row r="38" spans="1:3" x14ac:dyDescent="0.25">
      <c r="A38" s="402">
        <v>40323.645833333336</v>
      </c>
      <c r="B38">
        <v>7.25</v>
      </c>
      <c r="C38">
        <f>$E$1*B38</f>
        <v>40.27524557956778</v>
      </c>
    </row>
    <row r="39" spans="1:3" x14ac:dyDescent="0.25">
      <c r="A39" s="402">
        <v>40324.645833333336</v>
      </c>
      <c r="B39">
        <v>7.45</v>
      </c>
      <c r="C39">
        <f>$E$1*B39</f>
        <v>41.386286836935163</v>
      </c>
    </row>
    <row r="40" spans="1:3" x14ac:dyDescent="0.25">
      <c r="A40" s="402">
        <v>40325.645833333336</v>
      </c>
      <c r="B40">
        <v>7.95</v>
      </c>
      <c r="C40">
        <f>$E$1*B40</f>
        <v>44.16388998035363</v>
      </c>
    </row>
    <row r="41" spans="1:3" x14ac:dyDescent="0.25">
      <c r="A41" s="402">
        <v>40326.645833333336</v>
      </c>
      <c r="B41">
        <v>7.75</v>
      </c>
      <c r="C41">
        <f>$E$1*B41</f>
        <v>43.052848722986241</v>
      </c>
    </row>
    <row r="42" spans="1:3" x14ac:dyDescent="0.25">
      <c r="A42" s="402">
        <v>40329.645833333336</v>
      </c>
      <c r="B42">
        <v>7.75</v>
      </c>
      <c r="C42">
        <f>$E$1*B42</f>
        <v>43.052848722986241</v>
      </c>
    </row>
    <row r="43" spans="1:3" x14ac:dyDescent="0.25">
      <c r="A43" s="402">
        <v>40330.645833333336</v>
      </c>
      <c r="B43">
        <v>7.7</v>
      </c>
      <c r="C43">
        <f>$E$1*B43</f>
        <v>42.7750884086444</v>
      </c>
    </row>
    <row r="44" spans="1:3" x14ac:dyDescent="0.25">
      <c r="A44" s="402">
        <v>40331.645833333336</v>
      </c>
      <c r="B44">
        <v>7.7</v>
      </c>
      <c r="C44">
        <f>$E$1*B44</f>
        <v>42.7750884086444</v>
      </c>
    </row>
    <row r="45" spans="1:3" x14ac:dyDescent="0.25">
      <c r="A45" s="402">
        <v>40332.645833333336</v>
      </c>
      <c r="B45">
        <v>8.25</v>
      </c>
      <c r="C45">
        <f>$E$1*B45</f>
        <v>45.830451866404715</v>
      </c>
    </row>
    <row r="46" spans="1:3" x14ac:dyDescent="0.25">
      <c r="A46" s="402">
        <v>40333.645833333336</v>
      </c>
      <c r="B46">
        <v>8.3000000000000007</v>
      </c>
      <c r="C46">
        <f>$E$1*B46</f>
        <v>46.108212180746563</v>
      </c>
    </row>
    <row r="47" spans="1:3" x14ac:dyDescent="0.25">
      <c r="A47" s="402">
        <v>40336.645833333336</v>
      </c>
      <c r="B47">
        <v>8.25</v>
      </c>
      <c r="C47">
        <f>$E$1*B47</f>
        <v>45.830451866404715</v>
      </c>
    </row>
    <row r="48" spans="1:3" x14ac:dyDescent="0.25">
      <c r="A48" s="402">
        <v>40337.645833333336</v>
      </c>
      <c r="B48">
        <v>7.9</v>
      </c>
      <c r="C48">
        <f>$E$1*B48</f>
        <v>43.886129666011783</v>
      </c>
    </row>
    <row r="49" spans="1:3" x14ac:dyDescent="0.25">
      <c r="A49" s="402">
        <v>40338.645833333336</v>
      </c>
      <c r="B49">
        <v>7.7</v>
      </c>
      <c r="C49">
        <f>$E$1*B49</f>
        <v>42.7750884086444</v>
      </c>
    </row>
    <row r="50" spans="1:3" x14ac:dyDescent="0.25">
      <c r="A50" s="402">
        <v>40339.645833333336</v>
      </c>
      <c r="B50">
        <v>7.6</v>
      </c>
      <c r="C50">
        <f>$E$1*B50</f>
        <v>42.219567779960705</v>
      </c>
    </row>
    <row r="51" spans="1:3" x14ac:dyDescent="0.25">
      <c r="A51" s="402">
        <v>40340.645833333336</v>
      </c>
      <c r="B51">
        <v>7.6</v>
      </c>
      <c r="C51">
        <f>$E$1*B51</f>
        <v>42.219567779960705</v>
      </c>
    </row>
    <row r="52" spans="1:3" x14ac:dyDescent="0.25">
      <c r="A52" s="402">
        <v>40343.645833333336</v>
      </c>
      <c r="B52">
        <v>7.7</v>
      </c>
      <c r="C52">
        <f>$E$1*B52</f>
        <v>42.7750884086444</v>
      </c>
    </row>
    <row r="53" spans="1:3" x14ac:dyDescent="0.25">
      <c r="A53" s="402">
        <v>40344.645833333336</v>
      </c>
      <c r="B53">
        <v>7.9</v>
      </c>
      <c r="C53">
        <f>$E$1*B53</f>
        <v>43.886129666011783</v>
      </c>
    </row>
    <row r="54" spans="1:3" x14ac:dyDescent="0.25">
      <c r="A54" s="402">
        <v>40345.645833333336</v>
      </c>
      <c r="B54">
        <v>7.8</v>
      </c>
      <c r="C54">
        <f>$E$1*B54</f>
        <v>43.330609037328088</v>
      </c>
    </row>
    <row r="55" spans="1:3" x14ac:dyDescent="0.25">
      <c r="A55" s="402">
        <v>40346.645833333336</v>
      </c>
      <c r="B55">
        <v>8.25</v>
      </c>
      <c r="C55">
        <f>$E$1*B55</f>
        <v>45.830451866404715</v>
      </c>
    </row>
    <row r="56" spans="1:3" x14ac:dyDescent="0.25">
      <c r="A56" s="402">
        <v>40347.645833333336</v>
      </c>
      <c r="B56">
        <v>8.1</v>
      </c>
      <c r="C56">
        <f>$E$1*B56</f>
        <v>44.997170923379173</v>
      </c>
    </row>
    <row r="57" spans="1:3" x14ac:dyDescent="0.25">
      <c r="A57" s="402">
        <v>40350.645833333336</v>
      </c>
      <c r="B57">
        <v>8.1999999999999993</v>
      </c>
      <c r="C57">
        <f>$E$1*B57</f>
        <v>45.552691552062861</v>
      </c>
    </row>
    <row r="58" spans="1:3" x14ac:dyDescent="0.25">
      <c r="A58" s="402">
        <v>40351.645833333336</v>
      </c>
      <c r="B58">
        <v>8.3000000000000007</v>
      </c>
      <c r="C58">
        <f>$E$1*B58</f>
        <v>46.108212180746563</v>
      </c>
    </row>
    <row r="59" spans="1:3" x14ac:dyDescent="0.25">
      <c r="A59" s="402">
        <v>40352.645833333336</v>
      </c>
      <c r="B59">
        <v>8.5</v>
      </c>
      <c r="C59">
        <f>$E$1*B59</f>
        <v>47.219253438113945</v>
      </c>
    </row>
    <row r="60" spans="1:3" x14ac:dyDescent="0.25">
      <c r="A60" s="402">
        <v>40353.645833333336</v>
      </c>
      <c r="B60">
        <v>9.25</v>
      </c>
      <c r="C60">
        <f>$E$1*B60</f>
        <v>51.38565815324165</v>
      </c>
    </row>
    <row r="61" spans="1:3" x14ac:dyDescent="0.25">
      <c r="A61" s="402">
        <v>40354.645833333336</v>
      </c>
      <c r="B61">
        <v>8.9</v>
      </c>
      <c r="C61">
        <f>$E$1*B61</f>
        <v>49.441335952848718</v>
      </c>
    </row>
    <row r="62" spans="1:3" x14ac:dyDescent="0.25">
      <c r="A62" s="402">
        <v>40357.645833333336</v>
      </c>
      <c r="B62">
        <v>8.9499999999999993</v>
      </c>
      <c r="C62">
        <f>$E$1*B62</f>
        <v>49.719096267190565</v>
      </c>
    </row>
    <row r="63" spans="1:3" x14ac:dyDescent="0.25">
      <c r="A63" s="402">
        <v>40358.645833333336</v>
      </c>
      <c r="B63">
        <v>8.6999999999999993</v>
      </c>
      <c r="C63">
        <f>$E$1*B63</f>
        <v>48.330294695481328</v>
      </c>
    </row>
    <row r="64" spans="1:3" x14ac:dyDescent="0.25">
      <c r="A64" s="402">
        <v>40359.645833333336</v>
      </c>
      <c r="B64">
        <v>8.9499999999999993</v>
      </c>
      <c r="C64">
        <f>$E$1*B64</f>
        <v>49.719096267190565</v>
      </c>
    </row>
    <row r="65" spans="1:3" x14ac:dyDescent="0.25">
      <c r="A65" s="402">
        <v>40360.645833333336</v>
      </c>
      <c r="B65">
        <v>8.8000000000000007</v>
      </c>
      <c r="C65">
        <f>$E$1*B65</f>
        <v>48.88581532416503</v>
      </c>
    </row>
    <row r="66" spans="1:3" x14ac:dyDescent="0.25">
      <c r="A66" s="402">
        <v>40361.645833333336</v>
      </c>
      <c r="B66">
        <v>8.85</v>
      </c>
      <c r="C66">
        <f>$E$1*B66</f>
        <v>49.16357563850687</v>
      </c>
    </row>
    <row r="67" spans="1:3" x14ac:dyDescent="0.25">
      <c r="A67" s="402">
        <v>40364.645833333336</v>
      </c>
      <c r="B67">
        <v>8.85</v>
      </c>
      <c r="C67">
        <f>$E$1*B67</f>
        <v>49.16357563850687</v>
      </c>
    </row>
    <row r="68" spans="1:3" x14ac:dyDescent="0.25">
      <c r="A68" s="402">
        <v>40365.645833333336</v>
      </c>
      <c r="B68">
        <v>8.5</v>
      </c>
      <c r="C68">
        <f>$E$1*B68</f>
        <v>47.219253438113945</v>
      </c>
    </row>
    <row r="69" spans="1:3" x14ac:dyDescent="0.25">
      <c r="A69" s="402">
        <v>40366.645833333336</v>
      </c>
      <c r="B69">
        <v>8.75</v>
      </c>
      <c r="C69">
        <f>$E$1*B69</f>
        <v>48.608055009823175</v>
      </c>
    </row>
    <row r="70" spans="1:3" x14ac:dyDescent="0.25">
      <c r="A70" s="402">
        <v>40367.645833333336</v>
      </c>
      <c r="B70">
        <v>8.5500000000000007</v>
      </c>
      <c r="C70">
        <f>$E$1*B70</f>
        <v>47.497013752455793</v>
      </c>
    </row>
    <row r="71" spans="1:3" x14ac:dyDescent="0.25">
      <c r="A71" s="402">
        <v>40368.645833333336</v>
      </c>
      <c r="B71">
        <v>8.3000000000000007</v>
      </c>
      <c r="C71">
        <f>$E$1*B71</f>
        <v>46.108212180746563</v>
      </c>
    </row>
    <row r="72" spans="1:3" x14ac:dyDescent="0.25">
      <c r="A72" s="402">
        <v>40371.645833333336</v>
      </c>
      <c r="B72">
        <v>8.1999999999999993</v>
      </c>
      <c r="C72">
        <f>$E$1*B72</f>
        <v>45.552691552062861</v>
      </c>
    </row>
    <row r="73" spans="1:3" x14ac:dyDescent="0.25">
      <c r="A73" s="402">
        <v>40372.645833333336</v>
      </c>
      <c r="B73">
        <v>8.4499999999999993</v>
      </c>
      <c r="C73">
        <f>$E$1*B73</f>
        <v>46.941493123772098</v>
      </c>
    </row>
    <row r="74" spans="1:3" x14ac:dyDescent="0.25">
      <c r="A74" s="402">
        <v>40373.645833333336</v>
      </c>
      <c r="B74">
        <v>8.5</v>
      </c>
      <c r="C74">
        <f>$E$1*B74</f>
        <v>47.219253438113945</v>
      </c>
    </row>
    <row r="75" spans="1:3" x14ac:dyDescent="0.25">
      <c r="A75" s="402">
        <v>40374.645833333336</v>
      </c>
      <c r="B75">
        <v>8.25</v>
      </c>
      <c r="C75">
        <f>$E$1*B75</f>
        <v>45.830451866404715</v>
      </c>
    </row>
    <row r="76" spans="1:3" x14ac:dyDescent="0.25">
      <c r="A76" s="402">
        <v>40375.645833333336</v>
      </c>
      <c r="B76">
        <v>8.4499999999999993</v>
      </c>
      <c r="C76">
        <f>$E$1*B76</f>
        <v>46.941493123772098</v>
      </c>
    </row>
    <row r="77" spans="1:3" x14ac:dyDescent="0.25">
      <c r="A77" s="402">
        <v>40378.645833333336</v>
      </c>
      <c r="B77">
        <v>8.6</v>
      </c>
      <c r="C77">
        <f>$E$1*B77</f>
        <v>47.77477406679764</v>
      </c>
    </row>
    <row r="78" spans="1:3" x14ac:dyDescent="0.25">
      <c r="A78" s="402">
        <v>40379.645833333336</v>
      </c>
      <c r="B78">
        <v>8.9499999999999993</v>
      </c>
      <c r="C78">
        <f>$E$1*B78</f>
        <v>49.719096267190565</v>
      </c>
    </row>
    <row r="79" spans="1:3" x14ac:dyDescent="0.25">
      <c r="A79" s="402">
        <v>40380.645833333336</v>
      </c>
      <c r="B79">
        <v>8.9499999999999993</v>
      </c>
      <c r="C79">
        <f>$E$1*B79</f>
        <v>49.719096267190565</v>
      </c>
    </row>
    <row r="80" spans="1:3" x14ac:dyDescent="0.25">
      <c r="A80" s="402">
        <v>40381.645833333336</v>
      </c>
      <c r="B80">
        <v>8.9</v>
      </c>
      <c r="C80">
        <f>$E$1*B80</f>
        <v>49.441335952848718</v>
      </c>
    </row>
    <row r="81" spans="1:3" x14ac:dyDescent="0.25">
      <c r="A81" s="402">
        <v>40382.645833333336</v>
      </c>
      <c r="B81">
        <v>9.15</v>
      </c>
      <c r="C81">
        <f>$E$1*B81</f>
        <v>50.830137524557955</v>
      </c>
    </row>
    <row r="82" spans="1:3" x14ac:dyDescent="0.25">
      <c r="A82" s="402">
        <v>40385.645833333336</v>
      </c>
      <c r="B82">
        <v>8.9499999999999993</v>
      </c>
      <c r="C82">
        <f>$E$1*B82</f>
        <v>49.719096267190565</v>
      </c>
    </row>
    <row r="83" spans="1:3" x14ac:dyDescent="0.25">
      <c r="A83" s="402">
        <v>40386.645833333336</v>
      </c>
      <c r="B83">
        <v>9.1</v>
      </c>
      <c r="C83">
        <f>$E$1*B83</f>
        <v>50.552377210216108</v>
      </c>
    </row>
    <row r="84" spans="1:3" x14ac:dyDescent="0.25">
      <c r="A84" s="402">
        <v>40387.645833333336</v>
      </c>
      <c r="B84">
        <v>9.1</v>
      </c>
      <c r="C84">
        <f>$E$1*B84</f>
        <v>50.552377210216108</v>
      </c>
    </row>
    <row r="85" spans="1:3" x14ac:dyDescent="0.25">
      <c r="A85" s="402">
        <v>40388.645833333336</v>
      </c>
      <c r="B85">
        <v>9.25</v>
      </c>
      <c r="C85">
        <f>$E$1*B85</f>
        <v>51.38565815324165</v>
      </c>
    </row>
    <row r="86" spans="1:3" x14ac:dyDescent="0.25">
      <c r="A86" s="402">
        <v>40389.645833333336</v>
      </c>
      <c r="B86">
        <v>9.25</v>
      </c>
      <c r="C86">
        <f>$E$1*B86</f>
        <v>51.38565815324165</v>
      </c>
    </row>
    <row r="87" spans="1:3" x14ac:dyDescent="0.25">
      <c r="A87" s="402">
        <v>40392.645833333336</v>
      </c>
      <c r="B87">
        <v>11.05</v>
      </c>
      <c r="C87">
        <f>$E$1*B87</f>
        <v>61.38502946954813</v>
      </c>
    </row>
    <row r="88" spans="1:3" x14ac:dyDescent="0.25">
      <c r="A88" s="402">
        <v>40393.645833333336</v>
      </c>
      <c r="B88">
        <v>11.85</v>
      </c>
      <c r="C88">
        <f>$E$1*B88</f>
        <v>65.829194499017675</v>
      </c>
    </row>
    <row r="89" spans="1:3" x14ac:dyDescent="0.25">
      <c r="A89" s="402">
        <v>40394.645833333336</v>
      </c>
      <c r="B89">
        <v>11.95</v>
      </c>
      <c r="C89">
        <f>$E$1*B89</f>
        <v>66.384715127701369</v>
      </c>
    </row>
    <row r="90" spans="1:3" x14ac:dyDescent="0.25">
      <c r="A90" s="402">
        <v>40395.645833333336</v>
      </c>
      <c r="B90">
        <v>11.75</v>
      </c>
      <c r="C90">
        <f>$E$1*B90</f>
        <v>65.27367387033398</v>
      </c>
    </row>
    <row r="91" spans="1:3" x14ac:dyDescent="0.25">
      <c r="A91" s="402">
        <v>40396.645833333336</v>
      </c>
      <c r="B91">
        <v>11.15</v>
      </c>
      <c r="C91">
        <f>$E$1*B91</f>
        <v>61.940550098231824</v>
      </c>
    </row>
    <row r="92" spans="1:3" x14ac:dyDescent="0.25">
      <c r="A92" s="402">
        <v>40399.645833333336</v>
      </c>
      <c r="B92">
        <v>10.5</v>
      </c>
      <c r="C92">
        <f>$E$1*B92</f>
        <v>58.329666011787815</v>
      </c>
    </row>
    <row r="93" spans="1:3" x14ac:dyDescent="0.25">
      <c r="A93" s="402">
        <v>40400.645833333336</v>
      </c>
      <c r="B93">
        <v>10.25</v>
      </c>
      <c r="C93">
        <f>$E$1*B93</f>
        <v>56.940864440078585</v>
      </c>
    </row>
    <row r="94" spans="1:3" x14ac:dyDescent="0.25">
      <c r="A94" s="402">
        <v>40401.645833333336</v>
      </c>
      <c r="B94">
        <v>10</v>
      </c>
      <c r="C94">
        <f>$E$1*B94</f>
        <v>55.552062868369347</v>
      </c>
    </row>
    <row r="95" spans="1:3" x14ac:dyDescent="0.25">
      <c r="A95" s="402">
        <v>40402.645833333336</v>
      </c>
      <c r="B95">
        <v>10.55</v>
      </c>
      <c r="C95">
        <f>$E$1*B95</f>
        <v>58.607426326129662</v>
      </c>
    </row>
    <row r="96" spans="1:3" x14ac:dyDescent="0.25">
      <c r="A96" s="402">
        <v>40403.645833333336</v>
      </c>
      <c r="B96">
        <v>10.3</v>
      </c>
      <c r="C96">
        <f>$E$1*B96</f>
        <v>57.218624754420432</v>
      </c>
    </row>
    <row r="97" spans="1:3" x14ac:dyDescent="0.25">
      <c r="A97" s="402">
        <v>40406.645833333336</v>
      </c>
      <c r="B97">
        <v>10.199999999999999</v>
      </c>
      <c r="C97">
        <f>$E$1*B97</f>
        <v>56.66310412573673</v>
      </c>
    </row>
    <row r="98" spans="1:3" x14ac:dyDescent="0.25">
      <c r="A98" s="402">
        <v>40407.645833333336</v>
      </c>
      <c r="B98">
        <v>10.15</v>
      </c>
      <c r="C98">
        <f>$E$1*B98</f>
        <v>56.38534381139489</v>
      </c>
    </row>
    <row r="99" spans="1:3" x14ac:dyDescent="0.25">
      <c r="A99" s="402">
        <v>40408.645833333336</v>
      </c>
      <c r="B99">
        <v>10.35</v>
      </c>
      <c r="C99">
        <f>$E$1*B99</f>
        <v>57.496385068762272</v>
      </c>
    </row>
    <row r="100" spans="1:3" x14ac:dyDescent="0.25">
      <c r="A100" s="402">
        <v>40409.645833333336</v>
      </c>
      <c r="B100">
        <v>10.55</v>
      </c>
      <c r="C100">
        <f>$E$1*B100</f>
        <v>58.607426326129662</v>
      </c>
    </row>
    <row r="101" spans="1:3" x14ac:dyDescent="0.25">
      <c r="A101" s="402">
        <v>40410.645833333336</v>
      </c>
      <c r="B101">
        <v>10.45</v>
      </c>
      <c r="C101">
        <f>$E$1*B101</f>
        <v>58.051905697445967</v>
      </c>
    </row>
    <row r="102" spans="1:3" x14ac:dyDescent="0.25">
      <c r="A102" s="402">
        <v>40413.645833333336</v>
      </c>
      <c r="B102">
        <v>11.3</v>
      </c>
      <c r="C102">
        <f>$E$1*B102</f>
        <v>62.773831041257367</v>
      </c>
    </row>
    <row r="103" spans="1:3" x14ac:dyDescent="0.25">
      <c r="A103" s="402">
        <v>40414.645833333336</v>
      </c>
      <c r="B103">
        <v>10.9</v>
      </c>
      <c r="C103">
        <f>$E$1*B103</f>
        <v>60.551748526522587</v>
      </c>
    </row>
    <row r="104" spans="1:3" x14ac:dyDescent="0.25">
      <c r="A104" s="402">
        <v>40415.645833333336</v>
      </c>
      <c r="B104">
        <v>10.9</v>
      </c>
      <c r="C104">
        <f>$E$1*B104</f>
        <v>60.551748526522587</v>
      </c>
    </row>
    <row r="105" spans="1:3" x14ac:dyDescent="0.25">
      <c r="A105" s="402">
        <v>40417.645833333336</v>
      </c>
      <c r="B105">
        <v>10.8</v>
      </c>
      <c r="C105">
        <f>$E$1*B105</f>
        <v>59.996227897838899</v>
      </c>
    </row>
    <row r="106" spans="1:3" x14ac:dyDescent="0.25">
      <c r="A106" s="402">
        <v>40420.645833333336</v>
      </c>
      <c r="B106">
        <v>11</v>
      </c>
      <c r="C106">
        <f>$E$1*B106</f>
        <v>61.107269155206282</v>
      </c>
    </row>
    <row r="107" spans="1:3" x14ac:dyDescent="0.25">
      <c r="A107" s="402">
        <v>40421.645833333336</v>
      </c>
      <c r="B107">
        <v>10.6</v>
      </c>
      <c r="C107">
        <f>$E$1*B107</f>
        <v>58.88518664047151</v>
      </c>
    </row>
    <row r="108" spans="1:3" x14ac:dyDescent="0.25">
      <c r="A108" s="402">
        <v>40422.645833333336</v>
      </c>
      <c r="B108">
        <v>10.8</v>
      </c>
      <c r="C108">
        <f>$E$1*B108</f>
        <v>59.996227897838899</v>
      </c>
    </row>
    <row r="109" spans="1:3" x14ac:dyDescent="0.25">
      <c r="A109" s="402">
        <v>40423.645833333336</v>
      </c>
      <c r="B109">
        <v>11.15</v>
      </c>
      <c r="C109">
        <f>$E$1*B109</f>
        <v>61.940550098231824</v>
      </c>
    </row>
    <row r="110" spans="1:3" x14ac:dyDescent="0.25">
      <c r="A110" s="402">
        <v>40424.645833333336</v>
      </c>
      <c r="B110">
        <v>11.35</v>
      </c>
      <c r="C110">
        <f>$E$1*B110</f>
        <v>63.051591355599207</v>
      </c>
    </row>
    <row r="111" spans="1:3" x14ac:dyDescent="0.25">
      <c r="A111" s="402">
        <v>40427.645833333336</v>
      </c>
      <c r="B111">
        <v>11.6</v>
      </c>
      <c r="C111">
        <f>$E$1*B111</f>
        <v>64.440392927308437</v>
      </c>
    </row>
    <row r="112" spans="1:3" x14ac:dyDescent="0.25">
      <c r="A112" s="402">
        <v>40428.645833333336</v>
      </c>
      <c r="B112">
        <v>11.3</v>
      </c>
      <c r="C112">
        <f>$E$1*B112</f>
        <v>62.773831041257367</v>
      </c>
    </row>
    <row r="113" spans="1:3" x14ac:dyDescent="0.25">
      <c r="A113" s="402">
        <v>40429.645833333336</v>
      </c>
      <c r="B113">
        <v>11.3</v>
      </c>
      <c r="C113">
        <f>$E$1*B113</f>
        <v>62.773831041257367</v>
      </c>
    </row>
    <row r="114" spans="1:3" x14ac:dyDescent="0.25">
      <c r="A114" s="402">
        <v>40430.645833333336</v>
      </c>
      <c r="B114">
        <v>12.5</v>
      </c>
      <c r="C114">
        <f>$E$1*B114</f>
        <v>69.440078585461691</v>
      </c>
    </row>
    <row r="115" spans="1:3" x14ac:dyDescent="0.25">
      <c r="A115" s="402">
        <v>40434.645833333336</v>
      </c>
      <c r="B115">
        <v>13.4</v>
      </c>
      <c r="C115">
        <f>$E$1*B115</f>
        <v>74.439764243614931</v>
      </c>
    </row>
    <row r="116" spans="1:3" x14ac:dyDescent="0.25">
      <c r="A116" s="402">
        <v>40435.645833333336</v>
      </c>
      <c r="B116">
        <v>13.4</v>
      </c>
      <c r="C116">
        <f>$E$1*B116</f>
        <v>74.439764243614931</v>
      </c>
    </row>
    <row r="117" spans="1:3" x14ac:dyDescent="0.25">
      <c r="A117" s="402">
        <v>40436.645833333336</v>
      </c>
      <c r="B117">
        <v>12.55</v>
      </c>
      <c r="C117">
        <f>$E$1*B117</f>
        <v>69.717838899803539</v>
      </c>
    </row>
    <row r="118" spans="1:3" x14ac:dyDescent="0.25">
      <c r="A118" s="402">
        <v>40437.645833333336</v>
      </c>
      <c r="B118">
        <v>12.5</v>
      </c>
      <c r="C118">
        <f>$E$1*B118</f>
        <v>69.440078585461691</v>
      </c>
    </row>
    <row r="119" spans="1:3" x14ac:dyDescent="0.25">
      <c r="A119" s="402">
        <v>40438.645833333336</v>
      </c>
      <c r="B119">
        <v>12.65</v>
      </c>
      <c r="C119">
        <f>$E$1*B119</f>
        <v>70.273359528487219</v>
      </c>
    </row>
    <row r="120" spans="1:3" x14ac:dyDescent="0.25">
      <c r="A120" s="402">
        <v>40441.645833333336</v>
      </c>
      <c r="B120">
        <v>13</v>
      </c>
      <c r="C120">
        <f>$E$1*B120</f>
        <v>72.217681728880152</v>
      </c>
    </row>
    <row r="121" spans="1:3" x14ac:dyDescent="0.25">
      <c r="A121" s="402">
        <v>40442.645833333336</v>
      </c>
      <c r="B121">
        <v>12.3</v>
      </c>
      <c r="C121">
        <f>$E$1*B121</f>
        <v>68.329037328094302</v>
      </c>
    </row>
    <row r="122" spans="1:3" x14ac:dyDescent="0.25">
      <c r="A122" s="402">
        <v>40443.645833333336</v>
      </c>
      <c r="B122">
        <v>12.3</v>
      </c>
      <c r="C122">
        <f>$E$1*B122</f>
        <v>68.329037328094302</v>
      </c>
    </row>
    <row r="123" spans="1:3" x14ac:dyDescent="0.25">
      <c r="A123" s="402">
        <v>40444.645833333336</v>
      </c>
      <c r="B123">
        <v>12</v>
      </c>
      <c r="C123">
        <f>$E$1*B123</f>
        <v>66.662475442043217</v>
      </c>
    </row>
    <row r="124" spans="1:3" x14ac:dyDescent="0.25">
      <c r="A124" s="402">
        <v>40445.645833333336</v>
      </c>
      <c r="B124">
        <v>12.25</v>
      </c>
      <c r="C124">
        <f>$E$1*B124</f>
        <v>68.051277013752454</v>
      </c>
    </row>
    <row r="125" spans="1:3" x14ac:dyDescent="0.25">
      <c r="A125" s="402">
        <v>40448.645833333336</v>
      </c>
      <c r="B125">
        <v>11.9</v>
      </c>
      <c r="C125">
        <f>$E$1*B125</f>
        <v>66.106954813359522</v>
      </c>
    </row>
    <row r="126" spans="1:3" x14ac:dyDescent="0.25">
      <c r="A126" s="402">
        <v>40449.645833333336</v>
      </c>
      <c r="B126">
        <v>12</v>
      </c>
      <c r="C126">
        <f>$E$1*B126</f>
        <v>66.662475442043217</v>
      </c>
    </row>
    <row r="127" spans="1:3" x14ac:dyDescent="0.25">
      <c r="A127" s="402">
        <v>40450.645833333336</v>
      </c>
      <c r="B127">
        <v>11.9</v>
      </c>
      <c r="C127">
        <f>$E$1*B127</f>
        <v>66.106954813359522</v>
      </c>
    </row>
    <row r="128" spans="1:3" x14ac:dyDescent="0.25">
      <c r="A128" s="402">
        <v>40451.645833333336</v>
      </c>
      <c r="B128">
        <v>11.7</v>
      </c>
      <c r="C128">
        <f>$E$1*B128</f>
        <v>64.995913555992132</v>
      </c>
    </row>
    <row r="129" spans="1:3" x14ac:dyDescent="0.25">
      <c r="A129" s="402">
        <v>40452.645833333336</v>
      </c>
      <c r="B129">
        <v>12</v>
      </c>
      <c r="C129">
        <f>$E$1*B129</f>
        <v>66.662475442043217</v>
      </c>
    </row>
    <row r="130" spans="1:3" x14ac:dyDescent="0.25">
      <c r="A130" s="402">
        <v>40455.645833333336</v>
      </c>
      <c r="B130">
        <v>12.15</v>
      </c>
      <c r="C130">
        <f>$E$1*B130</f>
        <v>67.495756385068759</v>
      </c>
    </row>
    <row r="131" spans="1:3" x14ac:dyDescent="0.25">
      <c r="A131" s="402">
        <v>40456.645833333336</v>
      </c>
      <c r="B131">
        <v>12.05</v>
      </c>
      <c r="C131">
        <f>$E$1*B131</f>
        <v>66.940235756385064</v>
      </c>
    </row>
    <row r="132" spans="1:3" x14ac:dyDescent="0.25">
      <c r="A132" s="402">
        <v>40457.645833333336</v>
      </c>
      <c r="B132">
        <v>11.95</v>
      </c>
      <c r="C132">
        <f>$E$1*B132</f>
        <v>66.384715127701369</v>
      </c>
    </row>
    <row r="133" spans="1:3" x14ac:dyDescent="0.25">
      <c r="A133" s="402">
        <v>40458.645833333336</v>
      </c>
      <c r="B133">
        <v>11.8</v>
      </c>
      <c r="C133">
        <f>$E$1*B133</f>
        <v>65.551434184675827</v>
      </c>
    </row>
    <row r="134" spans="1:3" x14ac:dyDescent="0.25">
      <c r="A134" s="402">
        <v>40459.645833333336</v>
      </c>
      <c r="B134">
        <v>11.7</v>
      </c>
      <c r="C134">
        <f>$E$1*B134</f>
        <v>64.995913555992132</v>
      </c>
    </row>
    <row r="135" spans="1:3" x14ac:dyDescent="0.25">
      <c r="A135" s="402">
        <v>40462.645833333336</v>
      </c>
      <c r="B135">
        <v>12.05</v>
      </c>
      <c r="C135">
        <f>$E$1*B135</f>
        <v>66.940235756385064</v>
      </c>
    </row>
    <row r="136" spans="1:3" x14ac:dyDescent="0.25">
      <c r="A136" s="402">
        <v>40463.645833333336</v>
      </c>
      <c r="B136">
        <v>11.95</v>
      </c>
      <c r="C136">
        <f>$E$1*B136</f>
        <v>66.384715127701369</v>
      </c>
    </row>
    <row r="137" spans="1:3" x14ac:dyDescent="0.25">
      <c r="A137" s="402">
        <v>40464.645833333336</v>
      </c>
      <c r="B137">
        <v>12.2</v>
      </c>
      <c r="C137">
        <f>$E$1*B137</f>
        <v>67.773516699410607</v>
      </c>
    </row>
    <row r="138" spans="1:3" x14ac:dyDescent="0.25">
      <c r="A138" s="402">
        <v>40465.645833333336</v>
      </c>
      <c r="B138">
        <v>12.05</v>
      </c>
      <c r="C138">
        <f>$E$1*B138</f>
        <v>66.940235756385064</v>
      </c>
    </row>
    <row r="139" spans="1:3" x14ac:dyDescent="0.25">
      <c r="A139" s="402">
        <v>40466.645833333336</v>
      </c>
      <c r="B139">
        <v>12</v>
      </c>
      <c r="C139">
        <f>$E$1*B139</f>
        <v>66.662475442043217</v>
      </c>
    </row>
    <row r="140" spans="1:3" x14ac:dyDescent="0.25">
      <c r="A140" s="402">
        <v>40469.645833333336</v>
      </c>
      <c r="B140">
        <v>13.1</v>
      </c>
      <c r="C140">
        <f>$E$1*B140</f>
        <v>72.773202357563846</v>
      </c>
    </row>
    <row r="141" spans="1:3" x14ac:dyDescent="0.25">
      <c r="A141" s="402">
        <v>40470.645833333336</v>
      </c>
      <c r="B141">
        <v>12.85</v>
      </c>
      <c r="C141">
        <f>$E$1*B141</f>
        <v>71.384400785854609</v>
      </c>
    </row>
    <row r="142" spans="1:3" x14ac:dyDescent="0.25">
      <c r="A142" s="402">
        <v>40471.645833333336</v>
      </c>
      <c r="B142">
        <v>13.5</v>
      </c>
      <c r="C142">
        <f>$E$1*B142</f>
        <v>74.995284872298612</v>
      </c>
    </row>
    <row r="143" spans="1:3" x14ac:dyDescent="0.25">
      <c r="A143" s="402">
        <v>40472.645833333336</v>
      </c>
      <c r="B143">
        <v>13.1</v>
      </c>
      <c r="C143">
        <f>$E$1*B143</f>
        <v>72.773202357563846</v>
      </c>
    </row>
    <row r="144" spans="1:3" x14ac:dyDescent="0.25">
      <c r="A144" s="402">
        <v>40473.645833333336</v>
      </c>
      <c r="B144">
        <v>13.4</v>
      </c>
      <c r="C144">
        <f>$E$1*B144</f>
        <v>74.439764243614931</v>
      </c>
    </row>
    <row r="145" spans="1:3" x14ac:dyDescent="0.25">
      <c r="A145" s="402">
        <v>40476.645833333336</v>
      </c>
      <c r="B145">
        <v>14.2</v>
      </c>
      <c r="C145">
        <f>$E$1*B145</f>
        <v>78.883929273084476</v>
      </c>
    </row>
    <row r="146" spans="1:3" x14ac:dyDescent="0.25">
      <c r="A146" s="402">
        <v>40477.645833333336</v>
      </c>
      <c r="B146">
        <v>14.5</v>
      </c>
      <c r="C146">
        <f>$E$1*B146</f>
        <v>80.550491159135561</v>
      </c>
    </row>
    <row r="147" spans="1:3" x14ac:dyDescent="0.25">
      <c r="A147" s="402">
        <v>40478.645833333336</v>
      </c>
      <c r="B147">
        <v>14.3</v>
      </c>
      <c r="C147">
        <f>$E$1*B147</f>
        <v>79.439449901768171</v>
      </c>
    </row>
    <row r="148" spans="1:3" x14ac:dyDescent="0.25">
      <c r="A148" s="402">
        <v>40479.645833333336</v>
      </c>
      <c r="B148">
        <v>14.3</v>
      </c>
      <c r="C148">
        <f>$E$1*B148</f>
        <v>79.439449901768171</v>
      </c>
    </row>
    <row r="149" spans="1:3" x14ac:dyDescent="0.25">
      <c r="A149" s="402">
        <v>40480.645833333336</v>
      </c>
      <c r="B149">
        <v>13</v>
      </c>
      <c r="C149">
        <f>$E$1*B149</f>
        <v>72.217681728880152</v>
      </c>
    </row>
    <row r="150" spans="1:3" x14ac:dyDescent="0.25">
      <c r="A150" s="402">
        <v>40483.645833333336</v>
      </c>
      <c r="B150">
        <v>13.6</v>
      </c>
      <c r="C150">
        <f>$E$1*B150</f>
        <v>75.550805500982307</v>
      </c>
    </row>
    <row r="151" spans="1:3" x14ac:dyDescent="0.25">
      <c r="A151" s="402">
        <v>40484.645833333336</v>
      </c>
      <c r="B151">
        <v>13.15</v>
      </c>
      <c r="C151">
        <f>$E$1*B151</f>
        <v>73.050962671905694</v>
      </c>
    </row>
    <row r="152" spans="1:3" x14ac:dyDescent="0.25">
      <c r="A152" s="402">
        <v>40485.645833333336</v>
      </c>
      <c r="B152">
        <v>13.45</v>
      </c>
      <c r="C152">
        <f>$E$1*B152</f>
        <v>74.717524557956764</v>
      </c>
    </row>
    <row r="153" spans="1:3" x14ac:dyDescent="0.25">
      <c r="A153" s="402">
        <v>40486.645833333336</v>
      </c>
      <c r="B153">
        <v>13.25</v>
      </c>
      <c r="C153">
        <f>$E$1*B153</f>
        <v>73.606483300589389</v>
      </c>
    </row>
    <row r="154" spans="1:3" x14ac:dyDescent="0.25">
      <c r="A154" s="402">
        <v>40487.8125</v>
      </c>
      <c r="B154">
        <v>13.7</v>
      </c>
      <c r="C154">
        <f>$E$1*B154</f>
        <v>76.106326129666002</v>
      </c>
    </row>
    <row r="155" spans="1:3" x14ac:dyDescent="0.25">
      <c r="A155" s="402">
        <v>40490.645833333336</v>
      </c>
      <c r="B155">
        <v>15.05</v>
      </c>
      <c r="C155">
        <f>$E$1*B155</f>
        <v>83.605854616895869</v>
      </c>
    </row>
    <row r="156" spans="1:3" x14ac:dyDescent="0.25">
      <c r="A156" s="402">
        <v>40491.645833333336</v>
      </c>
      <c r="B156">
        <v>15.5</v>
      </c>
      <c r="C156">
        <f>$E$1*B156</f>
        <v>86.105697445972481</v>
      </c>
    </row>
    <row r="157" spans="1:3" x14ac:dyDescent="0.25">
      <c r="A157" s="402">
        <v>40492.645833333336</v>
      </c>
      <c r="B157">
        <v>16.7</v>
      </c>
      <c r="C157">
        <f>$E$1*B157</f>
        <v>92.771944990176806</v>
      </c>
    </row>
    <row r="158" spans="1:3" x14ac:dyDescent="0.25">
      <c r="A158" s="402">
        <v>40493.645833333336</v>
      </c>
      <c r="B158">
        <v>16.8</v>
      </c>
      <c r="C158">
        <f>$E$1*B158</f>
        <v>93.327465618860501</v>
      </c>
    </row>
    <row r="159" spans="1:3" x14ac:dyDescent="0.25">
      <c r="A159" s="402">
        <v>40494.645833333336</v>
      </c>
      <c r="B159">
        <v>15.85</v>
      </c>
      <c r="C159">
        <f>$E$1*B159</f>
        <v>88.050019646365413</v>
      </c>
    </row>
    <row r="160" spans="1:3" x14ac:dyDescent="0.25">
      <c r="A160" s="402">
        <v>40497.645833333336</v>
      </c>
      <c r="B160">
        <v>15.8</v>
      </c>
      <c r="C160">
        <f>$E$1*B160</f>
        <v>87.772259332023566</v>
      </c>
    </row>
    <row r="161" spans="1:3" x14ac:dyDescent="0.25">
      <c r="A161" s="402">
        <v>40498.645833333336</v>
      </c>
      <c r="B161">
        <v>14.55</v>
      </c>
      <c r="C161">
        <f>$E$1*B161</f>
        <v>80.828251473477408</v>
      </c>
    </row>
    <row r="162" spans="1:3" x14ac:dyDescent="0.25">
      <c r="A162" s="402">
        <v>40500.645833333336</v>
      </c>
      <c r="B162">
        <v>14.5</v>
      </c>
      <c r="C162">
        <f>$E$1*B162</f>
        <v>80.550491159135561</v>
      </c>
    </row>
    <row r="163" spans="1:3" x14ac:dyDescent="0.25">
      <c r="A163" s="402">
        <v>40501.645833333336</v>
      </c>
      <c r="B163">
        <v>13.75</v>
      </c>
      <c r="C163">
        <f>$E$1*B163</f>
        <v>76.384086444007849</v>
      </c>
    </row>
    <row r="164" spans="1:3" x14ac:dyDescent="0.25">
      <c r="A164" s="402">
        <v>40504.645833333336</v>
      </c>
      <c r="B164">
        <v>14.4</v>
      </c>
      <c r="C164">
        <f>$E$1*B164</f>
        <v>79.994970530451866</v>
      </c>
    </row>
    <row r="165" spans="1:3" x14ac:dyDescent="0.25">
      <c r="A165" s="402">
        <v>40505.645833333336</v>
      </c>
      <c r="B165">
        <v>13.9</v>
      </c>
      <c r="C165">
        <f>$E$1*B165</f>
        <v>77.217367387033391</v>
      </c>
    </row>
    <row r="166" spans="1:3" x14ac:dyDescent="0.25">
      <c r="A166" s="402">
        <v>40506.645833333336</v>
      </c>
      <c r="B166">
        <v>14.6</v>
      </c>
      <c r="C166">
        <f>$E$1*B166</f>
        <v>81.106011787819241</v>
      </c>
    </row>
    <row r="167" spans="1:3" x14ac:dyDescent="0.25">
      <c r="A167" s="402">
        <v>40507.645833333336</v>
      </c>
      <c r="B167">
        <v>14.5</v>
      </c>
      <c r="C167">
        <f>$E$1*B167</f>
        <v>80.550491159135561</v>
      </c>
    </row>
    <row r="168" spans="1:3" x14ac:dyDescent="0.25">
      <c r="A168" s="402">
        <v>40508.645833333336</v>
      </c>
      <c r="B168">
        <v>13.5</v>
      </c>
      <c r="C168">
        <f>$E$1*B168</f>
        <v>74.995284872298612</v>
      </c>
    </row>
    <row r="169" spans="1:3" x14ac:dyDescent="0.25">
      <c r="A169" s="402">
        <v>40511.645833333336</v>
      </c>
      <c r="B169">
        <v>13.65</v>
      </c>
      <c r="C169">
        <f>$E$1*B169</f>
        <v>75.828565815324154</v>
      </c>
    </row>
    <row r="170" spans="1:3" x14ac:dyDescent="0.25">
      <c r="A170" s="402">
        <v>40512.645833333336</v>
      </c>
      <c r="B170">
        <v>13.6</v>
      </c>
      <c r="C170">
        <f>$E$1*B170</f>
        <v>75.550805500982307</v>
      </c>
    </row>
    <row r="171" spans="1:3" x14ac:dyDescent="0.25">
      <c r="A171" s="402">
        <v>40513.645833333336</v>
      </c>
      <c r="B171">
        <v>14.3</v>
      </c>
      <c r="C171">
        <f>$E$1*B171</f>
        <v>79.439449901768171</v>
      </c>
    </row>
    <row r="172" spans="1:3" x14ac:dyDescent="0.25">
      <c r="A172" s="402">
        <v>40514.645833333336</v>
      </c>
      <c r="B172">
        <v>14.1</v>
      </c>
      <c r="C172">
        <f>$E$1*B172</f>
        <v>78.328408644400781</v>
      </c>
    </row>
    <row r="173" spans="1:3" x14ac:dyDescent="0.25">
      <c r="A173" s="402">
        <v>40515.645833333336</v>
      </c>
      <c r="B173">
        <v>13.1</v>
      </c>
      <c r="C173">
        <f>$E$1*B173</f>
        <v>72.773202357563846</v>
      </c>
    </row>
    <row r="174" spans="1:3" x14ac:dyDescent="0.25">
      <c r="A174" s="402">
        <v>40518.645833333336</v>
      </c>
      <c r="B174">
        <v>13</v>
      </c>
      <c r="C174">
        <f>$E$1*B174</f>
        <v>72.217681728880152</v>
      </c>
    </row>
    <row r="175" spans="1:3" x14ac:dyDescent="0.25">
      <c r="A175" s="402">
        <v>40519.645833333336</v>
      </c>
      <c r="B175">
        <v>12.95</v>
      </c>
      <c r="C175">
        <f>$E$1*B175</f>
        <v>71.939921414538304</v>
      </c>
    </row>
    <row r="176" spans="1:3" x14ac:dyDescent="0.25">
      <c r="A176" s="402">
        <v>40520.645833333336</v>
      </c>
      <c r="B176">
        <v>12.85</v>
      </c>
      <c r="C176">
        <f>$E$1*B176</f>
        <v>71.384400785854609</v>
      </c>
    </row>
    <row r="177" spans="1:3" x14ac:dyDescent="0.25">
      <c r="A177" s="402">
        <v>40521.645833333336</v>
      </c>
      <c r="B177">
        <v>11.05</v>
      </c>
      <c r="C177">
        <f>$E$1*B177</f>
        <v>61.38502946954813</v>
      </c>
    </row>
    <row r="178" spans="1:3" x14ac:dyDescent="0.25">
      <c r="A178" s="402">
        <v>40522.645833333336</v>
      </c>
      <c r="B178">
        <v>11.55</v>
      </c>
      <c r="C178">
        <f>$E$1*B178</f>
        <v>64.162632612966604</v>
      </c>
    </row>
    <row r="179" spans="1:3" x14ac:dyDescent="0.25">
      <c r="A179" s="402">
        <v>40525.645833333336</v>
      </c>
      <c r="B179">
        <v>11.95</v>
      </c>
      <c r="C179">
        <f>$E$1*B179</f>
        <v>66.384715127701369</v>
      </c>
    </row>
    <row r="180" spans="1:3" x14ac:dyDescent="0.25">
      <c r="A180" s="402">
        <v>40526.645833333336</v>
      </c>
      <c r="B180">
        <v>12.35</v>
      </c>
      <c r="C180">
        <f>$E$1*B180</f>
        <v>68.606797642436149</v>
      </c>
    </row>
    <row r="181" spans="1:3" x14ac:dyDescent="0.25">
      <c r="A181" s="402">
        <v>40527.645833333336</v>
      </c>
      <c r="B181">
        <v>11.9</v>
      </c>
      <c r="C181">
        <f>$E$1*B181</f>
        <v>66.106954813359522</v>
      </c>
    </row>
    <row r="182" spans="1:3" x14ac:dyDescent="0.25">
      <c r="A182" s="402">
        <v>40528.645833333336</v>
      </c>
      <c r="B182">
        <v>11.95</v>
      </c>
      <c r="C182">
        <f>$E$1*B182</f>
        <v>66.384715127701369</v>
      </c>
    </row>
    <row r="183" spans="1:3" x14ac:dyDescent="0.25">
      <c r="A183" s="402">
        <v>40532.645833333336</v>
      </c>
      <c r="B183">
        <v>13.1</v>
      </c>
      <c r="C183">
        <f>$E$1*B183</f>
        <v>72.773202357563846</v>
      </c>
    </row>
    <row r="184" spans="1:3" x14ac:dyDescent="0.25">
      <c r="A184" s="402">
        <v>40533.645833333336</v>
      </c>
      <c r="B184">
        <v>13.05</v>
      </c>
      <c r="C184">
        <f>$E$1*B184</f>
        <v>72.495442043221999</v>
      </c>
    </row>
    <row r="185" spans="1:3" x14ac:dyDescent="0.25">
      <c r="A185" s="402">
        <v>40534.645833333336</v>
      </c>
      <c r="B185">
        <v>13.05</v>
      </c>
      <c r="C185">
        <f>$E$1*B185</f>
        <v>72.495442043221999</v>
      </c>
    </row>
    <row r="186" spans="1:3" x14ac:dyDescent="0.25">
      <c r="A186" s="402">
        <v>40535.645833333336</v>
      </c>
      <c r="B186">
        <v>13.3</v>
      </c>
      <c r="C186">
        <f>$E$1*B186</f>
        <v>73.884243614931236</v>
      </c>
    </row>
    <row r="187" spans="1:3" x14ac:dyDescent="0.25">
      <c r="A187" s="402">
        <v>40536.645833333336</v>
      </c>
      <c r="B187">
        <v>13</v>
      </c>
      <c r="C187">
        <f>$E$1*B187</f>
        <v>72.217681728880152</v>
      </c>
    </row>
    <row r="188" spans="1:3" x14ac:dyDescent="0.25">
      <c r="A188" s="402">
        <v>40539.645833333336</v>
      </c>
      <c r="B188">
        <v>12.6</v>
      </c>
      <c r="C188">
        <f>$E$1*B188</f>
        <v>69.995599214145372</v>
      </c>
    </row>
    <row r="189" spans="1:3" x14ac:dyDescent="0.25">
      <c r="A189" s="402">
        <v>40540.645833333336</v>
      </c>
      <c r="B189">
        <v>12.8</v>
      </c>
      <c r="C189">
        <f>$E$1*B189</f>
        <v>71.106640471512762</v>
      </c>
    </row>
    <row r="190" spans="1:3" x14ac:dyDescent="0.25">
      <c r="A190" s="402">
        <v>40541.645833333336</v>
      </c>
      <c r="B190">
        <v>13.05</v>
      </c>
      <c r="C190">
        <f>$E$1*B190</f>
        <v>72.495442043221999</v>
      </c>
    </row>
    <row r="191" spans="1:3" x14ac:dyDescent="0.25">
      <c r="A191" s="402">
        <v>40542.645833333336</v>
      </c>
      <c r="B191">
        <v>13.2</v>
      </c>
      <c r="C191">
        <f>$E$1*B191</f>
        <v>73.328722986247541</v>
      </c>
    </row>
    <row r="192" spans="1:3" x14ac:dyDescent="0.25">
      <c r="A192" s="402">
        <v>40543.645833333336</v>
      </c>
      <c r="B192">
        <v>13.55</v>
      </c>
      <c r="C192">
        <f>$E$1*B192</f>
        <v>75.273045186640474</v>
      </c>
    </row>
    <row r="193" spans="1:3" x14ac:dyDescent="0.25">
      <c r="A193" s="402">
        <v>40546.645833333336</v>
      </c>
      <c r="B193">
        <v>13.25</v>
      </c>
      <c r="C193">
        <f>$E$1*B193</f>
        <v>73.606483300589389</v>
      </c>
    </row>
    <row r="194" spans="1:3" x14ac:dyDescent="0.25">
      <c r="A194" s="402">
        <v>40547.645833333336</v>
      </c>
      <c r="B194">
        <v>12.95</v>
      </c>
      <c r="C194">
        <f>$E$1*B194</f>
        <v>71.939921414538304</v>
      </c>
    </row>
    <row r="195" spans="1:3" x14ac:dyDescent="0.25">
      <c r="A195" s="402">
        <v>40548.645833333336</v>
      </c>
      <c r="B195">
        <v>12.9</v>
      </c>
      <c r="C195">
        <f>$E$1*B195</f>
        <v>71.662161100196457</v>
      </c>
    </row>
    <row r="196" spans="1:3" x14ac:dyDescent="0.25">
      <c r="A196" s="402">
        <v>40549.645833333336</v>
      </c>
      <c r="B196">
        <v>12.9</v>
      </c>
      <c r="C196">
        <f>$E$1*B196</f>
        <v>71.662161100196457</v>
      </c>
    </row>
    <row r="197" spans="1:3" x14ac:dyDescent="0.25">
      <c r="A197" s="402">
        <v>40550.645833333336</v>
      </c>
      <c r="B197">
        <v>12.25</v>
      </c>
      <c r="C197">
        <f>$E$1*B197</f>
        <v>68.051277013752454</v>
      </c>
    </row>
    <row r="198" spans="1:3" x14ac:dyDescent="0.25">
      <c r="A198" s="402">
        <v>40553.645833333336</v>
      </c>
      <c r="B198">
        <v>11.95</v>
      </c>
      <c r="C198">
        <f>$E$1*B198</f>
        <v>66.384715127701369</v>
      </c>
    </row>
    <row r="199" spans="1:3" x14ac:dyDescent="0.25">
      <c r="A199" s="402">
        <v>40554.645833333336</v>
      </c>
      <c r="B199">
        <v>11.5</v>
      </c>
      <c r="C199">
        <f>$E$1*B199</f>
        <v>63.884872298624749</v>
      </c>
    </row>
    <row r="200" spans="1:3" x14ac:dyDescent="0.25">
      <c r="A200" s="402">
        <v>40555.645833333336</v>
      </c>
      <c r="B200">
        <v>11.95</v>
      </c>
      <c r="C200">
        <f>$E$1*B200</f>
        <v>66.384715127701369</v>
      </c>
    </row>
    <row r="201" spans="1:3" x14ac:dyDescent="0.25">
      <c r="A201" s="402">
        <v>40556.645833333336</v>
      </c>
      <c r="B201">
        <v>11.65</v>
      </c>
      <c r="C201">
        <f>$E$1*B201</f>
        <v>64.718153241650285</v>
      </c>
    </row>
    <row r="202" spans="1:3" x14ac:dyDescent="0.25">
      <c r="A202" s="402">
        <v>40557.645833333336</v>
      </c>
      <c r="B202">
        <v>11.3</v>
      </c>
      <c r="C202">
        <f>$E$1*B202</f>
        <v>62.773831041257367</v>
      </c>
    </row>
    <row r="203" spans="1:3" x14ac:dyDescent="0.25">
      <c r="A203" s="402">
        <v>40560.645833333336</v>
      </c>
      <c r="B203">
        <v>11.15</v>
      </c>
      <c r="C203">
        <f>$E$1*B203</f>
        <v>61.940550098231824</v>
      </c>
    </row>
    <row r="204" spans="1:3" x14ac:dyDescent="0.25">
      <c r="A204" s="402">
        <v>40561.645833333336</v>
      </c>
      <c r="B204">
        <v>11.45</v>
      </c>
      <c r="C204">
        <f>$E$1*B204</f>
        <v>63.607111984282902</v>
      </c>
    </row>
    <row r="205" spans="1:3" x14ac:dyDescent="0.25">
      <c r="A205" s="402">
        <v>40562.645833333336</v>
      </c>
      <c r="B205">
        <v>11.5</v>
      </c>
      <c r="C205">
        <f>$E$1*B205</f>
        <v>63.884872298624749</v>
      </c>
    </row>
    <row r="206" spans="1:3" x14ac:dyDescent="0.25">
      <c r="A206" s="402">
        <v>40563.645833333336</v>
      </c>
      <c r="B206">
        <v>11.3</v>
      </c>
      <c r="C206">
        <f>$E$1*B206</f>
        <v>62.773831041257367</v>
      </c>
    </row>
    <row r="207" spans="1:3" x14ac:dyDescent="0.25">
      <c r="A207" s="402">
        <v>40564.645833333336</v>
      </c>
      <c r="B207">
        <v>11.75</v>
      </c>
      <c r="C207">
        <f>$E$1*B207</f>
        <v>65.27367387033398</v>
      </c>
    </row>
    <row r="208" spans="1:3" x14ac:dyDescent="0.25">
      <c r="A208" s="402">
        <v>40567.645833333336</v>
      </c>
      <c r="B208">
        <v>12.25</v>
      </c>
      <c r="C208">
        <f>$E$1*B208</f>
        <v>68.051277013752454</v>
      </c>
    </row>
    <row r="209" spans="1:3" x14ac:dyDescent="0.25">
      <c r="A209" s="402">
        <v>40568.645833333336</v>
      </c>
      <c r="B209">
        <v>12.15</v>
      </c>
      <c r="C209">
        <f>$E$1*B209</f>
        <v>67.495756385068759</v>
      </c>
    </row>
    <row r="210" spans="1:3" x14ac:dyDescent="0.25">
      <c r="A210" s="402">
        <v>40570.645833333336</v>
      </c>
      <c r="B210">
        <v>12.25</v>
      </c>
      <c r="C210">
        <f>$E$1*B210</f>
        <v>68.051277013752454</v>
      </c>
    </row>
    <row r="211" spans="1:3" x14ac:dyDescent="0.25">
      <c r="A211" s="402">
        <v>40571.645833333336</v>
      </c>
      <c r="B211">
        <v>12</v>
      </c>
      <c r="C211">
        <f>$E$1*B211</f>
        <v>66.662475442043217</v>
      </c>
    </row>
    <row r="212" spans="1:3" x14ac:dyDescent="0.25">
      <c r="A212" s="402">
        <v>40574.645833333336</v>
      </c>
      <c r="B212">
        <v>12.95</v>
      </c>
      <c r="C212">
        <f>$E$1*B212</f>
        <v>71.939921414538304</v>
      </c>
    </row>
    <row r="213" spans="1:3" x14ac:dyDescent="0.25">
      <c r="A213" s="402">
        <v>40575.645833333336</v>
      </c>
      <c r="B213">
        <v>12.4</v>
      </c>
      <c r="C213">
        <f>$E$1*B213</f>
        <v>68.884557956777996</v>
      </c>
    </row>
    <row r="214" spans="1:3" x14ac:dyDescent="0.25">
      <c r="A214" s="402">
        <v>40576.645833333336</v>
      </c>
      <c r="B214">
        <v>12.6</v>
      </c>
      <c r="C214">
        <f>$E$1*B214</f>
        <v>69.995599214145372</v>
      </c>
    </row>
    <row r="215" spans="1:3" x14ac:dyDescent="0.25">
      <c r="A215" s="402">
        <v>40577.645833333336</v>
      </c>
      <c r="B215">
        <v>12.6</v>
      </c>
      <c r="C215">
        <f>$E$1*B215</f>
        <v>69.995599214145372</v>
      </c>
    </row>
    <row r="216" spans="1:3" x14ac:dyDescent="0.25">
      <c r="A216" s="402">
        <v>40578.645833333336</v>
      </c>
      <c r="B216">
        <v>12.4</v>
      </c>
      <c r="C216">
        <f>$E$1*B216</f>
        <v>68.884557956777996</v>
      </c>
    </row>
    <row r="217" spans="1:3" x14ac:dyDescent="0.25">
      <c r="A217" s="402">
        <v>40581.645833333336</v>
      </c>
      <c r="B217">
        <v>12.15</v>
      </c>
      <c r="C217">
        <f>$E$1*B217</f>
        <v>67.495756385068759</v>
      </c>
    </row>
    <row r="218" spans="1:3" x14ac:dyDescent="0.25">
      <c r="A218" s="402">
        <v>40582.645833333336</v>
      </c>
      <c r="B218">
        <v>11.8</v>
      </c>
      <c r="C218">
        <f>$E$1*B218</f>
        <v>65.551434184675827</v>
      </c>
    </row>
    <row r="219" spans="1:3" x14ac:dyDescent="0.25">
      <c r="A219" s="402">
        <v>40583.645833333336</v>
      </c>
      <c r="B219">
        <v>11.65</v>
      </c>
      <c r="C219">
        <f>$E$1*B219</f>
        <v>64.718153241650285</v>
      </c>
    </row>
    <row r="220" spans="1:3" x14ac:dyDescent="0.25">
      <c r="A220" s="402">
        <v>40584.645833333336</v>
      </c>
      <c r="B220">
        <v>11.4</v>
      </c>
      <c r="C220">
        <f>$E$1*B220</f>
        <v>63.329351669941055</v>
      </c>
    </row>
    <row r="221" spans="1:3" x14ac:dyDescent="0.25">
      <c r="A221" s="402">
        <v>40585.645833333336</v>
      </c>
      <c r="B221">
        <v>11.6</v>
      </c>
      <c r="C221">
        <f>$E$1*B221</f>
        <v>64.440392927308437</v>
      </c>
    </row>
    <row r="222" spans="1:3" x14ac:dyDescent="0.25">
      <c r="A222" s="402">
        <v>40588.645833333336</v>
      </c>
      <c r="B222">
        <v>12.15</v>
      </c>
      <c r="C222">
        <f>$E$1*B222</f>
        <v>67.495756385068759</v>
      </c>
    </row>
    <row r="223" spans="1:3" x14ac:dyDescent="0.25">
      <c r="A223" s="402">
        <v>40589.645833333336</v>
      </c>
      <c r="B223">
        <v>12.15</v>
      </c>
      <c r="C223">
        <f>$E$1*B223</f>
        <v>67.495756385068759</v>
      </c>
    </row>
    <row r="224" spans="1:3" x14ac:dyDescent="0.25">
      <c r="A224" s="402">
        <v>40590.645833333336</v>
      </c>
      <c r="B224">
        <v>12.2</v>
      </c>
      <c r="C224">
        <f>$E$1*B224</f>
        <v>67.773516699410607</v>
      </c>
    </row>
    <row r="225" spans="1:3" x14ac:dyDescent="0.25">
      <c r="A225" s="402">
        <v>40591.645833333336</v>
      </c>
      <c r="B225">
        <v>12.45</v>
      </c>
      <c r="C225">
        <f>$E$1*B225</f>
        <v>69.16231827111983</v>
      </c>
    </row>
    <row r="226" spans="1:3" x14ac:dyDescent="0.25">
      <c r="A226" s="402">
        <v>40592.645833333336</v>
      </c>
      <c r="B226">
        <v>11.4</v>
      </c>
      <c r="C226">
        <f>$E$1*B226</f>
        <v>63.329351669941055</v>
      </c>
    </row>
    <row r="227" spans="1:3" x14ac:dyDescent="0.25">
      <c r="A227" s="402">
        <v>40595.645833333336</v>
      </c>
      <c r="B227">
        <v>11.4</v>
      </c>
      <c r="C227">
        <f>$E$1*B227</f>
        <v>63.329351669941055</v>
      </c>
    </row>
    <row r="228" spans="1:3" x14ac:dyDescent="0.25">
      <c r="A228" s="402">
        <v>40596.645833333336</v>
      </c>
      <c r="B228">
        <v>11.6</v>
      </c>
      <c r="C228">
        <f>$E$1*B228</f>
        <v>64.440392927308437</v>
      </c>
    </row>
    <row r="229" spans="1:3" x14ac:dyDescent="0.25">
      <c r="A229" s="402">
        <v>40597.645833333336</v>
      </c>
      <c r="B229">
        <v>11.7</v>
      </c>
      <c r="C229">
        <f>$E$1*B229</f>
        <v>64.995913555992132</v>
      </c>
    </row>
    <row r="230" spans="1:3" x14ac:dyDescent="0.25">
      <c r="A230" s="402">
        <v>40598.645833333336</v>
      </c>
      <c r="B230">
        <v>11.45</v>
      </c>
      <c r="C230">
        <f>$E$1*B230</f>
        <v>63.607111984282902</v>
      </c>
    </row>
    <row r="231" spans="1:3" x14ac:dyDescent="0.25">
      <c r="A231" s="402">
        <v>40599.645833333336</v>
      </c>
      <c r="B231">
        <v>11.5</v>
      </c>
      <c r="C231">
        <f>$E$1*B231</f>
        <v>63.884872298624749</v>
      </c>
    </row>
    <row r="232" spans="1:3" x14ac:dyDescent="0.25">
      <c r="A232" s="402">
        <v>40602.645833333336</v>
      </c>
      <c r="B232">
        <v>11.3</v>
      </c>
      <c r="C232">
        <f>$E$1*B232</f>
        <v>62.773831041257367</v>
      </c>
    </row>
    <row r="233" spans="1:3" x14ac:dyDescent="0.25">
      <c r="A233" s="402">
        <v>40603.645833333336</v>
      </c>
      <c r="B233">
        <v>11.6</v>
      </c>
      <c r="C233">
        <f>$E$1*B233</f>
        <v>64.440392927308437</v>
      </c>
    </row>
    <row r="234" spans="1:3" x14ac:dyDescent="0.25">
      <c r="A234" s="402">
        <v>40605.645833333336</v>
      </c>
      <c r="B234">
        <v>11.75</v>
      </c>
      <c r="C234">
        <f>$E$1*B234</f>
        <v>65.27367387033398</v>
      </c>
    </row>
    <row r="235" spans="1:3" x14ac:dyDescent="0.25">
      <c r="A235" s="402">
        <v>40606.645833333336</v>
      </c>
      <c r="B235">
        <v>11.55</v>
      </c>
      <c r="C235">
        <f>$E$1*B235</f>
        <v>64.162632612966604</v>
      </c>
    </row>
    <row r="236" spans="1:3" x14ac:dyDescent="0.25">
      <c r="A236" s="402">
        <v>40609.645833333336</v>
      </c>
      <c r="B236">
        <v>11.85</v>
      </c>
      <c r="C236">
        <f>$E$1*B236</f>
        <v>65.829194499017675</v>
      </c>
    </row>
    <row r="237" spans="1:3" x14ac:dyDescent="0.25">
      <c r="A237" s="402">
        <v>40610.645833333336</v>
      </c>
      <c r="B237">
        <v>11.6</v>
      </c>
      <c r="C237">
        <f>$E$1*B237</f>
        <v>64.440392927308437</v>
      </c>
    </row>
    <row r="238" spans="1:3" x14ac:dyDescent="0.25">
      <c r="A238" s="402">
        <v>40611.645833333336</v>
      </c>
      <c r="B238">
        <v>11.5</v>
      </c>
      <c r="C238">
        <f>$E$1*B238</f>
        <v>63.884872298624749</v>
      </c>
    </row>
    <row r="239" spans="1:3" x14ac:dyDescent="0.25">
      <c r="A239" s="402">
        <v>40612.645833333336</v>
      </c>
      <c r="B239">
        <v>11.5</v>
      </c>
      <c r="C239">
        <f>$E$1*B239</f>
        <v>63.884872298624749</v>
      </c>
    </row>
    <row r="240" spans="1:3" x14ac:dyDescent="0.25">
      <c r="A240" s="402">
        <v>40613.645833333336</v>
      </c>
      <c r="B240">
        <v>11.3</v>
      </c>
      <c r="C240">
        <f>$E$1*B240</f>
        <v>62.773831041257367</v>
      </c>
    </row>
    <row r="241" spans="1:3" x14ac:dyDescent="0.25">
      <c r="A241" s="402">
        <v>40616.645833333336</v>
      </c>
      <c r="B241">
        <v>11.25</v>
      </c>
      <c r="C241">
        <f>$E$1*B241</f>
        <v>62.496070726915519</v>
      </c>
    </row>
    <row r="242" spans="1:3" x14ac:dyDescent="0.25">
      <c r="A242" s="402">
        <v>40617.645833333336</v>
      </c>
      <c r="B242">
        <v>11.25</v>
      </c>
      <c r="C242">
        <f>$E$1*B242</f>
        <v>62.496070726915519</v>
      </c>
    </row>
    <row r="243" spans="1:3" x14ac:dyDescent="0.25">
      <c r="A243" s="402">
        <v>40618.645833333336</v>
      </c>
      <c r="B243">
        <v>11.4</v>
      </c>
      <c r="C243">
        <f>$E$1*B243</f>
        <v>63.329351669941055</v>
      </c>
    </row>
    <row r="244" spans="1:3" x14ac:dyDescent="0.25">
      <c r="A244" s="402">
        <v>40619.645833333336</v>
      </c>
      <c r="B244">
        <v>11.2</v>
      </c>
      <c r="C244">
        <f>$E$1*B244</f>
        <v>62.218310412573665</v>
      </c>
    </row>
    <row r="245" spans="1:3" x14ac:dyDescent="0.25">
      <c r="A245" s="402">
        <v>40620.645833333336</v>
      </c>
      <c r="B245">
        <v>11.05</v>
      </c>
      <c r="C245">
        <f>$E$1*B245</f>
        <v>61.38502946954813</v>
      </c>
    </row>
    <row r="246" spans="1:3" x14ac:dyDescent="0.25">
      <c r="A246" s="402">
        <v>40623.645833333336</v>
      </c>
      <c r="B246">
        <v>10.8</v>
      </c>
      <c r="C246">
        <f>$E$1*B246</f>
        <v>59.996227897838899</v>
      </c>
    </row>
    <row r="247" spans="1:3" x14ac:dyDescent="0.25">
      <c r="A247" s="402">
        <v>40624.645833333336</v>
      </c>
      <c r="B247">
        <v>11.1</v>
      </c>
      <c r="C247">
        <f>$E$1*B247</f>
        <v>61.662789783889977</v>
      </c>
    </row>
    <row r="248" spans="1:3" x14ac:dyDescent="0.25">
      <c r="A248" s="402">
        <v>40625.645833333336</v>
      </c>
      <c r="B248">
        <v>10.95</v>
      </c>
      <c r="C248">
        <f>$E$1*B248</f>
        <v>60.829508840864435</v>
      </c>
    </row>
    <row r="249" spans="1:3" x14ac:dyDescent="0.25">
      <c r="A249" s="402">
        <v>40626.645833333336</v>
      </c>
      <c r="B249">
        <v>11.15</v>
      </c>
      <c r="C249">
        <f>$E$1*B249</f>
        <v>61.940550098231824</v>
      </c>
    </row>
    <row r="250" spans="1:3" x14ac:dyDescent="0.25">
      <c r="A250" s="402">
        <v>40627.645833333336</v>
      </c>
      <c r="B250">
        <v>11.3</v>
      </c>
      <c r="C250">
        <f>$E$1*B250</f>
        <v>62.773831041257367</v>
      </c>
    </row>
    <row r="251" spans="1:3" x14ac:dyDescent="0.25">
      <c r="A251" s="402">
        <v>40630.645833333336</v>
      </c>
      <c r="B251">
        <v>11.15</v>
      </c>
      <c r="C251">
        <f>$E$1*B251</f>
        <v>61.940550098231824</v>
      </c>
    </row>
    <row r="252" spans="1:3" x14ac:dyDescent="0.25">
      <c r="A252" s="402">
        <v>40631.645833333336</v>
      </c>
      <c r="B252">
        <v>11</v>
      </c>
      <c r="C252">
        <f>$E$1*B252</f>
        <v>61.107269155206282</v>
      </c>
    </row>
    <row r="253" spans="1:3" x14ac:dyDescent="0.25">
      <c r="A253" s="402">
        <v>40632.645833333336</v>
      </c>
      <c r="B253">
        <v>11.3</v>
      </c>
      <c r="C253">
        <f>$E$1*B253</f>
        <v>62.773831041257367</v>
      </c>
    </row>
    <row r="254" spans="1:3" x14ac:dyDescent="0.25">
      <c r="A254" s="402">
        <v>40633.645833333336</v>
      </c>
      <c r="B254">
        <v>11.25</v>
      </c>
      <c r="C254">
        <f>$E$1*B254</f>
        <v>62.496070726915519</v>
      </c>
    </row>
    <row r="255" spans="1:3" x14ac:dyDescent="0.25">
      <c r="A255" s="402">
        <v>40634.645833333336</v>
      </c>
      <c r="B255">
        <v>11.5</v>
      </c>
      <c r="C255">
        <f>$E$1*B255</f>
        <v>63.884872298624749</v>
      </c>
    </row>
    <row r="256" spans="1:3" x14ac:dyDescent="0.25">
      <c r="A256" s="402">
        <v>40637.645833333336</v>
      </c>
      <c r="B256">
        <v>12.25</v>
      </c>
      <c r="C256">
        <f>$E$1*B256</f>
        <v>68.051277013752454</v>
      </c>
    </row>
    <row r="257" spans="1:3" x14ac:dyDescent="0.25">
      <c r="A257" s="402">
        <v>40638.645833333336</v>
      </c>
      <c r="B257">
        <v>12.9</v>
      </c>
      <c r="C257">
        <f>$E$1*B257</f>
        <v>71.662161100196457</v>
      </c>
    </row>
    <row r="258" spans="1:3" x14ac:dyDescent="0.25">
      <c r="A258" s="402">
        <v>40639.645833333336</v>
      </c>
      <c r="B258">
        <v>12.6</v>
      </c>
      <c r="C258">
        <f>$E$1*B258</f>
        <v>69.995599214145372</v>
      </c>
    </row>
    <row r="259" spans="1:3" x14ac:dyDescent="0.25">
      <c r="A259" s="402">
        <v>40640.645833333336</v>
      </c>
      <c r="B259">
        <v>12.85</v>
      </c>
      <c r="C259">
        <f>$E$1*B259</f>
        <v>71.384400785854609</v>
      </c>
    </row>
    <row r="260" spans="1:3" x14ac:dyDescent="0.25">
      <c r="A260" s="402">
        <v>40641.645833333336</v>
      </c>
      <c r="B260">
        <v>12.85</v>
      </c>
      <c r="C260">
        <f>$E$1*B260</f>
        <v>71.384400785854609</v>
      </c>
    </row>
    <row r="261" spans="1:3" x14ac:dyDescent="0.25">
      <c r="A261" s="402">
        <v>40644.645833333336</v>
      </c>
      <c r="B261">
        <v>12.5</v>
      </c>
      <c r="C261">
        <f>$E$1*B261</f>
        <v>69.440078585461691</v>
      </c>
    </row>
    <row r="262" spans="1:3" x14ac:dyDescent="0.25">
      <c r="A262" s="402">
        <v>40646.645833333336</v>
      </c>
      <c r="B262">
        <v>12.8</v>
      </c>
      <c r="C262">
        <f>$E$1*B262</f>
        <v>71.106640471512762</v>
      </c>
    </row>
    <row r="263" spans="1:3" x14ac:dyDescent="0.25">
      <c r="A263" s="402">
        <v>40648.645833333336</v>
      </c>
      <c r="B263">
        <v>12.5</v>
      </c>
      <c r="C263">
        <f>$E$1*B263</f>
        <v>69.440078585461691</v>
      </c>
    </row>
    <row r="264" spans="1:3" x14ac:dyDescent="0.25">
      <c r="A264" s="402">
        <v>40651.645833333336</v>
      </c>
      <c r="B264">
        <v>12.15</v>
      </c>
      <c r="C264">
        <f>$E$1*B264</f>
        <v>67.495756385068759</v>
      </c>
    </row>
    <row r="265" spans="1:3" x14ac:dyDescent="0.25">
      <c r="A265" s="402">
        <v>40652.645833333336</v>
      </c>
      <c r="B265">
        <v>12.3</v>
      </c>
      <c r="C265">
        <f>$E$1*B265</f>
        <v>68.329037328094302</v>
      </c>
    </row>
    <row r="266" spans="1:3" x14ac:dyDescent="0.25">
      <c r="A266" s="402">
        <v>40653.645833333336</v>
      </c>
      <c r="B266">
        <v>12.15</v>
      </c>
      <c r="C266">
        <f>$E$1*B266</f>
        <v>67.495756385068759</v>
      </c>
    </row>
    <row r="267" spans="1:3" x14ac:dyDescent="0.25">
      <c r="A267" s="402">
        <v>40654.645833333336</v>
      </c>
      <c r="B267">
        <v>12.25</v>
      </c>
      <c r="C267">
        <f>$E$1*B267</f>
        <v>68.051277013752454</v>
      </c>
    </row>
    <row r="268" spans="1:3" x14ac:dyDescent="0.25">
      <c r="A268" s="402">
        <v>40658.645833333336</v>
      </c>
      <c r="B268">
        <v>12.35</v>
      </c>
      <c r="C268">
        <f>$E$1*B268</f>
        <v>68.606797642436149</v>
      </c>
    </row>
    <row r="269" spans="1:3" x14ac:dyDescent="0.25">
      <c r="A269" s="402">
        <v>40659.645833333336</v>
      </c>
      <c r="B269">
        <v>12.35</v>
      </c>
      <c r="C269">
        <f>$E$1*B269</f>
        <v>68.606797642436149</v>
      </c>
    </row>
    <row r="270" spans="1:3" x14ac:dyDescent="0.25">
      <c r="A270" s="402">
        <v>40660.645833333336</v>
      </c>
      <c r="B270">
        <v>12.5</v>
      </c>
      <c r="C270">
        <f>$E$1*B270</f>
        <v>69.440078585461691</v>
      </c>
    </row>
    <row r="271" spans="1:3" x14ac:dyDescent="0.25">
      <c r="A271" s="402">
        <v>40661.645833333336</v>
      </c>
      <c r="B271">
        <v>12.4</v>
      </c>
      <c r="C271">
        <f>$E$1*B271</f>
        <v>68.884557956777996</v>
      </c>
    </row>
    <row r="272" spans="1:3" x14ac:dyDescent="0.25">
      <c r="A272" s="402">
        <v>40662.645833333336</v>
      </c>
      <c r="B272">
        <v>12.25</v>
      </c>
      <c r="C272">
        <f>$E$1*B272</f>
        <v>68.051277013752454</v>
      </c>
    </row>
    <row r="273" spans="1:3" x14ac:dyDescent="0.25">
      <c r="A273" s="402">
        <v>40665.645833333336</v>
      </c>
      <c r="B273">
        <v>12.45</v>
      </c>
      <c r="C273">
        <f>$E$1*B273</f>
        <v>69.16231827111983</v>
      </c>
    </row>
    <row r="274" spans="1:3" x14ac:dyDescent="0.25">
      <c r="A274" s="402">
        <v>40666.645833333336</v>
      </c>
      <c r="B274">
        <v>11.75</v>
      </c>
      <c r="C274">
        <f>$E$1*B274</f>
        <v>65.27367387033398</v>
      </c>
    </row>
    <row r="275" spans="1:3" x14ac:dyDescent="0.25">
      <c r="A275" s="402">
        <v>40667.645833333336</v>
      </c>
      <c r="B275">
        <v>12.2</v>
      </c>
      <c r="C275">
        <f>$E$1*B275</f>
        <v>67.773516699410607</v>
      </c>
    </row>
    <row r="276" spans="1:3" x14ac:dyDescent="0.25">
      <c r="A276" s="402">
        <v>40668.645833333336</v>
      </c>
      <c r="B276">
        <v>12.3</v>
      </c>
      <c r="C276">
        <f>$E$1*B276</f>
        <v>68.329037328094302</v>
      </c>
    </row>
    <row r="277" spans="1:3" x14ac:dyDescent="0.25">
      <c r="A277" s="402">
        <v>40669.645833333336</v>
      </c>
      <c r="B277">
        <v>12</v>
      </c>
      <c r="C277">
        <f>$E$1*B277</f>
        <v>66.662475442043217</v>
      </c>
    </row>
    <row r="278" spans="1:3" x14ac:dyDescent="0.25">
      <c r="A278" s="402">
        <v>40672.645833333336</v>
      </c>
      <c r="B278">
        <v>11.9</v>
      </c>
      <c r="C278">
        <f>$E$1*B278</f>
        <v>66.106954813359522</v>
      </c>
    </row>
    <row r="279" spans="1:3" x14ac:dyDescent="0.25">
      <c r="A279" s="402">
        <v>40673.645833333336</v>
      </c>
      <c r="B279">
        <v>11.35</v>
      </c>
      <c r="C279">
        <f>$E$1*B279</f>
        <v>63.051591355599207</v>
      </c>
    </row>
    <row r="280" spans="1:3" x14ac:dyDescent="0.25">
      <c r="A280" s="402">
        <v>40674.645833333336</v>
      </c>
      <c r="B280">
        <v>11.3</v>
      </c>
      <c r="C280">
        <f>$E$1*B280</f>
        <v>62.773831041257367</v>
      </c>
    </row>
    <row r="281" spans="1:3" x14ac:dyDescent="0.25">
      <c r="A281" s="402">
        <v>40675.645833333336</v>
      </c>
      <c r="B281">
        <v>10.95</v>
      </c>
      <c r="C281">
        <f>$E$1*B281</f>
        <v>60.829508840864435</v>
      </c>
    </row>
    <row r="282" spans="1:3" x14ac:dyDescent="0.25">
      <c r="A282" s="402">
        <v>40676.645833333336</v>
      </c>
      <c r="B282">
        <v>11.05</v>
      </c>
      <c r="C282">
        <f>$E$1*B282</f>
        <v>61.38502946954813</v>
      </c>
    </row>
    <row r="283" spans="1:3" x14ac:dyDescent="0.25">
      <c r="A283" s="402">
        <v>40679.645833333336</v>
      </c>
      <c r="B283">
        <v>10.8</v>
      </c>
      <c r="C283">
        <f>$E$1*B283</f>
        <v>59.996227897838899</v>
      </c>
    </row>
    <row r="284" spans="1:3" x14ac:dyDescent="0.25">
      <c r="A284" s="402">
        <v>40680.645833333336</v>
      </c>
      <c r="B284">
        <v>10.7</v>
      </c>
      <c r="C284">
        <f>$E$1*B284</f>
        <v>59.440707269155197</v>
      </c>
    </row>
    <row r="285" spans="1:3" x14ac:dyDescent="0.25">
      <c r="A285" s="402">
        <v>40681.645833333336</v>
      </c>
      <c r="B285">
        <v>10.6</v>
      </c>
      <c r="C285">
        <f>$E$1*B285</f>
        <v>58.88518664047151</v>
      </c>
    </row>
    <row r="286" spans="1:3" x14ac:dyDescent="0.25">
      <c r="A286" s="402">
        <v>40682.645833333336</v>
      </c>
      <c r="B286">
        <v>10.3</v>
      </c>
      <c r="C286">
        <f>$E$1*B286</f>
        <v>57.218624754420432</v>
      </c>
    </row>
    <row r="287" spans="1:3" x14ac:dyDescent="0.25">
      <c r="A287" s="402">
        <v>40683.645833333336</v>
      </c>
      <c r="B287">
        <v>11</v>
      </c>
      <c r="C287">
        <f>$E$1*B287</f>
        <v>61.107269155206282</v>
      </c>
    </row>
    <row r="288" spans="1:3" x14ac:dyDescent="0.25">
      <c r="A288" s="402">
        <v>40686.645833333336</v>
      </c>
      <c r="B288">
        <v>10.3</v>
      </c>
      <c r="C288">
        <f>$E$1*B288</f>
        <v>57.218624754420432</v>
      </c>
    </row>
    <row r="289" spans="1:3" x14ac:dyDescent="0.25">
      <c r="A289" s="402">
        <v>40687.645833333336</v>
      </c>
      <c r="B289">
        <v>10.55</v>
      </c>
      <c r="C289">
        <f>$E$1*B289</f>
        <v>58.607426326129662</v>
      </c>
    </row>
    <row r="290" spans="1:3" x14ac:dyDescent="0.25">
      <c r="A290" s="402">
        <v>40688.645833333336</v>
      </c>
      <c r="B290">
        <v>10.25</v>
      </c>
      <c r="C290">
        <f>$E$1*B290</f>
        <v>56.940864440078585</v>
      </c>
    </row>
    <row r="291" spans="1:3" x14ac:dyDescent="0.25">
      <c r="A291" s="402">
        <v>40689.645833333336</v>
      </c>
      <c r="B291">
        <v>10</v>
      </c>
      <c r="C291">
        <f>$E$1*B291</f>
        <v>55.552062868369347</v>
      </c>
    </row>
    <row r="292" spans="1:3" x14ac:dyDescent="0.25">
      <c r="A292" s="402">
        <v>40690.645833333336</v>
      </c>
      <c r="B292">
        <v>9.9</v>
      </c>
      <c r="C292">
        <f>$E$1*B292</f>
        <v>54.996542239685652</v>
      </c>
    </row>
    <row r="293" spans="1:3" x14ac:dyDescent="0.25">
      <c r="A293" s="402">
        <v>40693.645833333336</v>
      </c>
      <c r="B293">
        <v>10.1</v>
      </c>
      <c r="C293">
        <f>$E$1*B293</f>
        <v>56.107583497053042</v>
      </c>
    </row>
    <row r="294" spans="1:3" x14ac:dyDescent="0.25">
      <c r="A294" s="402">
        <v>40694.645833333336</v>
      </c>
      <c r="B294">
        <v>10.050000000000001</v>
      </c>
      <c r="C294">
        <f>$E$1*B294</f>
        <v>55.829823182711195</v>
      </c>
    </row>
    <row r="295" spans="1:3" x14ac:dyDescent="0.25">
      <c r="A295" s="402">
        <v>40695.645833333336</v>
      </c>
      <c r="B295">
        <v>10.25</v>
      </c>
      <c r="C295">
        <f>$E$1*B295</f>
        <v>56.940864440078585</v>
      </c>
    </row>
    <row r="296" spans="1:3" x14ac:dyDescent="0.25">
      <c r="A296" s="402">
        <v>40696.645833333336</v>
      </c>
      <c r="B296">
        <v>10.1</v>
      </c>
      <c r="C296">
        <f>$E$1*B296</f>
        <v>56.107583497053042</v>
      </c>
    </row>
    <row r="297" spans="1:3" x14ac:dyDescent="0.25">
      <c r="A297" s="402">
        <v>40697.645833333336</v>
      </c>
      <c r="B297">
        <v>10</v>
      </c>
      <c r="C297">
        <f>$E$1*B297</f>
        <v>55.552062868369347</v>
      </c>
    </row>
    <row r="298" spans="1:3" x14ac:dyDescent="0.25">
      <c r="A298" s="402">
        <v>40700.645833333336</v>
      </c>
      <c r="B298">
        <v>10.15</v>
      </c>
      <c r="C298">
        <f>$E$1*B298</f>
        <v>56.38534381139489</v>
      </c>
    </row>
    <row r="299" spans="1:3" x14ac:dyDescent="0.25">
      <c r="A299" s="402">
        <v>40701.645833333336</v>
      </c>
      <c r="B299">
        <v>10</v>
      </c>
      <c r="C299">
        <f>$E$1*B299</f>
        <v>55.552062868369347</v>
      </c>
    </row>
    <row r="300" spans="1:3" x14ac:dyDescent="0.25">
      <c r="A300" s="402">
        <v>40702.645833333336</v>
      </c>
      <c r="B300">
        <v>10.199999999999999</v>
      </c>
      <c r="C300">
        <f>$E$1*B300</f>
        <v>56.66310412573673</v>
      </c>
    </row>
    <row r="301" spans="1:3" x14ac:dyDescent="0.25">
      <c r="A301" s="402">
        <v>40703.645833333336</v>
      </c>
      <c r="B301">
        <v>10.050000000000001</v>
      </c>
      <c r="C301">
        <f>$E$1*B301</f>
        <v>55.829823182711195</v>
      </c>
    </row>
    <row r="302" spans="1:3" x14ac:dyDescent="0.25">
      <c r="A302" s="402">
        <v>40704.645833333336</v>
      </c>
      <c r="B302">
        <v>9.9</v>
      </c>
      <c r="C302">
        <f>$E$1*B302</f>
        <v>54.996542239685652</v>
      </c>
    </row>
    <row r="303" spans="1:3" x14ac:dyDescent="0.25">
      <c r="A303" s="402">
        <v>40707.645833333336</v>
      </c>
      <c r="B303">
        <v>9.8000000000000007</v>
      </c>
      <c r="C303">
        <f>$E$1*B303</f>
        <v>54.441021611001965</v>
      </c>
    </row>
    <row r="304" spans="1:3" x14ac:dyDescent="0.25">
      <c r="A304" s="402">
        <v>40708.645833333336</v>
      </c>
      <c r="B304">
        <v>9.6999999999999993</v>
      </c>
      <c r="C304">
        <f>$E$1*B304</f>
        <v>53.885500982318263</v>
      </c>
    </row>
    <row r="305" spans="1:3" x14ac:dyDescent="0.25">
      <c r="A305" s="402">
        <v>40709.645833333336</v>
      </c>
      <c r="B305">
        <v>9.5500000000000007</v>
      </c>
      <c r="C305">
        <f>$E$1*B305</f>
        <v>53.052220039292727</v>
      </c>
    </row>
    <row r="306" spans="1:3" x14ac:dyDescent="0.25">
      <c r="A306" s="402">
        <v>40710.645833333336</v>
      </c>
      <c r="B306">
        <v>9.6</v>
      </c>
      <c r="C306">
        <f>$E$1*B306</f>
        <v>53.329980353634575</v>
      </c>
    </row>
    <row r="307" spans="1:3" x14ac:dyDescent="0.25">
      <c r="A307" s="402">
        <v>40711.645833333336</v>
      </c>
      <c r="B307">
        <v>9.25</v>
      </c>
      <c r="C307">
        <f>$E$1*B307</f>
        <v>51.38565815324165</v>
      </c>
    </row>
    <row r="308" spans="1:3" x14ac:dyDescent="0.25">
      <c r="A308" s="402">
        <v>40714.645833333336</v>
      </c>
      <c r="B308">
        <v>8.85</v>
      </c>
      <c r="C308">
        <f>$E$1*B308</f>
        <v>49.16357563850687</v>
      </c>
    </row>
    <row r="309" spans="1:3" x14ac:dyDescent="0.25">
      <c r="A309" s="402">
        <v>40715.645833333336</v>
      </c>
      <c r="B309">
        <v>8.6999999999999993</v>
      </c>
      <c r="C309">
        <f>$E$1*B309</f>
        <v>48.330294695481328</v>
      </c>
    </row>
    <row r="310" spans="1:3" x14ac:dyDescent="0.25">
      <c r="A310" s="402">
        <v>40716.645833333336</v>
      </c>
      <c r="B310">
        <v>8.3000000000000007</v>
      </c>
      <c r="C310">
        <f>$E$1*B310</f>
        <v>46.108212180746563</v>
      </c>
    </row>
    <row r="311" spans="1:3" x14ac:dyDescent="0.25">
      <c r="A311" s="402">
        <v>40717.645833333336</v>
      </c>
      <c r="B311">
        <v>8.4</v>
      </c>
      <c r="C311">
        <f>$E$1*B311</f>
        <v>46.66373280943025</v>
      </c>
    </row>
    <row r="312" spans="1:3" x14ac:dyDescent="0.25">
      <c r="A312" s="402">
        <v>40718.645833333336</v>
      </c>
      <c r="B312">
        <v>8.5500000000000007</v>
      </c>
      <c r="C312">
        <f>$E$1*B312</f>
        <v>47.497013752455793</v>
      </c>
    </row>
    <row r="313" spans="1:3" x14ac:dyDescent="0.25">
      <c r="A313" s="402">
        <v>40721.645833333336</v>
      </c>
      <c r="B313">
        <v>8.5</v>
      </c>
      <c r="C313">
        <f>$E$1*B313</f>
        <v>47.219253438113945</v>
      </c>
    </row>
    <row r="314" spans="1:3" x14ac:dyDescent="0.25">
      <c r="A314" s="402">
        <v>40722.645833333336</v>
      </c>
      <c r="B314">
        <v>8.5</v>
      </c>
      <c r="C314">
        <f>$E$1*B314</f>
        <v>47.219253438113945</v>
      </c>
    </row>
    <row r="315" spans="1:3" x14ac:dyDescent="0.25">
      <c r="A315" s="402">
        <v>40723.645833333336</v>
      </c>
      <c r="B315">
        <v>8.85</v>
      </c>
      <c r="C315">
        <f>$E$1*B315</f>
        <v>49.16357563850687</v>
      </c>
    </row>
    <row r="316" spans="1:3" x14ac:dyDescent="0.25">
      <c r="A316" s="402">
        <v>40724.645833333336</v>
      </c>
      <c r="B316">
        <v>8.5</v>
      </c>
      <c r="C316">
        <f>$E$1*B316</f>
        <v>47.219253438113945</v>
      </c>
    </row>
    <row r="317" spans="1:3" x14ac:dyDescent="0.25">
      <c r="A317" s="402">
        <v>40725.645833333336</v>
      </c>
      <c r="B317">
        <v>8.75</v>
      </c>
      <c r="C317">
        <f>$E$1*B317</f>
        <v>48.608055009823175</v>
      </c>
    </row>
    <row r="318" spans="1:3" x14ac:dyDescent="0.25">
      <c r="A318" s="402">
        <v>40728.645833333336</v>
      </c>
      <c r="B318">
        <v>8.6999999999999993</v>
      </c>
      <c r="C318">
        <f>$E$1*B318</f>
        <v>48.330294695481328</v>
      </c>
    </row>
    <row r="319" spans="1:3" x14ac:dyDescent="0.25">
      <c r="A319" s="402">
        <v>40729.645833333336</v>
      </c>
      <c r="B319">
        <v>9.1</v>
      </c>
      <c r="C319">
        <f>$E$1*B319</f>
        <v>50.552377210216108</v>
      </c>
    </row>
    <row r="320" spans="1:3" x14ac:dyDescent="0.25">
      <c r="A320" s="402">
        <v>40730.645833333336</v>
      </c>
      <c r="B320">
        <v>9.5500000000000007</v>
      </c>
      <c r="C320">
        <f>$E$1*B320</f>
        <v>53.052220039292727</v>
      </c>
    </row>
    <row r="321" spans="1:3" x14ac:dyDescent="0.25">
      <c r="A321" s="402">
        <v>40731.645833333336</v>
      </c>
      <c r="B321">
        <v>9.75</v>
      </c>
      <c r="C321">
        <f>$E$1*B321</f>
        <v>54.16326129666011</v>
      </c>
    </row>
    <row r="322" spans="1:3" x14ac:dyDescent="0.25">
      <c r="A322" s="402">
        <v>40732.645833333336</v>
      </c>
      <c r="B322">
        <v>9.4</v>
      </c>
      <c r="C322">
        <f>$E$1*B322</f>
        <v>52.218939096267185</v>
      </c>
    </row>
    <row r="323" spans="1:3" x14ac:dyDescent="0.25">
      <c r="A323" s="402">
        <v>40735.645833333336</v>
      </c>
      <c r="B323">
        <v>9.0500000000000007</v>
      </c>
      <c r="C323">
        <f>$E$1*B323</f>
        <v>50.27461689587426</v>
      </c>
    </row>
    <row r="324" spans="1:3" x14ac:dyDescent="0.25">
      <c r="A324" s="402">
        <v>40736.645833333336</v>
      </c>
      <c r="B324">
        <v>9</v>
      </c>
      <c r="C324">
        <f>$E$1*B324</f>
        <v>49.996856581532413</v>
      </c>
    </row>
    <row r="325" spans="1:3" x14ac:dyDescent="0.25">
      <c r="A325" s="402">
        <v>40737.645833333336</v>
      </c>
      <c r="B325">
        <v>9</v>
      </c>
      <c r="C325">
        <f>$E$1*B325</f>
        <v>49.996856581532413</v>
      </c>
    </row>
    <row r="326" spans="1:3" x14ac:dyDescent="0.25">
      <c r="A326" s="402">
        <v>40738.645833333336</v>
      </c>
      <c r="B326">
        <v>8.9499999999999993</v>
      </c>
      <c r="C326">
        <f>$E$1*B326</f>
        <v>49.719096267190565</v>
      </c>
    </row>
    <row r="327" spans="1:3" x14ac:dyDescent="0.25">
      <c r="A327" s="402">
        <v>40739.645833333336</v>
      </c>
      <c r="B327">
        <v>9.25</v>
      </c>
      <c r="C327">
        <f>$E$1*B327</f>
        <v>51.38565815324165</v>
      </c>
    </row>
    <row r="328" spans="1:3" x14ac:dyDescent="0.25">
      <c r="A328" s="402">
        <v>40742.645833333336</v>
      </c>
      <c r="B328">
        <v>8.8000000000000007</v>
      </c>
      <c r="C328">
        <f>$E$1*B328</f>
        <v>48.88581532416503</v>
      </c>
    </row>
    <row r="329" spans="1:3" x14ac:dyDescent="0.25">
      <c r="A329" s="402">
        <v>40743.645833333336</v>
      </c>
      <c r="B329">
        <v>9.15</v>
      </c>
      <c r="C329">
        <f>$E$1*B329</f>
        <v>50.830137524557955</v>
      </c>
    </row>
    <row r="330" spans="1:3" x14ac:dyDescent="0.25">
      <c r="A330" s="402">
        <v>40744.645833333336</v>
      </c>
      <c r="B330">
        <v>9</v>
      </c>
      <c r="C330">
        <f>$E$1*B330</f>
        <v>49.996856581532413</v>
      </c>
    </row>
    <row r="331" spans="1:3" x14ac:dyDescent="0.25">
      <c r="A331" s="402">
        <v>40745.645833333336</v>
      </c>
      <c r="B331">
        <v>9.1</v>
      </c>
      <c r="C331">
        <f>$E$1*B331</f>
        <v>50.552377210216108</v>
      </c>
    </row>
    <row r="332" spans="1:3" x14ac:dyDescent="0.25">
      <c r="A332" s="402">
        <v>40746.645833333336</v>
      </c>
      <c r="B332">
        <v>9</v>
      </c>
      <c r="C332">
        <f>$E$1*B332</f>
        <v>49.996856581532413</v>
      </c>
    </row>
    <row r="333" spans="1:3" x14ac:dyDescent="0.25">
      <c r="A333" s="402">
        <v>40749.645833333336</v>
      </c>
      <c r="B333">
        <v>9</v>
      </c>
      <c r="C333">
        <f>$E$1*B333</f>
        <v>49.996856581532413</v>
      </c>
    </row>
    <row r="334" spans="1:3" x14ac:dyDescent="0.25">
      <c r="A334" s="402">
        <v>40750.645833333336</v>
      </c>
      <c r="B334">
        <v>8.6999999999999993</v>
      </c>
      <c r="C334">
        <f>$E$1*B334</f>
        <v>48.330294695481328</v>
      </c>
    </row>
    <row r="335" spans="1:3" x14ac:dyDescent="0.25">
      <c r="A335" s="402">
        <v>40751.645833333336</v>
      </c>
      <c r="B335">
        <v>8.9499999999999993</v>
      </c>
      <c r="C335">
        <f>$E$1*B335</f>
        <v>49.719096267190565</v>
      </c>
    </row>
    <row r="336" spans="1:3" x14ac:dyDescent="0.25">
      <c r="A336" s="402">
        <v>40752.645833333336</v>
      </c>
      <c r="B336">
        <v>8.5500000000000007</v>
      </c>
      <c r="C336">
        <f>$E$1*B336</f>
        <v>47.497013752455793</v>
      </c>
    </row>
    <row r="337" spans="1:3" x14ac:dyDescent="0.25">
      <c r="A337" s="402">
        <v>40753.645833333336</v>
      </c>
      <c r="B337">
        <v>8.4</v>
      </c>
      <c r="C337">
        <f>$E$1*B337</f>
        <v>46.66373280943025</v>
      </c>
    </row>
    <row r="338" spans="1:3" x14ac:dyDescent="0.25">
      <c r="A338" s="402">
        <v>40756.645833333336</v>
      </c>
      <c r="B338">
        <v>8.4</v>
      </c>
      <c r="C338">
        <f>$E$1*B338</f>
        <v>46.66373280943025</v>
      </c>
    </row>
    <row r="339" spans="1:3" x14ac:dyDescent="0.25">
      <c r="A339" s="402">
        <v>40757.645833333336</v>
      </c>
      <c r="B339">
        <v>8</v>
      </c>
      <c r="C339">
        <f>$E$1*B339</f>
        <v>44.441650294695478</v>
      </c>
    </row>
    <row r="340" spans="1:3" x14ac:dyDescent="0.25">
      <c r="A340" s="402">
        <v>40758.645833333336</v>
      </c>
      <c r="B340">
        <v>7.8</v>
      </c>
      <c r="C340">
        <f>$E$1*B340</f>
        <v>43.330609037328088</v>
      </c>
    </row>
    <row r="341" spans="1:3" x14ac:dyDescent="0.25">
      <c r="A341" s="402">
        <v>40759.645833333336</v>
      </c>
      <c r="B341">
        <v>7.85</v>
      </c>
      <c r="C341">
        <f>$E$1*B341</f>
        <v>43.608369351669936</v>
      </c>
    </row>
    <row r="342" spans="1:3" x14ac:dyDescent="0.25">
      <c r="A342" s="402">
        <v>40760.645833333336</v>
      </c>
      <c r="B342">
        <v>7.65</v>
      </c>
      <c r="C342">
        <f>$E$1*B342</f>
        <v>42.497328094302553</v>
      </c>
    </row>
    <row r="343" spans="1:3" x14ac:dyDescent="0.25">
      <c r="A343" s="402">
        <v>40763.645833333336</v>
      </c>
      <c r="B343">
        <v>7.15</v>
      </c>
      <c r="C343">
        <f>$E$1*B343</f>
        <v>39.719724950884086</v>
      </c>
    </row>
    <row r="344" spans="1:3" x14ac:dyDescent="0.25">
      <c r="A344" s="402">
        <v>40764.645833333336</v>
      </c>
      <c r="B344">
        <v>6.95</v>
      </c>
      <c r="C344">
        <f>$E$1*B344</f>
        <v>38.608683693516696</v>
      </c>
    </row>
    <row r="345" spans="1:3" x14ac:dyDescent="0.25">
      <c r="A345" s="402">
        <v>40765.645833333336</v>
      </c>
      <c r="B345">
        <v>7.1</v>
      </c>
      <c r="C345">
        <f>$E$1*B345</f>
        <v>39.441964636542238</v>
      </c>
    </row>
    <row r="346" spans="1:3" x14ac:dyDescent="0.25">
      <c r="A346" s="402">
        <v>40766.645833333336</v>
      </c>
      <c r="B346">
        <v>7</v>
      </c>
      <c r="C346">
        <f>$E$1*B346</f>
        <v>38.886444007858543</v>
      </c>
    </row>
    <row r="347" spans="1:3" x14ac:dyDescent="0.25">
      <c r="A347" s="402">
        <v>40767.645833333336</v>
      </c>
      <c r="B347">
        <v>6.65</v>
      </c>
      <c r="C347">
        <f>$E$1*B347</f>
        <v>36.942121807465618</v>
      </c>
    </row>
    <row r="348" spans="1:3" x14ac:dyDescent="0.25">
      <c r="A348" s="402">
        <v>40771.645833333336</v>
      </c>
      <c r="B348">
        <v>6.7</v>
      </c>
      <c r="C348">
        <f>$E$1*B348</f>
        <v>37.219882121807466</v>
      </c>
    </row>
    <row r="349" spans="1:3" x14ac:dyDescent="0.25">
      <c r="A349" s="402">
        <v>40772.645833333336</v>
      </c>
      <c r="B349">
        <v>6.55</v>
      </c>
      <c r="C349">
        <f>$E$1*B349</f>
        <v>36.386601178781923</v>
      </c>
    </row>
    <row r="350" spans="1:3" x14ac:dyDescent="0.25">
      <c r="A350" s="402">
        <v>40773.645833333336</v>
      </c>
      <c r="B350">
        <v>6.65</v>
      </c>
      <c r="C350">
        <f>$E$1*B350</f>
        <v>36.942121807465618</v>
      </c>
    </row>
    <row r="351" spans="1:3" x14ac:dyDescent="0.25">
      <c r="A351" s="402">
        <v>40774.645833333336</v>
      </c>
      <c r="B351">
        <v>6.85</v>
      </c>
      <c r="C351">
        <f>$E$1*B351</f>
        <v>38.053163064833001</v>
      </c>
    </row>
    <row r="352" spans="1:3" x14ac:dyDescent="0.25">
      <c r="A352" s="402">
        <v>40777.645833333336</v>
      </c>
      <c r="B352">
        <v>7.35</v>
      </c>
      <c r="C352">
        <f>$E$1*B352</f>
        <v>40.830766208251468</v>
      </c>
    </row>
    <row r="353" spans="1:3" x14ac:dyDescent="0.25">
      <c r="A353" s="402">
        <v>40778.645833333336</v>
      </c>
      <c r="B353">
        <v>7.05</v>
      </c>
      <c r="C353">
        <f>$E$1*B353</f>
        <v>39.164204322200391</v>
      </c>
    </row>
    <row r="354" spans="1:3" x14ac:dyDescent="0.25">
      <c r="A354" s="402">
        <v>40779.645833333336</v>
      </c>
      <c r="B354">
        <v>6.85</v>
      </c>
      <c r="C354">
        <f>$E$1*B354</f>
        <v>38.053163064833001</v>
      </c>
    </row>
    <row r="355" spans="1:3" x14ac:dyDescent="0.25">
      <c r="A355" s="402">
        <v>40780.645833333336</v>
      </c>
      <c r="B355">
        <v>6.9</v>
      </c>
      <c r="C355">
        <f>$E$1*B355</f>
        <v>38.330923379174848</v>
      </c>
    </row>
    <row r="356" spans="1:3" x14ac:dyDescent="0.25">
      <c r="A356" s="402">
        <v>40781.645833333336</v>
      </c>
      <c r="B356">
        <v>6.2</v>
      </c>
      <c r="C356">
        <f>$E$1*B356</f>
        <v>34.442278978388998</v>
      </c>
    </row>
    <row r="357" spans="1:3" x14ac:dyDescent="0.25">
      <c r="A357" s="402">
        <v>40784.645833333336</v>
      </c>
      <c r="B357">
        <v>6.5</v>
      </c>
      <c r="C357">
        <f>$E$1*B357</f>
        <v>36.108840864440076</v>
      </c>
    </row>
    <row r="358" spans="1:3" x14ac:dyDescent="0.25">
      <c r="A358" s="402">
        <v>40785.645833333336</v>
      </c>
      <c r="B358">
        <v>6.65</v>
      </c>
      <c r="C358">
        <f>$E$1*B358</f>
        <v>36.942121807465618</v>
      </c>
    </row>
    <row r="359" spans="1:3" x14ac:dyDescent="0.25">
      <c r="A359" s="402">
        <v>40788.645833333336</v>
      </c>
      <c r="B359">
        <v>6.85</v>
      </c>
      <c r="C359">
        <f>$E$1*B359</f>
        <v>38.053163064833001</v>
      </c>
    </row>
    <row r="360" spans="1:3" x14ac:dyDescent="0.25">
      <c r="A360" s="402">
        <v>40791.645833333336</v>
      </c>
      <c r="B360">
        <v>6.7</v>
      </c>
      <c r="C360">
        <f>$E$1*B360</f>
        <v>37.219882121807466</v>
      </c>
    </row>
    <row r="361" spans="1:3" x14ac:dyDescent="0.25">
      <c r="A361" s="402">
        <v>40792.645833333336</v>
      </c>
      <c r="B361">
        <v>7.05</v>
      </c>
      <c r="C361">
        <f>$E$1*B361</f>
        <v>39.164204322200391</v>
      </c>
    </row>
    <row r="362" spans="1:3" x14ac:dyDescent="0.25">
      <c r="A362" s="402">
        <v>40793.645833333336</v>
      </c>
      <c r="B362">
        <v>7.35</v>
      </c>
      <c r="C362">
        <f>$E$1*B362</f>
        <v>40.830766208251468</v>
      </c>
    </row>
    <row r="363" spans="1:3" x14ac:dyDescent="0.25">
      <c r="A363" s="402">
        <v>40794.645833333336</v>
      </c>
      <c r="B363">
        <v>7.4</v>
      </c>
      <c r="C363">
        <f>$E$1*B363</f>
        <v>41.108526522593316</v>
      </c>
    </row>
    <row r="364" spans="1:3" x14ac:dyDescent="0.25">
      <c r="A364" s="402">
        <v>40795.645833333336</v>
      </c>
      <c r="B364">
        <v>7</v>
      </c>
      <c r="C364">
        <f>$E$1*B364</f>
        <v>38.886444007858543</v>
      </c>
    </row>
    <row r="365" spans="1:3" x14ac:dyDescent="0.25">
      <c r="A365" s="402">
        <v>40798.645833333336</v>
      </c>
      <c r="B365">
        <v>7.25</v>
      </c>
      <c r="C365">
        <f>$E$1*B365</f>
        <v>40.27524557956778</v>
      </c>
    </row>
    <row r="366" spans="1:3" x14ac:dyDescent="0.25">
      <c r="A366" s="402">
        <v>40799.645833333336</v>
      </c>
      <c r="B366">
        <v>7.05</v>
      </c>
      <c r="C366">
        <f>$E$1*B366</f>
        <v>39.164204322200391</v>
      </c>
    </row>
    <row r="367" spans="1:3" x14ac:dyDescent="0.25">
      <c r="A367" s="402">
        <v>40800.645833333336</v>
      </c>
      <c r="B367">
        <v>7.1</v>
      </c>
      <c r="C367">
        <f>$E$1*B367</f>
        <v>39.441964636542238</v>
      </c>
    </row>
    <row r="368" spans="1:3" x14ac:dyDescent="0.25">
      <c r="A368" s="402">
        <v>40801.645833333336</v>
      </c>
      <c r="B368">
        <v>7.15</v>
      </c>
      <c r="C368">
        <f>$E$1*B368</f>
        <v>39.719724950884086</v>
      </c>
    </row>
    <row r="369" spans="1:3" x14ac:dyDescent="0.25">
      <c r="A369" s="402">
        <v>40802.645833333336</v>
      </c>
      <c r="B369">
        <v>7.05</v>
      </c>
      <c r="C369">
        <f>$E$1*B369</f>
        <v>39.164204322200391</v>
      </c>
    </row>
    <row r="370" spans="1:3" x14ac:dyDescent="0.25">
      <c r="A370" s="402">
        <v>40805.645833333336</v>
      </c>
      <c r="B370">
        <v>7.1</v>
      </c>
      <c r="C370">
        <f>$E$1*B370</f>
        <v>39.441964636542238</v>
      </c>
    </row>
    <row r="371" spans="1:3" x14ac:dyDescent="0.25">
      <c r="A371" s="402">
        <v>40806.645833333336</v>
      </c>
      <c r="B371">
        <v>7</v>
      </c>
      <c r="C371">
        <f>$E$1*B371</f>
        <v>38.886444007858543</v>
      </c>
    </row>
    <row r="372" spans="1:3" x14ac:dyDescent="0.25">
      <c r="A372" s="402">
        <v>40807.645833333336</v>
      </c>
      <c r="B372">
        <v>6.95</v>
      </c>
      <c r="C372">
        <f>$E$1*B372</f>
        <v>38.608683693516696</v>
      </c>
    </row>
    <row r="373" spans="1:3" x14ac:dyDescent="0.25">
      <c r="A373" s="402">
        <v>40808.645833333336</v>
      </c>
      <c r="B373">
        <v>6.75</v>
      </c>
      <c r="C373">
        <f>$E$1*B373</f>
        <v>37.497642436149306</v>
      </c>
    </row>
    <row r="374" spans="1:3" x14ac:dyDescent="0.25">
      <c r="A374" s="402">
        <v>40809.645833333336</v>
      </c>
      <c r="B374">
        <v>6.75</v>
      </c>
      <c r="C374">
        <f>$E$1*B374</f>
        <v>37.497642436149306</v>
      </c>
    </row>
    <row r="375" spans="1:3" x14ac:dyDescent="0.25">
      <c r="A375" s="402">
        <v>40812.645833333336</v>
      </c>
      <c r="B375">
        <v>6.6</v>
      </c>
      <c r="C375">
        <f>$E$1*B375</f>
        <v>36.664361493123771</v>
      </c>
    </row>
    <row r="376" spans="1:3" x14ac:dyDescent="0.25">
      <c r="A376" s="402">
        <v>40813.645833333336</v>
      </c>
      <c r="B376">
        <v>6.85</v>
      </c>
      <c r="C376">
        <f>$E$1*B376</f>
        <v>38.053163064833001</v>
      </c>
    </row>
    <row r="377" spans="1:3" x14ac:dyDescent="0.25">
      <c r="A377" s="402">
        <v>40814.645833333336</v>
      </c>
      <c r="B377">
        <v>6.9</v>
      </c>
      <c r="C377">
        <f>$E$1*B377</f>
        <v>38.330923379174848</v>
      </c>
    </row>
    <row r="378" spans="1:3" x14ac:dyDescent="0.25">
      <c r="A378" s="402">
        <v>40815.645833333336</v>
      </c>
      <c r="B378">
        <v>6.5</v>
      </c>
      <c r="C378">
        <f>$E$1*B378</f>
        <v>36.108840864440076</v>
      </c>
    </row>
    <row r="379" spans="1:3" x14ac:dyDescent="0.25">
      <c r="A379" s="402">
        <v>40816.645833333336</v>
      </c>
      <c r="B379">
        <v>6.6</v>
      </c>
      <c r="C379">
        <f>$E$1*B379</f>
        <v>36.664361493123771</v>
      </c>
    </row>
    <row r="380" spans="1:3" x14ac:dyDescent="0.25">
      <c r="A380" s="402">
        <v>40819.645833333336</v>
      </c>
      <c r="B380">
        <v>6.8</v>
      </c>
      <c r="C380">
        <f>$E$1*B380</f>
        <v>37.775402750491153</v>
      </c>
    </row>
    <row r="381" spans="1:3" x14ac:dyDescent="0.25">
      <c r="A381" s="402">
        <v>40820.645833333336</v>
      </c>
      <c r="B381">
        <v>6.3</v>
      </c>
      <c r="C381">
        <f>$E$1*B381</f>
        <v>34.997799607072686</v>
      </c>
    </row>
    <row r="382" spans="1:3" x14ac:dyDescent="0.25">
      <c r="A382" s="402">
        <v>40821.645833333336</v>
      </c>
      <c r="B382">
        <v>5.8</v>
      </c>
      <c r="C382">
        <f>$E$1*B382</f>
        <v>32.220196463654219</v>
      </c>
    </row>
    <row r="383" spans="1:3" x14ac:dyDescent="0.25">
      <c r="A383" s="402">
        <v>40823.645833333336</v>
      </c>
      <c r="B383">
        <v>6.2</v>
      </c>
      <c r="C383">
        <f>$E$1*B383</f>
        <v>34.442278978388998</v>
      </c>
    </row>
    <row r="384" spans="1:3" x14ac:dyDescent="0.25">
      <c r="A384" s="402">
        <v>40826.645833333336</v>
      </c>
      <c r="B384">
        <v>6.1</v>
      </c>
      <c r="C384">
        <f>$E$1*B384</f>
        <v>33.886758349705303</v>
      </c>
    </row>
    <row r="385" spans="1:3" x14ac:dyDescent="0.25">
      <c r="A385" s="402">
        <v>40827.645833333336</v>
      </c>
      <c r="B385">
        <v>6.2</v>
      </c>
      <c r="C385">
        <f>$E$1*B385</f>
        <v>34.442278978388998</v>
      </c>
    </row>
    <row r="386" spans="1:3" x14ac:dyDescent="0.25">
      <c r="A386" s="402">
        <v>40828.645833333336</v>
      </c>
      <c r="B386">
        <v>6.15</v>
      </c>
      <c r="C386">
        <f>$E$1*B386</f>
        <v>34.164518664047151</v>
      </c>
    </row>
    <row r="387" spans="1:3" x14ac:dyDescent="0.25">
      <c r="A387" s="402">
        <v>40829.645833333336</v>
      </c>
      <c r="B387">
        <v>6.4</v>
      </c>
      <c r="C387">
        <f>$E$1*B387</f>
        <v>35.553320235756381</v>
      </c>
    </row>
    <row r="388" spans="1:3" x14ac:dyDescent="0.25">
      <c r="A388" s="402">
        <v>40830.645833333336</v>
      </c>
      <c r="B388">
        <v>6.4</v>
      </c>
      <c r="C388">
        <f>$E$1*B388</f>
        <v>35.553320235756381</v>
      </c>
    </row>
    <row r="389" spans="1:3" x14ac:dyDescent="0.25">
      <c r="A389" s="402">
        <v>40833.645833333336</v>
      </c>
      <c r="B389">
        <v>6.5</v>
      </c>
      <c r="C389">
        <f>$E$1*B389</f>
        <v>36.108840864440076</v>
      </c>
    </row>
    <row r="390" spans="1:3" x14ac:dyDescent="0.25">
      <c r="A390" s="402">
        <v>40834.645833333336</v>
      </c>
      <c r="B390">
        <v>6.25</v>
      </c>
      <c r="C390">
        <f>$E$1*B390</f>
        <v>34.720039292730846</v>
      </c>
    </row>
    <row r="391" spans="1:3" x14ac:dyDescent="0.25">
      <c r="A391" s="402">
        <v>40835.645833333336</v>
      </c>
      <c r="B391">
        <v>6.5</v>
      </c>
      <c r="C391">
        <f>$E$1*B391</f>
        <v>36.108840864440076</v>
      </c>
    </row>
    <row r="392" spans="1:3" x14ac:dyDescent="0.25">
      <c r="A392" s="402">
        <v>40836.645833333336</v>
      </c>
      <c r="B392">
        <v>6.3</v>
      </c>
      <c r="C392">
        <f>$E$1*B392</f>
        <v>34.997799607072686</v>
      </c>
    </row>
    <row r="393" spans="1:3" x14ac:dyDescent="0.25">
      <c r="A393" s="402">
        <v>40837.645833333336</v>
      </c>
      <c r="B393">
        <v>6.15</v>
      </c>
      <c r="C393">
        <f>$E$1*B393</f>
        <v>34.164518664047151</v>
      </c>
    </row>
    <row r="394" spans="1:3" x14ac:dyDescent="0.25">
      <c r="A394" s="402">
        <v>40840.645833333336</v>
      </c>
      <c r="B394">
        <v>6.25</v>
      </c>
      <c r="C394">
        <f>$E$1*B394</f>
        <v>34.720039292730846</v>
      </c>
    </row>
    <row r="395" spans="1:3" x14ac:dyDescent="0.25">
      <c r="A395" s="402">
        <v>40841.645833333336</v>
      </c>
      <c r="B395">
        <v>6.15</v>
      </c>
      <c r="C395">
        <f>$E$1*B395</f>
        <v>34.164518664047151</v>
      </c>
    </row>
    <row r="396" spans="1:3" x14ac:dyDescent="0.25">
      <c r="A396" s="402">
        <v>40842.763888888891</v>
      </c>
      <c r="B396">
        <v>6.35</v>
      </c>
      <c r="C396">
        <f>$E$1*B396</f>
        <v>35.275559921414533</v>
      </c>
    </row>
    <row r="397" spans="1:3" x14ac:dyDescent="0.25">
      <c r="A397" s="402">
        <v>40844.645833333336</v>
      </c>
      <c r="B397">
        <v>6.35</v>
      </c>
      <c r="C397">
        <f>$E$1*B397</f>
        <v>35.275559921414533</v>
      </c>
    </row>
    <row r="398" spans="1:3" x14ac:dyDescent="0.25">
      <c r="A398" s="402">
        <v>40847.645833333336</v>
      </c>
      <c r="B398">
        <v>6.5</v>
      </c>
      <c r="C398">
        <f>$E$1*B398</f>
        <v>36.108840864440076</v>
      </c>
    </row>
    <row r="399" spans="1:3" x14ac:dyDescent="0.25">
      <c r="A399" s="402">
        <v>40848.645833333336</v>
      </c>
      <c r="B399">
        <v>6.5</v>
      </c>
      <c r="C399">
        <f>$E$1*B399</f>
        <v>36.108840864440076</v>
      </c>
    </row>
    <row r="400" spans="1:3" x14ac:dyDescent="0.25">
      <c r="A400" s="402">
        <v>40849.645833333336</v>
      </c>
      <c r="B400">
        <v>6.5</v>
      </c>
      <c r="C400">
        <f>$E$1*B400</f>
        <v>36.108840864440076</v>
      </c>
    </row>
    <row r="401" spans="1:3" x14ac:dyDescent="0.25">
      <c r="A401" s="402">
        <v>40850.645833333336</v>
      </c>
      <c r="B401">
        <v>6.55</v>
      </c>
      <c r="C401">
        <f>$E$1*B401</f>
        <v>36.386601178781923</v>
      </c>
    </row>
    <row r="402" spans="1:3" x14ac:dyDescent="0.25">
      <c r="A402" s="402">
        <v>40851.645833333336</v>
      </c>
      <c r="B402">
        <v>6.6</v>
      </c>
      <c r="C402">
        <f>$E$1*B402</f>
        <v>36.664361493123771</v>
      </c>
    </row>
    <row r="403" spans="1:3" x14ac:dyDescent="0.25">
      <c r="A403" s="402">
        <v>40855.645833333336</v>
      </c>
      <c r="B403">
        <v>6.4</v>
      </c>
      <c r="C403">
        <f>$E$1*B403</f>
        <v>35.553320235756381</v>
      </c>
    </row>
    <row r="404" spans="1:3" x14ac:dyDescent="0.25">
      <c r="A404" s="402">
        <v>40856.645833333336</v>
      </c>
      <c r="B404">
        <v>6.45</v>
      </c>
      <c r="C404">
        <f>$E$1*B404</f>
        <v>35.831080550098228</v>
      </c>
    </row>
    <row r="405" spans="1:3" x14ac:dyDescent="0.25">
      <c r="A405" s="402">
        <v>40858.645833333336</v>
      </c>
      <c r="B405">
        <v>6.2</v>
      </c>
      <c r="C405">
        <f>$E$1*B405</f>
        <v>34.442278978388998</v>
      </c>
    </row>
    <row r="406" spans="1:3" x14ac:dyDescent="0.25">
      <c r="A406" s="402">
        <v>40861.645833333336</v>
      </c>
      <c r="B406">
        <v>6.2</v>
      </c>
      <c r="C406">
        <f>$E$1*B406</f>
        <v>34.442278978388998</v>
      </c>
    </row>
    <row r="407" spans="1:3" x14ac:dyDescent="0.25">
      <c r="A407" s="402">
        <v>40862.645833333336</v>
      </c>
      <c r="B407">
        <v>6.1</v>
      </c>
      <c r="C407">
        <f>$E$1*B407</f>
        <v>33.886758349705303</v>
      </c>
    </row>
    <row r="408" spans="1:3" x14ac:dyDescent="0.25">
      <c r="A408" s="402">
        <v>40863.645833333336</v>
      </c>
      <c r="B408">
        <v>6.05</v>
      </c>
      <c r="C408">
        <f>$E$1*B408</f>
        <v>33.608998035363456</v>
      </c>
    </row>
    <row r="409" spans="1:3" x14ac:dyDescent="0.25">
      <c r="A409" s="402">
        <v>40864.645833333336</v>
      </c>
      <c r="B409">
        <v>6</v>
      </c>
      <c r="C409">
        <f>$E$1*B409</f>
        <v>33.331237721021608</v>
      </c>
    </row>
    <row r="410" spans="1:3" x14ac:dyDescent="0.25">
      <c r="A410" s="402">
        <v>40865.645833333336</v>
      </c>
      <c r="B410">
        <v>5.9</v>
      </c>
      <c r="C410">
        <f>$E$1*B410</f>
        <v>32.775717092337914</v>
      </c>
    </row>
    <row r="411" spans="1:3" x14ac:dyDescent="0.25">
      <c r="A411" s="402">
        <v>40868.645833333336</v>
      </c>
      <c r="B411">
        <v>5.7</v>
      </c>
      <c r="C411">
        <f>$E$1*B411</f>
        <v>31.664675834970527</v>
      </c>
    </row>
    <row r="412" spans="1:3" x14ac:dyDescent="0.25">
      <c r="A412" s="402">
        <v>40869.645833333336</v>
      </c>
      <c r="B412">
        <v>5.7</v>
      </c>
      <c r="C412">
        <f>$E$1*B412</f>
        <v>31.664675834970527</v>
      </c>
    </row>
    <row r="413" spans="1:3" x14ac:dyDescent="0.25">
      <c r="A413" s="402">
        <v>40870.645833333336</v>
      </c>
      <c r="B413">
        <v>5.65</v>
      </c>
      <c r="C413">
        <f>$E$1*B413</f>
        <v>31.386915520628683</v>
      </c>
    </row>
    <row r="414" spans="1:3" x14ac:dyDescent="0.25">
      <c r="A414" s="402">
        <v>40871.645833333336</v>
      </c>
      <c r="B414">
        <v>5.95</v>
      </c>
      <c r="C414">
        <f>$E$1*B414</f>
        <v>33.053477406679761</v>
      </c>
    </row>
    <row r="415" spans="1:3" x14ac:dyDescent="0.25">
      <c r="A415" s="402">
        <v>40872.645833333336</v>
      </c>
      <c r="B415">
        <v>5.75</v>
      </c>
      <c r="C415">
        <f>$E$1*B415</f>
        <v>31.942436149312375</v>
      </c>
    </row>
    <row r="416" spans="1:3" x14ac:dyDescent="0.25">
      <c r="A416" s="402">
        <v>40875.645833333336</v>
      </c>
      <c r="B416">
        <v>5.6</v>
      </c>
      <c r="C416">
        <f>$E$1*B416</f>
        <v>31.109155206286832</v>
      </c>
    </row>
    <row r="417" spans="1:3" x14ac:dyDescent="0.25">
      <c r="A417" s="402">
        <v>40876.645833333336</v>
      </c>
      <c r="B417">
        <v>5.85</v>
      </c>
      <c r="C417">
        <f>$E$1*B417</f>
        <v>32.497956777996066</v>
      </c>
    </row>
    <row r="418" spans="1:3" x14ac:dyDescent="0.25">
      <c r="A418" s="402">
        <v>40877.645833333336</v>
      </c>
      <c r="B418">
        <v>6</v>
      </c>
      <c r="C418">
        <f>$E$1*B418</f>
        <v>33.331237721021608</v>
      </c>
    </row>
    <row r="419" spans="1:3" x14ac:dyDescent="0.25">
      <c r="A419" s="402">
        <v>40878.645833333336</v>
      </c>
      <c r="B419">
        <v>6.15</v>
      </c>
      <c r="C419">
        <f>$E$1*B419</f>
        <v>34.164518664047151</v>
      </c>
    </row>
    <row r="420" spans="1:3" x14ac:dyDescent="0.25">
      <c r="A420" s="402">
        <v>40879.645833333336</v>
      </c>
      <c r="B420">
        <v>6.2</v>
      </c>
      <c r="C420">
        <f>$E$1*B420</f>
        <v>34.442278978388998</v>
      </c>
    </row>
    <row r="421" spans="1:3" x14ac:dyDescent="0.25">
      <c r="A421" s="402">
        <v>40882.645833333336</v>
      </c>
      <c r="B421">
        <v>6.05</v>
      </c>
      <c r="C421">
        <f>$E$1*B421</f>
        <v>33.608998035363456</v>
      </c>
    </row>
    <row r="422" spans="1:3" x14ac:dyDescent="0.25">
      <c r="A422" s="402">
        <v>40884.645833333336</v>
      </c>
      <c r="B422">
        <v>6.1</v>
      </c>
      <c r="C422">
        <f>$E$1*B422</f>
        <v>33.886758349705303</v>
      </c>
    </row>
    <row r="423" spans="1:3" x14ac:dyDescent="0.25">
      <c r="A423" s="402">
        <v>40885.645833333336</v>
      </c>
      <c r="B423">
        <v>6.1</v>
      </c>
      <c r="C423">
        <f>$E$1*B423</f>
        <v>33.886758349705303</v>
      </c>
    </row>
    <row r="424" spans="1:3" x14ac:dyDescent="0.25">
      <c r="A424" s="402">
        <v>40886.645833333336</v>
      </c>
      <c r="B424">
        <v>6</v>
      </c>
      <c r="C424">
        <f>$E$1*B424</f>
        <v>33.331237721021608</v>
      </c>
    </row>
    <row r="425" spans="1:3" x14ac:dyDescent="0.25">
      <c r="A425" s="402">
        <v>40889.645833333336</v>
      </c>
      <c r="B425">
        <v>6</v>
      </c>
      <c r="C425">
        <f>$E$1*B425</f>
        <v>33.331237721021608</v>
      </c>
    </row>
    <row r="426" spans="1:3" x14ac:dyDescent="0.25">
      <c r="A426" s="402">
        <v>40890.645833333336</v>
      </c>
      <c r="B426">
        <v>6</v>
      </c>
      <c r="C426">
        <f>$E$1*B426</f>
        <v>33.331237721021608</v>
      </c>
    </row>
    <row r="427" spans="1:3" x14ac:dyDescent="0.25">
      <c r="A427" s="402">
        <v>40891.645833333336</v>
      </c>
      <c r="B427">
        <v>6.1</v>
      </c>
      <c r="C427">
        <f>$E$1*B427</f>
        <v>33.886758349705303</v>
      </c>
    </row>
    <row r="428" spans="1:3" x14ac:dyDescent="0.25">
      <c r="A428" s="402">
        <v>40892.645833333336</v>
      </c>
      <c r="B428">
        <v>6.1</v>
      </c>
      <c r="C428">
        <f>$E$1*B428</f>
        <v>33.886758349705303</v>
      </c>
    </row>
    <row r="429" spans="1:3" x14ac:dyDescent="0.25">
      <c r="A429" s="402">
        <v>40893.645833333336</v>
      </c>
      <c r="B429">
        <v>5.9</v>
      </c>
      <c r="C429">
        <f>$E$1*B429</f>
        <v>32.775717092337914</v>
      </c>
    </row>
    <row r="430" spans="1:3" x14ac:dyDescent="0.25">
      <c r="A430" s="402">
        <v>40896.645833333336</v>
      </c>
      <c r="B430">
        <v>5.75</v>
      </c>
      <c r="C430">
        <f>$E$1*B430</f>
        <v>31.942436149312375</v>
      </c>
    </row>
    <row r="431" spans="1:3" x14ac:dyDescent="0.25">
      <c r="A431" s="402">
        <v>40897.645833333336</v>
      </c>
      <c r="B431">
        <v>5.75</v>
      </c>
      <c r="C431">
        <f>$E$1*B431</f>
        <v>31.942436149312375</v>
      </c>
    </row>
    <row r="432" spans="1:3" x14ac:dyDescent="0.25">
      <c r="A432" s="402">
        <v>40898.645833333336</v>
      </c>
      <c r="B432">
        <v>5.85</v>
      </c>
      <c r="C432">
        <f>$E$1*B432</f>
        <v>32.497956777996066</v>
      </c>
    </row>
    <row r="433" spans="1:3" x14ac:dyDescent="0.25">
      <c r="A433" s="402">
        <v>40899.645833333336</v>
      </c>
      <c r="B433">
        <v>5.8</v>
      </c>
      <c r="C433">
        <f>$E$1*B433</f>
        <v>32.220196463654219</v>
      </c>
    </row>
    <row r="434" spans="1:3" x14ac:dyDescent="0.25">
      <c r="A434" s="402">
        <v>40900.645833333336</v>
      </c>
      <c r="B434">
        <v>5.85</v>
      </c>
      <c r="C434">
        <f>$E$1*B434</f>
        <v>32.497956777996066</v>
      </c>
    </row>
    <row r="435" spans="1:3" x14ac:dyDescent="0.25">
      <c r="A435" s="402">
        <v>40903.645833333336</v>
      </c>
      <c r="B435">
        <v>6</v>
      </c>
      <c r="C435">
        <f>$E$1*B435</f>
        <v>33.331237721021608</v>
      </c>
    </row>
    <row r="436" spans="1:3" x14ac:dyDescent="0.25">
      <c r="A436" s="402">
        <v>40904.645833333336</v>
      </c>
      <c r="B436">
        <v>6</v>
      </c>
      <c r="C436">
        <f>$E$1*B436</f>
        <v>33.331237721021608</v>
      </c>
    </row>
    <row r="437" spans="1:3" x14ac:dyDescent="0.25">
      <c r="A437" s="402">
        <v>40905.645833333336</v>
      </c>
      <c r="B437">
        <v>5.95</v>
      </c>
      <c r="C437">
        <f>$E$1*B437</f>
        <v>33.053477406679761</v>
      </c>
    </row>
    <row r="438" spans="1:3" x14ac:dyDescent="0.25">
      <c r="A438" s="402">
        <v>40906.645833333336</v>
      </c>
      <c r="B438">
        <v>6</v>
      </c>
      <c r="C438">
        <f>$E$1*B438</f>
        <v>33.331237721021608</v>
      </c>
    </row>
    <row r="439" spans="1:3" x14ac:dyDescent="0.25">
      <c r="A439" s="402">
        <v>40907.645833333336</v>
      </c>
      <c r="B439">
        <v>6</v>
      </c>
      <c r="C439">
        <f>$E$1*B439</f>
        <v>33.331237721021608</v>
      </c>
    </row>
    <row r="440" spans="1:3" x14ac:dyDescent="0.25">
      <c r="A440" s="402">
        <v>40910.645833333336</v>
      </c>
      <c r="B440">
        <v>6.15</v>
      </c>
      <c r="C440">
        <f>$E$1*B440</f>
        <v>34.164518664047151</v>
      </c>
    </row>
    <row r="441" spans="1:3" x14ac:dyDescent="0.25">
      <c r="A441" s="402">
        <v>40911.645833333336</v>
      </c>
      <c r="B441">
        <v>6.1</v>
      </c>
      <c r="C441">
        <f>$E$1*B441</f>
        <v>33.886758349705303</v>
      </c>
    </row>
    <row r="442" spans="1:3" x14ac:dyDescent="0.25">
      <c r="A442" s="402">
        <v>40912.645833333336</v>
      </c>
      <c r="B442">
        <v>6.1</v>
      </c>
      <c r="C442">
        <f>$E$1*B442</f>
        <v>33.886758349705303</v>
      </c>
    </row>
    <row r="443" spans="1:3" x14ac:dyDescent="0.25">
      <c r="A443" s="402">
        <v>40913.645833333336</v>
      </c>
      <c r="B443">
        <v>6.25</v>
      </c>
      <c r="C443">
        <f>$E$1*B443</f>
        <v>34.720039292730846</v>
      </c>
    </row>
    <row r="444" spans="1:3" x14ac:dyDescent="0.25">
      <c r="A444" s="402">
        <v>40914.645833333336</v>
      </c>
      <c r="B444">
        <v>6.15</v>
      </c>
      <c r="C444">
        <f>$E$1*B444</f>
        <v>34.164518664047151</v>
      </c>
    </row>
    <row r="445" spans="1:3" x14ac:dyDescent="0.25">
      <c r="A445" s="402">
        <v>40917.645833333336</v>
      </c>
      <c r="B445">
        <v>6.25</v>
      </c>
      <c r="C445">
        <f>$E$1*B445</f>
        <v>34.720039292730846</v>
      </c>
    </row>
    <row r="446" spans="1:3" x14ac:dyDescent="0.25">
      <c r="A446" s="402">
        <v>40918.645833333336</v>
      </c>
      <c r="B446">
        <v>6.55</v>
      </c>
      <c r="C446">
        <f>$E$1*B446</f>
        <v>36.386601178781923</v>
      </c>
    </row>
    <row r="447" spans="1:3" x14ac:dyDescent="0.25">
      <c r="A447" s="402">
        <v>40919.645833333336</v>
      </c>
      <c r="B447">
        <v>6.95</v>
      </c>
      <c r="C447">
        <f>$E$1*B447</f>
        <v>38.608683693516696</v>
      </c>
    </row>
    <row r="448" spans="1:3" x14ac:dyDescent="0.25">
      <c r="A448" s="402">
        <v>40920.645833333336</v>
      </c>
      <c r="B448">
        <v>6.75</v>
      </c>
      <c r="C448">
        <f>$E$1*B448</f>
        <v>37.497642436149306</v>
      </c>
    </row>
    <row r="449" spans="1:3" x14ac:dyDescent="0.25">
      <c r="A449" s="402">
        <v>40921.645833333336</v>
      </c>
      <c r="B449">
        <v>6.85</v>
      </c>
      <c r="C449">
        <f>$E$1*B449</f>
        <v>38.053163064833001</v>
      </c>
    </row>
    <row r="450" spans="1:3" x14ac:dyDescent="0.25">
      <c r="A450" s="402">
        <v>40924.645833333336</v>
      </c>
      <c r="B450">
        <v>7</v>
      </c>
      <c r="C450">
        <f>$E$1*B450</f>
        <v>38.886444007858543</v>
      </c>
    </row>
    <row r="451" spans="1:3" x14ac:dyDescent="0.25">
      <c r="A451" s="402">
        <v>40925.645833333336</v>
      </c>
      <c r="B451">
        <v>6.9</v>
      </c>
      <c r="C451">
        <f>$E$1*B451</f>
        <v>38.330923379174848</v>
      </c>
    </row>
    <row r="452" spans="1:3" x14ac:dyDescent="0.25">
      <c r="A452" s="402">
        <v>40926.645833333336</v>
      </c>
      <c r="B452">
        <v>7</v>
      </c>
      <c r="C452">
        <f>$E$1*B452</f>
        <v>38.886444007858543</v>
      </c>
    </row>
    <row r="453" spans="1:3" x14ac:dyDescent="0.25">
      <c r="A453" s="402">
        <v>40927.645833333336</v>
      </c>
      <c r="B453">
        <v>7</v>
      </c>
      <c r="C453">
        <f>$E$1*B453</f>
        <v>38.886444007858543</v>
      </c>
    </row>
    <row r="454" spans="1:3" x14ac:dyDescent="0.25">
      <c r="A454" s="402">
        <v>40928.645833333336</v>
      </c>
      <c r="B454">
        <v>6.75</v>
      </c>
      <c r="C454">
        <f>$E$1*B454</f>
        <v>37.497642436149306</v>
      </c>
    </row>
    <row r="455" spans="1:3" x14ac:dyDescent="0.25">
      <c r="A455" s="402">
        <v>40931.645833333336</v>
      </c>
      <c r="B455">
        <v>7.05</v>
      </c>
      <c r="C455">
        <f>$E$1*B455</f>
        <v>39.164204322200391</v>
      </c>
    </row>
    <row r="456" spans="1:3" x14ac:dyDescent="0.25">
      <c r="A456" s="402">
        <v>40932.645833333336</v>
      </c>
      <c r="B456">
        <v>6.85</v>
      </c>
      <c r="C456">
        <f>$E$1*B456</f>
        <v>38.053163064833001</v>
      </c>
    </row>
    <row r="457" spans="1:3" x14ac:dyDescent="0.25">
      <c r="A457" s="402">
        <v>40933.645833333336</v>
      </c>
      <c r="B457">
        <v>6.8</v>
      </c>
      <c r="C457">
        <f>$E$1*B457</f>
        <v>37.775402750491153</v>
      </c>
    </row>
    <row r="458" spans="1:3" x14ac:dyDescent="0.25">
      <c r="A458" s="402">
        <v>40935.645833333336</v>
      </c>
      <c r="B458">
        <v>6.8</v>
      </c>
      <c r="C458">
        <f>$E$1*B458</f>
        <v>37.775402750491153</v>
      </c>
    </row>
    <row r="459" spans="1:3" x14ac:dyDescent="0.25">
      <c r="A459" s="402">
        <v>40938.645833333336</v>
      </c>
      <c r="B459">
        <v>6.8</v>
      </c>
      <c r="C459">
        <f>$E$1*B459</f>
        <v>37.775402750491153</v>
      </c>
    </row>
    <row r="460" spans="1:3" x14ac:dyDescent="0.25">
      <c r="A460" s="402">
        <v>40939.645833333336</v>
      </c>
      <c r="B460">
        <v>6.95</v>
      </c>
      <c r="C460">
        <f>$E$1*B460</f>
        <v>38.608683693516696</v>
      </c>
    </row>
    <row r="461" spans="1:3" x14ac:dyDescent="0.25">
      <c r="A461" s="402">
        <v>40940.645833333336</v>
      </c>
      <c r="B461">
        <v>7</v>
      </c>
      <c r="C461">
        <f>$E$1*B461</f>
        <v>38.886444007858543</v>
      </c>
    </row>
    <row r="462" spans="1:3" x14ac:dyDescent="0.25">
      <c r="A462" s="402">
        <v>40941.645833333336</v>
      </c>
      <c r="B462">
        <v>6.75</v>
      </c>
      <c r="C462">
        <f>$E$1*B462</f>
        <v>37.497642436149306</v>
      </c>
    </row>
    <row r="463" spans="1:3" x14ac:dyDescent="0.25">
      <c r="A463" s="402">
        <v>40942.645833333336</v>
      </c>
      <c r="B463">
        <v>6.95</v>
      </c>
      <c r="C463">
        <f>$E$1*B463</f>
        <v>38.608683693516696</v>
      </c>
    </row>
    <row r="464" spans="1:3" x14ac:dyDescent="0.25">
      <c r="A464" s="402">
        <v>40945.645833333336</v>
      </c>
      <c r="B464">
        <v>6.85</v>
      </c>
      <c r="C464">
        <f>$E$1*B464</f>
        <v>38.053163064833001</v>
      </c>
    </row>
    <row r="465" spans="1:3" x14ac:dyDescent="0.25">
      <c r="A465" s="402">
        <v>40946.645833333336</v>
      </c>
      <c r="B465">
        <v>6.7</v>
      </c>
      <c r="C465">
        <f>$E$1*B465</f>
        <v>37.219882121807466</v>
      </c>
    </row>
    <row r="466" spans="1:3" x14ac:dyDescent="0.25">
      <c r="A466" s="402">
        <v>40947.645833333336</v>
      </c>
      <c r="B466">
        <v>6.7</v>
      </c>
      <c r="C466">
        <f>$E$1*B466</f>
        <v>37.219882121807466</v>
      </c>
    </row>
    <row r="467" spans="1:3" x14ac:dyDescent="0.25">
      <c r="A467" s="402">
        <v>40948.645833333336</v>
      </c>
      <c r="B467">
        <v>6.95</v>
      </c>
      <c r="C467">
        <f>$E$1*B467</f>
        <v>38.608683693516696</v>
      </c>
    </row>
    <row r="468" spans="1:3" x14ac:dyDescent="0.25">
      <c r="A468" s="402">
        <v>40949.645833333336</v>
      </c>
      <c r="B468">
        <v>6.9</v>
      </c>
      <c r="C468">
        <f>$E$1*B468</f>
        <v>38.330923379174848</v>
      </c>
    </row>
    <row r="469" spans="1:3" x14ac:dyDescent="0.25">
      <c r="A469" s="402">
        <v>40952.645833333336</v>
      </c>
      <c r="B469">
        <v>6.85</v>
      </c>
      <c r="C469">
        <f>$E$1*B469</f>
        <v>38.053163064833001</v>
      </c>
    </row>
    <row r="470" spans="1:3" x14ac:dyDescent="0.25">
      <c r="A470" s="402">
        <v>40953.645833333336</v>
      </c>
      <c r="B470">
        <v>6.95</v>
      </c>
      <c r="C470">
        <f>$E$1*B470</f>
        <v>38.608683693516696</v>
      </c>
    </row>
    <row r="471" spans="1:3" x14ac:dyDescent="0.25">
      <c r="A471" s="402">
        <v>40954.645833333336</v>
      </c>
      <c r="B471">
        <v>6.95</v>
      </c>
      <c r="C471">
        <f>$E$1*B471</f>
        <v>38.608683693516696</v>
      </c>
    </row>
    <row r="472" spans="1:3" x14ac:dyDescent="0.25">
      <c r="A472" s="402">
        <v>40955.645833333336</v>
      </c>
      <c r="B472">
        <v>7</v>
      </c>
      <c r="C472">
        <f>$E$1*B472</f>
        <v>38.886444007858543</v>
      </c>
    </row>
    <row r="473" spans="1:3" x14ac:dyDescent="0.25">
      <c r="A473" s="402">
        <v>40956.645833333336</v>
      </c>
      <c r="B473">
        <v>7.15</v>
      </c>
      <c r="C473">
        <f>$E$1*B473</f>
        <v>39.719724950884086</v>
      </c>
    </row>
    <row r="474" spans="1:3" x14ac:dyDescent="0.25">
      <c r="A474" s="402">
        <v>40960.645833333336</v>
      </c>
      <c r="B474">
        <v>7.5</v>
      </c>
      <c r="C474">
        <f>$E$1*B474</f>
        <v>41.664047151277011</v>
      </c>
    </row>
    <row r="475" spans="1:3" x14ac:dyDescent="0.25">
      <c r="A475" s="402">
        <v>40961.645833333336</v>
      </c>
      <c r="B475">
        <v>7.45</v>
      </c>
      <c r="C475">
        <f>$E$1*B475</f>
        <v>41.386286836935163</v>
      </c>
    </row>
    <row r="476" spans="1:3" x14ac:dyDescent="0.25">
      <c r="A476" s="402">
        <v>40962.645833333336</v>
      </c>
      <c r="B476">
        <v>7.35</v>
      </c>
      <c r="C476">
        <f>$E$1*B476</f>
        <v>40.830766208251468</v>
      </c>
    </row>
    <row r="477" spans="1:3" x14ac:dyDescent="0.25">
      <c r="A477" s="402">
        <v>40963.645833333336</v>
      </c>
      <c r="B477">
        <v>7.4</v>
      </c>
      <c r="C477">
        <f>$E$1*B477</f>
        <v>41.108526522593316</v>
      </c>
    </row>
    <row r="478" spans="1:3" x14ac:dyDescent="0.25">
      <c r="A478" s="402">
        <v>40966.645833333336</v>
      </c>
      <c r="B478">
        <v>7</v>
      </c>
      <c r="C478">
        <f>$E$1*B478</f>
        <v>38.886444007858543</v>
      </c>
    </row>
    <row r="479" spans="1:3" x14ac:dyDescent="0.25">
      <c r="A479" s="402">
        <v>40967.645833333336</v>
      </c>
      <c r="B479">
        <v>7.45</v>
      </c>
      <c r="C479">
        <f>$E$1*B479</f>
        <v>41.386286836935163</v>
      </c>
    </row>
    <row r="480" spans="1:3" x14ac:dyDescent="0.25">
      <c r="A480" s="402">
        <v>40968.645833333336</v>
      </c>
      <c r="B480">
        <v>7.1</v>
      </c>
      <c r="C480">
        <f>$E$1*B480</f>
        <v>39.441964636542238</v>
      </c>
    </row>
    <row r="481" spans="1:3" x14ac:dyDescent="0.25">
      <c r="A481" s="402">
        <v>40969.645833333336</v>
      </c>
      <c r="B481">
        <v>7.1</v>
      </c>
      <c r="C481">
        <f>$E$1*B481</f>
        <v>39.441964636542238</v>
      </c>
    </row>
    <row r="482" spans="1:3" x14ac:dyDescent="0.25">
      <c r="A482" s="402">
        <v>40970.645833333336</v>
      </c>
      <c r="B482">
        <v>7.05</v>
      </c>
      <c r="C482">
        <f>$E$1*B482</f>
        <v>39.164204322200391</v>
      </c>
    </row>
    <row r="483" spans="1:3" x14ac:dyDescent="0.25">
      <c r="A483" s="402">
        <v>40971.552083333336</v>
      </c>
      <c r="B483">
        <v>7.05</v>
      </c>
      <c r="C483">
        <f>$E$1*B483</f>
        <v>39.164204322200391</v>
      </c>
    </row>
    <row r="484" spans="1:3" x14ac:dyDescent="0.25">
      <c r="A484" s="402">
        <v>40973.645833333336</v>
      </c>
      <c r="B484">
        <v>6.9</v>
      </c>
      <c r="C484">
        <f>$E$1*B484</f>
        <v>38.330923379174848</v>
      </c>
    </row>
    <row r="485" spans="1:3" x14ac:dyDescent="0.25">
      <c r="A485" s="402">
        <v>40974.645833333336</v>
      </c>
      <c r="B485">
        <v>6.95</v>
      </c>
      <c r="C485">
        <f>$E$1*B485</f>
        <v>38.608683693516696</v>
      </c>
    </row>
    <row r="486" spans="1:3" x14ac:dyDescent="0.25">
      <c r="A486" s="402">
        <v>40975.645833333336</v>
      </c>
      <c r="B486">
        <v>6.9</v>
      </c>
      <c r="C486">
        <f>$E$1*B486</f>
        <v>38.330923379174848</v>
      </c>
    </row>
    <row r="487" spans="1:3" x14ac:dyDescent="0.25">
      <c r="A487" s="402">
        <v>40977.645833333336</v>
      </c>
      <c r="B487">
        <v>7</v>
      </c>
      <c r="C487">
        <f>$E$1*B487</f>
        <v>38.886444007858543</v>
      </c>
    </row>
    <row r="488" spans="1:3" x14ac:dyDescent="0.25">
      <c r="A488" s="402">
        <v>40980.645833333336</v>
      </c>
      <c r="B488">
        <v>6.85</v>
      </c>
      <c r="C488">
        <f>$E$1*B488</f>
        <v>38.053163064833001</v>
      </c>
    </row>
    <row r="489" spans="1:3" x14ac:dyDescent="0.25">
      <c r="A489" s="402">
        <v>40981.645833333336</v>
      </c>
      <c r="B489">
        <v>6.9</v>
      </c>
      <c r="C489">
        <f>$E$1*B489</f>
        <v>38.330923379174848</v>
      </c>
    </row>
    <row r="490" spans="1:3" x14ac:dyDescent="0.25">
      <c r="A490" s="402">
        <v>40982.645833333336</v>
      </c>
      <c r="B490">
        <v>7</v>
      </c>
      <c r="C490">
        <f>$E$1*B490</f>
        <v>38.886444007858543</v>
      </c>
    </row>
    <row r="491" spans="1:3" x14ac:dyDescent="0.25">
      <c r="A491" s="402">
        <v>40983.645833333336</v>
      </c>
      <c r="B491">
        <v>6.85</v>
      </c>
      <c r="C491">
        <f>$E$1*B491</f>
        <v>38.053163064833001</v>
      </c>
    </row>
    <row r="492" spans="1:3" x14ac:dyDescent="0.25">
      <c r="A492" s="402">
        <v>40984.645833333336</v>
      </c>
      <c r="B492">
        <v>6.85</v>
      </c>
      <c r="C492">
        <f>$E$1*B492</f>
        <v>38.053163064833001</v>
      </c>
    </row>
    <row r="493" spans="1:3" x14ac:dyDescent="0.25">
      <c r="A493" s="402">
        <v>40987.645833333336</v>
      </c>
      <c r="B493">
        <v>6.7</v>
      </c>
      <c r="C493">
        <f>$E$1*B493</f>
        <v>37.219882121807466</v>
      </c>
    </row>
    <row r="494" spans="1:3" x14ac:dyDescent="0.25">
      <c r="A494" s="402">
        <v>40988.645833333336</v>
      </c>
      <c r="B494">
        <v>6.6</v>
      </c>
      <c r="C494">
        <f>$E$1*B494</f>
        <v>36.664361493123771</v>
      </c>
    </row>
    <row r="495" spans="1:3" x14ac:dyDescent="0.25">
      <c r="A495" s="402">
        <v>40989.645833333336</v>
      </c>
      <c r="B495">
        <v>6.75</v>
      </c>
      <c r="C495">
        <f>$E$1*B495</f>
        <v>37.497642436149306</v>
      </c>
    </row>
    <row r="496" spans="1:3" x14ac:dyDescent="0.25">
      <c r="A496" s="402">
        <v>40990.645833333336</v>
      </c>
      <c r="B496">
        <v>6.65</v>
      </c>
      <c r="C496">
        <f>$E$1*B496</f>
        <v>36.942121807465618</v>
      </c>
    </row>
    <row r="497" spans="1:3" x14ac:dyDescent="0.25">
      <c r="A497" s="402">
        <v>40991.645833333336</v>
      </c>
      <c r="B497">
        <v>6.55</v>
      </c>
      <c r="C497">
        <f>$E$1*B497</f>
        <v>36.386601178781923</v>
      </c>
    </row>
    <row r="498" spans="1:3" x14ac:dyDescent="0.25">
      <c r="A498" s="402">
        <v>40994.645833333336</v>
      </c>
      <c r="B498">
        <v>6.5</v>
      </c>
      <c r="C498">
        <f>$E$1*B498</f>
        <v>36.108840864440076</v>
      </c>
    </row>
    <row r="499" spans="1:3" x14ac:dyDescent="0.25">
      <c r="A499" s="402">
        <v>40995.645833333336</v>
      </c>
      <c r="B499">
        <v>6.35</v>
      </c>
      <c r="C499">
        <f>$E$1*B499</f>
        <v>35.275559921414533</v>
      </c>
    </row>
    <row r="500" spans="1:3" x14ac:dyDescent="0.25">
      <c r="A500" s="402">
        <v>40996.645833333336</v>
      </c>
      <c r="B500">
        <v>6.45</v>
      </c>
      <c r="C500">
        <f>$E$1*B500</f>
        <v>35.831080550098228</v>
      </c>
    </row>
    <row r="501" spans="1:3" x14ac:dyDescent="0.25">
      <c r="A501" s="402">
        <v>40997.645833333336</v>
      </c>
      <c r="B501">
        <v>6.55</v>
      </c>
      <c r="C501">
        <f>$E$1*B501</f>
        <v>36.386601178781923</v>
      </c>
    </row>
    <row r="502" spans="1:3" x14ac:dyDescent="0.25">
      <c r="A502" s="402">
        <v>40998.645833333336</v>
      </c>
      <c r="B502">
        <v>6.5</v>
      </c>
      <c r="C502">
        <f>$E$1*B502</f>
        <v>36.108840864440076</v>
      </c>
    </row>
    <row r="503" spans="1:3" x14ac:dyDescent="0.25">
      <c r="A503" s="402">
        <v>41001.645833333336</v>
      </c>
      <c r="B503">
        <v>6.5</v>
      </c>
      <c r="C503">
        <f>$E$1*B503</f>
        <v>36.108840864440076</v>
      </c>
    </row>
    <row r="504" spans="1:3" x14ac:dyDescent="0.25">
      <c r="A504" s="402">
        <v>41002.645833333336</v>
      </c>
      <c r="B504">
        <v>6.4</v>
      </c>
      <c r="C504">
        <f>$E$1*B504</f>
        <v>35.553320235756381</v>
      </c>
    </row>
    <row r="505" spans="1:3" x14ac:dyDescent="0.25">
      <c r="A505" s="402">
        <v>41003.645833333336</v>
      </c>
      <c r="B505">
        <v>6.45</v>
      </c>
      <c r="C505">
        <f>$E$1*B505</f>
        <v>35.831080550098228</v>
      </c>
    </row>
    <row r="506" spans="1:3" x14ac:dyDescent="0.25">
      <c r="A506" s="402">
        <v>41008.645833333336</v>
      </c>
      <c r="B506">
        <v>6.1</v>
      </c>
      <c r="C506">
        <f>$E$1*B506</f>
        <v>33.886758349705303</v>
      </c>
    </row>
    <row r="507" spans="1:3" x14ac:dyDescent="0.25">
      <c r="A507" s="402">
        <v>41009.645833333336</v>
      </c>
      <c r="B507">
        <v>6.25</v>
      </c>
      <c r="C507">
        <f>$E$1*B507</f>
        <v>34.720039292730846</v>
      </c>
    </row>
    <row r="508" spans="1:3" x14ac:dyDescent="0.25">
      <c r="A508" s="402">
        <v>41010.645833333336</v>
      </c>
      <c r="B508">
        <v>6.1</v>
      </c>
      <c r="C508">
        <f>$E$1*B508</f>
        <v>33.886758349705303</v>
      </c>
    </row>
    <row r="509" spans="1:3" x14ac:dyDescent="0.25">
      <c r="A509" s="402">
        <v>41011.645833333336</v>
      </c>
      <c r="B509">
        <v>6.15</v>
      </c>
      <c r="C509">
        <f>$E$1*B509</f>
        <v>34.164518664047151</v>
      </c>
    </row>
    <row r="510" spans="1:3" x14ac:dyDescent="0.25">
      <c r="A510" s="402">
        <v>41012.645833333336</v>
      </c>
      <c r="B510">
        <v>6.1</v>
      </c>
      <c r="C510">
        <f>$E$1*B510</f>
        <v>33.886758349705303</v>
      </c>
    </row>
    <row r="511" spans="1:3" x14ac:dyDescent="0.25">
      <c r="A511" s="402">
        <v>41015.645833333336</v>
      </c>
      <c r="B511">
        <v>6.3</v>
      </c>
      <c r="C511">
        <f>$E$1*B511</f>
        <v>34.997799607072686</v>
      </c>
    </row>
    <row r="512" spans="1:3" x14ac:dyDescent="0.25">
      <c r="A512" s="402">
        <v>41016.645833333336</v>
      </c>
      <c r="B512">
        <v>6.25</v>
      </c>
      <c r="C512">
        <f>$E$1*B512</f>
        <v>34.720039292730846</v>
      </c>
    </row>
    <row r="513" spans="1:3" x14ac:dyDescent="0.25">
      <c r="A513" s="402">
        <v>41017.645833333336</v>
      </c>
      <c r="B513">
        <v>6.15</v>
      </c>
      <c r="C513">
        <f>$E$1*B513</f>
        <v>34.164518664047151</v>
      </c>
    </row>
    <row r="514" spans="1:3" x14ac:dyDescent="0.25">
      <c r="A514" s="402">
        <v>41018.645833333336</v>
      </c>
      <c r="B514">
        <v>6.1</v>
      </c>
      <c r="C514">
        <f>$E$1*B514</f>
        <v>33.886758349705303</v>
      </c>
    </row>
    <row r="515" spans="1:3" x14ac:dyDescent="0.25">
      <c r="A515" s="402">
        <v>41019.645833333336</v>
      </c>
      <c r="B515">
        <v>6.15</v>
      </c>
      <c r="C515">
        <f>$E$1*B515</f>
        <v>34.164518664047151</v>
      </c>
    </row>
    <row r="516" spans="1:3" x14ac:dyDescent="0.25">
      <c r="A516" s="402">
        <v>41022.645833333336</v>
      </c>
      <c r="B516">
        <v>6.2</v>
      </c>
      <c r="C516">
        <f>$E$1*B516</f>
        <v>34.442278978388998</v>
      </c>
    </row>
    <row r="517" spans="1:3" x14ac:dyDescent="0.25">
      <c r="A517" s="402">
        <v>41023.833333333336</v>
      </c>
      <c r="B517">
        <v>6.1</v>
      </c>
      <c r="C517">
        <f>$E$1*B517</f>
        <v>33.886758349705303</v>
      </c>
    </row>
    <row r="518" spans="1:3" x14ac:dyDescent="0.25">
      <c r="A518" s="402">
        <v>41024.645833333336</v>
      </c>
      <c r="B518">
        <v>6.15</v>
      </c>
      <c r="C518">
        <f>$E$1*B518</f>
        <v>34.164518664047151</v>
      </c>
    </row>
    <row r="519" spans="1:3" x14ac:dyDescent="0.25">
      <c r="A519" s="402">
        <v>41025.645833333336</v>
      </c>
      <c r="B519">
        <v>6.05</v>
      </c>
      <c r="C519">
        <f>$E$1*B519</f>
        <v>33.608998035363456</v>
      </c>
    </row>
    <row r="520" spans="1:3" x14ac:dyDescent="0.25">
      <c r="A520" s="402">
        <v>41026.645833333336</v>
      </c>
      <c r="B520">
        <v>6</v>
      </c>
      <c r="C520">
        <f>$E$1*B520</f>
        <v>33.331237721021608</v>
      </c>
    </row>
    <row r="521" spans="1:3" x14ac:dyDescent="0.25">
      <c r="A521" s="402">
        <v>41029.645833333336</v>
      </c>
      <c r="B521">
        <v>6.15</v>
      </c>
      <c r="C521">
        <f>$E$1*B521</f>
        <v>34.164518664047151</v>
      </c>
    </row>
    <row r="522" spans="1:3" x14ac:dyDescent="0.25">
      <c r="A522" s="402">
        <v>41031.645833333336</v>
      </c>
      <c r="B522">
        <v>5.95</v>
      </c>
      <c r="C522">
        <f>$E$1*B522</f>
        <v>33.053477406679761</v>
      </c>
    </row>
    <row r="523" spans="1:3" x14ac:dyDescent="0.25">
      <c r="A523" s="402">
        <v>41032.645833333336</v>
      </c>
      <c r="B523">
        <v>6</v>
      </c>
      <c r="C523">
        <f>$E$1*B523</f>
        <v>33.331237721021608</v>
      </c>
    </row>
    <row r="524" spans="1:3" x14ac:dyDescent="0.25">
      <c r="A524" s="402">
        <v>41033.645833333336</v>
      </c>
      <c r="B524">
        <v>6.05</v>
      </c>
      <c r="C524">
        <f>$E$1*B524</f>
        <v>33.608998035363456</v>
      </c>
    </row>
    <row r="525" spans="1:3" x14ac:dyDescent="0.25">
      <c r="A525" s="402">
        <v>41036.645833333336</v>
      </c>
      <c r="B525">
        <v>5.9</v>
      </c>
      <c r="C525">
        <f>$E$1*B525</f>
        <v>32.775717092337914</v>
      </c>
    </row>
    <row r="526" spans="1:3" x14ac:dyDescent="0.25">
      <c r="A526" s="402">
        <v>41037.645833333336</v>
      </c>
      <c r="B526">
        <v>6.3</v>
      </c>
      <c r="C526">
        <f>$E$1*B526</f>
        <v>34.997799607072686</v>
      </c>
    </row>
    <row r="527" spans="1:3" x14ac:dyDescent="0.25">
      <c r="A527" s="402">
        <v>41038.645833333336</v>
      </c>
      <c r="B527">
        <v>6.1</v>
      </c>
      <c r="C527">
        <f>$E$1*B527</f>
        <v>33.886758349705303</v>
      </c>
    </row>
    <row r="528" spans="1:3" x14ac:dyDescent="0.25">
      <c r="A528" s="402">
        <v>41039.645833333336</v>
      </c>
      <c r="B528">
        <v>6.15</v>
      </c>
      <c r="C528">
        <f>$E$1*B528</f>
        <v>34.164518664047151</v>
      </c>
    </row>
    <row r="529" spans="1:3" x14ac:dyDescent="0.25">
      <c r="A529" s="402">
        <v>41040.645833333336</v>
      </c>
      <c r="B529">
        <v>6.15</v>
      </c>
      <c r="C529">
        <f>$E$1*B529</f>
        <v>34.164518664047151</v>
      </c>
    </row>
    <row r="530" spans="1:3" x14ac:dyDescent="0.25">
      <c r="A530" s="402">
        <v>41043.645833333336</v>
      </c>
      <c r="B530">
        <v>6.05</v>
      </c>
      <c r="C530">
        <f>$E$1*B530</f>
        <v>33.608998035363456</v>
      </c>
    </row>
    <row r="531" spans="1:3" x14ac:dyDescent="0.25">
      <c r="A531" s="402">
        <v>41044.645833333336</v>
      </c>
      <c r="B531">
        <v>6.05</v>
      </c>
      <c r="C531">
        <f>$E$1*B531</f>
        <v>33.608998035363456</v>
      </c>
    </row>
    <row r="532" spans="1:3" x14ac:dyDescent="0.25">
      <c r="A532" s="402">
        <v>41045.645833333336</v>
      </c>
      <c r="B532">
        <v>6.1</v>
      </c>
      <c r="C532">
        <f>$E$1*B532</f>
        <v>33.886758349705303</v>
      </c>
    </row>
    <row r="533" spans="1:3" x14ac:dyDescent="0.25">
      <c r="A533" s="402">
        <v>41046.645833333336</v>
      </c>
      <c r="B533">
        <v>6.25</v>
      </c>
      <c r="C533">
        <f>$E$1*B533</f>
        <v>34.720039292730846</v>
      </c>
    </row>
    <row r="534" spans="1:3" x14ac:dyDescent="0.25">
      <c r="A534" s="402">
        <v>41047.645833333336</v>
      </c>
      <c r="B534">
        <v>5.95</v>
      </c>
      <c r="C534">
        <f>$E$1*B534</f>
        <v>33.053477406679761</v>
      </c>
    </row>
    <row r="535" spans="1:3" x14ac:dyDescent="0.25">
      <c r="A535" s="402">
        <v>41050.645833333336</v>
      </c>
      <c r="B535">
        <v>5.9</v>
      </c>
      <c r="C535">
        <f>$E$1*B535</f>
        <v>32.775717092337914</v>
      </c>
    </row>
    <row r="536" spans="1:3" x14ac:dyDescent="0.25">
      <c r="A536" s="402">
        <v>41051.645833333336</v>
      </c>
      <c r="B536">
        <v>6</v>
      </c>
      <c r="C536">
        <f>$E$1*B536</f>
        <v>33.331237721021608</v>
      </c>
    </row>
    <row r="537" spans="1:3" x14ac:dyDescent="0.25">
      <c r="A537" s="402">
        <v>41052.645833333336</v>
      </c>
      <c r="B537">
        <v>5.95</v>
      </c>
      <c r="C537">
        <f>$E$1*B537</f>
        <v>33.053477406679761</v>
      </c>
    </row>
    <row r="538" spans="1:3" x14ac:dyDescent="0.25">
      <c r="A538" s="402">
        <v>41053.645833333336</v>
      </c>
      <c r="B538">
        <v>6.15</v>
      </c>
      <c r="C538">
        <f>$E$1*B538</f>
        <v>34.164518664047151</v>
      </c>
    </row>
    <row r="539" spans="1:3" x14ac:dyDescent="0.25">
      <c r="A539" s="402">
        <v>41054.645833333336</v>
      </c>
      <c r="B539">
        <v>6.4</v>
      </c>
      <c r="C539">
        <f>$E$1*B539</f>
        <v>35.553320235756381</v>
      </c>
    </row>
    <row r="540" spans="1:3" x14ac:dyDescent="0.25">
      <c r="A540" s="402">
        <v>41057.645833333336</v>
      </c>
      <c r="B540">
        <v>6.55</v>
      </c>
      <c r="C540">
        <f>$E$1*B540</f>
        <v>36.386601178781923</v>
      </c>
    </row>
    <row r="541" spans="1:3" x14ac:dyDescent="0.25">
      <c r="A541" s="402">
        <v>41058.645833333336</v>
      </c>
      <c r="B541">
        <v>6.5</v>
      </c>
      <c r="C541">
        <f>$E$1*B541</f>
        <v>36.108840864440076</v>
      </c>
    </row>
    <row r="542" spans="1:3" x14ac:dyDescent="0.25">
      <c r="A542" s="402">
        <v>41059.645833333336</v>
      </c>
      <c r="B542">
        <v>6.45</v>
      </c>
      <c r="C542">
        <f>$E$1*B542</f>
        <v>35.831080550098228</v>
      </c>
    </row>
    <row r="543" spans="1:3" x14ac:dyDescent="0.25">
      <c r="A543" s="402">
        <v>41060.645833333336</v>
      </c>
      <c r="B543">
        <v>6.15</v>
      </c>
      <c r="C543">
        <f>$E$1*B543</f>
        <v>34.164518664047151</v>
      </c>
    </row>
    <row r="544" spans="1:3" x14ac:dyDescent="0.25">
      <c r="A544" s="402">
        <v>41061.645833333336</v>
      </c>
      <c r="B544">
        <v>6.5</v>
      </c>
      <c r="C544">
        <f>$E$1*B544</f>
        <v>36.108840864440076</v>
      </c>
    </row>
    <row r="545" spans="1:3" x14ac:dyDescent="0.25">
      <c r="A545" s="402">
        <v>41064.645833333336</v>
      </c>
      <c r="B545">
        <v>6.35</v>
      </c>
      <c r="C545">
        <f>$E$1*B545</f>
        <v>35.275559921414533</v>
      </c>
    </row>
    <row r="546" spans="1:3" x14ac:dyDescent="0.25">
      <c r="A546" s="402">
        <v>41065.645833333336</v>
      </c>
      <c r="B546">
        <v>6.5</v>
      </c>
      <c r="C546">
        <f>$E$1*B546</f>
        <v>36.108840864440076</v>
      </c>
    </row>
    <row r="547" spans="1:3" x14ac:dyDescent="0.25">
      <c r="A547" s="402">
        <v>41066.645833333336</v>
      </c>
      <c r="B547">
        <v>6.5</v>
      </c>
      <c r="C547">
        <f>$E$1*B547</f>
        <v>36.108840864440076</v>
      </c>
    </row>
    <row r="548" spans="1:3" x14ac:dyDescent="0.25">
      <c r="A548" s="402">
        <v>41067.645833333336</v>
      </c>
      <c r="B548">
        <v>6.3</v>
      </c>
      <c r="C548">
        <f>$E$1*B548</f>
        <v>34.997799607072686</v>
      </c>
    </row>
    <row r="549" spans="1:3" x14ac:dyDescent="0.25">
      <c r="A549" s="402">
        <v>41068.645833333336</v>
      </c>
      <c r="B549">
        <v>6.4</v>
      </c>
      <c r="C549">
        <f>$E$1*B549</f>
        <v>35.553320235756381</v>
      </c>
    </row>
    <row r="550" spans="1:3" x14ac:dyDescent="0.25">
      <c r="A550" s="402">
        <v>41071.645833333336</v>
      </c>
      <c r="B550">
        <v>6.6</v>
      </c>
      <c r="C550">
        <f>$E$1*B550</f>
        <v>36.664361493123771</v>
      </c>
    </row>
    <row r="551" spans="1:3" x14ac:dyDescent="0.25">
      <c r="A551" s="402">
        <v>41072.645833333336</v>
      </c>
      <c r="B551">
        <v>6.4</v>
      </c>
      <c r="C551">
        <f>$E$1*B551</f>
        <v>35.553320235756381</v>
      </c>
    </row>
    <row r="552" spans="1:3" x14ac:dyDescent="0.25">
      <c r="A552" s="402">
        <v>41073.645833333336</v>
      </c>
      <c r="B552">
        <v>6.4</v>
      </c>
      <c r="C552">
        <f>$E$1*B552</f>
        <v>35.553320235756381</v>
      </c>
    </row>
    <row r="553" spans="1:3" x14ac:dyDescent="0.25">
      <c r="A553" s="402">
        <v>41074.645833333336</v>
      </c>
      <c r="B553">
        <v>6.35</v>
      </c>
      <c r="C553">
        <f>$E$1*B553</f>
        <v>35.275559921414533</v>
      </c>
    </row>
    <row r="554" spans="1:3" x14ac:dyDescent="0.25">
      <c r="A554" s="402">
        <v>41075.645833333336</v>
      </c>
      <c r="B554">
        <v>6.45</v>
      </c>
      <c r="C554">
        <f>$E$1*B554</f>
        <v>35.831080550098228</v>
      </c>
    </row>
    <row r="555" spans="1:3" x14ac:dyDescent="0.25">
      <c r="A555" s="402">
        <v>41078.645833333336</v>
      </c>
      <c r="B555">
        <v>6.35</v>
      </c>
      <c r="C555">
        <f>$E$1*B555</f>
        <v>35.275559921414533</v>
      </c>
    </row>
    <row r="556" spans="1:3" x14ac:dyDescent="0.25">
      <c r="A556" s="402">
        <v>41079.645833333336</v>
      </c>
      <c r="B556">
        <v>6.2</v>
      </c>
      <c r="C556">
        <f>$E$1*B556</f>
        <v>34.442278978388998</v>
      </c>
    </row>
    <row r="557" spans="1:3" x14ac:dyDescent="0.25">
      <c r="A557" s="402">
        <v>41080.645833333336</v>
      </c>
      <c r="B557">
        <v>6.35</v>
      </c>
      <c r="C557">
        <f>$E$1*B557</f>
        <v>35.275559921414533</v>
      </c>
    </row>
    <row r="558" spans="1:3" x14ac:dyDescent="0.25">
      <c r="A558" s="402">
        <v>41081.645833333336</v>
      </c>
      <c r="B558">
        <v>6.25</v>
      </c>
      <c r="C558">
        <f>$E$1*B558</f>
        <v>34.720039292730846</v>
      </c>
    </row>
    <row r="559" spans="1:3" x14ac:dyDescent="0.25">
      <c r="A559" s="402">
        <v>41082.645833333336</v>
      </c>
      <c r="B559">
        <v>6.5</v>
      </c>
      <c r="C559">
        <f>$E$1*B559</f>
        <v>36.108840864440076</v>
      </c>
    </row>
    <row r="560" spans="1:3" x14ac:dyDescent="0.25">
      <c r="A560" s="402">
        <v>41085.645833333336</v>
      </c>
      <c r="B560">
        <v>6.5</v>
      </c>
      <c r="C560">
        <f>$E$1*B560</f>
        <v>36.108840864440076</v>
      </c>
    </row>
    <row r="561" spans="1:3" x14ac:dyDescent="0.25">
      <c r="A561" s="402">
        <v>41086.645833333336</v>
      </c>
      <c r="B561">
        <v>6.55</v>
      </c>
      <c r="C561">
        <f>$E$1*B561</f>
        <v>36.386601178781923</v>
      </c>
    </row>
    <row r="562" spans="1:3" x14ac:dyDescent="0.25">
      <c r="A562" s="402">
        <v>41087.645833333336</v>
      </c>
      <c r="B562">
        <v>6.65</v>
      </c>
      <c r="C562">
        <f>$E$1*B562</f>
        <v>36.942121807465618</v>
      </c>
    </row>
    <row r="563" spans="1:3" x14ac:dyDescent="0.25">
      <c r="A563" s="402">
        <v>41088.645833333336</v>
      </c>
      <c r="B563">
        <v>6.35</v>
      </c>
      <c r="C563">
        <f>$E$1*B563</f>
        <v>35.275559921414533</v>
      </c>
    </row>
    <row r="564" spans="1:3" x14ac:dyDescent="0.25">
      <c r="A564" s="402">
        <v>41089.645833333336</v>
      </c>
      <c r="B564">
        <v>6.45</v>
      </c>
      <c r="C564">
        <f>$E$1*B564</f>
        <v>35.831080550098228</v>
      </c>
    </row>
    <row r="565" spans="1:3" x14ac:dyDescent="0.25">
      <c r="A565" s="402">
        <v>41092.645833333336</v>
      </c>
      <c r="B565">
        <v>6.55</v>
      </c>
      <c r="C565">
        <f>$E$1*B565</f>
        <v>36.386601178781923</v>
      </c>
    </row>
    <row r="566" spans="1:3" x14ac:dyDescent="0.25">
      <c r="A566" s="402">
        <v>41093.645833333336</v>
      </c>
      <c r="B566">
        <v>6.5</v>
      </c>
      <c r="C566">
        <f>$E$1*B566</f>
        <v>36.108840864440076</v>
      </c>
    </row>
    <row r="567" spans="1:3" x14ac:dyDescent="0.25">
      <c r="A567" s="402">
        <v>41094.645833333336</v>
      </c>
      <c r="B567">
        <v>6.8</v>
      </c>
      <c r="C567">
        <f>$E$1*B567</f>
        <v>37.775402750491153</v>
      </c>
    </row>
    <row r="568" spans="1:3" x14ac:dyDescent="0.25">
      <c r="A568" s="402">
        <v>41095.645833333336</v>
      </c>
      <c r="B568">
        <v>7.05</v>
      </c>
      <c r="C568">
        <f>$E$1*B568</f>
        <v>39.164204322200391</v>
      </c>
    </row>
    <row r="569" spans="1:3" x14ac:dyDescent="0.25">
      <c r="A569" s="402">
        <v>41096.645833333336</v>
      </c>
      <c r="B569">
        <v>7.2</v>
      </c>
      <c r="C569">
        <f>$E$1*B569</f>
        <v>39.997485265225933</v>
      </c>
    </row>
    <row r="570" spans="1:3" x14ac:dyDescent="0.25">
      <c r="A570" s="402">
        <v>41099.645833333336</v>
      </c>
      <c r="B570">
        <v>7.35</v>
      </c>
      <c r="C570">
        <f>$E$1*B570</f>
        <v>40.830766208251468</v>
      </c>
    </row>
    <row r="571" spans="1:3" x14ac:dyDescent="0.25">
      <c r="A571" s="402">
        <v>41100.645833333336</v>
      </c>
      <c r="B571">
        <v>7.3</v>
      </c>
      <c r="C571">
        <f>$E$1*B571</f>
        <v>40.553005893909621</v>
      </c>
    </row>
    <row r="572" spans="1:3" x14ac:dyDescent="0.25">
      <c r="A572" s="402">
        <v>41101.645833333336</v>
      </c>
      <c r="B572">
        <v>7.1</v>
      </c>
      <c r="C572">
        <f>$E$1*B572</f>
        <v>39.441964636542238</v>
      </c>
    </row>
    <row r="573" spans="1:3" x14ac:dyDescent="0.25">
      <c r="A573" s="402">
        <v>41102.645833333336</v>
      </c>
      <c r="B573">
        <v>7.35</v>
      </c>
      <c r="C573">
        <f>$E$1*B573</f>
        <v>40.830766208251468</v>
      </c>
    </row>
    <row r="574" spans="1:3" x14ac:dyDescent="0.25">
      <c r="A574" s="402">
        <v>41103.645833333336</v>
      </c>
      <c r="B574">
        <v>7.3</v>
      </c>
      <c r="C574">
        <f>$E$1*B574</f>
        <v>40.553005893909621</v>
      </c>
    </row>
    <row r="575" spans="1:3" x14ac:dyDescent="0.25">
      <c r="A575" s="402">
        <v>41106.645833333336</v>
      </c>
      <c r="B575">
        <v>7.05</v>
      </c>
      <c r="C575">
        <f>$E$1*B575</f>
        <v>39.164204322200391</v>
      </c>
    </row>
    <row r="576" spans="1:3" x14ac:dyDescent="0.25">
      <c r="A576" s="402">
        <v>41107.645833333336</v>
      </c>
      <c r="B576">
        <v>7.05</v>
      </c>
      <c r="C576">
        <f>$E$1*B576</f>
        <v>39.164204322200391</v>
      </c>
    </row>
    <row r="577" spans="1:3" x14ac:dyDescent="0.25">
      <c r="A577" s="402">
        <v>41108.645833333336</v>
      </c>
      <c r="B577">
        <v>7.3</v>
      </c>
      <c r="C577">
        <f>$E$1*B577</f>
        <v>40.553005893909621</v>
      </c>
    </row>
    <row r="578" spans="1:3" x14ac:dyDescent="0.25">
      <c r="A578" s="402">
        <v>41109.645833333336</v>
      </c>
      <c r="B578">
        <v>7.1</v>
      </c>
      <c r="C578">
        <f>$E$1*B578</f>
        <v>39.441964636542238</v>
      </c>
    </row>
    <row r="579" spans="1:3" x14ac:dyDescent="0.25">
      <c r="A579" s="402">
        <v>41110.645833333336</v>
      </c>
      <c r="B579">
        <v>7.15</v>
      </c>
      <c r="C579">
        <f>$E$1*B579</f>
        <v>39.719724950884086</v>
      </c>
    </row>
    <row r="580" spans="1:3" x14ac:dyDescent="0.25">
      <c r="A580" s="402">
        <v>41113.645833333336</v>
      </c>
      <c r="B580">
        <v>7.05</v>
      </c>
      <c r="C580">
        <f>$E$1*B580</f>
        <v>39.164204322200391</v>
      </c>
    </row>
    <row r="581" spans="1:3" x14ac:dyDescent="0.25">
      <c r="A581" s="402">
        <v>41114.645833333336</v>
      </c>
      <c r="B581">
        <v>7.05</v>
      </c>
      <c r="C581">
        <f>$E$1*B581</f>
        <v>39.164204322200391</v>
      </c>
    </row>
    <row r="582" spans="1:3" x14ac:dyDescent="0.25">
      <c r="A582" s="402">
        <v>41115.645833333336</v>
      </c>
      <c r="B582">
        <v>7.05</v>
      </c>
      <c r="C582">
        <f>$E$1*B582</f>
        <v>39.164204322200391</v>
      </c>
    </row>
    <row r="583" spans="1:3" x14ac:dyDescent="0.25">
      <c r="A583" s="402">
        <v>41116.645833333336</v>
      </c>
      <c r="B583">
        <v>6.95</v>
      </c>
      <c r="C583">
        <f>$E$1*B583</f>
        <v>38.608683693516696</v>
      </c>
    </row>
    <row r="584" spans="1:3" x14ac:dyDescent="0.25">
      <c r="A584" s="402">
        <v>41117.645833333336</v>
      </c>
      <c r="B584">
        <v>6.8</v>
      </c>
      <c r="C584">
        <f>$E$1*B584</f>
        <v>37.775402750491153</v>
      </c>
    </row>
    <row r="585" spans="1:3" x14ac:dyDescent="0.25">
      <c r="A585" s="402">
        <v>41120.645833333336</v>
      </c>
      <c r="B585">
        <v>6.9</v>
      </c>
      <c r="C585">
        <f>$E$1*B585</f>
        <v>38.330923379174848</v>
      </c>
    </row>
    <row r="586" spans="1:3" x14ac:dyDescent="0.25">
      <c r="A586" s="402">
        <v>41121.645833333336</v>
      </c>
      <c r="B586">
        <v>7.05</v>
      </c>
      <c r="C586">
        <f>$E$1*B586</f>
        <v>39.164204322200391</v>
      </c>
    </row>
    <row r="587" spans="1:3" x14ac:dyDescent="0.25">
      <c r="A587" s="402">
        <v>41122.645833333336</v>
      </c>
      <c r="B587">
        <v>7</v>
      </c>
      <c r="C587">
        <f>$E$1*B587</f>
        <v>38.886444007858543</v>
      </c>
    </row>
    <row r="588" spans="1:3" x14ac:dyDescent="0.25">
      <c r="A588" s="402">
        <v>41123.645833333336</v>
      </c>
      <c r="B588">
        <v>6.95</v>
      </c>
      <c r="C588">
        <f>$E$1*B588</f>
        <v>38.608683693516696</v>
      </c>
    </row>
    <row r="589" spans="1:3" x14ac:dyDescent="0.25">
      <c r="A589" s="402">
        <v>41124.645833333336</v>
      </c>
      <c r="B589">
        <v>7.05</v>
      </c>
      <c r="C589">
        <f>$E$1*B589</f>
        <v>39.164204322200391</v>
      </c>
    </row>
    <row r="590" spans="1:3" x14ac:dyDescent="0.25">
      <c r="A590" s="402">
        <v>41127.645833333336</v>
      </c>
      <c r="B590">
        <v>7.1</v>
      </c>
      <c r="C590">
        <f>$E$1*B590</f>
        <v>39.441964636542238</v>
      </c>
    </row>
    <row r="591" spans="1:3" x14ac:dyDescent="0.25">
      <c r="A591" s="402">
        <v>41128.645833333336</v>
      </c>
      <c r="B591">
        <v>6.95</v>
      </c>
      <c r="C591">
        <f>$E$1*B591</f>
        <v>38.608683693516696</v>
      </c>
    </row>
    <row r="592" spans="1:3" x14ac:dyDescent="0.25">
      <c r="A592" s="402">
        <v>41129.645833333336</v>
      </c>
      <c r="B592">
        <v>6.85</v>
      </c>
      <c r="C592">
        <f>$E$1*B592</f>
        <v>38.053163064833001</v>
      </c>
    </row>
    <row r="593" spans="1:3" x14ac:dyDescent="0.25">
      <c r="A593" s="402">
        <v>41130.645833333336</v>
      </c>
      <c r="B593">
        <v>6.95</v>
      </c>
      <c r="C593">
        <f>$E$1*B593</f>
        <v>38.608683693516696</v>
      </c>
    </row>
    <row r="594" spans="1:3" x14ac:dyDescent="0.25">
      <c r="A594" s="402">
        <v>41131.645833333336</v>
      </c>
      <c r="B594">
        <v>7.1</v>
      </c>
      <c r="C594">
        <f>$E$1*B594</f>
        <v>39.441964636542238</v>
      </c>
    </row>
    <row r="595" spans="1:3" x14ac:dyDescent="0.25">
      <c r="A595" s="402">
        <v>41134.645833333336</v>
      </c>
      <c r="B595">
        <v>7</v>
      </c>
      <c r="C595">
        <f>$E$1*B595</f>
        <v>38.886444007858543</v>
      </c>
    </row>
    <row r="596" spans="1:3" x14ac:dyDescent="0.25">
      <c r="A596" s="402">
        <v>41135.645833333336</v>
      </c>
      <c r="B596">
        <v>7</v>
      </c>
      <c r="C596">
        <f>$E$1*B596</f>
        <v>38.886444007858543</v>
      </c>
    </row>
    <row r="597" spans="1:3" x14ac:dyDescent="0.25">
      <c r="A597" s="402">
        <v>41137.645833333336</v>
      </c>
      <c r="B597">
        <v>7.2</v>
      </c>
      <c r="C597">
        <f>$E$1*B597</f>
        <v>39.997485265225933</v>
      </c>
    </row>
    <row r="598" spans="1:3" x14ac:dyDescent="0.25">
      <c r="A598" s="402">
        <v>41138.645833333336</v>
      </c>
      <c r="B598">
        <v>6.85</v>
      </c>
      <c r="C598">
        <f>$E$1*B598</f>
        <v>38.053163064833001</v>
      </c>
    </row>
    <row r="599" spans="1:3" x14ac:dyDescent="0.25">
      <c r="A599" s="402">
        <v>41142.645833333336</v>
      </c>
      <c r="B599">
        <v>6.8</v>
      </c>
      <c r="C599">
        <f>$E$1*B599</f>
        <v>37.775402750491153</v>
      </c>
    </row>
    <row r="600" spans="1:3" x14ac:dyDescent="0.25">
      <c r="A600" s="402">
        <v>41143.645833333336</v>
      </c>
      <c r="B600">
        <v>6.95</v>
      </c>
      <c r="C600">
        <f>$E$1*B600</f>
        <v>38.608683693516696</v>
      </c>
    </row>
    <row r="601" spans="1:3" x14ac:dyDescent="0.25">
      <c r="A601" s="402">
        <v>41144.645833333336</v>
      </c>
      <c r="B601">
        <v>6.8</v>
      </c>
      <c r="C601">
        <f>$E$1*B601</f>
        <v>37.775402750491153</v>
      </c>
    </row>
    <row r="602" spans="1:3" x14ac:dyDescent="0.25">
      <c r="A602" s="402">
        <v>41145.645833333336</v>
      </c>
      <c r="B602">
        <v>6.95</v>
      </c>
      <c r="C602">
        <f>$E$1*B602</f>
        <v>38.608683693516696</v>
      </c>
    </row>
    <row r="603" spans="1:3" x14ac:dyDescent="0.25">
      <c r="A603" s="402">
        <v>41148.645833333336</v>
      </c>
      <c r="B603">
        <v>7.15</v>
      </c>
      <c r="C603">
        <f>$E$1*B603</f>
        <v>39.719724950884086</v>
      </c>
    </row>
    <row r="604" spans="1:3" x14ac:dyDescent="0.25">
      <c r="A604" s="402">
        <v>41149.645833333336</v>
      </c>
      <c r="B604">
        <v>7.15</v>
      </c>
      <c r="C604">
        <f>$E$1*B604</f>
        <v>39.719724950884086</v>
      </c>
    </row>
    <row r="605" spans="1:3" x14ac:dyDescent="0.25">
      <c r="A605" s="402">
        <v>41150.645833333336</v>
      </c>
      <c r="B605">
        <v>6.95</v>
      </c>
      <c r="C605">
        <f>$E$1*B605</f>
        <v>38.608683693516696</v>
      </c>
    </row>
    <row r="606" spans="1:3" x14ac:dyDescent="0.25">
      <c r="A606" s="402">
        <v>41151.645833333336</v>
      </c>
      <c r="B606">
        <v>6.95</v>
      </c>
      <c r="C606">
        <f>$E$1*B606</f>
        <v>38.608683693516696</v>
      </c>
    </row>
    <row r="607" spans="1:3" x14ac:dyDescent="0.25">
      <c r="A607" s="402">
        <v>41152.645833333336</v>
      </c>
      <c r="B607">
        <v>7</v>
      </c>
      <c r="C607">
        <f>$E$1*B607</f>
        <v>38.886444007858543</v>
      </c>
    </row>
    <row r="608" spans="1:3" x14ac:dyDescent="0.25">
      <c r="A608" s="402">
        <v>41155.645833333336</v>
      </c>
      <c r="B608">
        <v>7.2</v>
      </c>
      <c r="C608">
        <f>$E$1*B608</f>
        <v>39.997485265225933</v>
      </c>
    </row>
    <row r="609" spans="1:3" x14ac:dyDescent="0.25">
      <c r="A609" s="402">
        <v>41156.645833333336</v>
      </c>
      <c r="B609">
        <v>7.3</v>
      </c>
      <c r="C609">
        <f>$E$1*B609</f>
        <v>40.553005893909621</v>
      </c>
    </row>
    <row r="610" spans="1:3" x14ac:dyDescent="0.25">
      <c r="A610" s="402">
        <v>41157.645833333336</v>
      </c>
      <c r="B610">
        <v>7.2</v>
      </c>
      <c r="C610">
        <f>$E$1*B610</f>
        <v>39.997485265225933</v>
      </c>
    </row>
    <row r="611" spans="1:3" x14ac:dyDescent="0.25">
      <c r="A611" s="402">
        <v>41158.645833333336</v>
      </c>
      <c r="B611">
        <v>7.25</v>
      </c>
      <c r="C611">
        <f>$E$1*B611</f>
        <v>40.27524557956778</v>
      </c>
    </row>
    <row r="612" spans="1:3" x14ac:dyDescent="0.25">
      <c r="A612" s="402">
        <v>41159.645833333336</v>
      </c>
      <c r="B612">
        <v>7.35</v>
      </c>
      <c r="C612">
        <f>$E$1*B612</f>
        <v>40.830766208251468</v>
      </c>
    </row>
    <row r="613" spans="1:3" x14ac:dyDescent="0.25">
      <c r="A613" s="402">
        <v>41160.552083333336</v>
      </c>
      <c r="B613">
        <v>7.25</v>
      </c>
      <c r="C613">
        <f>$E$1*B613</f>
        <v>40.27524557956778</v>
      </c>
    </row>
    <row r="614" spans="1:3" x14ac:dyDescent="0.25">
      <c r="A614" s="402">
        <v>41162.645833333336</v>
      </c>
      <c r="B614">
        <v>7.4</v>
      </c>
      <c r="C614">
        <f>$E$1*B614</f>
        <v>41.108526522593316</v>
      </c>
    </row>
    <row r="615" spans="1:3" x14ac:dyDescent="0.25">
      <c r="A615" s="402">
        <v>41163.645833333336</v>
      </c>
      <c r="B615">
        <v>7.25</v>
      </c>
      <c r="C615">
        <f>$E$1*B615</f>
        <v>40.27524557956778</v>
      </c>
    </row>
    <row r="616" spans="1:3" x14ac:dyDescent="0.25">
      <c r="A616" s="402">
        <v>41164.645833333336</v>
      </c>
      <c r="B616">
        <v>7.25</v>
      </c>
      <c r="C616">
        <f>$E$1*B616</f>
        <v>40.27524557956778</v>
      </c>
    </row>
    <row r="617" spans="1:3" x14ac:dyDescent="0.25">
      <c r="A617" s="402">
        <v>41165.645833333336</v>
      </c>
      <c r="B617">
        <v>7.3</v>
      </c>
      <c r="C617">
        <f>$E$1*B617</f>
        <v>40.553005893909621</v>
      </c>
    </row>
    <row r="618" spans="1:3" x14ac:dyDescent="0.25">
      <c r="A618" s="402">
        <v>41166.645833333336</v>
      </c>
      <c r="B618">
        <v>7.3</v>
      </c>
      <c r="C618">
        <f>$E$1*B618</f>
        <v>40.553005893909621</v>
      </c>
    </row>
    <row r="619" spans="1:3" x14ac:dyDescent="0.25">
      <c r="A619" s="402">
        <v>41169.645833333336</v>
      </c>
      <c r="B619">
        <v>7.45</v>
      </c>
      <c r="C619">
        <f>$E$1*B619</f>
        <v>41.386286836935163</v>
      </c>
    </row>
    <row r="620" spans="1:3" x14ac:dyDescent="0.25">
      <c r="A620" s="402">
        <v>41170.645833333336</v>
      </c>
      <c r="B620">
        <v>7.25</v>
      </c>
      <c r="C620">
        <f>$E$1*B620</f>
        <v>40.27524557956778</v>
      </c>
    </row>
    <row r="621" spans="1:3" x14ac:dyDescent="0.25">
      <c r="A621" s="402">
        <v>41172.645833333336</v>
      </c>
      <c r="B621">
        <v>7.2</v>
      </c>
      <c r="C621">
        <f>$E$1*B621</f>
        <v>39.997485265225933</v>
      </c>
    </row>
    <row r="622" spans="1:3" x14ac:dyDescent="0.25">
      <c r="A622" s="402">
        <v>41173.645833333336</v>
      </c>
      <c r="B622">
        <v>7.4</v>
      </c>
      <c r="C622">
        <f>$E$1*B622</f>
        <v>41.108526522593316</v>
      </c>
    </row>
    <row r="623" spans="1:3" x14ac:dyDescent="0.25">
      <c r="A623" s="402">
        <v>41176.645833333336</v>
      </c>
      <c r="B623">
        <v>7.25</v>
      </c>
      <c r="C623">
        <f>$E$1*B623</f>
        <v>40.27524557956778</v>
      </c>
    </row>
    <row r="624" spans="1:3" x14ac:dyDescent="0.25">
      <c r="A624" s="402">
        <v>41177.645833333336</v>
      </c>
      <c r="B624">
        <v>7.2</v>
      </c>
      <c r="C624">
        <f>$E$1*B624</f>
        <v>39.997485265225933</v>
      </c>
    </row>
    <row r="625" spans="1:3" x14ac:dyDescent="0.25">
      <c r="A625" s="402">
        <v>41178.645833333336</v>
      </c>
      <c r="B625">
        <v>7.2</v>
      </c>
      <c r="C625">
        <f>$E$1*B625</f>
        <v>39.997485265225933</v>
      </c>
    </row>
    <row r="626" spans="1:3" x14ac:dyDescent="0.25">
      <c r="A626" s="402">
        <v>41179.645833333336</v>
      </c>
      <c r="B626">
        <v>7.4</v>
      </c>
      <c r="C626">
        <f>$E$1*B626</f>
        <v>41.108526522593316</v>
      </c>
    </row>
    <row r="627" spans="1:3" x14ac:dyDescent="0.25">
      <c r="A627" s="402">
        <v>41180.645833333336</v>
      </c>
      <c r="B627">
        <v>7.3</v>
      </c>
      <c r="C627">
        <f>$E$1*B627</f>
        <v>40.553005893909621</v>
      </c>
    </row>
    <row r="628" spans="1:3" x14ac:dyDescent="0.25">
      <c r="A628" s="402">
        <v>41183.645833333336</v>
      </c>
      <c r="B628">
        <v>7.4</v>
      </c>
      <c r="C628">
        <f>$E$1*B628</f>
        <v>41.108526522593316</v>
      </c>
    </row>
    <row r="629" spans="1:3" x14ac:dyDescent="0.25">
      <c r="A629" s="402">
        <v>41185.645833333336</v>
      </c>
      <c r="B629">
        <v>7.9</v>
      </c>
      <c r="C629">
        <f>$E$1*B629</f>
        <v>43.886129666011783</v>
      </c>
    </row>
    <row r="630" spans="1:3" x14ac:dyDescent="0.25">
      <c r="A630" s="402">
        <v>41186.645833333336</v>
      </c>
      <c r="B630">
        <v>8.1999999999999993</v>
      </c>
      <c r="C630">
        <f>$E$1*B630</f>
        <v>45.552691552062861</v>
      </c>
    </row>
    <row r="631" spans="1:3" x14ac:dyDescent="0.25">
      <c r="A631" s="402">
        <v>41187.645833333336</v>
      </c>
      <c r="B631">
        <v>8.4</v>
      </c>
      <c r="C631">
        <f>$E$1*B631</f>
        <v>46.66373280943025</v>
      </c>
    </row>
    <row r="632" spans="1:3" x14ac:dyDescent="0.25">
      <c r="A632" s="402">
        <v>41190.645833333336</v>
      </c>
      <c r="B632">
        <v>8.9499999999999993</v>
      </c>
      <c r="C632">
        <f>$E$1*B632</f>
        <v>49.719096267190565</v>
      </c>
    </row>
    <row r="633" spans="1:3" x14ac:dyDescent="0.25">
      <c r="A633" s="402">
        <v>41191.645833333336</v>
      </c>
      <c r="B633">
        <v>8.65</v>
      </c>
      <c r="C633">
        <f>$E$1*B633</f>
        <v>48.052534381139488</v>
      </c>
    </row>
    <row r="634" spans="1:3" x14ac:dyDescent="0.25">
      <c r="A634" s="402">
        <v>41192.645833333336</v>
      </c>
      <c r="B634">
        <v>8.6999999999999993</v>
      </c>
      <c r="C634">
        <f>$E$1*B634</f>
        <v>48.330294695481328</v>
      </c>
    </row>
    <row r="635" spans="1:3" x14ac:dyDescent="0.25">
      <c r="A635" s="402">
        <v>41193.645833333336</v>
      </c>
      <c r="B635">
        <v>8.9499999999999993</v>
      </c>
      <c r="C635">
        <f>$E$1*B635</f>
        <v>49.719096267190565</v>
      </c>
    </row>
    <row r="636" spans="1:3" x14ac:dyDescent="0.25">
      <c r="A636" s="402">
        <v>41194.645833333336</v>
      </c>
      <c r="B636">
        <v>8.25</v>
      </c>
      <c r="C636">
        <f>$E$1*B636</f>
        <v>45.830451866404715</v>
      </c>
    </row>
    <row r="637" spans="1:3" x14ac:dyDescent="0.25">
      <c r="A637" s="402">
        <v>41197.645833333336</v>
      </c>
      <c r="B637">
        <v>8.35</v>
      </c>
      <c r="C637">
        <f>$E$1*B637</f>
        <v>46.385972495088403</v>
      </c>
    </row>
    <row r="638" spans="1:3" x14ac:dyDescent="0.25">
      <c r="A638" s="402">
        <v>41198.645833333336</v>
      </c>
      <c r="B638">
        <v>8.35</v>
      </c>
      <c r="C638">
        <f>$E$1*B638</f>
        <v>46.385972495088403</v>
      </c>
    </row>
    <row r="639" spans="1:3" x14ac:dyDescent="0.25">
      <c r="A639" s="402">
        <v>41199.645833333336</v>
      </c>
      <c r="B639">
        <v>8.25</v>
      </c>
      <c r="C639">
        <f>$E$1*B639</f>
        <v>45.830451866404715</v>
      </c>
    </row>
    <row r="640" spans="1:3" x14ac:dyDescent="0.25">
      <c r="A640" s="402">
        <v>41200.645833333336</v>
      </c>
      <c r="B640">
        <v>8.35</v>
      </c>
      <c r="C640">
        <f>$E$1*B640</f>
        <v>46.385972495088403</v>
      </c>
    </row>
    <row r="641" spans="1:3" x14ac:dyDescent="0.25">
      <c r="A641" s="402">
        <v>41201.645833333336</v>
      </c>
      <c r="B641">
        <v>8.15</v>
      </c>
      <c r="C641">
        <f>$E$1*B641</f>
        <v>45.27493123772102</v>
      </c>
    </row>
    <row r="642" spans="1:3" x14ac:dyDescent="0.25">
      <c r="A642" s="402">
        <v>41204.645833333336</v>
      </c>
      <c r="B642">
        <v>8</v>
      </c>
      <c r="C642">
        <f>$E$1*B642</f>
        <v>44.441650294695478</v>
      </c>
    </row>
    <row r="643" spans="1:3" x14ac:dyDescent="0.25">
      <c r="A643" s="402">
        <v>41205.645833333336</v>
      </c>
      <c r="B643">
        <v>8.75</v>
      </c>
      <c r="C643">
        <f>$E$1*B643</f>
        <v>48.608055009823175</v>
      </c>
    </row>
    <row r="644" spans="1:3" x14ac:dyDescent="0.25">
      <c r="A644" s="402">
        <v>41207.645833333336</v>
      </c>
      <c r="B644">
        <v>8.0500000000000007</v>
      </c>
      <c r="C644">
        <f>$E$1*B644</f>
        <v>44.719410609037325</v>
      </c>
    </row>
    <row r="645" spans="1:3" x14ac:dyDescent="0.25">
      <c r="A645" s="402">
        <v>41208.645833333336</v>
      </c>
      <c r="B645">
        <v>8.1</v>
      </c>
      <c r="C645">
        <f>$E$1*B645</f>
        <v>44.997170923379173</v>
      </c>
    </row>
    <row r="646" spans="1:3" x14ac:dyDescent="0.25">
      <c r="A646" s="402">
        <v>41211.645833333336</v>
      </c>
      <c r="B646">
        <v>8.4</v>
      </c>
      <c r="C646">
        <f>$E$1*B646</f>
        <v>46.66373280943025</v>
      </c>
    </row>
    <row r="647" spans="1:3" x14ac:dyDescent="0.25">
      <c r="A647" s="402">
        <v>41212.645833333336</v>
      </c>
      <c r="B647">
        <v>8.3000000000000007</v>
      </c>
      <c r="C647">
        <f>$E$1*B647</f>
        <v>46.108212180746563</v>
      </c>
    </row>
    <row r="648" spans="1:3" x14ac:dyDescent="0.25">
      <c r="A648" s="402">
        <v>41213.645833333336</v>
      </c>
      <c r="B648">
        <v>8.15</v>
      </c>
      <c r="C648">
        <f>$E$1*B648</f>
        <v>45.27493123772102</v>
      </c>
    </row>
    <row r="649" spans="1:3" x14ac:dyDescent="0.25">
      <c r="A649" s="402">
        <v>41214.645833333336</v>
      </c>
      <c r="B649">
        <v>9.25</v>
      </c>
      <c r="C649">
        <f>$E$1*B649</f>
        <v>51.38565815324165</v>
      </c>
    </row>
    <row r="650" spans="1:3" x14ac:dyDescent="0.25">
      <c r="A650" s="402">
        <v>41215.645833333336</v>
      </c>
      <c r="B650">
        <v>9.1999999999999993</v>
      </c>
      <c r="C650">
        <f>$E$1*B650</f>
        <v>51.107897838899795</v>
      </c>
    </row>
    <row r="651" spans="1:3" x14ac:dyDescent="0.25">
      <c r="A651" s="402">
        <v>41218.645833333336</v>
      </c>
      <c r="B651">
        <v>9.25</v>
      </c>
      <c r="C651">
        <f>$E$1*B651</f>
        <v>51.38565815324165</v>
      </c>
    </row>
    <row r="652" spans="1:3" x14ac:dyDescent="0.25">
      <c r="A652" s="402">
        <v>41219.645833333336</v>
      </c>
      <c r="B652">
        <v>9.15</v>
      </c>
      <c r="C652">
        <f>$E$1*B652</f>
        <v>50.830137524557955</v>
      </c>
    </row>
    <row r="653" spans="1:3" x14ac:dyDescent="0.25">
      <c r="A653" s="402">
        <v>41220.645833333336</v>
      </c>
      <c r="B653">
        <v>9.3000000000000007</v>
      </c>
      <c r="C653">
        <f>$E$1*B653</f>
        <v>51.663418467583497</v>
      </c>
    </row>
    <row r="654" spans="1:3" x14ac:dyDescent="0.25">
      <c r="A654" s="402">
        <v>41221.645833333336</v>
      </c>
      <c r="B654">
        <v>9.3000000000000007</v>
      </c>
      <c r="C654">
        <f>$E$1*B654</f>
        <v>51.663418467583497</v>
      </c>
    </row>
    <row r="655" spans="1:3" x14ac:dyDescent="0.25">
      <c r="A655" s="402">
        <v>41222.645833333336</v>
      </c>
      <c r="B655">
        <v>9.15</v>
      </c>
      <c r="C655">
        <f>$E$1*B655</f>
        <v>50.830137524557955</v>
      </c>
    </row>
    <row r="656" spans="1:3" x14ac:dyDescent="0.25">
      <c r="A656" s="402">
        <v>41225.645833333336</v>
      </c>
      <c r="B656">
        <v>9.15</v>
      </c>
      <c r="C656">
        <f>$E$1*B656</f>
        <v>50.830137524557955</v>
      </c>
    </row>
    <row r="657" spans="1:3" x14ac:dyDescent="0.25">
      <c r="A657" s="402">
        <v>41226.722222222219</v>
      </c>
      <c r="B657">
        <v>9.5</v>
      </c>
      <c r="C657">
        <f>$E$1*B657</f>
        <v>52.77445972495088</v>
      </c>
    </row>
    <row r="658" spans="1:3" x14ac:dyDescent="0.25">
      <c r="A658" s="402">
        <v>41228.645833333336</v>
      </c>
      <c r="B658">
        <v>9.1999999999999993</v>
      </c>
      <c r="C658">
        <f>$E$1*B658</f>
        <v>51.107897838899795</v>
      </c>
    </row>
    <row r="659" spans="1:3" x14ac:dyDescent="0.25">
      <c r="A659" s="402">
        <v>41229.645833333336</v>
      </c>
      <c r="B659">
        <v>9.15</v>
      </c>
      <c r="C659">
        <f>$E$1*B659</f>
        <v>50.830137524557955</v>
      </c>
    </row>
    <row r="660" spans="1:3" x14ac:dyDescent="0.25">
      <c r="A660" s="402">
        <v>41232.645833333336</v>
      </c>
      <c r="B660">
        <v>9.1</v>
      </c>
      <c r="C660">
        <f>$E$1*B660</f>
        <v>50.552377210216108</v>
      </c>
    </row>
    <row r="661" spans="1:3" x14ac:dyDescent="0.25">
      <c r="A661" s="402">
        <v>41233.645833333336</v>
      </c>
      <c r="B661">
        <v>9.15</v>
      </c>
      <c r="C661">
        <f>$E$1*B661</f>
        <v>50.830137524557955</v>
      </c>
    </row>
    <row r="662" spans="1:3" x14ac:dyDescent="0.25">
      <c r="A662" s="402">
        <v>41234.645833333336</v>
      </c>
      <c r="B662">
        <v>9.1</v>
      </c>
      <c r="C662">
        <f>$E$1*B662</f>
        <v>50.552377210216108</v>
      </c>
    </row>
    <row r="663" spans="1:3" x14ac:dyDescent="0.25">
      <c r="A663" s="402">
        <v>41235.645833333336</v>
      </c>
      <c r="B663">
        <v>9</v>
      </c>
      <c r="C663">
        <f>$E$1*B663</f>
        <v>49.996856581532413</v>
      </c>
    </row>
    <row r="664" spans="1:3" x14ac:dyDescent="0.25">
      <c r="A664" s="402">
        <v>41236.645833333336</v>
      </c>
      <c r="B664">
        <v>9.0500000000000007</v>
      </c>
      <c r="C664">
        <f>$E$1*B664</f>
        <v>50.27461689587426</v>
      </c>
    </row>
    <row r="665" spans="1:3" x14ac:dyDescent="0.25">
      <c r="A665" s="402">
        <v>41239.645833333336</v>
      </c>
      <c r="B665">
        <v>9.15</v>
      </c>
      <c r="C665">
        <f>$E$1*B665</f>
        <v>50.830137524557955</v>
      </c>
    </row>
    <row r="666" spans="1:3" x14ac:dyDescent="0.25">
      <c r="A666" s="402">
        <v>41240.645833333336</v>
      </c>
      <c r="B666">
        <v>9.1999999999999993</v>
      </c>
      <c r="C666">
        <f>$E$1*B666</f>
        <v>51.107897838899795</v>
      </c>
    </row>
    <row r="667" spans="1:3" x14ac:dyDescent="0.25">
      <c r="A667" s="402">
        <v>41242.645833333336</v>
      </c>
      <c r="B667">
        <v>9.0500000000000007</v>
      </c>
      <c r="C667">
        <f>$E$1*B667</f>
        <v>50.27461689587426</v>
      </c>
    </row>
    <row r="668" spans="1:3" x14ac:dyDescent="0.25">
      <c r="A668" s="402">
        <v>41243.645833333336</v>
      </c>
      <c r="B668">
        <v>9</v>
      </c>
      <c r="C668">
        <f>$E$1*B668</f>
        <v>49.996856581532413</v>
      </c>
    </row>
    <row r="669" spans="1:3" x14ac:dyDescent="0.25">
      <c r="A669" s="402">
        <v>41246.645833333336</v>
      </c>
      <c r="B669">
        <v>8.9499999999999993</v>
      </c>
      <c r="C669">
        <f>$E$1*B669</f>
        <v>49.719096267190565</v>
      </c>
    </row>
    <row r="670" spans="1:3" x14ac:dyDescent="0.25">
      <c r="A670" s="402">
        <v>41247.645833333336</v>
      </c>
      <c r="B670">
        <v>9</v>
      </c>
      <c r="C670">
        <f>$E$1*B670</f>
        <v>49.996856581532413</v>
      </c>
    </row>
    <row r="671" spans="1:3" x14ac:dyDescent="0.25">
      <c r="A671" s="402">
        <v>41248.645833333336</v>
      </c>
      <c r="B671">
        <v>8.9</v>
      </c>
      <c r="C671">
        <f>$E$1*B671</f>
        <v>49.441335952848718</v>
      </c>
    </row>
    <row r="672" spans="1:3" x14ac:dyDescent="0.25">
      <c r="A672" s="402">
        <v>41249.645833333336</v>
      </c>
      <c r="B672">
        <v>9.1</v>
      </c>
      <c r="C672">
        <f>$E$1*B672</f>
        <v>50.552377210216108</v>
      </c>
    </row>
    <row r="673" spans="1:3" x14ac:dyDescent="0.25">
      <c r="A673" s="402">
        <v>41250.645833333336</v>
      </c>
      <c r="B673">
        <v>9.6999999999999993</v>
      </c>
      <c r="C673">
        <f>$E$1*B673</f>
        <v>53.885500982318263</v>
      </c>
    </row>
    <row r="674" spans="1:3" x14ac:dyDescent="0.25">
      <c r="A674" s="402">
        <v>41253.645833333336</v>
      </c>
      <c r="B674">
        <v>9.5500000000000007</v>
      </c>
      <c r="C674">
        <f>$E$1*B674</f>
        <v>53.052220039292727</v>
      </c>
    </row>
    <row r="675" spans="1:3" x14ac:dyDescent="0.25">
      <c r="A675" s="402">
        <v>41254.645833333336</v>
      </c>
      <c r="B675">
        <v>9.75</v>
      </c>
      <c r="C675">
        <f>$E$1*B675</f>
        <v>54.16326129666011</v>
      </c>
    </row>
    <row r="676" spans="1:3" x14ac:dyDescent="0.25">
      <c r="A676" s="402">
        <v>41255.645833333336</v>
      </c>
      <c r="B676">
        <v>9.6</v>
      </c>
      <c r="C676">
        <f>$E$1*B676</f>
        <v>53.329980353634575</v>
      </c>
    </row>
    <row r="677" spans="1:3" x14ac:dyDescent="0.25">
      <c r="A677" s="402">
        <v>41256.645833333336</v>
      </c>
      <c r="B677">
        <v>9.4</v>
      </c>
      <c r="C677">
        <f>$E$1*B677</f>
        <v>52.218939096267185</v>
      </c>
    </row>
    <row r="678" spans="1:3" x14ac:dyDescent="0.25">
      <c r="A678" s="402">
        <v>41257.645833333336</v>
      </c>
      <c r="B678">
        <v>9.6</v>
      </c>
      <c r="C678">
        <f>$E$1*B678</f>
        <v>53.329980353634575</v>
      </c>
    </row>
    <row r="679" spans="1:3" x14ac:dyDescent="0.25">
      <c r="A679" s="402">
        <v>41260.645833333336</v>
      </c>
      <c r="B679">
        <v>9.25</v>
      </c>
      <c r="C679">
        <f>$E$1*B679</f>
        <v>51.38565815324165</v>
      </c>
    </row>
    <row r="680" spans="1:3" x14ac:dyDescent="0.25">
      <c r="A680" s="402">
        <v>41261.645833333336</v>
      </c>
      <c r="B680">
        <v>9.3000000000000007</v>
      </c>
      <c r="C680">
        <f>$E$1*B680</f>
        <v>51.663418467583497</v>
      </c>
    </row>
    <row r="681" spans="1:3" x14ac:dyDescent="0.25">
      <c r="A681" s="402">
        <v>41262.645833333336</v>
      </c>
      <c r="B681">
        <v>9.1</v>
      </c>
      <c r="C681">
        <f>$E$1*B681</f>
        <v>50.552377210216108</v>
      </c>
    </row>
    <row r="682" spans="1:3" x14ac:dyDescent="0.25">
      <c r="A682" s="402">
        <v>41263.645833333336</v>
      </c>
      <c r="B682">
        <v>9.5500000000000007</v>
      </c>
      <c r="C682">
        <f>$E$1*B682</f>
        <v>53.052220039292727</v>
      </c>
    </row>
    <row r="683" spans="1:3" x14ac:dyDescent="0.25">
      <c r="A683" s="402">
        <v>41264.645833333336</v>
      </c>
      <c r="B683">
        <v>9.5500000000000007</v>
      </c>
      <c r="C683">
        <f>$E$1*B683</f>
        <v>53.052220039292727</v>
      </c>
    </row>
    <row r="684" spans="1:3" x14ac:dyDescent="0.25">
      <c r="A684" s="402">
        <v>41267.645833333336</v>
      </c>
      <c r="B684">
        <v>9.6</v>
      </c>
      <c r="C684">
        <f>$E$1*B684</f>
        <v>53.329980353634575</v>
      </c>
    </row>
    <row r="685" spans="1:3" x14ac:dyDescent="0.25">
      <c r="A685" s="402">
        <v>41269.645833333336</v>
      </c>
      <c r="B685">
        <v>9.65</v>
      </c>
      <c r="C685">
        <f>$E$1*B685</f>
        <v>53.607740667976422</v>
      </c>
    </row>
    <row r="686" spans="1:3" x14ac:dyDescent="0.25">
      <c r="A686" s="402">
        <v>41270.645833333336</v>
      </c>
      <c r="B686">
        <v>10.25</v>
      </c>
      <c r="C686">
        <f>$E$1*B686</f>
        <v>56.940864440078585</v>
      </c>
    </row>
    <row r="687" spans="1:3" x14ac:dyDescent="0.25">
      <c r="A687" s="402">
        <v>41271.645833333336</v>
      </c>
      <c r="B687">
        <v>10.5</v>
      </c>
      <c r="C687">
        <f>$E$1*B687</f>
        <v>58.329666011787815</v>
      </c>
    </row>
    <row r="688" spans="1:3" x14ac:dyDescent="0.25">
      <c r="A688" s="402">
        <v>41274.645833333336</v>
      </c>
      <c r="B688">
        <v>10.6</v>
      </c>
      <c r="C688">
        <f>$E$1*B688</f>
        <v>58.88518664047151</v>
      </c>
    </row>
    <row r="689" spans="1:3" x14ac:dyDescent="0.25">
      <c r="A689" s="402">
        <v>41276.645833333336</v>
      </c>
      <c r="B689">
        <v>10.5</v>
      </c>
      <c r="C689">
        <f>$E$1*B689</f>
        <v>58.329666011787815</v>
      </c>
    </row>
    <row r="690" spans="1:3" x14ac:dyDescent="0.25">
      <c r="A690" s="402">
        <v>41277.645833333336</v>
      </c>
      <c r="B690">
        <v>10.199999999999999</v>
      </c>
      <c r="C690">
        <f>$E$1*B690</f>
        <v>56.66310412573673</v>
      </c>
    </row>
    <row r="691" spans="1:3" x14ac:dyDescent="0.25">
      <c r="A691" s="402">
        <v>41278.645833333336</v>
      </c>
      <c r="B691">
        <v>9.9499999999999993</v>
      </c>
      <c r="C691">
        <f>$E$1*B691</f>
        <v>55.2743025540275</v>
      </c>
    </row>
    <row r="692" spans="1:3" x14ac:dyDescent="0.25">
      <c r="A692" s="402">
        <v>41281.645833333336</v>
      </c>
      <c r="B692">
        <v>10.050000000000001</v>
      </c>
      <c r="C692">
        <f>$E$1*B692</f>
        <v>55.829823182711195</v>
      </c>
    </row>
    <row r="693" spans="1:3" x14ac:dyDescent="0.25">
      <c r="A693" s="402">
        <v>41282.645833333336</v>
      </c>
      <c r="B693">
        <v>9.9</v>
      </c>
      <c r="C693">
        <f>$E$1*B693</f>
        <v>54.996542239685652</v>
      </c>
    </row>
    <row r="694" spans="1:3" x14ac:dyDescent="0.25">
      <c r="A694" s="402">
        <v>41283.645833333336</v>
      </c>
      <c r="B694">
        <v>10.6</v>
      </c>
      <c r="C694">
        <f>$E$1*B694</f>
        <v>58.88518664047151</v>
      </c>
    </row>
    <row r="695" spans="1:3" x14ac:dyDescent="0.25">
      <c r="A695" s="402">
        <v>41284.645833333336</v>
      </c>
      <c r="B695">
        <v>10.050000000000001</v>
      </c>
      <c r="C695">
        <f>$E$1*B695</f>
        <v>55.829823182711195</v>
      </c>
    </row>
    <row r="696" spans="1:3" x14ac:dyDescent="0.25">
      <c r="A696" s="402">
        <v>41285.645833333336</v>
      </c>
      <c r="B696">
        <v>10</v>
      </c>
      <c r="C696">
        <f>$E$1*B696</f>
        <v>55.552062868369347</v>
      </c>
    </row>
    <row r="697" spans="1:3" x14ac:dyDescent="0.25">
      <c r="A697" s="402">
        <v>41288.645833333336</v>
      </c>
      <c r="B697">
        <v>10.199999999999999</v>
      </c>
      <c r="C697">
        <f>$E$1*B697</f>
        <v>56.66310412573673</v>
      </c>
    </row>
    <row r="698" spans="1:3" x14ac:dyDescent="0.25">
      <c r="A698" s="402">
        <v>41289.645833333336</v>
      </c>
      <c r="B698">
        <v>10</v>
      </c>
      <c r="C698">
        <f>$E$1*B698</f>
        <v>55.552062868369347</v>
      </c>
    </row>
    <row r="699" spans="1:3" x14ac:dyDescent="0.25">
      <c r="A699" s="402">
        <v>41290.645833333336</v>
      </c>
      <c r="B699">
        <v>10</v>
      </c>
      <c r="C699">
        <f>$E$1*B699</f>
        <v>55.552062868369347</v>
      </c>
    </row>
    <row r="700" spans="1:3" x14ac:dyDescent="0.25">
      <c r="A700" s="402">
        <v>41291.645833333336</v>
      </c>
      <c r="B700">
        <v>10.15</v>
      </c>
      <c r="C700">
        <f>$E$1*B700</f>
        <v>56.38534381139489</v>
      </c>
    </row>
    <row r="701" spans="1:3" x14ac:dyDescent="0.25">
      <c r="A701" s="402">
        <v>41292.645833333336</v>
      </c>
      <c r="B701">
        <v>10.199999999999999</v>
      </c>
      <c r="C701">
        <f>$E$1*B701</f>
        <v>56.66310412573673</v>
      </c>
    </row>
    <row r="702" spans="1:3" x14ac:dyDescent="0.25">
      <c r="A702" s="402">
        <v>41295.645833333336</v>
      </c>
      <c r="B702">
        <v>10.95</v>
      </c>
      <c r="C702">
        <f>$E$1*B702</f>
        <v>60.829508840864435</v>
      </c>
    </row>
    <row r="703" spans="1:3" x14ac:dyDescent="0.25">
      <c r="A703" s="402">
        <v>41296.645833333336</v>
      </c>
      <c r="B703">
        <v>10.8</v>
      </c>
      <c r="C703">
        <f>$E$1*B703</f>
        <v>59.996227897838899</v>
      </c>
    </row>
    <row r="704" spans="1:3" x14ac:dyDescent="0.25">
      <c r="A704" s="402">
        <v>41297.645833333336</v>
      </c>
      <c r="B704">
        <v>10.85</v>
      </c>
      <c r="C704">
        <f>$E$1*B704</f>
        <v>60.27398821218074</v>
      </c>
    </row>
    <row r="705" spans="1:3" x14ac:dyDescent="0.25">
      <c r="A705" s="402">
        <v>41298.645833333336</v>
      </c>
      <c r="B705">
        <v>10.8</v>
      </c>
      <c r="C705">
        <f>$E$1*B705</f>
        <v>59.996227897838899</v>
      </c>
    </row>
    <row r="706" spans="1:3" x14ac:dyDescent="0.25">
      <c r="A706" s="402">
        <v>41299.645833333336</v>
      </c>
      <c r="B706">
        <v>10.85</v>
      </c>
      <c r="C706">
        <f>$E$1*B706</f>
        <v>60.27398821218074</v>
      </c>
    </row>
    <row r="707" spans="1:3" x14ac:dyDescent="0.25">
      <c r="A707" s="402">
        <v>41302.645833333336</v>
      </c>
      <c r="B707">
        <v>10.85</v>
      </c>
      <c r="C707">
        <f>$E$1*B707</f>
        <v>60.27398821218074</v>
      </c>
    </row>
    <row r="708" spans="1:3" x14ac:dyDescent="0.25">
      <c r="A708" s="402">
        <v>41303.645833333336</v>
      </c>
      <c r="B708">
        <v>10.85</v>
      </c>
      <c r="C708">
        <f>$E$1*B708</f>
        <v>60.27398821218074</v>
      </c>
    </row>
    <row r="709" spans="1:3" x14ac:dyDescent="0.25">
      <c r="A709" s="402">
        <v>41304.645833333336</v>
      </c>
      <c r="B709">
        <v>11.1</v>
      </c>
      <c r="C709">
        <f>$E$1*B709</f>
        <v>61.662789783889977</v>
      </c>
    </row>
    <row r="710" spans="1:3" x14ac:dyDescent="0.25">
      <c r="A710" s="402">
        <v>41305.645833333336</v>
      </c>
      <c r="B710">
        <v>11.35</v>
      </c>
      <c r="C710">
        <f>$E$1*B710</f>
        <v>63.051591355599207</v>
      </c>
    </row>
    <row r="711" spans="1:3" x14ac:dyDescent="0.25">
      <c r="A711" s="402">
        <v>41306.645833333336</v>
      </c>
      <c r="B711">
        <v>11.9</v>
      </c>
      <c r="C711">
        <f>$E$1*B711</f>
        <v>66.106954813359522</v>
      </c>
    </row>
    <row r="712" spans="1:3" x14ac:dyDescent="0.25">
      <c r="A712" s="402">
        <v>41309.645833333336</v>
      </c>
      <c r="B712">
        <v>11.8</v>
      </c>
      <c r="C712">
        <f>$E$1*B712</f>
        <v>65.551434184675827</v>
      </c>
    </row>
    <row r="713" spans="1:3" x14ac:dyDescent="0.25">
      <c r="A713" s="402">
        <v>41310.645833333336</v>
      </c>
      <c r="B713">
        <v>11.3</v>
      </c>
      <c r="C713">
        <f>$E$1*B713</f>
        <v>62.773831041257367</v>
      </c>
    </row>
    <row r="714" spans="1:3" x14ac:dyDescent="0.25">
      <c r="A714" s="402">
        <v>41311.645833333336</v>
      </c>
      <c r="B714">
        <v>11.05</v>
      </c>
      <c r="C714">
        <f>$E$1*B714</f>
        <v>61.38502946954813</v>
      </c>
    </row>
    <row r="715" spans="1:3" x14ac:dyDescent="0.25">
      <c r="A715" s="402">
        <v>41312.645833333336</v>
      </c>
      <c r="B715">
        <v>11</v>
      </c>
      <c r="C715">
        <f>$E$1*B715</f>
        <v>61.107269155206282</v>
      </c>
    </row>
    <row r="716" spans="1:3" x14ac:dyDescent="0.25">
      <c r="A716" s="402">
        <v>41313.645833333336</v>
      </c>
      <c r="B716">
        <v>10.95</v>
      </c>
      <c r="C716">
        <f>$E$1*B716</f>
        <v>60.829508840864435</v>
      </c>
    </row>
    <row r="717" spans="1:3" x14ac:dyDescent="0.25">
      <c r="A717" s="402">
        <v>41316.645833333336</v>
      </c>
      <c r="B717">
        <v>11.25</v>
      </c>
      <c r="C717">
        <f>$E$1*B717</f>
        <v>62.496070726915519</v>
      </c>
    </row>
    <row r="718" spans="1:3" x14ac:dyDescent="0.25">
      <c r="A718" s="402">
        <v>41317.645833333336</v>
      </c>
      <c r="B718">
        <v>11</v>
      </c>
      <c r="C718">
        <f>$E$1*B718</f>
        <v>61.107269155206282</v>
      </c>
    </row>
    <row r="719" spans="1:3" x14ac:dyDescent="0.25">
      <c r="A719" s="402">
        <v>41318.645833333336</v>
      </c>
      <c r="B719">
        <v>10.85</v>
      </c>
      <c r="C719">
        <f>$E$1*B719</f>
        <v>60.27398821218074</v>
      </c>
    </row>
    <row r="720" spans="1:3" x14ac:dyDescent="0.25">
      <c r="A720" s="402">
        <v>41319.645833333336</v>
      </c>
      <c r="B720">
        <v>10.7</v>
      </c>
      <c r="C720">
        <f>$E$1*B720</f>
        <v>59.440707269155197</v>
      </c>
    </row>
    <row r="721" spans="1:3" x14ac:dyDescent="0.25">
      <c r="A721" s="402">
        <v>41320.645833333336</v>
      </c>
      <c r="B721">
        <v>10.199999999999999</v>
      </c>
      <c r="C721">
        <f>$E$1*B721</f>
        <v>56.66310412573673</v>
      </c>
    </row>
    <row r="722" spans="1:3" x14ac:dyDescent="0.25">
      <c r="A722" s="402">
        <v>41323.645833333336</v>
      </c>
      <c r="B722">
        <v>10.15</v>
      </c>
      <c r="C722">
        <f>$E$1*B722</f>
        <v>56.38534381139489</v>
      </c>
    </row>
    <row r="723" spans="1:3" x14ac:dyDescent="0.25">
      <c r="A723" s="402">
        <v>41324.645833333336</v>
      </c>
      <c r="B723">
        <v>10.5</v>
      </c>
      <c r="C723">
        <f>$E$1*B723</f>
        <v>58.329666011787815</v>
      </c>
    </row>
    <row r="724" spans="1:3" x14ac:dyDescent="0.25">
      <c r="A724" s="402">
        <v>41325.645833333336</v>
      </c>
      <c r="B724">
        <v>10.4</v>
      </c>
      <c r="C724">
        <f>$E$1*B724</f>
        <v>57.77414538310412</v>
      </c>
    </row>
    <row r="725" spans="1:3" x14ac:dyDescent="0.25">
      <c r="A725" s="402">
        <v>41326.645833333336</v>
      </c>
      <c r="B725">
        <v>10.199999999999999</v>
      </c>
      <c r="C725">
        <f>$E$1*B725</f>
        <v>56.66310412573673</v>
      </c>
    </row>
    <row r="726" spans="1:3" x14ac:dyDescent="0.25">
      <c r="A726" s="402">
        <v>41327.645833333336</v>
      </c>
      <c r="B726">
        <v>10.4</v>
      </c>
      <c r="C726">
        <f>$E$1*B726</f>
        <v>57.77414538310412</v>
      </c>
    </row>
    <row r="727" spans="1:3" x14ac:dyDescent="0.25">
      <c r="A727" s="402">
        <v>41330.645833333336</v>
      </c>
      <c r="B727">
        <v>10.35</v>
      </c>
      <c r="C727">
        <f>$E$1*B727</f>
        <v>57.496385068762272</v>
      </c>
    </row>
    <row r="728" spans="1:3" x14ac:dyDescent="0.25">
      <c r="A728" s="402">
        <v>41331.645833333336</v>
      </c>
      <c r="B728">
        <v>10.199999999999999</v>
      </c>
      <c r="C728">
        <f>$E$1*B728</f>
        <v>56.66310412573673</v>
      </c>
    </row>
    <row r="729" spans="1:3" x14ac:dyDescent="0.25">
      <c r="A729" s="402">
        <v>41332.645833333336</v>
      </c>
      <c r="B729">
        <v>10.25</v>
      </c>
      <c r="C729">
        <f>$E$1*B729</f>
        <v>56.940864440078585</v>
      </c>
    </row>
    <row r="730" spans="1:3" x14ac:dyDescent="0.25">
      <c r="A730" s="402">
        <v>41333.645833333336</v>
      </c>
      <c r="B730">
        <v>9.85</v>
      </c>
      <c r="C730">
        <f>$E$1*B730</f>
        <v>54.718781925343805</v>
      </c>
    </row>
    <row r="731" spans="1:3" x14ac:dyDescent="0.25">
      <c r="A731" s="402">
        <v>41334.645833333336</v>
      </c>
      <c r="B731">
        <v>9.9</v>
      </c>
      <c r="C731">
        <f>$E$1*B731</f>
        <v>54.996542239685652</v>
      </c>
    </row>
    <row r="732" spans="1:3" x14ac:dyDescent="0.25">
      <c r="A732" s="402">
        <v>41337.645833333336</v>
      </c>
      <c r="B732">
        <v>9</v>
      </c>
      <c r="C732">
        <f>$E$1*B732</f>
        <v>49.996856581532413</v>
      </c>
    </row>
    <row r="733" spans="1:3" x14ac:dyDescent="0.25">
      <c r="A733" s="402">
        <v>41338.645833333336</v>
      </c>
      <c r="B733">
        <v>9.8000000000000007</v>
      </c>
      <c r="C733">
        <f>$E$1*B733</f>
        <v>54.441021611001965</v>
      </c>
    </row>
    <row r="734" spans="1:3" x14ac:dyDescent="0.25">
      <c r="A734" s="402">
        <v>41339.645833333336</v>
      </c>
      <c r="B734">
        <v>10.050000000000001</v>
      </c>
      <c r="C734">
        <f>$E$1*B734</f>
        <v>55.829823182711195</v>
      </c>
    </row>
    <row r="735" spans="1:3" x14ac:dyDescent="0.25">
      <c r="A735" s="402">
        <v>41340.645833333336</v>
      </c>
      <c r="B735">
        <v>10.1</v>
      </c>
      <c r="C735">
        <f>$E$1*B735</f>
        <v>56.107583497053042</v>
      </c>
    </row>
    <row r="736" spans="1:3" x14ac:dyDescent="0.25">
      <c r="A736" s="402">
        <v>41341.645833333336</v>
      </c>
      <c r="B736">
        <v>10.050000000000001</v>
      </c>
      <c r="C736">
        <f>$E$1*B736</f>
        <v>55.829823182711195</v>
      </c>
    </row>
    <row r="737" spans="1:3" x14ac:dyDescent="0.25">
      <c r="A737" s="402">
        <v>41344.645833333336</v>
      </c>
      <c r="B737">
        <v>10.199999999999999</v>
      </c>
      <c r="C737">
        <f>$E$1*B737</f>
        <v>56.66310412573673</v>
      </c>
    </row>
    <row r="738" spans="1:3" x14ac:dyDescent="0.25">
      <c r="A738" s="402">
        <v>41345.645833333336</v>
      </c>
      <c r="B738">
        <v>10</v>
      </c>
      <c r="C738">
        <f>$E$1*B738</f>
        <v>55.552062868369347</v>
      </c>
    </row>
    <row r="739" spans="1:3" x14ac:dyDescent="0.25">
      <c r="A739" s="402">
        <v>41346.645833333336</v>
      </c>
      <c r="B739">
        <v>9.6999999999999993</v>
      </c>
      <c r="C739">
        <f>$E$1*B739</f>
        <v>53.885500982318263</v>
      </c>
    </row>
    <row r="740" spans="1:3" x14ac:dyDescent="0.25">
      <c r="A740" s="402">
        <v>41347.645833333336</v>
      </c>
      <c r="B740">
        <v>9.85</v>
      </c>
      <c r="C740">
        <f>$E$1*B740</f>
        <v>54.718781925343805</v>
      </c>
    </row>
    <row r="741" spans="1:3" x14ac:dyDescent="0.25">
      <c r="A741" s="402">
        <v>41348.645833333336</v>
      </c>
      <c r="B741">
        <v>9.65</v>
      </c>
      <c r="C741">
        <f>$E$1*B741</f>
        <v>53.607740667976422</v>
      </c>
    </row>
    <row r="742" spans="1:3" x14ac:dyDescent="0.25">
      <c r="A742" s="402">
        <v>41351.645833333336</v>
      </c>
      <c r="B742">
        <v>9.75</v>
      </c>
      <c r="C742">
        <f>$E$1*B742</f>
        <v>54.16326129666011</v>
      </c>
    </row>
    <row r="743" spans="1:3" x14ac:dyDescent="0.25">
      <c r="A743" s="402">
        <v>41352.645833333336</v>
      </c>
      <c r="B743">
        <v>9.65</v>
      </c>
      <c r="C743">
        <f>$E$1*B743</f>
        <v>53.607740667976422</v>
      </c>
    </row>
    <row r="744" spans="1:3" x14ac:dyDescent="0.25">
      <c r="A744" s="402">
        <v>41353.645833333336</v>
      </c>
      <c r="B744">
        <v>9.1999999999999993</v>
      </c>
      <c r="C744">
        <f>$E$1*B744</f>
        <v>51.107897838899795</v>
      </c>
    </row>
    <row r="745" spans="1:3" x14ac:dyDescent="0.25">
      <c r="A745" s="402">
        <v>41354.645833333336</v>
      </c>
      <c r="B745">
        <v>9.35</v>
      </c>
      <c r="C745">
        <f>$E$1*B745</f>
        <v>51.941178781925338</v>
      </c>
    </row>
    <row r="746" spans="1:3" x14ac:dyDescent="0.25">
      <c r="A746" s="402">
        <v>41355.645833333336</v>
      </c>
      <c r="B746">
        <v>9</v>
      </c>
      <c r="C746">
        <f>$E$1*B746</f>
        <v>49.996856581532413</v>
      </c>
    </row>
    <row r="747" spans="1:3" x14ac:dyDescent="0.25">
      <c r="A747" s="402">
        <v>41358.645833333336</v>
      </c>
      <c r="B747">
        <v>9.1</v>
      </c>
      <c r="C747">
        <f>$E$1*B747</f>
        <v>50.552377210216108</v>
      </c>
    </row>
    <row r="748" spans="1:3" x14ac:dyDescent="0.25">
      <c r="A748" s="402">
        <v>41359.645833333336</v>
      </c>
      <c r="B748">
        <v>9.1</v>
      </c>
      <c r="C748">
        <f>$E$1*B748</f>
        <v>50.552377210216108</v>
      </c>
    </row>
    <row r="749" spans="1:3" x14ac:dyDescent="0.25">
      <c r="A749" s="402">
        <v>41361.645833333336</v>
      </c>
      <c r="B749">
        <v>9.15</v>
      </c>
      <c r="C749">
        <f>$E$1*B749</f>
        <v>50.830137524557955</v>
      </c>
    </row>
    <row r="750" spans="1:3" x14ac:dyDescent="0.25">
      <c r="A750" s="402">
        <v>41365.645833333336</v>
      </c>
      <c r="B750">
        <v>9.1999999999999993</v>
      </c>
      <c r="C750">
        <f>$E$1*B750</f>
        <v>51.107897838899795</v>
      </c>
    </row>
    <row r="751" spans="1:3" x14ac:dyDescent="0.25">
      <c r="A751" s="402">
        <v>41366.645833333336</v>
      </c>
      <c r="B751">
        <v>9.9499999999999993</v>
      </c>
      <c r="C751">
        <f>$E$1*B751</f>
        <v>55.2743025540275</v>
      </c>
    </row>
    <row r="752" spans="1:3" x14ac:dyDescent="0.25">
      <c r="A752" s="402">
        <v>41367.645833333336</v>
      </c>
      <c r="B752">
        <v>10.5</v>
      </c>
      <c r="C752">
        <f>$E$1*B752</f>
        <v>58.329666011787815</v>
      </c>
    </row>
    <row r="753" spans="1:3" x14ac:dyDescent="0.25">
      <c r="A753" s="402">
        <v>41368.645833333336</v>
      </c>
      <c r="B753">
        <v>10.199999999999999</v>
      </c>
      <c r="C753">
        <f>$E$1*B753</f>
        <v>56.66310412573673</v>
      </c>
    </row>
    <row r="754" spans="1:3" x14ac:dyDescent="0.25">
      <c r="A754" s="402">
        <v>41369.645833333336</v>
      </c>
      <c r="B754">
        <v>10.199999999999999</v>
      </c>
      <c r="C754">
        <f>$E$1*B754</f>
        <v>56.66310412573673</v>
      </c>
    </row>
    <row r="755" spans="1:3" x14ac:dyDescent="0.25">
      <c r="A755" s="402">
        <v>41372.645833333336</v>
      </c>
      <c r="B755">
        <v>10</v>
      </c>
      <c r="C755">
        <f>$E$1*B755</f>
        <v>55.552062868369347</v>
      </c>
    </row>
    <row r="756" spans="1:3" x14ac:dyDescent="0.25">
      <c r="A756" s="402">
        <v>41373.645833333336</v>
      </c>
      <c r="B756">
        <v>10.25</v>
      </c>
      <c r="C756">
        <f>$E$1*B756</f>
        <v>56.940864440078585</v>
      </c>
    </row>
    <row r="757" spans="1:3" x14ac:dyDescent="0.25">
      <c r="A757" s="402">
        <v>41374.645833333336</v>
      </c>
      <c r="B757">
        <v>10.050000000000001</v>
      </c>
      <c r="C757">
        <f>$E$1*B757</f>
        <v>55.829823182711195</v>
      </c>
    </row>
    <row r="758" spans="1:3" x14ac:dyDescent="0.25">
      <c r="A758" s="402">
        <v>41375.645833333336</v>
      </c>
      <c r="B758">
        <v>9.85</v>
      </c>
      <c r="C758">
        <f>$E$1*B758</f>
        <v>54.718781925343805</v>
      </c>
    </row>
    <row r="759" spans="1:3" x14ac:dyDescent="0.25">
      <c r="A759" s="402">
        <v>41376.645833333336</v>
      </c>
      <c r="B759">
        <v>9.6999999999999993</v>
      </c>
      <c r="C759">
        <f>$E$1*B759</f>
        <v>53.885500982318263</v>
      </c>
    </row>
    <row r="760" spans="1:3" x14ac:dyDescent="0.25">
      <c r="A760" s="402">
        <v>41379.645833333336</v>
      </c>
      <c r="B760">
        <v>10.15</v>
      </c>
      <c r="C760">
        <f>$E$1*B760</f>
        <v>56.38534381139489</v>
      </c>
    </row>
    <row r="761" spans="1:3" x14ac:dyDescent="0.25">
      <c r="A761" s="402">
        <v>41380.645833333336</v>
      </c>
      <c r="B761">
        <v>10</v>
      </c>
      <c r="C761">
        <f>$E$1*B761</f>
        <v>55.552062868369347</v>
      </c>
    </row>
    <row r="762" spans="1:3" x14ac:dyDescent="0.25">
      <c r="A762" s="402">
        <v>41381.645833333336</v>
      </c>
      <c r="B762">
        <v>10.050000000000001</v>
      </c>
      <c r="C762">
        <f>$E$1*B762</f>
        <v>55.829823182711195</v>
      </c>
    </row>
    <row r="763" spans="1:3" x14ac:dyDescent="0.25">
      <c r="A763" s="402">
        <v>41382.645833333336</v>
      </c>
      <c r="B763">
        <v>10</v>
      </c>
      <c r="C763">
        <f>$E$1*B763</f>
        <v>55.552062868369347</v>
      </c>
    </row>
    <row r="764" spans="1:3" x14ac:dyDescent="0.25">
      <c r="A764" s="402">
        <v>41386.645833333336</v>
      </c>
      <c r="B764">
        <v>10</v>
      </c>
      <c r="C764">
        <f>$E$1*B764</f>
        <v>55.552062868369347</v>
      </c>
    </row>
    <row r="765" spans="1:3" x14ac:dyDescent="0.25">
      <c r="A765" s="402">
        <v>41387.645833333336</v>
      </c>
      <c r="B765">
        <v>9.85</v>
      </c>
      <c r="C765">
        <f>$E$1*B765</f>
        <v>54.718781925343805</v>
      </c>
    </row>
    <row r="766" spans="1:3" x14ac:dyDescent="0.25">
      <c r="A766" s="402">
        <v>41389.645833333336</v>
      </c>
      <c r="B766">
        <v>9.9499999999999993</v>
      </c>
      <c r="C766">
        <f>$E$1*B766</f>
        <v>55.2743025540275</v>
      </c>
    </row>
    <row r="767" spans="1:3" x14ac:dyDescent="0.25">
      <c r="A767" s="402">
        <v>41390.645833333336</v>
      </c>
      <c r="B767">
        <v>10</v>
      </c>
      <c r="C767">
        <f>$E$1*B767</f>
        <v>55.552062868369347</v>
      </c>
    </row>
    <row r="768" spans="1:3" x14ac:dyDescent="0.25">
      <c r="A768" s="402">
        <v>41393.645833333336</v>
      </c>
      <c r="B768">
        <v>9.9499999999999993</v>
      </c>
      <c r="C768">
        <f>$E$1*B768</f>
        <v>55.2743025540275</v>
      </c>
    </row>
    <row r="769" spans="1:3" x14ac:dyDescent="0.25">
      <c r="A769" s="402">
        <v>41394.645833333336</v>
      </c>
      <c r="B769">
        <v>10</v>
      </c>
      <c r="C769">
        <f>$E$1*B769</f>
        <v>55.552062868369347</v>
      </c>
    </row>
    <row r="770" spans="1:3" x14ac:dyDescent="0.25">
      <c r="A770" s="402">
        <v>41396.645833333336</v>
      </c>
      <c r="B770">
        <v>10.1</v>
      </c>
      <c r="C770">
        <f>$E$1*B770</f>
        <v>56.107583497053042</v>
      </c>
    </row>
    <row r="771" spans="1:3" x14ac:dyDescent="0.25">
      <c r="A771" s="402">
        <v>41397.645833333336</v>
      </c>
      <c r="B771">
        <v>9.9499999999999993</v>
      </c>
      <c r="C771">
        <f>$E$1*B771</f>
        <v>55.2743025540275</v>
      </c>
    </row>
    <row r="772" spans="1:3" x14ac:dyDescent="0.25">
      <c r="A772" s="402">
        <v>41400.645833333336</v>
      </c>
      <c r="B772">
        <v>10.25</v>
      </c>
      <c r="C772">
        <f>$E$1*B772</f>
        <v>56.940864440078585</v>
      </c>
    </row>
    <row r="773" spans="1:3" x14ac:dyDescent="0.25">
      <c r="A773" s="402">
        <v>41401.645833333336</v>
      </c>
      <c r="B773">
        <v>9.85</v>
      </c>
      <c r="C773">
        <f>$E$1*B773</f>
        <v>54.718781925343805</v>
      </c>
    </row>
    <row r="774" spans="1:3" x14ac:dyDescent="0.25">
      <c r="A774" s="402">
        <v>41402.645833333336</v>
      </c>
      <c r="B774">
        <v>10.1</v>
      </c>
      <c r="C774">
        <f>$E$1*B774</f>
        <v>56.107583497053042</v>
      </c>
    </row>
    <row r="775" spans="1:3" x14ac:dyDescent="0.25">
      <c r="A775" s="402">
        <v>41403.645833333336</v>
      </c>
      <c r="B775">
        <v>10</v>
      </c>
      <c r="C775">
        <f>$E$1*B775</f>
        <v>55.552062868369347</v>
      </c>
    </row>
    <row r="776" spans="1:3" x14ac:dyDescent="0.25">
      <c r="A776" s="402">
        <v>41404.645833333336</v>
      </c>
      <c r="B776">
        <v>9.85</v>
      </c>
      <c r="C776">
        <f>$E$1*B776</f>
        <v>54.718781925343805</v>
      </c>
    </row>
    <row r="777" spans="1:3" x14ac:dyDescent="0.25">
      <c r="A777" s="402">
        <v>41407.645833333336</v>
      </c>
      <c r="B777">
        <v>9.9</v>
      </c>
      <c r="C777">
        <f>$E$1*B777</f>
        <v>54.996542239685652</v>
      </c>
    </row>
    <row r="778" spans="1:3" x14ac:dyDescent="0.25">
      <c r="A778" s="402">
        <v>41408.645833333336</v>
      </c>
      <c r="B778">
        <v>9.5500000000000007</v>
      </c>
      <c r="C778">
        <f>$E$1*B778</f>
        <v>53.052220039292727</v>
      </c>
    </row>
    <row r="779" spans="1:3" x14ac:dyDescent="0.25">
      <c r="A779" s="402">
        <v>41409.645833333336</v>
      </c>
      <c r="B779">
        <v>9.5</v>
      </c>
      <c r="C779">
        <f>$E$1*B779</f>
        <v>52.77445972495088</v>
      </c>
    </row>
    <row r="780" spans="1:3" x14ac:dyDescent="0.25">
      <c r="A780" s="402">
        <v>41410.645833333336</v>
      </c>
      <c r="B780">
        <v>9.6</v>
      </c>
      <c r="C780">
        <f>$E$1*B780</f>
        <v>53.329980353634575</v>
      </c>
    </row>
    <row r="781" spans="1:3" x14ac:dyDescent="0.25">
      <c r="A781" s="402">
        <v>41411.645833333336</v>
      </c>
      <c r="B781">
        <v>9.6</v>
      </c>
      <c r="C781">
        <f>$E$1*B781</f>
        <v>53.329980353634575</v>
      </c>
    </row>
    <row r="782" spans="1:3" x14ac:dyDescent="0.25">
      <c r="A782" s="402">
        <v>41414.645833333336</v>
      </c>
      <c r="B782">
        <v>9.75</v>
      </c>
      <c r="C782">
        <f>$E$1*B782</f>
        <v>54.16326129666011</v>
      </c>
    </row>
    <row r="783" spans="1:3" x14ac:dyDescent="0.25">
      <c r="A783" s="402">
        <v>41415.645833333336</v>
      </c>
      <c r="B783">
        <v>9.5</v>
      </c>
      <c r="C783">
        <f>$E$1*B783</f>
        <v>52.77445972495088</v>
      </c>
    </row>
    <row r="784" spans="1:3" x14ac:dyDescent="0.25">
      <c r="A784" s="402">
        <v>41416.645833333336</v>
      </c>
      <c r="B784">
        <v>9.5</v>
      </c>
      <c r="C784">
        <f>$E$1*B784</f>
        <v>52.77445972495088</v>
      </c>
    </row>
    <row r="785" spans="1:3" x14ac:dyDescent="0.25">
      <c r="A785" s="402">
        <v>41417.645833333336</v>
      </c>
      <c r="B785">
        <v>9.5</v>
      </c>
      <c r="C785">
        <f>$E$1*B785</f>
        <v>52.77445972495088</v>
      </c>
    </row>
    <row r="786" spans="1:3" x14ac:dyDescent="0.25">
      <c r="A786" s="402">
        <v>41418.645833333336</v>
      </c>
      <c r="B786">
        <v>9.5</v>
      </c>
      <c r="C786">
        <f>$E$1*B786</f>
        <v>52.77445972495088</v>
      </c>
    </row>
    <row r="787" spans="1:3" x14ac:dyDescent="0.25">
      <c r="A787" s="402">
        <v>41421.645833333336</v>
      </c>
      <c r="B787">
        <v>9.35</v>
      </c>
      <c r="C787">
        <f>$E$1*B787</f>
        <v>51.941178781925338</v>
      </c>
    </row>
    <row r="788" spans="1:3" x14ac:dyDescent="0.25">
      <c r="A788" s="402">
        <v>41422.645833333336</v>
      </c>
      <c r="B788">
        <v>9.5</v>
      </c>
      <c r="C788">
        <f>$E$1*B788</f>
        <v>52.77445972495088</v>
      </c>
    </row>
    <row r="789" spans="1:3" x14ac:dyDescent="0.25">
      <c r="A789" s="402">
        <v>41423.645833333336</v>
      </c>
      <c r="B789">
        <v>9.3000000000000007</v>
      </c>
      <c r="C789">
        <f>$E$1*B789</f>
        <v>51.663418467583497</v>
      </c>
    </row>
    <row r="790" spans="1:3" x14ac:dyDescent="0.25">
      <c r="A790" s="402">
        <v>41424.645833333336</v>
      </c>
      <c r="B790">
        <v>9.5</v>
      </c>
      <c r="C790">
        <f>$E$1*B790</f>
        <v>52.77445972495088</v>
      </c>
    </row>
    <row r="791" spans="1:3" x14ac:dyDescent="0.25">
      <c r="A791" s="402">
        <v>41425.645833333336</v>
      </c>
      <c r="B791">
        <v>9.35</v>
      </c>
      <c r="C791">
        <f>$E$1*B791</f>
        <v>51.941178781925338</v>
      </c>
    </row>
    <row r="792" spans="1:3" x14ac:dyDescent="0.25">
      <c r="A792" s="402">
        <v>41428.645833333336</v>
      </c>
      <c r="B792">
        <v>9.65</v>
      </c>
      <c r="C792">
        <f>$E$1*B792</f>
        <v>53.607740667976422</v>
      </c>
    </row>
    <row r="793" spans="1:3" x14ac:dyDescent="0.25">
      <c r="A793" s="402">
        <v>41429.645833333336</v>
      </c>
      <c r="B793">
        <v>9.5500000000000007</v>
      </c>
      <c r="C793">
        <f>$E$1*B793</f>
        <v>53.052220039292727</v>
      </c>
    </row>
    <row r="794" spans="1:3" x14ac:dyDescent="0.25">
      <c r="A794" s="402">
        <v>41430.645833333336</v>
      </c>
      <c r="B794">
        <v>9.4</v>
      </c>
      <c r="C794">
        <f>$E$1*B794</f>
        <v>52.218939096267185</v>
      </c>
    </row>
    <row r="795" spans="1:3" x14ac:dyDescent="0.25">
      <c r="A795" s="402">
        <v>41431.645833333336</v>
      </c>
      <c r="B795">
        <v>9.35</v>
      </c>
      <c r="C795">
        <f>$E$1*B795</f>
        <v>51.941178781925338</v>
      </c>
    </row>
    <row r="796" spans="1:3" x14ac:dyDescent="0.25">
      <c r="A796" s="402">
        <v>41432.645833333336</v>
      </c>
      <c r="B796">
        <v>9.35</v>
      </c>
      <c r="C796">
        <f>$E$1*B796</f>
        <v>51.941178781925338</v>
      </c>
    </row>
    <row r="797" spans="1:3" x14ac:dyDescent="0.25">
      <c r="A797" s="402">
        <v>41435.645833333336</v>
      </c>
      <c r="B797">
        <v>9.5</v>
      </c>
      <c r="C797">
        <f>$E$1*B797</f>
        <v>52.77445972495088</v>
      </c>
    </row>
    <row r="798" spans="1:3" x14ac:dyDescent="0.25">
      <c r="A798" s="402">
        <v>41436.645833333336</v>
      </c>
      <c r="B798">
        <v>9.3000000000000007</v>
      </c>
      <c r="C798">
        <f>$E$1*B798</f>
        <v>51.663418467583497</v>
      </c>
    </row>
    <row r="799" spans="1:3" x14ac:dyDescent="0.25">
      <c r="A799" s="402">
        <v>41437.645833333336</v>
      </c>
      <c r="B799">
        <v>9.35</v>
      </c>
      <c r="C799">
        <f>$E$1*B799</f>
        <v>51.941178781925338</v>
      </c>
    </row>
    <row r="800" spans="1:3" x14ac:dyDescent="0.25">
      <c r="A800" s="402">
        <v>41438.645833333336</v>
      </c>
      <c r="B800">
        <v>9.4</v>
      </c>
      <c r="C800">
        <f>$E$1*B800</f>
        <v>52.218939096267185</v>
      </c>
    </row>
    <row r="801" spans="1:3" x14ac:dyDescent="0.25">
      <c r="A801" s="402">
        <v>41439.645833333336</v>
      </c>
      <c r="B801">
        <v>9.3000000000000007</v>
      </c>
      <c r="C801">
        <f>$E$1*B801</f>
        <v>51.663418467583497</v>
      </c>
    </row>
    <row r="802" spans="1:3" x14ac:dyDescent="0.25">
      <c r="A802" s="402">
        <v>41442.645833333336</v>
      </c>
      <c r="B802">
        <v>9.5</v>
      </c>
      <c r="C802">
        <f>$E$1*B802</f>
        <v>52.77445972495088</v>
      </c>
    </row>
    <row r="803" spans="1:3" x14ac:dyDescent="0.25">
      <c r="A803" s="402">
        <v>41443.645833333336</v>
      </c>
      <c r="B803">
        <v>9.6999999999999993</v>
      </c>
      <c r="C803">
        <f>$E$1*B803</f>
        <v>53.885500982318263</v>
      </c>
    </row>
    <row r="804" spans="1:3" x14ac:dyDescent="0.25">
      <c r="A804" s="402">
        <v>41444.645833333336</v>
      </c>
      <c r="B804">
        <v>9.8000000000000007</v>
      </c>
      <c r="C804">
        <f>$E$1*B804</f>
        <v>54.441021611001965</v>
      </c>
    </row>
    <row r="805" spans="1:3" x14ac:dyDescent="0.25">
      <c r="A805" s="402">
        <v>41445.645833333336</v>
      </c>
      <c r="B805">
        <v>9.65</v>
      </c>
      <c r="C805">
        <f>$E$1*B805</f>
        <v>53.607740667976422</v>
      </c>
    </row>
    <row r="806" spans="1:3" x14ac:dyDescent="0.25">
      <c r="A806" s="402">
        <v>41446.645833333336</v>
      </c>
      <c r="B806">
        <v>9.85</v>
      </c>
      <c r="C806">
        <f>$E$1*B806</f>
        <v>54.718781925343805</v>
      </c>
    </row>
    <row r="807" spans="1:3" x14ac:dyDescent="0.25">
      <c r="A807" s="402">
        <v>41449.645833333336</v>
      </c>
      <c r="B807">
        <v>9.5</v>
      </c>
      <c r="C807">
        <f>$E$1*B807</f>
        <v>52.77445972495088</v>
      </c>
    </row>
    <row r="808" spans="1:3" x14ac:dyDescent="0.25">
      <c r="A808" s="402">
        <v>41450.645833333336</v>
      </c>
      <c r="B808">
        <v>9.6999999999999993</v>
      </c>
      <c r="C808">
        <f>$E$1*B808</f>
        <v>53.885500982318263</v>
      </c>
    </row>
    <row r="809" spans="1:3" x14ac:dyDescent="0.25">
      <c r="A809" s="402">
        <v>41451.645833333336</v>
      </c>
      <c r="B809">
        <v>9.5500000000000007</v>
      </c>
      <c r="C809">
        <f>$E$1*B809</f>
        <v>53.052220039292727</v>
      </c>
    </row>
    <row r="810" spans="1:3" x14ac:dyDescent="0.25">
      <c r="A810" s="402">
        <v>41452.645833333336</v>
      </c>
      <c r="B810">
        <v>9.6</v>
      </c>
      <c r="C810">
        <f>$E$1*B810</f>
        <v>53.329980353634575</v>
      </c>
    </row>
    <row r="811" spans="1:3" x14ac:dyDescent="0.25">
      <c r="A811" s="402">
        <v>41453.645833333336</v>
      </c>
      <c r="B811">
        <v>10.050000000000001</v>
      </c>
      <c r="C811">
        <f>$E$1*B811</f>
        <v>55.829823182711195</v>
      </c>
    </row>
    <row r="812" spans="1:3" x14ac:dyDescent="0.25">
      <c r="A812" s="402">
        <v>41456.645833333336</v>
      </c>
      <c r="B812">
        <v>10</v>
      </c>
      <c r="C812">
        <f>$E$1*B812</f>
        <v>55.552062868369347</v>
      </c>
    </row>
    <row r="813" spans="1:3" x14ac:dyDescent="0.25">
      <c r="A813" s="402">
        <v>41457.645833333336</v>
      </c>
      <c r="B813">
        <v>10.050000000000001</v>
      </c>
      <c r="C813">
        <f>$E$1*B813</f>
        <v>55.829823182711195</v>
      </c>
    </row>
    <row r="814" spans="1:3" x14ac:dyDescent="0.25">
      <c r="A814" s="402">
        <v>41458.645833333336</v>
      </c>
      <c r="B814">
        <v>9.85</v>
      </c>
      <c r="C814">
        <f>$E$1*B814</f>
        <v>54.718781925343805</v>
      </c>
    </row>
    <row r="815" spans="1:3" x14ac:dyDescent="0.25">
      <c r="A815" s="402">
        <v>41459.645833333336</v>
      </c>
      <c r="B815">
        <v>9.85</v>
      </c>
      <c r="C815">
        <f>$E$1*B815</f>
        <v>54.718781925343805</v>
      </c>
    </row>
    <row r="816" spans="1:3" x14ac:dyDescent="0.25">
      <c r="A816" s="402">
        <v>41460.645833333336</v>
      </c>
      <c r="B816">
        <v>10</v>
      </c>
      <c r="C816">
        <f>$E$1*B816</f>
        <v>55.552062868369347</v>
      </c>
    </row>
    <row r="817" spans="1:3" x14ac:dyDescent="0.25">
      <c r="A817" s="402">
        <v>41463.645833333336</v>
      </c>
      <c r="B817">
        <v>10.1</v>
      </c>
      <c r="C817">
        <f>$E$1*B817</f>
        <v>56.107583497053042</v>
      </c>
    </row>
    <row r="818" spans="1:3" x14ac:dyDescent="0.25">
      <c r="A818" s="402">
        <v>41464.645833333336</v>
      </c>
      <c r="B818">
        <v>10.4</v>
      </c>
      <c r="C818">
        <f>$E$1*B818</f>
        <v>57.77414538310412</v>
      </c>
    </row>
    <row r="819" spans="1:3" x14ac:dyDescent="0.25">
      <c r="A819" s="402">
        <v>41465.645833333336</v>
      </c>
      <c r="B819">
        <v>10.25</v>
      </c>
      <c r="C819">
        <f>$E$1*B819</f>
        <v>56.940864440078585</v>
      </c>
    </row>
    <row r="820" spans="1:3" x14ac:dyDescent="0.25">
      <c r="A820" s="402">
        <v>41466.645833333336</v>
      </c>
      <c r="B820">
        <v>10.5</v>
      </c>
      <c r="C820">
        <f>$E$1*B820</f>
        <v>58.329666011787815</v>
      </c>
    </row>
    <row r="821" spans="1:3" x14ac:dyDescent="0.25">
      <c r="A821" s="402">
        <v>41467.645833333336</v>
      </c>
      <c r="B821">
        <v>10.7</v>
      </c>
      <c r="C821">
        <f>$E$1*B821</f>
        <v>59.440707269155197</v>
      </c>
    </row>
    <row r="822" spans="1:3" x14ac:dyDescent="0.25">
      <c r="A822" s="402">
        <v>41470.645833333336</v>
      </c>
      <c r="B822">
        <v>10.6</v>
      </c>
      <c r="C822">
        <f>$E$1*B822</f>
        <v>58.88518664047151</v>
      </c>
    </row>
    <row r="823" spans="1:3" x14ac:dyDescent="0.25">
      <c r="A823" s="402">
        <v>41471.645833333336</v>
      </c>
      <c r="B823">
        <v>10.4</v>
      </c>
      <c r="C823">
        <f>$E$1*B823</f>
        <v>57.77414538310412</v>
      </c>
    </row>
    <row r="824" spans="1:3" x14ac:dyDescent="0.25">
      <c r="A824" s="402">
        <v>41472.645833333336</v>
      </c>
      <c r="B824">
        <v>10.4</v>
      </c>
      <c r="C824">
        <f>$E$1*B824</f>
        <v>57.77414538310412</v>
      </c>
    </row>
    <row r="825" spans="1:3" x14ac:dyDescent="0.25">
      <c r="A825" s="402">
        <v>41473.645833333336</v>
      </c>
      <c r="B825">
        <v>10.4</v>
      </c>
      <c r="C825">
        <f>$E$1*B825</f>
        <v>57.77414538310412</v>
      </c>
    </row>
    <row r="826" spans="1:3" x14ac:dyDescent="0.25">
      <c r="A826" s="402">
        <v>41474.645833333336</v>
      </c>
      <c r="B826">
        <v>10.3</v>
      </c>
      <c r="C826">
        <f>$E$1*B826</f>
        <v>57.218624754420432</v>
      </c>
    </row>
    <row r="827" spans="1:3" x14ac:dyDescent="0.25">
      <c r="A827" s="402">
        <v>41477.645833333336</v>
      </c>
      <c r="B827">
        <v>10.6</v>
      </c>
      <c r="C827">
        <f>$E$1*B827</f>
        <v>58.88518664047151</v>
      </c>
    </row>
    <row r="828" spans="1:3" x14ac:dyDescent="0.25">
      <c r="A828" s="402">
        <v>41478.645833333336</v>
      </c>
      <c r="B828">
        <v>10.65</v>
      </c>
      <c r="C828">
        <f>$E$1*B828</f>
        <v>59.162946954813357</v>
      </c>
    </row>
    <row r="829" spans="1:3" x14ac:dyDescent="0.25">
      <c r="A829" s="402">
        <v>41479.645833333336</v>
      </c>
      <c r="B829">
        <v>10.5</v>
      </c>
      <c r="C829">
        <f>$E$1*B829</f>
        <v>58.329666011787815</v>
      </c>
    </row>
    <row r="830" spans="1:3" x14ac:dyDescent="0.25">
      <c r="A830" s="402">
        <v>41480.645833333336</v>
      </c>
      <c r="B830">
        <v>10.6</v>
      </c>
      <c r="C830">
        <f>$E$1*B830</f>
        <v>58.88518664047151</v>
      </c>
    </row>
    <row r="831" spans="1:3" x14ac:dyDescent="0.25">
      <c r="A831" s="402">
        <v>41481.645833333336</v>
      </c>
      <c r="B831">
        <v>10.5</v>
      </c>
      <c r="C831">
        <f>$E$1*B831</f>
        <v>58.329666011787815</v>
      </c>
    </row>
    <row r="832" spans="1:3" x14ac:dyDescent="0.25">
      <c r="A832" s="402">
        <v>41484.645833333336</v>
      </c>
      <c r="B832">
        <v>10.65</v>
      </c>
      <c r="C832">
        <f>$E$1*B832</f>
        <v>59.162946954813357</v>
      </c>
    </row>
    <row r="833" spans="1:3" x14ac:dyDescent="0.25">
      <c r="A833" s="402">
        <v>41485.645833333336</v>
      </c>
      <c r="B833">
        <v>10.3</v>
      </c>
      <c r="C833">
        <f>$E$1*B833</f>
        <v>57.218624754420432</v>
      </c>
    </row>
    <row r="834" spans="1:3" x14ac:dyDescent="0.25">
      <c r="A834" s="402">
        <v>41486.645833333336</v>
      </c>
      <c r="B834">
        <v>10.25</v>
      </c>
      <c r="C834">
        <f>$E$1*B834</f>
        <v>56.940864440078585</v>
      </c>
    </row>
    <row r="835" spans="1:3" x14ac:dyDescent="0.25">
      <c r="A835" s="402">
        <v>41487.645833333336</v>
      </c>
      <c r="B835">
        <v>10.050000000000001</v>
      </c>
      <c r="C835">
        <f>$E$1*B835</f>
        <v>55.829823182711195</v>
      </c>
    </row>
    <row r="836" spans="1:3" x14ac:dyDescent="0.25">
      <c r="A836" s="402">
        <v>41488.645833333336</v>
      </c>
      <c r="B836">
        <v>10.199999999999999</v>
      </c>
      <c r="C836">
        <f>$E$1*B836</f>
        <v>56.66310412573673</v>
      </c>
    </row>
    <row r="837" spans="1:3" x14ac:dyDescent="0.25">
      <c r="A837" s="402">
        <v>41491.645833333336</v>
      </c>
      <c r="B837">
        <v>9.8000000000000007</v>
      </c>
      <c r="C837">
        <f>$E$1*B837</f>
        <v>54.441021611001965</v>
      </c>
    </row>
    <row r="838" spans="1:3" x14ac:dyDescent="0.25">
      <c r="A838" s="402">
        <v>41492.645833333336</v>
      </c>
      <c r="B838">
        <v>9.6999999999999993</v>
      </c>
      <c r="C838">
        <f>$E$1*B838</f>
        <v>53.885500982318263</v>
      </c>
    </row>
    <row r="839" spans="1:3" x14ac:dyDescent="0.25">
      <c r="A839" s="402">
        <v>41493.645833333336</v>
      </c>
      <c r="B839">
        <v>9.9</v>
      </c>
      <c r="C839">
        <f>$E$1*B839</f>
        <v>54.996542239685652</v>
      </c>
    </row>
    <row r="840" spans="1:3" x14ac:dyDescent="0.25">
      <c r="A840" s="402">
        <v>41494.645833333336</v>
      </c>
      <c r="B840">
        <v>10</v>
      </c>
      <c r="C840">
        <f>$E$1*B840</f>
        <v>55.552062868369347</v>
      </c>
    </row>
    <row r="841" spans="1:3" x14ac:dyDescent="0.25">
      <c r="A841" s="402">
        <v>41498.645833333336</v>
      </c>
      <c r="B841">
        <v>10.1</v>
      </c>
      <c r="C841">
        <f>$E$1*B841</f>
        <v>56.107583497053042</v>
      </c>
    </row>
    <row r="842" spans="1:3" x14ac:dyDescent="0.25">
      <c r="A842" s="402">
        <v>41499.645833333336</v>
      </c>
      <c r="B842">
        <v>10</v>
      </c>
      <c r="C842">
        <f>$E$1*B842</f>
        <v>55.552062868369347</v>
      </c>
    </row>
    <row r="843" spans="1:3" x14ac:dyDescent="0.25">
      <c r="A843" s="402">
        <v>41500.645833333336</v>
      </c>
      <c r="B843">
        <v>10.050000000000001</v>
      </c>
      <c r="C843">
        <f>$E$1*B843</f>
        <v>55.829823182711195</v>
      </c>
    </row>
    <row r="844" spans="1:3" x14ac:dyDescent="0.25">
      <c r="A844" s="402">
        <v>41502.645833333336</v>
      </c>
      <c r="B844">
        <v>10.050000000000001</v>
      </c>
      <c r="C844">
        <f>$E$1*B844</f>
        <v>55.829823182711195</v>
      </c>
    </row>
    <row r="845" spans="1:3" x14ac:dyDescent="0.25">
      <c r="A845" s="402">
        <v>41505.645833333336</v>
      </c>
      <c r="B845">
        <v>9.85</v>
      </c>
      <c r="C845">
        <f>$E$1*B845</f>
        <v>54.718781925343805</v>
      </c>
    </row>
    <row r="846" spans="1:3" x14ac:dyDescent="0.25">
      <c r="A846" s="402">
        <v>41506.645833333336</v>
      </c>
      <c r="B846">
        <v>9.85</v>
      </c>
      <c r="C846">
        <f>$E$1*B846</f>
        <v>54.718781925343805</v>
      </c>
    </row>
    <row r="847" spans="1:3" x14ac:dyDescent="0.25">
      <c r="A847" s="402">
        <v>41507.645833333336</v>
      </c>
      <c r="B847">
        <v>9.8000000000000007</v>
      </c>
      <c r="C847">
        <f>$E$1*B847</f>
        <v>54.441021611001965</v>
      </c>
    </row>
    <row r="848" spans="1:3" x14ac:dyDescent="0.25">
      <c r="A848" s="402">
        <v>41508.645833333336</v>
      </c>
      <c r="B848">
        <v>9.9499999999999993</v>
      </c>
      <c r="C848">
        <f>$E$1*B848</f>
        <v>55.2743025540275</v>
      </c>
    </row>
    <row r="849" spans="1:3" x14ac:dyDescent="0.25">
      <c r="A849" s="402">
        <v>41509.645833333336</v>
      </c>
      <c r="B849">
        <v>9.75</v>
      </c>
      <c r="C849">
        <f>$E$1*B849</f>
        <v>54.16326129666011</v>
      </c>
    </row>
    <row r="850" spans="1:3" x14ac:dyDescent="0.25">
      <c r="A850" s="402">
        <v>41512.645833333336</v>
      </c>
      <c r="B850">
        <v>9.9499999999999993</v>
      </c>
      <c r="C850">
        <f>$E$1*B850</f>
        <v>55.2743025540275</v>
      </c>
    </row>
    <row r="851" spans="1:3" x14ac:dyDescent="0.25">
      <c r="A851" s="402">
        <v>41513.645833333336</v>
      </c>
      <c r="B851">
        <v>9.75</v>
      </c>
      <c r="C851">
        <f>$E$1*B851</f>
        <v>54.16326129666011</v>
      </c>
    </row>
    <row r="852" spans="1:3" x14ac:dyDescent="0.25">
      <c r="A852" s="402">
        <v>41514.645833333336</v>
      </c>
      <c r="B852">
        <v>9.6</v>
      </c>
      <c r="C852">
        <f>$E$1*B852</f>
        <v>53.329980353634575</v>
      </c>
    </row>
    <row r="853" spans="1:3" x14ac:dyDescent="0.25">
      <c r="A853" s="402">
        <v>41515.645833333336</v>
      </c>
      <c r="B853">
        <v>9.65</v>
      </c>
      <c r="C853">
        <f>$E$1*B853</f>
        <v>53.607740667976422</v>
      </c>
    </row>
    <row r="854" spans="1:3" x14ac:dyDescent="0.25">
      <c r="A854" s="402">
        <v>41516.645833333336</v>
      </c>
      <c r="B854">
        <v>9.6999999999999993</v>
      </c>
      <c r="C854">
        <f>$E$1*B854</f>
        <v>53.885500982318263</v>
      </c>
    </row>
    <row r="855" spans="1:3" x14ac:dyDescent="0.25">
      <c r="A855" s="402">
        <v>41519.645833333336</v>
      </c>
      <c r="B855">
        <v>9.6999999999999993</v>
      </c>
      <c r="C855">
        <f>$E$1*B855</f>
        <v>53.885500982318263</v>
      </c>
    </row>
    <row r="856" spans="1:3" x14ac:dyDescent="0.25">
      <c r="A856" s="402">
        <v>41520.645833333336</v>
      </c>
      <c r="B856">
        <v>9.6</v>
      </c>
      <c r="C856">
        <f>$E$1*B856</f>
        <v>53.329980353634575</v>
      </c>
    </row>
    <row r="857" spans="1:3" x14ac:dyDescent="0.25">
      <c r="A857" s="402">
        <v>41521.645833333336</v>
      </c>
      <c r="B857">
        <v>9.5500000000000007</v>
      </c>
      <c r="C857">
        <f>$E$1*B857</f>
        <v>53.052220039292727</v>
      </c>
    </row>
    <row r="858" spans="1:3" x14ac:dyDescent="0.25">
      <c r="A858" s="402">
        <v>41522.645833333336</v>
      </c>
      <c r="B858">
        <v>9.8000000000000007</v>
      </c>
      <c r="C858">
        <f>$E$1*B858</f>
        <v>54.441021611001965</v>
      </c>
    </row>
    <row r="859" spans="1:3" x14ac:dyDescent="0.25">
      <c r="A859" s="402">
        <v>41523.645833333336</v>
      </c>
      <c r="B859">
        <v>9.6999999999999993</v>
      </c>
      <c r="C859">
        <f>$E$1*B859</f>
        <v>53.885500982318263</v>
      </c>
    </row>
    <row r="860" spans="1:3" x14ac:dyDescent="0.25">
      <c r="A860" s="402">
        <v>41527.645833333336</v>
      </c>
      <c r="B860">
        <v>9.65</v>
      </c>
      <c r="C860">
        <f>$E$1*B860</f>
        <v>53.607740667976422</v>
      </c>
    </row>
    <row r="861" spans="1:3" x14ac:dyDescent="0.25">
      <c r="A861" s="402">
        <v>41528.645833333336</v>
      </c>
      <c r="B861">
        <v>9.85</v>
      </c>
      <c r="C861">
        <f>$E$1*B861</f>
        <v>54.718781925343805</v>
      </c>
    </row>
    <row r="862" spans="1:3" x14ac:dyDescent="0.25">
      <c r="A862" s="402">
        <v>41529.645833333336</v>
      </c>
      <c r="B862">
        <v>9.6999999999999993</v>
      </c>
      <c r="C862">
        <f>$E$1*B862</f>
        <v>53.885500982318263</v>
      </c>
    </row>
    <row r="863" spans="1:3" x14ac:dyDescent="0.25">
      <c r="A863" s="402">
        <v>41530.645833333336</v>
      </c>
      <c r="B863">
        <v>9.65</v>
      </c>
      <c r="C863">
        <f>$E$1*B863</f>
        <v>53.607740667976422</v>
      </c>
    </row>
    <row r="864" spans="1:3" x14ac:dyDescent="0.25">
      <c r="A864" s="402">
        <v>41533.645833333336</v>
      </c>
      <c r="B864">
        <v>9.65</v>
      </c>
      <c r="C864">
        <f>$E$1*B864</f>
        <v>53.607740667976422</v>
      </c>
    </row>
    <row r="865" spans="1:3" x14ac:dyDescent="0.25">
      <c r="A865" s="402">
        <v>41534.645833333336</v>
      </c>
      <c r="B865">
        <v>9.65</v>
      </c>
      <c r="C865">
        <f>$E$1*B865</f>
        <v>53.607740667976422</v>
      </c>
    </row>
    <row r="866" spans="1:3" x14ac:dyDescent="0.25">
      <c r="A866" s="402">
        <v>41535.645833333336</v>
      </c>
      <c r="B866">
        <v>9.75</v>
      </c>
      <c r="C866">
        <f>$E$1*B866</f>
        <v>54.16326129666011</v>
      </c>
    </row>
    <row r="867" spans="1:3" x14ac:dyDescent="0.25">
      <c r="A867" s="402">
        <v>41536.645833333336</v>
      </c>
      <c r="B867">
        <v>9.6999999999999993</v>
      </c>
      <c r="C867">
        <f>$E$1*B867</f>
        <v>53.885500982318263</v>
      </c>
    </row>
    <row r="868" spans="1:3" x14ac:dyDescent="0.25">
      <c r="A868" s="402">
        <v>41537.645833333336</v>
      </c>
      <c r="B868">
        <v>9.6999999999999993</v>
      </c>
      <c r="C868">
        <f>$E$1*B868</f>
        <v>53.885500982318263</v>
      </c>
    </row>
    <row r="869" spans="1:3" x14ac:dyDescent="0.25">
      <c r="A869" s="402">
        <v>41540.645833333336</v>
      </c>
      <c r="B869">
        <v>9.65</v>
      </c>
      <c r="C869">
        <f>$E$1*B869</f>
        <v>53.607740667976422</v>
      </c>
    </row>
    <row r="870" spans="1:3" x14ac:dyDescent="0.25">
      <c r="A870" s="402">
        <v>41541.645833333336</v>
      </c>
      <c r="B870">
        <v>9.6</v>
      </c>
      <c r="C870">
        <f>$E$1*B870</f>
        <v>53.329980353634575</v>
      </c>
    </row>
    <row r="871" spans="1:3" x14ac:dyDescent="0.25">
      <c r="A871" s="402">
        <v>41542.645833333336</v>
      </c>
      <c r="B871">
        <v>9.8000000000000007</v>
      </c>
      <c r="C871">
        <f>$E$1*B871</f>
        <v>54.441021611001965</v>
      </c>
    </row>
    <row r="872" spans="1:3" x14ac:dyDescent="0.25">
      <c r="A872" s="402">
        <v>41543.645833333336</v>
      </c>
      <c r="B872">
        <v>9.75</v>
      </c>
      <c r="C872">
        <f>$E$1*B872</f>
        <v>54.16326129666011</v>
      </c>
    </row>
    <row r="873" spans="1:3" x14ac:dyDescent="0.25">
      <c r="A873" s="402">
        <v>41544.645833333336</v>
      </c>
      <c r="B873">
        <v>9.9</v>
      </c>
      <c r="C873">
        <f>$E$1*B873</f>
        <v>54.996542239685652</v>
      </c>
    </row>
    <row r="874" spans="1:3" x14ac:dyDescent="0.25">
      <c r="A874" s="402">
        <v>41548.645833333336</v>
      </c>
      <c r="B874">
        <v>9.9499999999999993</v>
      </c>
      <c r="C874">
        <f>$E$1*B874</f>
        <v>55.2743025540275</v>
      </c>
    </row>
    <row r="875" spans="1:3" x14ac:dyDescent="0.25">
      <c r="A875" s="402">
        <v>41550.645833333336</v>
      </c>
      <c r="B875">
        <v>10</v>
      </c>
      <c r="C875">
        <f>$E$1*B875</f>
        <v>55.552062868369347</v>
      </c>
    </row>
    <row r="876" spans="1:3" x14ac:dyDescent="0.25">
      <c r="A876" s="402">
        <v>41551.645833333336</v>
      </c>
      <c r="B876">
        <v>10.050000000000001</v>
      </c>
      <c r="C876">
        <f>$E$1*B876</f>
        <v>55.829823182711195</v>
      </c>
    </row>
    <row r="877" spans="1:3" x14ac:dyDescent="0.25">
      <c r="A877" s="402">
        <v>41554.645833333336</v>
      </c>
      <c r="B877">
        <v>10.199999999999999</v>
      </c>
      <c r="C877">
        <f>$E$1*B877</f>
        <v>56.66310412573673</v>
      </c>
    </row>
    <row r="878" spans="1:3" x14ac:dyDescent="0.25">
      <c r="A878" s="402">
        <v>41555.645833333336</v>
      </c>
      <c r="B878">
        <v>10</v>
      </c>
      <c r="C878">
        <f>$E$1*B878</f>
        <v>55.552062868369347</v>
      </c>
    </row>
    <row r="879" spans="1:3" x14ac:dyDescent="0.25">
      <c r="A879" s="402">
        <v>41556.645833333336</v>
      </c>
      <c r="B879">
        <v>10.25</v>
      </c>
      <c r="C879">
        <f>$E$1*B879</f>
        <v>56.940864440078585</v>
      </c>
    </row>
    <row r="880" spans="1:3" x14ac:dyDescent="0.25">
      <c r="A880" s="402">
        <v>41557.645833333336</v>
      </c>
      <c r="B880">
        <v>10.35</v>
      </c>
      <c r="C880">
        <f>$E$1*B880</f>
        <v>57.496385068762272</v>
      </c>
    </row>
    <row r="881" spans="1:3" x14ac:dyDescent="0.25">
      <c r="A881" s="402">
        <v>41558.645833333336</v>
      </c>
      <c r="B881">
        <v>10.35</v>
      </c>
      <c r="C881">
        <f>$E$1*B881</f>
        <v>57.496385068762272</v>
      </c>
    </row>
    <row r="882" spans="1:3" x14ac:dyDescent="0.25">
      <c r="A882" s="402">
        <v>41561.645833333336</v>
      </c>
      <c r="B882">
        <v>10.95</v>
      </c>
      <c r="C882">
        <f>$E$1*B882</f>
        <v>60.829508840864435</v>
      </c>
    </row>
    <row r="883" spans="1:3" x14ac:dyDescent="0.25">
      <c r="A883" s="402">
        <v>41562.645833333336</v>
      </c>
      <c r="B883">
        <v>10.65</v>
      </c>
      <c r="C883">
        <f>$E$1*B883</f>
        <v>59.162946954813357</v>
      </c>
    </row>
    <row r="884" spans="1:3" x14ac:dyDescent="0.25">
      <c r="A884" s="402">
        <v>41564.645833333336</v>
      </c>
      <c r="B884">
        <v>10.55</v>
      </c>
      <c r="C884">
        <f>$E$1*B884</f>
        <v>58.607426326129662</v>
      </c>
    </row>
    <row r="885" spans="1:3" x14ac:dyDescent="0.25">
      <c r="A885" s="402">
        <v>41565.645833333336</v>
      </c>
      <c r="B885">
        <v>10.75</v>
      </c>
      <c r="C885">
        <f>$E$1*B885</f>
        <v>59.718467583497045</v>
      </c>
    </row>
    <row r="886" spans="1:3" x14ac:dyDescent="0.25">
      <c r="A886" s="402">
        <v>41568.645833333336</v>
      </c>
      <c r="B886">
        <v>10.85</v>
      </c>
      <c r="C886">
        <f>$E$1*B886</f>
        <v>60.27398821218074</v>
      </c>
    </row>
    <row r="887" spans="1:3" x14ac:dyDescent="0.25">
      <c r="A887" s="402">
        <v>41569.645833333336</v>
      </c>
      <c r="B887">
        <v>10.9</v>
      </c>
      <c r="C887">
        <f>$E$1*B887</f>
        <v>60.551748526522587</v>
      </c>
    </row>
    <row r="888" spans="1:3" x14ac:dyDescent="0.25">
      <c r="A888" s="402">
        <v>41570.645833333336</v>
      </c>
      <c r="B888">
        <v>10.75</v>
      </c>
      <c r="C888">
        <f>$E$1*B888</f>
        <v>59.718467583497045</v>
      </c>
    </row>
    <row r="889" spans="1:3" x14ac:dyDescent="0.25">
      <c r="A889" s="402">
        <v>41571.645833333336</v>
      </c>
      <c r="B889">
        <v>10.65</v>
      </c>
      <c r="C889">
        <f>$E$1*B889</f>
        <v>59.162946954813357</v>
      </c>
    </row>
    <row r="890" spans="1:3" x14ac:dyDescent="0.25">
      <c r="A890" s="402">
        <v>41572.645833333336</v>
      </c>
      <c r="B890">
        <v>10.4</v>
      </c>
      <c r="C890">
        <f>$E$1*B890</f>
        <v>57.77414538310412</v>
      </c>
    </row>
    <row r="891" spans="1:3" x14ac:dyDescent="0.25">
      <c r="A891" s="402">
        <v>41575.645833333336</v>
      </c>
      <c r="B891">
        <v>10.3</v>
      </c>
      <c r="C891">
        <f>$E$1*B891</f>
        <v>57.218624754420432</v>
      </c>
    </row>
    <row r="892" spans="1:3" x14ac:dyDescent="0.25">
      <c r="A892" s="402">
        <v>41576.645833333336</v>
      </c>
      <c r="B892">
        <v>10.5</v>
      </c>
      <c r="C892">
        <f>$E$1*B892</f>
        <v>58.329666011787815</v>
      </c>
    </row>
    <row r="893" spans="1:3" x14ac:dyDescent="0.25">
      <c r="A893" s="402">
        <v>41577.645833333336</v>
      </c>
      <c r="B893">
        <v>10.8</v>
      </c>
      <c r="C893">
        <f>$E$1*B893</f>
        <v>59.996227897838899</v>
      </c>
    </row>
    <row r="894" spans="1:3" x14ac:dyDescent="0.25">
      <c r="A894" s="402">
        <v>41578.645833333336</v>
      </c>
      <c r="B894">
        <v>10.85</v>
      </c>
      <c r="C894">
        <f>$E$1*B894</f>
        <v>60.27398821218074</v>
      </c>
    </row>
    <row r="895" spans="1:3" x14ac:dyDescent="0.25">
      <c r="A895" s="402">
        <v>41579.645833333336</v>
      </c>
      <c r="B895">
        <v>11.45</v>
      </c>
      <c r="C895">
        <f>$E$1*B895</f>
        <v>63.607111984282902</v>
      </c>
    </row>
    <row r="896" spans="1:3" x14ac:dyDescent="0.25">
      <c r="A896" s="402">
        <v>41583.645833333336</v>
      </c>
      <c r="B896">
        <v>11.8</v>
      </c>
      <c r="C896">
        <f>$E$1*B896</f>
        <v>65.551434184675827</v>
      </c>
    </row>
    <row r="897" spans="1:3" x14ac:dyDescent="0.25">
      <c r="A897" s="402">
        <v>41584.645833333336</v>
      </c>
      <c r="B897">
        <v>11.65</v>
      </c>
      <c r="C897">
        <f>$E$1*B897</f>
        <v>64.718153241650285</v>
      </c>
    </row>
    <row r="898" spans="1:3" x14ac:dyDescent="0.25">
      <c r="A898" s="402">
        <v>41585.645833333336</v>
      </c>
      <c r="B898">
        <v>11.35</v>
      </c>
      <c r="C898">
        <f>$E$1*B898</f>
        <v>63.051591355599207</v>
      </c>
    </row>
    <row r="899" spans="1:3" x14ac:dyDescent="0.25">
      <c r="A899" s="402">
        <v>41586.645833333336</v>
      </c>
      <c r="B899">
        <v>11.4</v>
      </c>
      <c r="C899">
        <f>$E$1*B899</f>
        <v>63.329351669941055</v>
      </c>
    </row>
    <row r="900" spans="1:3" x14ac:dyDescent="0.25">
      <c r="A900" s="402">
        <v>41589.645833333336</v>
      </c>
      <c r="B900">
        <v>11.5</v>
      </c>
      <c r="C900">
        <f>$E$1*B900</f>
        <v>63.884872298624749</v>
      </c>
    </row>
    <row r="901" spans="1:3" x14ac:dyDescent="0.25">
      <c r="A901" s="402">
        <v>41590.645833333336</v>
      </c>
      <c r="B901">
        <v>11.55</v>
      </c>
      <c r="C901">
        <f>$E$1*B901</f>
        <v>64.162632612966604</v>
      </c>
    </row>
    <row r="902" spans="1:3" x14ac:dyDescent="0.25">
      <c r="A902" s="402">
        <v>41591.645833333336</v>
      </c>
      <c r="B902">
        <v>11.2</v>
      </c>
      <c r="C902">
        <f>$E$1*B902</f>
        <v>62.218310412573665</v>
      </c>
    </row>
    <row r="903" spans="1:3" x14ac:dyDescent="0.25">
      <c r="A903" s="402">
        <v>41596.645833333336</v>
      </c>
      <c r="B903">
        <v>12.55</v>
      </c>
      <c r="C903">
        <f>$E$1*B903</f>
        <v>69.717838899803539</v>
      </c>
    </row>
    <row r="904" spans="1:3" x14ac:dyDescent="0.25">
      <c r="A904" s="402">
        <v>41597.645833333336</v>
      </c>
      <c r="B904">
        <v>13</v>
      </c>
      <c r="C904">
        <f>$E$1*B904</f>
        <v>72.217681728880152</v>
      </c>
    </row>
    <row r="905" spans="1:3" x14ac:dyDescent="0.25">
      <c r="A905" s="402">
        <v>41598.645833333336</v>
      </c>
      <c r="B905">
        <v>12.5</v>
      </c>
      <c r="C905">
        <f>$E$1*B905</f>
        <v>69.440078585461691</v>
      </c>
    </row>
    <row r="906" spans="1:3" x14ac:dyDescent="0.25">
      <c r="A906" s="402">
        <v>41599.645833333336</v>
      </c>
      <c r="B906">
        <v>12.3</v>
      </c>
      <c r="C906">
        <f>$E$1*B906</f>
        <v>68.329037328094302</v>
      </c>
    </row>
    <row r="907" spans="1:3" x14ac:dyDescent="0.25">
      <c r="A907" s="402">
        <v>41600.645833333336</v>
      </c>
      <c r="B907">
        <v>12.6</v>
      </c>
      <c r="C907">
        <f>$E$1*B907</f>
        <v>69.995599214145372</v>
      </c>
    </row>
    <row r="908" spans="1:3" x14ac:dyDescent="0.25">
      <c r="A908" s="402">
        <v>41603.645833333336</v>
      </c>
      <c r="B908">
        <v>12.7</v>
      </c>
      <c r="C908">
        <f>$E$1*B908</f>
        <v>70.551119842829067</v>
      </c>
    </row>
    <row r="909" spans="1:3" x14ac:dyDescent="0.25">
      <c r="A909" s="402">
        <v>41604.645833333336</v>
      </c>
      <c r="B909">
        <v>12.2</v>
      </c>
      <c r="C909">
        <f>$E$1*B909</f>
        <v>67.773516699410607</v>
      </c>
    </row>
    <row r="910" spans="1:3" x14ac:dyDescent="0.25">
      <c r="A910" s="402">
        <v>41605.645833333336</v>
      </c>
      <c r="B910">
        <v>12.2</v>
      </c>
      <c r="C910">
        <f>$E$1*B910</f>
        <v>67.773516699410607</v>
      </c>
    </row>
    <row r="911" spans="1:3" x14ac:dyDescent="0.25">
      <c r="A911" s="402">
        <v>41606.645833333336</v>
      </c>
      <c r="B911">
        <v>13.35</v>
      </c>
      <c r="C911">
        <f>$E$1*B911</f>
        <v>74.162003929273084</v>
      </c>
    </row>
    <row r="912" spans="1:3" x14ac:dyDescent="0.25">
      <c r="A912" s="402">
        <v>41607.645833333336</v>
      </c>
      <c r="B912">
        <v>14.05</v>
      </c>
      <c r="C912">
        <f>$E$1*B912</f>
        <v>78.050648330058934</v>
      </c>
    </row>
    <row r="913" spans="1:3" x14ac:dyDescent="0.25">
      <c r="A913" s="402">
        <v>41610.645833333336</v>
      </c>
      <c r="B913">
        <v>14.8</v>
      </c>
      <c r="C913">
        <f>$E$1*B913</f>
        <v>82.217053045186631</v>
      </c>
    </row>
    <row r="914" spans="1:3" x14ac:dyDescent="0.25">
      <c r="A914" s="402">
        <v>41611.645833333336</v>
      </c>
      <c r="B914">
        <v>14.45</v>
      </c>
      <c r="C914">
        <f>$E$1*B914</f>
        <v>80.272730844793699</v>
      </c>
    </row>
    <row r="915" spans="1:3" x14ac:dyDescent="0.25">
      <c r="A915" s="402">
        <v>41612.645833333336</v>
      </c>
      <c r="B915">
        <v>14</v>
      </c>
      <c r="C915">
        <f>$E$1*B915</f>
        <v>77.772888015717086</v>
      </c>
    </row>
    <row r="916" spans="1:3" x14ac:dyDescent="0.25">
      <c r="A916" s="402">
        <v>41613.645833333336</v>
      </c>
      <c r="B916">
        <v>13.85</v>
      </c>
      <c r="C916">
        <f>$E$1*B916</f>
        <v>76.939607072691544</v>
      </c>
    </row>
    <row r="917" spans="1:3" x14ac:dyDescent="0.25">
      <c r="A917" s="402">
        <v>41614.645833333336</v>
      </c>
      <c r="B917">
        <v>14</v>
      </c>
      <c r="C917">
        <f>$E$1*B917</f>
        <v>77.772888015717086</v>
      </c>
    </row>
    <row r="918" spans="1:3" x14ac:dyDescent="0.25">
      <c r="A918" s="402">
        <v>41617.645833333336</v>
      </c>
      <c r="B918">
        <v>13.35</v>
      </c>
      <c r="C918">
        <f>$E$1*B918</f>
        <v>74.162003929273084</v>
      </c>
    </row>
    <row r="919" spans="1:3" x14ac:dyDescent="0.25">
      <c r="A919" s="402">
        <v>41618.645833333336</v>
      </c>
      <c r="B919">
        <v>13.25</v>
      </c>
      <c r="C919">
        <f>$E$1*B919</f>
        <v>73.606483300589389</v>
      </c>
    </row>
    <row r="920" spans="1:3" x14ac:dyDescent="0.25">
      <c r="A920" s="402">
        <v>41619.645833333336</v>
      </c>
      <c r="B920">
        <v>13.25</v>
      </c>
      <c r="C920">
        <f>$E$1*B920</f>
        <v>73.606483300589389</v>
      </c>
    </row>
    <row r="921" spans="1:3" x14ac:dyDescent="0.25">
      <c r="A921" s="402">
        <v>41620.645833333336</v>
      </c>
      <c r="B921">
        <v>12.5</v>
      </c>
      <c r="C921">
        <f>$E$1*B921</f>
        <v>69.440078585461691</v>
      </c>
    </row>
    <row r="922" spans="1:3" x14ac:dyDescent="0.25">
      <c r="A922" s="402">
        <v>41621.645833333336</v>
      </c>
      <c r="B922">
        <v>13.3</v>
      </c>
      <c r="C922">
        <f>$E$1*B922</f>
        <v>73.884243614931236</v>
      </c>
    </row>
    <row r="923" spans="1:3" x14ac:dyDescent="0.25">
      <c r="A923" s="402">
        <v>41624.645833333336</v>
      </c>
      <c r="B923">
        <v>15.45</v>
      </c>
      <c r="C923">
        <f>$E$1*B923</f>
        <v>85.827937131630634</v>
      </c>
    </row>
    <row r="924" spans="1:3" x14ac:dyDescent="0.25">
      <c r="A924" s="402">
        <v>41625.645833333336</v>
      </c>
      <c r="B924">
        <v>17.55</v>
      </c>
      <c r="C924">
        <f>$E$1*B924</f>
        <v>97.493870333988212</v>
      </c>
    </row>
    <row r="925" spans="1:3" x14ac:dyDescent="0.25">
      <c r="A925" s="402">
        <v>41626.645833333336</v>
      </c>
      <c r="B925">
        <v>18.149999999999999</v>
      </c>
      <c r="C925">
        <f>$E$1*B925</f>
        <v>100.82699410609035</v>
      </c>
    </row>
    <row r="926" spans="1:3" x14ac:dyDescent="0.25">
      <c r="A926" s="402">
        <v>41627.645833333336</v>
      </c>
      <c r="B926">
        <v>16.95</v>
      </c>
      <c r="C926">
        <f>$E$1*B926</f>
        <v>94.160746561886043</v>
      </c>
    </row>
    <row r="927" spans="1:3" x14ac:dyDescent="0.25">
      <c r="A927" s="402">
        <v>41628.645833333336</v>
      </c>
      <c r="B927">
        <v>16.399999999999999</v>
      </c>
      <c r="C927">
        <f>$E$1*B927</f>
        <v>91.105383104125721</v>
      </c>
    </row>
    <row r="928" spans="1:3" x14ac:dyDescent="0.25">
      <c r="A928" s="402">
        <v>41631.645833333336</v>
      </c>
      <c r="B928">
        <v>16.649999999999999</v>
      </c>
      <c r="C928">
        <f>$E$1*B928</f>
        <v>92.494184675834958</v>
      </c>
    </row>
    <row r="929" spans="1:3" x14ac:dyDescent="0.25">
      <c r="A929" s="402">
        <v>41632.645833333336</v>
      </c>
      <c r="B929">
        <v>16.5</v>
      </c>
      <c r="C929">
        <f>$E$1*B929</f>
        <v>91.66090373280943</v>
      </c>
    </row>
    <row r="930" spans="1:3" x14ac:dyDescent="0.25">
      <c r="A930" s="402">
        <v>41634.645833333336</v>
      </c>
      <c r="B930">
        <v>16.25</v>
      </c>
      <c r="C930">
        <f>$E$1*B930</f>
        <v>90.272102161100193</v>
      </c>
    </row>
    <row r="931" spans="1:3" x14ac:dyDescent="0.25">
      <c r="A931" s="402">
        <v>41635.645833333336</v>
      </c>
      <c r="B931">
        <v>15.65</v>
      </c>
      <c r="C931">
        <f>$E$1*B931</f>
        <v>86.938978388998024</v>
      </c>
    </row>
    <row r="932" spans="1:3" x14ac:dyDescent="0.25">
      <c r="A932" s="402">
        <v>41638.645833333336</v>
      </c>
      <c r="B932">
        <v>15.3</v>
      </c>
      <c r="C932">
        <f>$E$1*B932</f>
        <v>84.994656188605106</v>
      </c>
    </row>
    <row r="933" spans="1:3" x14ac:dyDescent="0.25">
      <c r="A933" s="402">
        <v>41639.645833333336</v>
      </c>
      <c r="B933">
        <v>17</v>
      </c>
      <c r="C933">
        <f>$E$1*B933</f>
        <v>94.438506876227891</v>
      </c>
    </row>
    <row r="934" spans="1:3" x14ac:dyDescent="0.25">
      <c r="A934" s="402">
        <v>41640.645833333336</v>
      </c>
      <c r="B934">
        <v>17.3</v>
      </c>
      <c r="C934">
        <f>$E$1*B934</f>
        <v>96.105068762278975</v>
      </c>
    </row>
    <row r="935" spans="1:3" x14ac:dyDescent="0.25">
      <c r="A935" s="402">
        <v>41641.645833333336</v>
      </c>
      <c r="B935">
        <v>16</v>
      </c>
      <c r="C935">
        <f>$E$1*B935</f>
        <v>88.883300589390956</v>
      </c>
    </row>
    <row r="936" spans="1:3" x14ac:dyDescent="0.25">
      <c r="A936" s="402">
        <v>41642.645833333336</v>
      </c>
      <c r="B936">
        <v>16.149999999999999</v>
      </c>
      <c r="C936">
        <f>$E$1*B936</f>
        <v>89.716581532416484</v>
      </c>
    </row>
    <row r="937" spans="1:3" x14ac:dyDescent="0.25">
      <c r="A937" s="402">
        <v>41645.645833333336</v>
      </c>
      <c r="B937">
        <v>16.55</v>
      </c>
      <c r="C937">
        <f>$E$1*B937</f>
        <v>91.938664047151278</v>
      </c>
    </row>
    <row r="938" spans="1:3" x14ac:dyDescent="0.25">
      <c r="A938" s="402">
        <v>41646.645833333336</v>
      </c>
      <c r="B938">
        <v>16.55</v>
      </c>
      <c r="C938">
        <f>$E$1*B938</f>
        <v>91.938664047151278</v>
      </c>
    </row>
    <row r="939" spans="1:3" x14ac:dyDescent="0.25">
      <c r="A939" s="402">
        <v>41647.645833333336</v>
      </c>
      <c r="B939">
        <v>16.350000000000001</v>
      </c>
      <c r="C939">
        <f>$E$1*B939</f>
        <v>90.827622789783888</v>
      </c>
    </row>
    <row r="940" spans="1:3" x14ac:dyDescent="0.25">
      <c r="A940" s="402">
        <v>41648.645833333336</v>
      </c>
      <c r="B940">
        <v>15.9</v>
      </c>
      <c r="C940">
        <f>$E$1*B940</f>
        <v>88.327779960707261</v>
      </c>
    </row>
    <row r="941" spans="1:3" x14ac:dyDescent="0.25">
      <c r="A941" s="402">
        <v>41649.645833333336</v>
      </c>
      <c r="B941">
        <v>15.7</v>
      </c>
      <c r="C941">
        <f>$E$1*B941</f>
        <v>87.216738703339871</v>
      </c>
    </row>
    <row r="942" spans="1:3" x14ac:dyDescent="0.25">
      <c r="A942" s="402">
        <v>41652.645833333336</v>
      </c>
      <c r="B942">
        <v>15.75</v>
      </c>
      <c r="C942">
        <f>$E$1*B942</f>
        <v>87.494499017681719</v>
      </c>
    </row>
    <row r="943" spans="1:3" x14ac:dyDescent="0.25">
      <c r="A943" s="402">
        <v>41653.645833333336</v>
      </c>
      <c r="B943">
        <v>15.65</v>
      </c>
      <c r="C943">
        <f>$E$1*B943</f>
        <v>86.938978388998024</v>
      </c>
    </row>
    <row r="944" spans="1:3" x14ac:dyDescent="0.25">
      <c r="A944" s="402">
        <v>41654.645833333336</v>
      </c>
      <c r="B944">
        <v>15.7</v>
      </c>
      <c r="C944">
        <f>$E$1*B944</f>
        <v>87.216738703339871</v>
      </c>
    </row>
    <row r="945" spans="1:3" x14ac:dyDescent="0.25">
      <c r="A945" s="402">
        <v>41655.645833333336</v>
      </c>
      <c r="B945">
        <v>15.6</v>
      </c>
      <c r="C945">
        <f>$E$1*B945</f>
        <v>86.661218074656176</v>
      </c>
    </row>
    <row r="946" spans="1:3" x14ac:dyDescent="0.25">
      <c r="A946" s="402">
        <v>41656.645833333336</v>
      </c>
      <c r="B946">
        <v>15.1</v>
      </c>
      <c r="C946">
        <f>$E$1*B946</f>
        <v>83.883614931237716</v>
      </c>
    </row>
    <row r="947" spans="1:3" x14ac:dyDescent="0.25">
      <c r="A947" s="402">
        <v>41659.645833333336</v>
      </c>
      <c r="B947">
        <v>16.05</v>
      </c>
      <c r="C947">
        <f>$E$1*B947</f>
        <v>89.161060903732803</v>
      </c>
    </row>
    <row r="948" spans="1:3" x14ac:dyDescent="0.25">
      <c r="A948" s="402">
        <v>41660.645833333336</v>
      </c>
      <c r="B948">
        <v>17.100000000000001</v>
      </c>
      <c r="C948">
        <f>$E$1*B948</f>
        <v>94.994027504911585</v>
      </c>
    </row>
    <row r="949" spans="1:3" x14ac:dyDescent="0.25">
      <c r="A949" s="402">
        <v>41661.645833333336</v>
      </c>
      <c r="B949">
        <v>18.399999999999999</v>
      </c>
      <c r="C949">
        <f>$E$1*B949</f>
        <v>102.21579567779959</v>
      </c>
    </row>
    <row r="950" spans="1:3" x14ac:dyDescent="0.25">
      <c r="A950" s="402">
        <v>41662.645833333336</v>
      </c>
      <c r="B950">
        <v>17.45</v>
      </c>
      <c r="C950">
        <f>$E$1*B950</f>
        <v>96.938349705304503</v>
      </c>
    </row>
    <row r="951" spans="1:3" x14ac:dyDescent="0.25">
      <c r="A951" s="402">
        <v>41663.645833333336</v>
      </c>
      <c r="B951">
        <v>16.850000000000001</v>
      </c>
      <c r="C951">
        <f>$E$1*B951</f>
        <v>93.605225933202362</v>
      </c>
    </row>
    <row r="952" spans="1:3" x14ac:dyDescent="0.25">
      <c r="A952" s="402">
        <v>41666.645833333336</v>
      </c>
      <c r="B952">
        <v>16.149999999999999</v>
      </c>
      <c r="C952">
        <f>$E$1*B952</f>
        <v>89.716581532416484</v>
      </c>
    </row>
    <row r="953" spans="1:3" x14ac:dyDescent="0.25">
      <c r="A953" s="402">
        <v>41667.645833333336</v>
      </c>
      <c r="B953">
        <v>16.399999999999999</v>
      </c>
      <c r="C953">
        <f>$E$1*B953</f>
        <v>91.105383104125721</v>
      </c>
    </row>
    <row r="954" spans="1:3" x14ac:dyDescent="0.25">
      <c r="A954" s="402">
        <v>41668.645833333336</v>
      </c>
      <c r="B954">
        <v>16.600000000000001</v>
      </c>
      <c r="C954">
        <f>$E$1*B954</f>
        <v>92.216424361493125</v>
      </c>
    </row>
    <row r="955" spans="1:3" x14ac:dyDescent="0.25">
      <c r="A955" s="402">
        <v>41669.645833333336</v>
      </c>
      <c r="B955">
        <v>15.85</v>
      </c>
      <c r="C955">
        <f>$E$1*B955</f>
        <v>88.050019646365413</v>
      </c>
    </row>
    <row r="956" spans="1:3" x14ac:dyDescent="0.25">
      <c r="A956" s="402">
        <v>41670.645833333336</v>
      </c>
      <c r="B956">
        <v>16.100000000000001</v>
      </c>
      <c r="C956">
        <f>$E$1*B956</f>
        <v>89.438821218074651</v>
      </c>
    </row>
    <row r="957" spans="1:3" x14ac:dyDescent="0.25">
      <c r="A957" s="402">
        <v>41673.645833333336</v>
      </c>
      <c r="B957">
        <v>16.05</v>
      </c>
      <c r="C957">
        <f>$E$1*B957</f>
        <v>89.161060903732803</v>
      </c>
    </row>
    <row r="958" spans="1:3" x14ac:dyDescent="0.25">
      <c r="A958" s="402">
        <v>41674.645833333336</v>
      </c>
      <c r="B958">
        <v>16.149999999999999</v>
      </c>
      <c r="C958">
        <f>$E$1*B958</f>
        <v>89.716581532416484</v>
      </c>
    </row>
    <row r="959" spans="1:3" x14ac:dyDescent="0.25">
      <c r="A959" s="402">
        <v>41675.645833333336</v>
      </c>
      <c r="B959">
        <v>16</v>
      </c>
      <c r="C959">
        <f>$E$1*B959</f>
        <v>88.883300589390956</v>
      </c>
    </row>
    <row r="960" spans="1:3" x14ac:dyDescent="0.25">
      <c r="A960" s="402">
        <v>41676.645833333336</v>
      </c>
      <c r="B960">
        <v>16.149999999999999</v>
      </c>
      <c r="C960">
        <f>$E$1*B960</f>
        <v>89.716581532416484</v>
      </c>
    </row>
    <row r="961" spans="1:3" x14ac:dyDescent="0.25">
      <c r="A961" s="402">
        <v>41677.645833333336</v>
      </c>
      <c r="B961">
        <v>15.8</v>
      </c>
      <c r="C961">
        <f>$E$1*B961</f>
        <v>87.772259332023566</v>
      </c>
    </row>
    <row r="962" spans="1:3" x14ac:dyDescent="0.25">
      <c r="A962" s="402">
        <v>41680.645833333336</v>
      </c>
      <c r="B962">
        <v>15.65</v>
      </c>
      <c r="C962">
        <f>$E$1*B962</f>
        <v>86.938978388998024</v>
      </c>
    </row>
    <row r="963" spans="1:3" x14ac:dyDescent="0.25">
      <c r="A963" s="402">
        <v>41681.645833333336</v>
      </c>
      <c r="B963">
        <v>15.9</v>
      </c>
      <c r="C963">
        <f>$E$1*B963</f>
        <v>88.327779960707261</v>
      </c>
    </row>
    <row r="964" spans="1:3" x14ac:dyDescent="0.25">
      <c r="A964" s="402">
        <v>41682.645833333336</v>
      </c>
      <c r="B964">
        <v>15.4</v>
      </c>
      <c r="C964">
        <f>$E$1*B964</f>
        <v>85.550176817288801</v>
      </c>
    </row>
    <row r="965" spans="1:3" x14ac:dyDescent="0.25">
      <c r="A965" s="402">
        <v>41683.645833333336</v>
      </c>
      <c r="B965">
        <v>15.35</v>
      </c>
      <c r="C965">
        <f>$E$1*B965</f>
        <v>85.272416502946953</v>
      </c>
    </row>
    <row r="966" spans="1:3" x14ac:dyDescent="0.25">
      <c r="A966" s="402">
        <v>41684.645833333336</v>
      </c>
      <c r="B966">
        <v>15.15</v>
      </c>
      <c r="C966">
        <f>$E$1*B966</f>
        <v>84.161375245579563</v>
      </c>
    </row>
    <row r="967" spans="1:3" x14ac:dyDescent="0.25">
      <c r="A967" s="402">
        <v>41687.645833333336</v>
      </c>
      <c r="B967">
        <v>14.8</v>
      </c>
      <c r="C967">
        <f>$E$1*B967</f>
        <v>82.217053045186631</v>
      </c>
    </row>
    <row r="968" spans="1:3" x14ac:dyDescent="0.25">
      <c r="A968" s="402">
        <v>41688.645833333336</v>
      </c>
      <c r="B968">
        <v>14.95</v>
      </c>
      <c r="C968">
        <f>$E$1*B968</f>
        <v>83.050333988212174</v>
      </c>
    </row>
    <row r="969" spans="1:3" x14ac:dyDescent="0.25">
      <c r="A969" s="402">
        <v>41689.645833333336</v>
      </c>
      <c r="B969">
        <v>14.85</v>
      </c>
      <c r="C969">
        <f>$E$1*B969</f>
        <v>82.494813359528479</v>
      </c>
    </row>
    <row r="970" spans="1:3" x14ac:dyDescent="0.25">
      <c r="A970" s="402">
        <v>41690.645833333336</v>
      </c>
      <c r="B970">
        <v>14.9</v>
      </c>
      <c r="C970">
        <f>$E$1*B970</f>
        <v>82.772573673870326</v>
      </c>
    </row>
    <row r="971" spans="1:3" x14ac:dyDescent="0.25">
      <c r="A971" s="402">
        <v>41691.645833333336</v>
      </c>
      <c r="B971">
        <v>14.9</v>
      </c>
      <c r="C971">
        <f>$E$1*B971</f>
        <v>82.772573673870326</v>
      </c>
    </row>
    <row r="972" spans="1:3" x14ac:dyDescent="0.25">
      <c r="A972" s="402">
        <v>41694.645833333336</v>
      </c>
      <c r="B972">
        <v>15.9</v>
      </c>
      <c r="C972">
        <f>$E$1*B972</f>
        <v>88.327779960707261</v>
      </c>
    </row>
    <row r="973" spans="1:3" x14ac:dyDescent="0.25">
      <c r="A973" s="402">
        <v>41695.645833333336</v>
      </c>
      <c r="B973">
        <v>15.25</v>
      </c>
      <c r="C973">
        <f>$E$1*B973</f>
        <v>84.716895874263258</v>
      </c>
    </row>
    <row r="974" spans="1:3" x14ac:dyDescent="0.25">
      <c r="A974" s="402">
        <v>41696.645833333336</v>
      </c>
      <c r="B974">
        <v>15.5</v>
      </c>
      <c r="C974">
        <f>$E$1*B974</f>
        <v>86.105697445972481</v>
      </c>
    </row>
    <row r="975" spans="1:3" x14ac:dyDescent="0.25">
      <c r="A975" s="402">
        <v>41698.645833333336</v>
      </c>
      <c r="B975">
        <v>15.25</v>
      </c>
      <c r="C975">
        <f>$E$1*B975</f>
        <v>84.716895874263258</v>
      </c>
    </row>
    <row r="976" spans="1:3" x14ac:dyDescent="0.25">
      <c r="A976" s="402">
        <v>41701.645833333336</v>
      </c>
      <c r="B976">
        <v>15</v>
      </c>
      <c r="C976">
        <f>$E$1*B976</f>
        <v>83.328094302554021</v>
      </c>
    </row>
    <row r="977" spans="1:3" x14ac:dyDescent="0.25">
      <c r="A977" s="402">
        <v>41702.645833333336</v>
      </c>
      <c r="B977">
        <v>15</v>
      </c>
      <c r="C977">
        <f>$E$1*B977</f>
        <v>83.328094302554021</v>
      </c>
    </row>
    <row r="978" spans="1:3" x14ac:dyDescent="0.25">
      <c r="A978" s="402">
        <v>41703.645833333336</v>
      </c>
      <c r="B978">
        <v>15.25</v>
      </c>
      <c r="C978">
        <f>$E$1*B978</f>
        <v>84.716895874263258</v>
      </c>
    </row>
    <row r="979" spans="1:3" x14ac:dyDescent="0.25">
      <c r="A979" s="402">
        <v>41704.645833333336</v>
      </c>
      <c r="B979">
        <v>15.2</v>
      </c>
      <c r="C979">
        <f>$E$1*B979</f>
        <v>84.439135559921411</v>
      </c>
    </row>
    <row r="980" spans="1:3" x14ac:dyDescent="0.25">
      <c r="A980" s="402">
        <v>41705.645833333336</v>
      </c>
      <c r="B980">
        <v>15</v>
      </c>
      <c r="C980">
        <f>$E$1*B980</f>
        <v>83.328094302554021</v>
      </c>
    </row>
    <row r="981" spans="1:3" x14ac:dyDescent="0.25">
      <c r="A981" s="402">
        <v>41708.645833333336</v>
      </c>
      <c r="B981">
        <v>15.2</v>
      </c>
      <c r="C981">
        <f>$E$1*B981</f>
        <v>84.439135559921411</v>
      </c>
    </row>
    <row r="982" spans="1:3" x14ac:dyDescent="0.25">
      <c r="A982" s="402">
        <v>41709.645833333336</v>
      </c>
      <c r="B982">
        <v>15.05</v>
      </c>
      <c r="C982">
        <f>$E$1*B982</f>
        <v>83.605854616895869</v>
      </c>
    </row>
    <row r="983" spans="1:3" x14ac:dyDescent="0.25">
      <c r="A983" s="402">
        <v>41710.645833333336</v>
      </c>
      <c r="B983">
        <v>15.1</v>
      </c>
      <c r="C983">
        <f>$E$1*B983</f>
        <v>83.883614931237716</v>
      </c>
    </row>
    <row r="984" spans="1:3" x14ac:dyDescent="0.25">
      <c r="A984" s="402">
        <v>41711.645833333336</v>
      </c>
      <c r="B984">
        <v>14.85</v>
      </c>
      <c r="C984">
        <f>$E$1*B984</f>
        <v>82.494813359528479</v>
      </c>
    </row>
    <row r="985" spans="1:3" x14ac:dyDescent="0.25">
      <c r="A985" s="402">
        <v>41712.645833333336</v>
      </c>
      <c r="B985">
        <v>14.9</v>
      </c>
      <c r="C985">
        <f>$E$1*B985</f>
        <v>82.772573673870326</v>
      </c>
    </row>
    <row r="986" spans="1:3" x14ac:dyDescent="0.25">
      <c r="A986" s="402">
        <v>41716.645833333336</v>
      </c>
      <c r="B986">
        <v>14.8</v>
      </c>
      <c r="C986">
        <f>$E$1*B986</f>
        <v>82.217053045186631</v>
      </c>
    </row>
    <row r="987" spans="1:3" x14ac:dyDescent="0.25">
      <c r="A987" s="402">
        <v>41717.645833333336</v>
      </c>
      <c r="B987">
        <v>14.95</v>
      </c>
      <c r="C987">
        <f>$E$1*B987</f>
        <v>83.050333988212174</v>
      </c>
    </row>
    <row r="988" spans="1:3" x14ac:dyDescent="0.25">
      <c r="A988" s="402">
        <v>41718.645833333336</v>
      </c>
      <c r="B988">
        <v>14.95</v>
      </c>
      <c r="C988">
        <f>$E$1*B988</f>
        <v>83.050333988212174</v>
      </c>
    </row>
    <row r="989" spans="1:3" x14ac:dyDescent="0.25">
      <c r="A989" s="402">
        <v>41719.645833333336</v>
      </c>
      <c r="B989">
        <v>14.85</v>
      </c>
      <c r="C989">
        <f>$E$1*B989</f>
        <v>82.494813359528479</v>
      </c>
    </row>
    <row r="990" spans="1:3" x14ac:dyDescent="0.25">
      <c r="A990" s="402">
        <v>41722.645833333336</v>
      </c>
      <c r="B990">
        <v>14.55</v>
      </c>
      <c r="C990">
        <f>$E$1*B990</f>
        <v>80.828251473477408</v>
      </c>
    </row>
    <row r="991" spans="1:3" x14ac:dyDescent="0.25">
      <c r="A991" s="402">
        <v>41723.645833333336</v>
      </c>
      <c r="B991">
        <v>14.4</v>
      </c>
      <c r="C991">
        <f>$E$1*B991</f>
        <v>79.994970530451866</v>
      </c>
    </row>
    <row r="992" spans="1:3" x14ac:dyDescent="0.25">
      <c r="A992" s="402">
        <v>41724.645833333336</v>
      </c>
      <c r="B992">
        <v>14.5</v>
      </c>
      <c r="C992">
        <f>$E$1*B992</f>
        <v>80.550491159135561</v>
      </c>
    </row>
    <row r="993" spans="1:3" x14ac:dyDescent="0.25">
      <c r="A993" s="402">
        <v>41725.645833333336</v>
      </c>
      <c r="B993">
        <v>14.35</v>
      </c>
      <c r="C993">
        <f>$E$1*B993</f>
        <v>79.717210216110018</v>
      </c>
    </row>
    <row r="994" spans="1:3" x14ac:dyDescent="0.25">
      <c r="A994" s="402">
        <v>41726.645833333336</v>
      </c>
      <c r="B994">
        <v>14.4</v>
      </c>
      <c r="C994">
        <f>$E$1*B994</f>
        <v>79.994970530451866</v>
      </c>
    </row>
    <row r="995" spans="1:3" x14ac:dyDescent="0.25">
      <c r="A995" s="402">
        <v>41729.645833333336</v>
      </c>
      <c r="B995">
        <v>14.1</v>
      </c>
      <c r="C995">
        <f>$E$1*B995</f>
        <v>78.328408644400781</v>
      </c>
    </row>
    <row r="996" spans="1:3" x14ac:dyDescent="0.25">
      <c r="A996" s="402">
        <v>41730.645833333336</v>
      </c>
      <c r="B996">
        <v>14.5</v>
      </c>
      <c r="C996">
        <f>$E$1*B996</f>
        <v>80.550491159135561</v>
      </c>
    </row>
    <row r="997" spans="1:3" x14ac:dyDescent="0.25">
      <c r="A997" s="402">
        <v>41731.645833333336</v>
      </c>
      <c r="B997">
        <v>15.1</v>
      </c>
      <c r="C997">
        <f>$E$1*B997</f>
        <v>83.883614931237716</v>
      </c>
    </row>
    <row r="998" spans="1:3" x14ac:dyDescent="0.25">
      <c r="A998" s="402">
        <v>41732.645833333336</v>
      </c>
      <c r="B998">
        <v>14.85</v>
      </c>
      <c r="C998">
        <f>$E$1*B998</f>
        <v>82.494813359528479</v>
      </c>
    </row>
    <row r="999" spans="1:3" x14ac:dyDescent="0.25">
      <c r="A999" s="402">
        <v>41733.645833333336</v>
      </c>
      <c r="B999">
        <v>15.1</v>
      </c>
      <c r="C999">
        <f>$E$1*B999</f>
        <v>83.883614931237716</v>
      </c>
    </row>
    <row r="1000" spans="1:3" x14ac:dyDescent="0.25">
      <c r="A1000" s="402">
        <v>41736.645833333336</v>
      </c>
      <c r="B1000">
        <v>15.2</v>
      </c>
      <c r="C1000">
        <f>$E$1*B1000</f>
        <v>84.439135559921411</v>
      </c>
    </row>
    <row r="1001" spans="1:3" x14ac:dyDescent="0.25">
      <c r="A1001" s="402">
        <v>41738.645833333336</v>
      </c>
      <c r="B1001">
        <v>15.9</v>
      </c>
      <c r="C1001">
        <f>$E$1*B1001</f>
        <v>88.327779960707261</v>
      </c>
    </row>
    <row r="1002" spans="1:3" x14ac:dyDescent="0.25">
      <c r="A1002" s="402">
        <v>41739.645833333336</v>
      </c>
      <c r="B1002">
        <v>15.95</v>
      </c>
      <c r="C1002">
        <f>$E$1*B1002</f>
        <v>88.605540275049108</v>
      </c>
    </row>
    <row r="1003" spans="1:3" x14ac:dyDescent="0.25">
      <c r="A1003" s="402">
        <v>41740.645833333336</v>
      </c>
      <c r="B1003">
        <v>16.100000000000001</v>
      </c>
      <c r="C1003">
        <f>$E$1*B1003</f>
        <v>89.438821218074651</v>
      </c>
    </row>
    <row r="1004" spans="1:3" x14ac:dyDescent="0.25">
      <c r="A1004" s="402">
        <v>41744.645833333336</v>
      </c>
      <c r="B1004">
        <v>16.2</v>
      </c>
      <c r="C1004">
        <f>$E$1*B1004</f>
        <v>89.994341846758346</v>
      </c>
    </row>
    <row r="1005" spans="1:3" x14ac:dyDescent="0.25">
      <c r="A1005" s="402">
        <v>41745.645833333336</v>
      </c>
      <c r="B1005">
        <v>15.85</v>
      </c>
      <c r="C1005">
        <f>$E$1*B1005</f>
        <v>88.050019646365413</v>
      </c>
    </row>
    <row r="1006" spans="1:3" x14ac:dyDescent="0.25">
      <c r="A1006" s="402">
        <v>41746.645833333336</v>
      </c>
      <c r="B1006">
        <v>16.3</v>
      </c>
      <c r="C1006">
        <f>$E$1*B1006</f>
        <v>90.54986247544204</v>
      </c>
    </row>
    <row r="1007" spans="1:3" x14ac:dyDescent="0.25">
      <c r="A1007" s="402">
        <v>41750.645833333336</v>
      </c>
      <c r="B1007">
        <v>16.350000000000001</v>
      </c>
      <c r="C1007">
        <f>$E$1*B1007</f>
        <v>90.827622789783888</v>
      </c>
    </row>
    <row r="1008" spans="1:3" x14ac:dyDescent="0.25">
      <c r="A1008" s="402">
        <v>41751.645833333336</v>
      </c>
      <c r="B1008">
        <v>16.100000000000001</v>
      </c>
      <c r="C1008">
        <f>$E$1*B1008</f>
        <v>89.438821218074651</v>
      </c>
    </row>
    <row r="1009" spans="1:3" x14ac:dyDescent="0.25">
      <c r="A1009" s="402">
        <v>41752.645833333336</v>
      </c>
      <c r="B1009">
        <v>16.25</v>
      </c>
      <c r="C1009">
        <f>$E$1*B1009</f>
        <v>90.272102161100193</v>
      </c>
    </row>
    <row r="1010" spans="1:3" x14ac:dyDescent="0.25">
      <c r="A1010" s="402">
        <v>41754.645833333336</v>
      </c>
      <c r="B1010">
        <v>16.8</v>
      </c>
      <c r="C1010">
        <f>$E$1*B1010</f>
        <v>93.327465618860501</v>
      </c>
    </row>
    <row r="1011" spans="1:3" x14ac:dyDescent="0.25">
      <c r="A1011" s="402">
        <v>41757.645833333336</v>
      </c>
      <c r="B1011">
        <v>17.649999999999999</v>
      </c>
      <c r="C1011">
        <f>$E$1*B1011</f>
        <v>98.049390962671893</v>
      </c>
    </row>
    <row r="1012" spans="1:3" x14ac:dyDescent="0.25">
      <c r="A1012" s="402">
        <v>41758.645833333336</v>
      </c>
      <c r="B1012">
        <v>17.45</v>
      </c>
      <c r="C1012">
        <f>$E$1*B1012</f>
        <v>96.938349705304503</v>
      </c>
    </row>
    <row r="1013" spans="1:3" x14ac:dyDescent="0.25">
      <c r="A1013" s="402">
        <v>41759.645833333336</v>
      </c>
      <c r="B1013">
        <v>17.899999999999999</v>
      </c>
      <c r="C1013">
        <f>$E$1*B1013</f>
        <v>99.43819253438113</v>
      </c>
    </row>
    <row r="1014" spans="1:3" x14ac:dyDescent="0.25">
      <c r="A1014" s="402">
        <v>41761.645833333336</v>
      </c>
      <c r="B1014">
        <v>18.7</v>
      </c>
      <c r="C1014">
        <f>$E$1*B1014</f>
        <v>103.88235756385068</v>
      </c>
    </row>
    <row r="1015" spans="1:3" x14ac:dyDescent="0.25">
      <c r="A1015" s="402">
        <v>41764.645833333336</v>
      </c>
      <c r="B1015">
        <v>18.75</v>
      </c>
      <c r="C1015">
        <f>$E$1*B1015</f>
        <v>104.16011787819252</v>
      </c>
    </row>
    <row r="1016" spans="1:3" x14ac:dyDescent="0.25">
      <c r="A1016" s="402">
        <v>41765.645833333336</v>
      </c>
      <c r="B1016">
        <v>17.399999999999999</v>
      </c>
      <c r="C1016">
        <f>$E$1*B1016</f>
        <v>96.660589390962656</v>
      </c>
    </row>
    <row r="1017" spans="1:3" x14ac:dyDescent="0.25">
      <c r="A1017" s="402">
        <v>41766.645833333336</v>
      </c>
      <c r="B1017">
        <v>16.899999999999999</v>
      </c>
      <c r="C1017">
        <f>$E$1*B1017</f>
        <v>93.882986247544196</v>
      </c>
    </row>
    <row r="1018" spans="1:3" x14ac:dyDescent="0.25">
      <c r="A1018" s="402">
        <v>41767.645833333336</v>
      </c>
      <c r="B1018">
        <v>16.95</v>
      </c>
      <c r="C1018">
        <f>$E$1*B1018</f>
        <v>94.160746561886043</v>
      </c>
    </row>
    <row r="1019" spans="1:3" x14ac:dyDescent="0.25">
      <c r="A1019" s="402">
        <v>41768.645833333336</v>
      </c>
      <c r="B1019">
        <v>16.95</v>
      </c>
      <c r="C1019">
        <f>$E$1*B1019</f>
        <v>94.160746561886043</v>
      </c>
    </row>
    <row r="1020" spans="1:3" x14ac:dyDescent="0.25">
      <c r="A1020" s="402">
        <v>41771.645833333336</v>
      </c>
      <c r="B1020">
        <v>16.3</v>
      </c>
      <c r="C1020">
        <f>$E$1*B1020</f>
        <v>90.54986247544204</v>
      </c>
    </row>
    <row r="1021" spans="1:3" x14ac:dyDescent="0.25">
      <c r="A1021" s="402">
        <v>41772.645833333336</v>
      </c>
      <c r="B1021">
        <v>15.85</v>
      </c>
      <c r="C1021">
        <f>$E$1*B1021</f>
        <v>88.050019646365413</v>
      </c>
    </row>
    <row r="1022" spans="1:3" x14ac:dyDescent="0.25">
      <c r="A1022" s="402">
        <v>41773.645833333336</v>
      </c>
      <c r="B1022">
        <v>15.85</v>
      </c>
      <c r="C1022">
        <f>$E$1*B1022</f>
        <v>88.050019646365413</v>
      </c>
    </row>
    <row r="1023" spans="1:3" x14ac:dyDescent="0.25">
      <c r="A1023" s="402">
        <v>41774.645833333336</v>
      </c>
      <c r="B1023">
        <v>15.9</v>
      </c>
      <c r="C1023">
        <f>$E$1*B1023</f>
        <v>88.327779960707261</v>
      </c>
    </row>
    <row r="1024" spans="1:3" x14ac:dyDescent="0.25">
      <c r="A1024" s="402">
        <v>41775.645833333336</v>
      </c>
      <c r="B1024">
        <v>16</v>
      </c>
      <c r="C1024">
        <f>$E$1*B1024</f>
        <v>88.883300589390956</v>
      </c>
    </row>
    <row r="1025" spans="1:3" x14ac:dyDescent="0.25">
      <c r="A1025" s="402">
        <v>41778.645833333336</v>
      </c>
      <c r="B1025">
        <v>17.850000000000001</v>
      </c>
      <c r="C1025">
        <f>$E$1*B1025</f>
        <v>99.160432220039297</v>
      </c>
    </row>
    <row r="1026" spans="1:3" x14ac:dyDescent="0.25">
      <c r="A1026" s="402">
        <v>41779.645833333336</v>
      </c>
      <c r="B1026">
        <v>17.5</v>
      </c>
      <c r="C1026">
        <f>$E$1*B1026</f>
        <v>97.216110019646351</v>
      </c>
    </row>
    <row r="1027" spans="1:3" x14ac:dyDescent="0.25">
      <c r="A1027" s="402">
        <v>41780.645833333336</v>
      </c>
      <c r="B1027">
        <v>19.5</v>
      </c>
      <c r="C1027">
        <f>$E$1*B1027</f>
        <v>108.32652259332022</v>
      </c>
    </row>
    <row r="1028" spans="1:3" x14ac:dyDescent="0.25">
      <c r="A1028" s="402">
        <v>41781.645833333336</v>
      </c>
      <c r="B1028">
        <v>18.75</v>
      </c>
      <c r="C1028">
        <f>$E$1*B1028</f>
        <v>104.16011787819252</v>
      </c>
    </row>
    <row r="1029" spans="1:3" x14ac:dyDescent="0.25">
      <c r="A1029" s="402">
        <v>41782.645833333336</v>
      </c>
      <c r="B1029">
        <v>19</v>
      </c>
      <c r="C1029">
        <f>$E$1*B1029</f>
        <v>105.54891944990176</v>
      </c>
    </row>
    <row r="1030" spans="1:3" x14ac:dyDescent="0.25">
      <c r="A1030" s="402">
        <v>41785.645833333336</v>
      </c>
      <c r="B1030">
        <v>17.850000000000001</v>
      </c>
      <c r="C1030">
        <f>$E$1*B1030</f>
        <v>99.160432220039297</v>
      </c>
    </row>
    <row r="1031" spans="1:3" x14ac:dyDescent="0.25">
      <c r="A1031" s="402">
        <v>41786.645833333336</v>
      </c>
      <c r="B1031">
        <v>18.100000000000001</v>
      </c>
      <c r="C1031">
        <f>$E$1*B1031</f>
        <v>100.54923379174852</v>
      </c>
    </row>
    <row r="1032" spans="1:3" x14ac:dyDescent="0.25">
      <c r="A1032" s="402">
        <v>41787.645833333336</v>
      </c>
      <c r="B1032">
        <v>18.95</v>
      </c>
      <c r="C1032">
        <f>$E$1*B1032</f>
        <v>105.27115913555991</v>
      </c>
    </row>
    <row r="1033" spans="1:3" x14ac:dyDescent="0.25">
      <c r="A1033" s="402">
        <v>41788.645833333336</v>
      </c>
      <c r="B1033">
        <v>19</v>
      </c>
      <c r="C1033">
        <f>$E$1*B1033</f>
        <v>105.54891944990176</v>
      </c>
    </row>
    <row r="1034" spans="1:3" x14ac:dyDescent="0.25">
      <c r="A1034" s="402">
        <v>41789.645833333336</v>
      </c>
      <c r="B1034">
        <v>18.75</v>
      </c>
      <c r="C1034">
        <f>$E$1*B1034</f>
        <v>104.16011787819252</v>
      </c>
    </row>
    <row r="1035" spans="1:3" x14ac:dyDescent="0.25">
      <c r="A1035" s="402">
        <v>41792.645833333336</v>
      </c>
      <c r="B1035">
        <v>18.7</v>
      </c>
      <c r="C1035">
        <f>$E$1*B1035</f>
        <v>103.88235756385068</v>
      </c>
    </row>
    <row r="1036" spans="1:3" x14ac:dyDescent="0.25">
      <c r="A1036" s="402">
        <v>41793.645833333336</v>
      </c>
      <c r="B1036">
        <v>19.149999999999999</v>
      </c>
      <c r="C1036">
        <f>$E$1*B1036</f>
        <v>106.38220039292729</v>
      </c>
    </row>
    <row r="1037" spans="1:3" x14ac:dyDescent="0.25">
      <c r="A1037" s="402">
        <v>41794.645833333336</v>
      </c>
      <c r="B1037">
        <v>23.15</v>
      </c>
      <c r="C1037">
        <f>$E$1*B1037</f>
        <v>128.60302554027504</v>
      </c>
    </row>
    <row r="1038" spans="1:3" x14ac:dyDescent="0.25">
      <c r="A1038" s="402">
        <v>41795.645833333336</v>
      </c>
      <c r="B1038">
        <v>23.75</v>
      </c>
      <c r="C1038">
        <f>$E$1*B1038</f>
        <v>131.93614931237721</v>
      </c>
    </row>
    <row r="1039" spans="1:3" x14ac:dyDescent="0.25">
      <c r="A1039" s="402">
        <v>41796.645833333336</v>
      </c>
      <c r="B1039">
        <v>24.1</v>
      </c>
      <c r="C1039">
        <f>$E$1*B1039</f>
        <v>133.88047151277013</v>
      </c>
    </row>
    <row r="1040" spans="1:3" x14ac:dyDescent="0.25">
      <c r="A1040" s="402">
        <v>41799.645833333336</v>
      </c>
      <c r="B1040">
        <v>23.7</v>
      </c>
      <c r="C1040">
        <f>$E$1*B1040</f>
        <v>131.65838899803535</v>
      </c>
    </row>
    <row r="1041" spans="1:3" x14ac:dyDescent="0.25">
      <c r="A1041" s="402">
        <v>41800.645833333336</v>
      </c>
      <c r="B1041">
        <v>22.9</v>
      </c>
      <c r="C1041">
        <f>$E$1*B1041</f>
        <v>127.2142239685658</v>
      </c>
    </row>
    <row r="1042" spans="1:3" x14ac:dyDescent="0.25">
      <c r="A1042" s="402">
        <v>41801.645833333336</v>
      </c>
      <c r="B1042">
        <v>22.05</v>
      </c>
      <c r="C1042">
        <f>$E$1*B1042</f>
        <v>122.49229862475441</v>
      </c>
    </row>
    <row r="1043" spans="1:3" x14ac:dyDescent="0.25">
      <c r="A1043" s="402">
        <v>41802.645833333336</v>
      </c>
      <c r="B1043">
        <v>22</v>
      </c>
      <c r="C1043">
        <f>$E$1*B1043</f>
        <v>122.21453831041256</v>
      </c>
    </row>
    <row r="1044" spans="1:3" x14ac:dyDescent="0.25">
      <c r="A1044" s="402">
        <v>41803.645833333336</v>
      </c>
      <c r="B1044">
        <v>23.1</v>
      </c>
      <c r="C1044">
        <f>$E$1*B1044</f>
        <v>128.32526522593321</v>
      </c>
    </row>
    <row r="1045" spans="1:3" x14ac:dyDescent="0.25">
      <c r="A1045" s="402">
        <v>41806.645833333336</v>
      </c>
      <c r="B1045">
        <v>24</v>
      </c>
      <c r="C1045">
        <f>$E$1*B1045</f>
        <v>133.32495088408643</v>
      </c>
    </row>
    <row r="1046" spans="1:3" x14ac:dyDescent="0.25">
      <c r="A1046" s="402">
        <v>41807.645833333336</v>
      </c>
      <c r="B1046">
        <v>24.25</v>
      </c>
      <c r="C1046">
        <f>$E$1*B1046</f>
        <v>134.71375245579566</v>
      </c>
    </row>
    <row r="1047" spans="1:3" x14ac:dyDescent="0.25">
      <c r="A1047" s="402">
        <v>41808.645833333336</v>
      </c>
      <c r="B1047">
        <v>22.55</v>
      </c>
      <c r="C1047">
        <f>$E$1*B1047</f>
        <v>125.26990176817289</v>
      </c>
    </row>
    <row r="1048" spans="1:3" x14ac:dyDescent="0.25">
      <c r="A1048" s="402">
        <v>41809.645833333336</v>
      </c>
      <c r="B1048">
        <v>23.3</v>
      </c>
      <c r="C1048">
        <f>$E$1*B1048</f>
        <v>129.43630648330057</v>
      </c>
    </row>
    <row r="1049" spans="1:3" x14ac:dyDescent="0.25">
      <c r="A1049" s="402">
        <v>41810.645833333336</v>
      </c>
      <c r="B1049">
        <v>22.95</v>
      </c>
      <c r="C1049">
        <f>$E$1*B1049</f>
        <v>127.49198428290765</v>
      </c>
    </row>
    <row r="1050" spans="1:3" x14ac:dyDescent="0.25">
      <c r="A1050" s="402">
        <v>41813.645833333336</v>
      </c>
      <c r="B1050">
        <v>22.9</v>
      </c>
      <c r="C1050">
        <f>$E$1*B1050</f>
        <v>127.2142239685658</v>
      </c>
    </row>
    <row r="1051" spans="1:3" x14ac:dyDescent="0.25">
      <c r="A1051" s="402">
        <v>41814.645833333336</v>
      </c>
      <c r="B1051">
        <v>23.6</v>
      </c>
      <c r="C1051">
        <f>$E$1*B1051</f>
        <v>131.10286836935165</v>
      </c>
    </row>
    <row r="1052" spans="1:3" x14ac:dyDescent="0.25">
      <c r="A1052" s="402">
        <v>41815.645833333336</v>
      </c>
      <c r="B1052">
        <v>23.35</v>
      </c>
      <c r="C1052">
        <f>$E$1*B1052</f>
        <v>129.71406679764243</v>
      </c>
    </row>
    <row r="1053" spans="1:3" x14ac:dyDescent="0.25">
      <c r="A1053" s="402">
        <v>41816.645833333336</v>
      </c>
      <c r="B1053">
        <v>23.25</v>
      </c>
      <c r="C1053">
        <f>$E$1*B1053</f>
        <v>129.15854616895874</v>
      </c>
    </row>
    <row r="1054" spans="1:3" x14ac:dyDescent="0.25">
      <c r="A1054" s="402">
        <v>41817.645833333336</v>
      </c>
      <c r="B1054">
        <v>23.3</v>
      </c>
      <c r="C1054">
        <f>$E$1*B1054</f>
        <v>129.43630648330057</v>
      </c>
    </row>
    <row r="1055" spans="1:3" x14ac:dyDescent="0.25">
      <c r="A1055" s="402">
        <v>41820.645833333336</v>
      </c>
      <c r="B1055">
        <v>23.35</v>
      </c>
      <c r="C1055">
        <f>$E$1*B1055</f>
        <v>129.71406679764243</v>
      </c>
    </row>
    <row r="1056" spans="1:3" x14ac:dyDescent="0.25">
      <c r="A1056" s="402">
        <v>41821.645833333336</v>
      </c>
      <c r="B1056">
        <v>23.65</v>
      </c>
      <c r="C1056">
        <f>$E$1*B1056</f>
        <v>131.38062868369349</v>
      </c>
    </row>
    <row r="1057" spans="1:3" x14ac:dyDescent="0.25">
      <c r="A1057" s="402">
        <v>41822.645833333336</v>
      </c>
      <c r="B1057">
        <v>24.6</v>
      </c>
      <c r="C1057">
        <f>$E$1*B1057</f>
        <v>136.6580746561886</v>
      </c>
    </row>
    <row r="1058" spans="1:3" x14ac:dyDescent="0.25">
      <c r="A1058" s="402">
        <v>41823.645833333336</v>
      </c>
      <c r="B1058">
        <v>23.85</v>
      </c>
      <c r="C1058">
        <f>$E$1*B1058</f>
        <v>132.49166994106091</v>
      </c>
    </row>
    <row r="1059" spans="1:3" x14ac:dyDescent="0.25">
      <c r="A1059" s="402">
        <v>41824.645833333336</v>
      </c>
      <c r="B1059">
        <v>24.9</v>
      </c>
      <c r="C1059">
        <f>$E$1*B1059</f>
        <v>138.32463654223966</v>
      </c>
    </row>
    <row r="1060" spans="1:3" x14ac:dyDescent="0.25">
      <c r="A1060" s="402">
        <v>41827.645833333336</v>
      </c>
      <c r="B1060">
        <v>24.1</v>
      </c>
      <c r="C1060">
        <f>$E$1*B1060</f>
        <v>133.88047151277013</v>
      </c>
    </row>
    <row r="1061" spans="1:3" x14ac:dyDescent="0.25">
      <c r="A1061" s="402">
        <v>41828.645833333336</v>
      </c>
      <c r="B1061">
        <v>22.4</v>
      </c>
      <c r="C1061">
        <f>$E$1*B1061</f>
        <v>124.43662082514733</v>
      </c>
    </row>
    <row r="1062" spans="1:3" x14ac:dyDescent="0.25">
      <c r="A1062" s="402">
        <v>41829.645833333336</v>
      </c>
      <c r="B1062">
        <v>22</v>
      </c>
      <c r="C1062">
        <f>$E$1*B1062</f>
        <v>122.21453831041256</v>
      </c>
    </row>
    <row r="1063" spans="1:3" x14ac:dyDescent="0.25">
      <c r="A1063" s="402">
        <v>41830.645833333336</v>
      </c>
      <c r="B1063">
        <v>22.75</v>
      </c>
      <c r="C1063">
        <f>$E$1*B1063</f>
        <v>126.38094302554026</v>
      </c>
    </row>
    <row r="1064" spans="1:3" x14ac:dyDescent="0.25">
      <c r="A1064" s="402">
        <v>41831.645833333336</v>
      </c>
      <c r="B1064">
        <v>21</v>
      </c>
      <c r="C1064">
        <f>$E$1*B1064</f>
        <v>116.65933202357563</v>
      </c>
    </row>
    <row r="1065" spans="1:3" x14ac:dyDescent="0.25">
      <c r="A1065" s="402">
        <v>41834.645833333336</v>
      </c>
      <c r="B1065">
        <v>20.399999999999999</v>
      </c>
      <c r="C1065">
        <f>$E$1*B1065</f>
        <v>113.32620825147346</v>
      </c>
    </row>
    <row r="1066" spans="1:3" x14ac:dyDescent="0.25">
      <c r="A1066" s="402">
        <v>41835.645833333336</v>
      </c>
      <c r="B1066">
        <v>20.95</v>
      </c>
      <c r="C1066">
        <f>$E$1*B1066</f>
        <v>116.38157170923378</v>
      </c>
    </row>
    <row r="1067" spans="1:3" x14ac:dyDescent="0.25">
      <c r="A1067" s="402">
        <v>41836.645833333336</v>
      </c>
      <c r="B1067">
        <v>22.05</v>
      </c>
      <c r="C1067">
        <f>$E$1*B1067</f>
        <v>122.49229862475441</v>
      </c>
    </row>
    <row r="1068" spans="1:3" x14ac:dyDescent="0.25">
      <c r="A1068" s="402">
        <v>41837.645833333336</v>
      </c>
      <c r="B1068">
        <v>22.4</v>
      </c>
      <c r="C1068">
        <f>$E$1*B1068</f>
        <v>124.43662082514733</v>
      </c>
    </row>
    <row r="1069" spans="1:3" x14ac:dyDescent="0.25">
      <c r="A1069" s="402">
        <v>41838.645833333336</v>
      </c>
      <c r="B1069">
        <v>22</v>
      </c>
      <c r="C1069">
        <f>$E$1*B1069</f>
        <v>122.21453831041256</v>
      </c>
    </row>
    <row r="1070" spans="1:3" x14ac:dyDescent="0.25">
      <c r="A1070" s="402">
        <v>41841.645833333336</v>
      </c>
      <c r="B1070">
        <v>22.25</v>
      </c>
      <c r="C1070">
        <f>$E$1*B1070</f>
        <v>123.6033398821218</v>
      </c>
    </row>
    <row r="1071" spans="1:3" x14ac:dyDescent="0.25">
      <c r="A1071" s="402">
        <v>41842.645833333336</v>
      </c>
      <c r="B1071">
        <v>21.85</v>
      </c>
      <c r="C1071">
        <f>$E$1*B1071</f>
        <v>121.38125736738704</v>
      </c>
    </row>
    <row r="1072" spans="1:3" x14ac:dyDescent="0.25">
      <c r="A1072" s="402">
        <v>41843.645833333336</v>
      </c>
      <c r="B1072">
        <v>21.6</v>
      </c>
      <c r="C1072">
        <f>$E$1*B1072</f>
        <v>119.9924557956778</v>
      </c>
    </row>
    <row r="1073" spans="1:3" x14ac:dyDescent="0.25">
      <c r="A1073" s="402">
        <v>41844.645833333336</v>
      </c>
      <c r="B1073">
        <v>22.6</v>
      </c>
      <c r="C1073">
        <f>$E$1*B1073</f>
        <v>125.54766208251473</v>
      </c>
    </row>
    <row r="1074" spans="1:3" x14ac:dyDescent="0.25">
      <c r="A1074" s="402">
        <v>41845.645833333336</v>
      </c>
      <c r="B1074">
        <v>22.05</v>
      </c>
      <c r="C1074">
        <f>$E$1*B1074</f>
        <v>122.49229862475441</v>
      </c>
    </row>
    <row r="1075" spans="1:3" x14ac:dyDescent="0.25">
      <c r="A1075" s="402">
        <v>41848.645833333336</v>
      </c>
      <c r="B1075">
        <v>22</v>
      </c>
      <c r="C1075">
        <f>$E$1*B1075</f>
        <v>122.21453831041256</v>
      </c>
    </row>
    <row r="1076" spans="1:3" x14ac:dyDescent="0.25">
      <c r="A1076" s="402">
        <v>41850.645833333336</v>
      </c>
      <c r="B1076">
        <v>23</v>
      </c>
      <c r="C1076">
        <f>$E$1*B1076</f>
        <v>127.7697445972495</v>
      </c>
    </row>
    <row r="1077" spans="1:3" x14ac:dyDescent="0.25">
      <c r="A1077" s="402">
        <v>41851.645833333336</v>
      </c>
      <c r="B1077">
        <v>23.2</v>
      </c>
      <c r="C1077">
        <f>$E$1*B1077</f>
        <v>128.88078585461687</v>
      </c>
    </row>
    <row r="1078" spans="1:3" x14ac:dyDescent="0.25">
      <c r="A1078" s="402">
        <v>41852.645833333336</v>
      </c>
      <c r="B1078">
        <v>22.35</v>
      </c>
      <c r="C1078">
        <f>$E$1*B1078</f>
        <v>124.1588605108055</v>
      </c>
    </row>
    <row r="1079" spans="1:3" x14ac:dyDescent="0.25">
      <c r="A1079" s="402">
        <v>41855.645833333336</v>
      </c>
      <c r="B1079">
        <v>22.5</v>
      </c>
      <c r="C1079">
        <f>$E$1*B1079</f>
        <v>124.99214145383104</v>
      </c>
    </row>
    <row r="1080" spans="1:3" x14ac:dyDescent="0.25">
      <c r="A1080" s="402">
        <v>41856.645833333336</v>
      </c>
      <c r="B1080">
        <v>22.65</v>
      </c>
      <c r="C1080">
        <f>$E$1*B1080</f>
        <v>125.82542239685657</v>
      </c>
    </row>
    <row r="1081" spans="1:3" x14ac:dyDescent="0.25">
      <c r="A1081" s="402">
        <v>41857.645833333336</v>
      </c>
      <c r="B1081">
        <v>22.75</v>
      </c>
      <c r="C1081">
        <f>$E$1*B1081</f>
        <v>126.38094302554026</v>
      </c>
    </row>
    <row r="1082" spans="1:3" x14ac:dyDescent="0.25">
      <c r="A1082" s="402">
        <v>41858.645833333336</v>
      </c>
      <c r="B1082">
        <v>22.5</v>
      </c>
      <c r="C1082">
        <f>$E$1*B1082</f>
        <v>124.99214145383104</v>
      </c>
    </row>
    <row r="1083" spans="1:3" x14ac:dyDescent="0.25">
      <c r="A1083" s="402">
        <v>41859.645833333336</v>
      </c>
      <c r="B1083">
        <v>21.7</v>
      </c>
      <c r="C1083">
        <f>$E$1*B1083</f>
        <v>120.54797642436148</v>
      </c>
    </row>
    <row r="1084" spans="1:3" x14ac:dyDescent="0.25">
      <c r="A1084" s="402">
        <v>41862.645833333336</v>
      </c>
      <c r="B1084">
        <v>21.75</v>
      </c>
      <c r="C1084">
        <f>$E$1*B1084</f>
        <v>120.82573673870333</v>
      </c>
    </row>
    <row r="1085" spans="1:3" x14ac:dyDescent="0.25">
      <c r="A1085" s="402">
        <v>41863.645833333336</v>
      </c>
      <c r="B1085">
        <v>21.8</v>
      </c>
      <c r="C1085">
        <f>$E$1*B1085</f>
        <v>121.10349705304517</v>
      </c>
    </row>
    <row r="1086" spans="1:3" x14ac:dyDescent="0.25">
      <c r="A1086" s="402">
        <v>41864.645833333336</v>
      </c>
      <c r="B1086">
        <v>21.25</v>
      </c>
      <c r="C1086">
        <f>$E$1*B1086</f>
        <v>118.04813359528487</v>
      </c>
    </row>
    <row r="1087" spans="1:3" x14ac:dyDescent="0.25">
      <c r="A1087" s="402">
        <v>41865.645833333336</v>
      </c>
      <c r="B1087">
        <v>21.6</v>
      </c>
      <c r="C1087">
        <f>$E$1*B1087</f>
        <v>119.9924557956778</v>
      </c>
    </row>
    <row r="1088" spans="1:3" x14ac:dyDescent="0.25">
      <c r="A1088" s="402">
        <v>41869.645833333336</v>
      </c>
      <c r="B1088">
        <v>24.15</v>
      </c>
      <c r="C1088">
        <f>$E$1*B1088</f>
        <v>134.15823182711196</v>
      </c>
    </row>
    <row r="1089" spans="1:3" x14ac:dyDescent="0.25">
      <c r="A1089" s="402">
        <v>41870.645833333336</v>
      </c>
      <c r="B1089">
        <v>24.1</v>
      </c>
      <c r="C1089">
        <f>$E$1*B1089</f>
        <v>133.88047151277013</v>
      </c>
    </row>
    <row r="1090" spans="1:3" x14ac:dyDescent="0.25">
      <c r="A1090" s="402">
        <v>41871.645833333336</v>
      </c>
      <c r="B1090">
        <v>26.7</v>
      </c>
      <c r="C1090">
        <f>$E$1*B1090</f>
        <v>148.32400785854617</v>
      </c>
    </row>
    <row r="1091" spans="1:3" x14ac:dyDescent="0.25">
      <c r="A1091" s="402">
        <v>41872.645833333336</v>
      </c>
      <c r="B1091">
        <v>25.6</v>
      </c>
      <c r="C1091">
        <f>$E$1*B1091</f>
        <v>142.21328094302552</v>
      </c>
    </row>
    <row r="1092" spans="1:3" x14ac:dyDescent="0.25">
      <c r="A1092" s="402">
        <v>41873.645833333336</v>
      </c>
      <c r="B1092">
        <v>25.2</v>
      </c>
      <c r="C1092">
        <f>$E$1*B1092</f>
        <v>139.99119842829074</v>
      </c>
    </row>
    <row r="1093" spans="1:3" x14ac:dyDescent="0.25">
      <c r="A1093" s="402">
        <v>41876.645833333336</v>
      </c>
      <c r="B1093">
        <v>25.75</v>
      </c>
      <c r="C1093">
        <f>$E$1*B1093</f>
        <v>143.04656188605108</v>
      </c>
    </row>
    <row r="1094" spans="1:3" x14ac:dyDescent="0.25">
      <c r="A1094" s="402">
        <v>41877.645833333336</v>
      </c>
      <c r="B1094">
        <v>25.2</v>
      </c>
      <c r="C1094">
        <f>$E$1*B1094</f>
        <v>139.99119842829074</v>
      </c>
    </row>
    <row r="1095" spans="1:3" x14ac:dyDescent="0.25">
      <c r="A1095" s="402">
        <v>41878.645833333336</v>
      </c>
      <c r="B1095">
        <v>26.25</v>
      </c>
      <c r="C1095">
        <f>$E$1*B1095</f>
        <v>145.82416502946953</v>
      </c>
    </row>
    <row r="1096" spans="1:3" x14ac:dyDescent="0.25">
      <c r="A1096" s="402">
        <v>41879.645833333336</v>
      </c>
      <c r="B1096">
        <v>25.75</v>
      </c>
      <c r="C1096">
        <f>$E$1*B1096</f>
        <v>143.04656188605108</v>
      </c>
    </row>
    <row r="1097" spans="1:3" x14ac:dyDescent="0.25">
      <c r="A1097" s="402">
        <v>41883.645833333336</v>
      </c>
      <c r="B1097">
        <v>26.25</v>
      </c>
      <c r="C1097">
        <f>$E$1*B1097</f>
        <v>145.82416502946953</v>
      </c>
    </row>
    <row r="1098" spans="1:3" x14ac:dyDescent="0.25">
      <c r="A1098" s="402">
        <v>41884.645833333336</v>
      </c>
      <c r="B1098">
        <v>25.45</v>
      </c>
      <c r="C1098">
        <f>$E$1*B1098</f>
        <v>141.38</v>
      </c>
    </row>
    <row r="1099" spans="1:3" x14ac:dyDescent="0.25">
      <c r="A1099" s="402">
        <v>41885.645833333336</v>
      </c>
      <c r="B1099">
        <v>25.55</v>
      </c>
      <c r="C1099">
        <f>$E$1*B1099</f>
        <v>141.93552062868369</v>
      </c>
    </row>
    <row r="1100" spans="1:3" x14ac:dyDescent="0.25">
      <c r="A1100" s="402">
        <v>41886.645833333336</v>
      </c>
      <c r="B1100">
        <v>24.95</v>
      </c>
      <c r="C1100">
        <f>$E$1*B1100</f>
        <v>138.60239685658152</v>
      </c>
    </row>
    <row r="1101" spans="1:3" x14ac:dyDescent="0.25">
      <c r="A1101" s="402">
        <v>41887.645833333336</v>
      </c>
      <c r="B1101">
        <v>27.4</v>
      </c>
      <c r="C1101">
        <f>$E$1*B1101</f>
        <v>152.212652259332</v>
      </c>
    </row>
    <row r="1102" spans="1:3" x14ac:dyDescent="0.25">
      <c r="A1102" s="402">
        <v>41890.645833333336</v>
      </c>
      <c r="B1102">
        <v>26.7</v>
      </c>
      <c r="C1102">
        <f>$E$1*B1102</f>
        <v>148.32400785854617</v>
      </c>
    </row>
    <row r="1103" spans="1:3" x14ac:dyDescent="0.25">
      <c r="A1103" s="402">
        <v>41891.645833333336</v>
      </c>
      <c r="B1103">
        <v>26.25</v>
      </c>
      <c r="C1103">
        <f>$E$1*B1103</f>
        <v>145.82416502946953</v>
      </c>
    </row>
    <row r="1104" spans="1:3" x14ac:dyDescent="0.25">
      <c r="A1104" s="402">
        <v>41892.645833333336</v>
      </c>
      <c r="B1104">
        <v>26.35</v>
      </c>
      <c r="C1104">
        <f>$E$1*B1104</f>
        <v>146.37968565815325</v>
      </c>
    </row>
    <row r="1105" spans="1:3" x14ac:dyDescent="0.25">
      <c r="A1105" s="402">
        <v>41893.645833333336</v>
      </c>
      <c r="B1105">
        <v>26.65</v>
      </c>
      <c r="C1105">
        <f>$E$1*B1105</f>
        <v>148.04624754420431</v>
      </c>
    </row>
    <row r="1106" spans="1:3" x14ac:dyDescent="0.25">
      <c r="A1106" s="402">
        <v>41894.645833333336</v>
      </c>
      <c r="B1106">
        <v>26.05</v>
      </c>
      <c r="C1106">
        <f>$E$1*B1106</f>
        <v>144.71312377210216</v>
      </c>
    </row>
    <row r="1107" spans="1:3" x14ac:dyDescent="0.25">
      <c r="A1107" s="402">
        <v>41897.645833333336</v>
      </c>
      <c r="B1107">
        <v>29</v>
      </c>
      <c r="C1107">
        <f>$E$1*B1107</f>
        <v>161.10098231827112</v>
      </c>
    </row>
    <row r="1108" spans="1:3" x14ac:dyDescent="0.25">
      <c r="A1108" s="402">
        <v>41898.645833333336</v>
      </c>
      <c r="B1108">
        <v>27.05</v>
      </c>
      <c r="C1108">
        <f>$E$1*B1108</f>
        <v>150.26833005893909</v>
      </c>
    </row>
    <row r="1109" spans="1:3" x14ac:dyDescent="0.25">
      <c r="A1109" s="402">
        <v>41899.645833333336</v>
      </c>
      <c r="B1109">
        <v>26.3</v>
      </c>
      <c r="C1109">
        <f>$E$1*B1109</f>
        <v>146.10192534381139</v>
      </c>
    </row>
    <row r="1110" spans="1:3" x14ac:dyDescent="0.25">
      <c r="A1110" s="402">
        <v>41900.645833333336</v>
      </c>
      <c r="B1110">
        <v>27.1</v>
      </c>
      <c r="C1110">
        <f>$E$1*B1110</f>
        <v>150.54609037328095</v>
      </c>
    </row>
    <row r="1111" spans="1:3" x14ac:dyDescent="0.25">
      <c r="A1111" s="402">
        <v>41901.645833333336</v>
      </c>
      <c r="B1111">
        <v>26.25</v>
      </c>
      <c r="C1111">
        <f>$E$1*B1111</f>
        <v>145.82416502946953</v>
      </c>
    </row>
    <row r="1112" spans="1:3" x14ac:dyDescent="0.25">
      <c r="A1112" s="402">
        <v>41904.645833333336</v>
      </c>
      <c r="B1112">
        <v>27.8</v>
      </c>
      <c r="C1112">
        <f>$E$1*B1112</f>
        <v>154.43473477406678</v>
      </c>
    </row>
    <row r="1113" spans="1:3" x14ac:dyDescent="0.25">
      <c r="A1113" s="402">
        <v>41905.645833333336</v>
      </c>
      <c r="B1113">
        <v>26.7</v>
      </c>
      <c r="C1113">
        <f>$E$1*B1113</f>
        <v>148.32400785854617</v>
      </c>
    </row>
    <row r="1114" spans="1:3" x14ac:dyDescent="0.25">
      <c r="A1114" s="402">
        <v>41906.645833333336</v>
      </c>
      <c r="B1114">
        <v>27</v>
      </c>
      <c r="C1114">
        <f>$E$1*B1114</f>
        <v>149.99056974459722</v>
      </c>
    </row>
    <row r="1115" spans="1:3" x14ac:dyDescent="0.25">
      <c r="A1115" s="402">
        <v>41907.645833333336</v>
      </c>
      <c r="B1115">
        <v>26.5</v>
      </c>
      <c r="C1115">
        <f>$E$1*B1115</f>
        <v>147.21296660117878</v>
      </c>
    </row>
    <row r="1116" spans="1:3" x14ac:dyDescent="0.25">
      <c r="A1116" s="402">
        <v>41908.645833333336</v>
      </c>
      <c r="B1116">
        <v>26.75</v>
      </c>
      <c r="C1116">
        <f>$E$1*B1116</f>
        <v>148.601768172888</v>
      </c>
    </row>
    <row r="1117" spans="1:3" x14ac:dyDescent="0.25">
      <c r="A1117" s="402">
        <v>41911.645833333336</v>
      </c>
      <c r="B1117">
        <v>27.25</v>
      </c>
      <c r="C1117">
        <f>$E$1*B1117</f>
        <v>151.37937131630648</v>
      </c>
    </row>
    <row r="1118" spans="1:3" x14ac:dyDescent="0.25">
      <c r="A1118" s="402">
        <v>41912.645833333336</v>
      </c>
      <c r="B1118">
        <v>27</v>
      </c>
      <c r="C1118">
        <f>$E$1*B1118</f>
        <v>149.99056974459722</v>
      </c>
    </row>
    <row r="1119" spans="1:3" x14ac:dyDescent="0.25">
      <c r="A1119" s="402">
        <v>41913.645833333336</v>
      </c>
      <c r="B1119">
        <v>26.65</v>
      </c>
      <c r="C1119">
        <f>$E$1*B1119</f>
        <v>148.04624754420431</v>
      </c>
    </row>
    <row r="1120" spans="1:3" x14ac:dyDescent="0.25">
      <c r="A1120" s="402">
        <v>41919.645833333336</v>
      </c>
      <c r="B1120">
        <v>26.5</v>
      </c>
      <c r="C1120">
        <f>$E$1*B1120</f>
        <v>147.21296660117878</v>
      </c>
    </row>
    <row r="1121" spans="1:3" x14ac:dyDescent="0.25">
      <c r="A1121" s="402">
        <v>41920.645833333336</v>
      </c>
      <c r="B1121">
        <v>26.55</v>
      </c>
      <c r="C1121">
        <f>$E$1*B1121</f>
        <v>147.49072691552061</v>
      </c>
    </row>
    <row r="1122" spans="1:3" x14ac:dyDescent="0.25">
      <c r="A1122" s="402">
        <v>41921.645833333336</v>
      </c>
      <c r="B1122">
        <v>27.65</v>
      </c>
      <c r="C1122">
        <f>$E$1*B1122</f>
        <v>153.60145383104123</v>
      </c>
    </row>
    <row r="1123" spans="1:3" x14ac:dyDescent="0.25">
      <c r="A1123" s="402">
        <v>41922.645833333336</v>
      </c>
      <c r="B1123">
        <v>27</v>
      </c>
      <c r="C1123">
        <f>$E$1*B1123</f>
        <v>149.99056974459722</v>
      </c>
    </row>
    <row r="1124" spans="1:3" x14ac:dyDescent="0.25">
      <c r="A1124" s="402">
        <v>41925.645833333336</v>
      </c>
      <c r="B1124">
        <v>26.95</v>
      </c>
      <c r="C1124">
        <f>$E$1*B1124</f>
        <v>149.71280943025539</v>
      </c>
    </row>
    <row r="1125" spans="1:3" x14ac:dyDescent="0.25">
      <c r="A1125" s="402">
        <v>41926.645833333336</v>
      </c>
      <c r="B1125">
        <v>26.1</v>
      </c>
      <c r="C1125">
        <f>$E$1*B1125</f>
        <v>144.990884086444</v>
      </c>
    </row>
    <row r="1126" spans="1:3" x14ac:dyDescent="0.25">
      <c r="A1126" s="402">
        <v>41928.645833333336</v>
      </c>
      <c r="B1126">
        <v>24.65</v>
      </c>
      <c r="C1126">
        <f>$E$1*B1126</f>
        <v>136.93583497053044</v>
      </c>
    </row>
    <row r="1127" spans="1:3" x14ac:dyDescent="0.25">
      <c r="A1127" s="402">
        <v>41929.645833333336</v>
      </c>
      <c r="B1127">
        <v>24.45</v>
      </c>
      <c r="C1127">
        <f>$E$1*B1127</f>
        <v>135.82479371316305</v>
      </c>
    </row>
    <row r="1128" spans="1:3" x14ac:dyDescent="0.25">
      <c r="A1128" s="402">
        <v>41932.645833333336</v>
      </c>
      <c r="B1128">
        <v>24.5</v>
      </c>
      <c r="C1128">
        <f>$E$1*B1128</f>
        <v>136.10255402750491</v>
      </c>
    </row>
    <row r="1129" spans="1:3" x14ac:dyDescent="0.25">
      <c r="A1129" s="402">
        <v>41933.645833333336</v>
      </c>
      <c r="B1129">
        <v>24.5</v>
      </c>
      <c r="C1129">
        <f>$E$1*B1129</f>
        <v>136.10255402750491</v>
      </c>
    </row>
    <row r="1130" spans="1:3" x14ac:dyDescent="0.25">
      <c r="A1130" s="402">
        <v>41934.645833333336</v>
      </c>
      <c r="B1130">
        <v>24.65</v>
      </c>
      <c r="C1130">
        <f>$E$1*B1130</f>
        <v>136.93583497053044</v>
      </c>
    </row>
    <row r="1131" spans="1:3" x14ac:dyDescent="0.25">
      <c r="A1131" s="402">
        <v>41935.645833333336</v>
      </c>
      <c r="B1131">
        <v>25.2</v>
      </c>
      <c r="C1131">
        <f>$E$1*B1131</f>
        <v>139.99119842829074</v>
      </c>
    </row>
    <row r="1132" spans="1:3" x14ac:dyDescent="0.25">
      <c r="A1132" s="402">
        <v>41939.645833333336</v>
      </c>
      <c r="B1132">
        <v>25.3</v>
      </c>
      <c r="C1132">
        <f>$E$1*B1132</f>
        <v>140.54671905697444</v>
      </c>
    </row>
    <row r="1133" spans="1:3" x14ac:dyDescent="0.25">
      <c r="A1133" s="402">
        <v>41940.645833333336</v>
      </c>
      <c r="B1133">
        <v>25.4</v>
      </c>
      <c r="C1133">
        <f>$E$1*B1133</f>
        <v>141.10223968565813</v>
      </c>
    </row>
    <row r="1134" spans="1:3" x14ac:dyDescent="0.25">
      <c r="A1134" s="402">
        <v>41941.645833333336</v>
      </c>
      <c r="B1134">
        <v>26.35</v>
      </c>
      <c r="C1134">
        <f>$E$1*B1134</f>
        <v>146.37968565815325</v>
      </c>
    </row>
    <row r="1135" spans="1:3" x14ac:dyDescent="0.25">
      <c r="A1135" s="402">
        <v>41942.645833333336</v>
      </c>
      <c r="B1135">
        <v>25.8</v>
      </c>
      <c r="C1135">
        <f>$E$1*B1135</f>
        <v>143.32432220039291</v>
      </c>
    </row>
    <row r="1136" spans="1:3" x14ac:dyDescent="0.25">
      <c r="A1136" s="402">
        <v>41943.645833333336</v>
      </c>
      <c r="B1136">
        <v>26.25</v>
      </c>
      <c r="C1136">
        <f>$E$1*B1136</f>
        <v>145.82416502946953</v>
      </c>
    </row>
    <row r="1137" spans="1:3" x14ac:dyDescent="0.25">
      <c r="A1137" s="402">
        <v>41946.645833333336</v>
      </c>
      <c r="B1137">
        <v>27.85</v>
      </c>
      <c r="C1137">
        <f>$E$1*B1137</f>
        <v>154.71249508840864</v>
      </c>
    </row>
    <row r="1138" spans="1:3" x14ac:dyDescent="0.25">
      <c r="A1138" s="402">
        <v>41948.645833333336</v>
      </c>
      <c r="B1138">
        <v>28</v>
      </c>
      <c r="C1138">
        <f>$E$1*B1138</f>
        <v>155.54577603143417</v>
      </c>
    </row>
    <row r="1139" spans="1:3" x14ac:dyDescent="0.25">
      <c r="A1139" s="402">
        <v>41950.645833333336</v>
      </c>
      <c r="B1139">
        <v>27.2</v>
      </c>
      <c r="C1139">
        <f>$E$1*B1139</f>
        <v>151.10161100196461</v>
      </c>
    </row>
    <row r="1140" spans="1:3" x14ac:dyDescent="0.25">
      <c r="A1140" s="402">
        <v>41953.645833333336</v>
      </c>
      <c r="B1140">
        <v>26.35</v>
      </c>
      <c r="C1140">
        <f>$E$1*B1140</f>
        <v>146.37968565815325</v>
      </c>
    </row>
    <row r="1141" spans="1:3" x14ac:dyDescent="0.25">
      <c r="A1141" s="402">
        <v>41954.645833333336</v>
      </c>
      <c r="B1141">
        <v>26.65</v>
      </c>
      <c r="C1141">
        <f>$E$1*B1141</f>
        <v>148.04624754420431</v>
      </c>
    </row>
    <row r="1142" spans="1:3" x14ac:dyDescent="0.25">
      <c r="A1142" s="402">
        <v>41955.645833333336</v>
      </c>
      <c r="B1142">
        <v>28.85</v>
      </c>
      <c r="C1142">
        <f>$E$1*B1142</f>
        <v>160.26770137524557</v>
      </c>
    </row>
    <row r="1143" spans="1:3" x14ac:dyDescent="0.25">
      <c r="A1143" s="402">
        <v>41956.645833333336</v>
      </c>
      <c r="B1143">
        <v>28.7</v>
      </c>
      <c r="C1143">
        <f>$E$1*B1143</f>
        <v>159.43442043222004</v>
      </c>
    </row>
    <row r="1144" spans="1:3" x14ac:dyDescent="0.25">
      <c r="A1144" s="402">
        <v>41957.645833333336</v>
      </c>
      <c r="B1144">
        <v>28.6</v>
      </c>
      <c r="C1144">
        <f>$E$1*B1144</f>
        <v>158.87889980353634</v>
      </c>
    </row>
    <row r="1145" spans="1:3" x14ac:dyDescent="0.25">
      <c r="A1145" s="402">
        <v>41960.645833333336</v>
      </c>
      <c r="B1145">
        <v>30</v>
      </c>
      <c r="C1145">
        <f>$E$1*B1145</f>
        <v>166.65618860510804</v>
      </c>
    </row>
    <row r="1146" spans="1:3" x14ac:dyDescent="0.25">
      <c r="A1146" s="402">
        <v>41961.645833333336</v>
      </c>
      <c r="B1146">
        <v>30</v>
      </c>
      <c r="C1146">
        <f>$E$1*B1146</f>
        <v>166.65618860510804</v>
      </c>
    </row>
    <row r="1147" spans="1:3" x14ac:dyDescent="0.25">
      <c r="A1147" s="402">
        <v>41962.645833333336</v>
      </c>
      <c r="B1147">
        <v>29.6</v>
      </c>
      <c r="C1147">
        <f>$E$1*B1147</f>
        <v>164.43410609037326</v>
      </c>
    </row>
    <row r="1148" spans="1:3" x14ac:dyDescent="0.25">
      <c r="A1148" s="402">
        <v>41963.645833333336</v>
      </c>
      <c r="B1148">
        <v>29.1</v>
      </c>
      <c r="C1148">
        <f>$E$1*B1148</f>
        <v>161.65650294695482</v>
      </c>
    </row>
    <row r="1149" spans="1:3" x14ac:dyDescent="0.25">
      <c r="A1149" s="402">
        <v>41964.645833333336</v>
      </c>
      <c r="B1149">
        <v>29.2</v>
      </c>
      <c r="C1149">
        <f>$E$1*B1149</f>
        <v>162.21202357563848</v>
      </c>
    </row>
    <row r="1150" spans="1:3" x14ac:dyDescent="0.25">
      <c r="A1150" s="402">
        <v>41967.645833333336</v>
      </c>
      <c r="B1150">
        <v>29</v>
      </c>
      <c r="C1150">
        <f>$E$1*B1150</f>
        <v>161.10098231827112</v>
      </c>
    </row>
    <row r="1151" spans="1:3" x14ac:dyDescent="0.25">
      <c r="A1151" s="402">
        <v>41968.645833333336</v>
      </c>
      <c r="B1151">
        <v>27.5</v>
      </c>
      <c r="C1151">
        <f>$E$1*B1151</f>
        <v>152.7681728880157</v>
      </c>
    </row>
    <row r="1152" spans="1:3" x14ac:dyDescent="0.25">
      <c r="A1152" s="402">
        <v>41969.645833333336</v>
      </c>
      <c r="B1152">
        <v>28</v>
      </c>
      <c r="C1152">
        <f>$E$1*B1152</f>
        <v>155.54577603143417</v>
      </c>
    </row>
    <row r="1153" spans="1:3" x14ac:dyDescent="0.25">
      <c r="A1153" s="402">
        <v>41970.645833333336</v>
      </c>
      <c r="B1153">
        <v>28</v>
      </c>
      <c r="C1153">
        <f>$E$1*B1153</f>
        <v>155.54577603143417</v>
      </c>
    </row>
    <row r="1154" spans="1:3" x14ac:dyDescent="0.25">
      <c r="A1154" s="402">
        <v>41971.645833333336</v>
      </c>
      <c r="B1154">
        <v>29.4</v>
      </c>
      <c r="C1154">
        <f>$E$1*B1154</f>
        <v>163.32306483300587</v>
      </c>
    </row>
    <row r="1155" spans="1:3" x14ac:dyDescent="0.25">
      <c r="A1155" s="402">
        <v>41974.645833333336</v>
      </c>
      <c r="B1155">
        <v>31</v>
      </c>
      <c r="C1155">
        <f>$E$1*B1155</f>
        <v>172.21139489194496</v>
      </c>
    </row>
    <row r="1156" spans="1:3" x14ac:dyDescent="0.25">
      <c r="A1156" s="402">
        <v>41975.645833333336</v>
      </c>
      <c r="B1156">
        <v>31</v>
      </c>
      <c r="C1156">
        <f>$E$1*B1156</f>
        <v>172.21139489194496</v>
      </c>
    </row>
    <row r="1157" spans="1:3" x14ac:dyDescent="0.25">
      <c r="A1157" s="402">
        <v>41976.645833333336</v>
      </c>
      <c r="B1157">
        <v>31.7</v>
      </c>
      <c r="C1157">
        <f>$E$1*B1157</f>
        <v>176.10003929273083</v>
      </c>
    </row>
    <row r="1158" spans="1:3" x14ac:dyDescent="0.25">
      <c r="A1158" s="402">
        <v>41977.645833333336</v>
      </c>
      <c r="B1158">
        <v>31.3</v>
      </c>
      <c r="C1158">
        <f>$E$1*B1158</f>
        <v>173.87795677799605</v>
      </c>
    </row>
    <row r="1159" spans="1:3" x14ac:dyDescent="0.25">
      <c r="A1159" s="402">
        <v>41978.645833333336</v>
      </c>
      <c r="B1159">
        <v>30.25</v>
      </c>
      <c r="C1159">
        <f>$E$1*B1159</f>
        <v>168.04499017681727</v>
      </c>
    </row>
    <row r="1160" spans="1:3" x14ac:dyDescent="0.25">
      <c r="A1160" s="402">
        <v>41981.645833333336</v>
      </c>
      <c r="B1160">
        <v>29.65</v>
      </c>
      <c r="C1160">
        <f>$E$1*B1160</f>
        <v>164.7118664047151</v>
      </c>
    </row>
    <row r="1161" spans="1:3" x14ac:dyDescent="0.25">
      <c r="A1161" s="402">
        <v>41982.645833333336</v>
      </c>
      <c r="B1161">
        <v>28.95</v>
      </c>
      <c r="C1161">
        <f>$E$1*B1161</f>
        <v>160.82322200392926</v>
      </c>
    </row>
    <row r="1162" spans="1:3" x14ac:dyDescent="0.25">
      <c r="A1162" s="402">
        <v>41983.645833333336</v>
      </c>
      <c r="B1162">
        <v>28.9</v>
      </c>
      <c r="C1162">
        <f>$E$1*B1162</f>
        <v>160.5454616895874</v>
      </c>
    </row>
    <row r="1163" spans="1:3" x14ac:dyDescent="0.25">
      <c r="A1163" s="402">
        <v>41984.645833333336</v>
      </c>
      <c r="B1163">
        <v>29.25</v>
      </c>
      <c r="C1163">
        <f>$E$1*B1163</f>
        <v>162.48978388998034</v>
      </c>
    </row>
    <row r="1164" spans="1:3" x14ac:dyDescent="0.25">
      <c r="A1164" s="402">
        <v>41985.645833333336</v>
      </c>
      <c r="B1164">
        <v>28.65</v>
      </c>
      <c r="C1164">
        <f>$E$1*B1164</f>
        <v>159.15666011787818</v>
      </c>
    </row>
    <row r="1165" spans="1:3" x14ac:dyDescent="0.25">
      <c r="A1165" s="402">
        <v>41988.645833333336</v>
      </c>
      <c r="B1165">
        <v>28</v>
      </c>
      <c r="C1165">
        <f>$E$1*B1165</f>
        <v>155.54577603143417</v>
      </c>
    </row>
    <row r="1166" spans="1:3" x14ac:dyDescent="0.25">
      <c r="A1166" s="402">
        <v>41989.645833333336</v>
      </c>
      <c r="B1166">
        <v>26.9</v>
      </c>
      <c r="C1166">
        <f>$E$1*B1166</f>
        <v>149.43504911591353</v>
      </c>
    </row>
    <row r="1167" spans="1:3" x14ac:dyDescent="0.25">
      <c r="A1167" s="402">
        <v>41990.645833333336</v>
      </c>
      <c r="B1167">
        <v>26.85</v>
      </c>
      <c r="C1167">
        <f>$E$1*B1167</f>
        <v>149.1572888015717</v>
      </c>
    </row>
    <row r="1168" spans="1:3" x14ac:dyDescent="0.25">
      <c r="A1168" s="402">
        <v>41991.645833333336</v>
      </c>
      <c r="B1168">
        <v>27.1</v>
      </c>
      <c r="C1168">
        <f>$E$1*B1168</f>
        <v>150.54609037328095</v>
      </c>
    </row>
    <row r="1169" spans="1:3" x14ac:dyDescent="0.25">
      <c r="A1169" s="402">
        <v>41992.645833333336</v>
      </c>
      <c r="B1169">
        <v>27.2</v>
      </c>
      <c r="C1169">
        <f>$E$1*B1169</f>
        <v>151.10161100196461</v>
      </c>
    </row>
    <row r="1170" spans="1:3" x14ac:dyDescent="0.25">
      <c r="A1170" s="402">
        <v>41995.645833333336</v>
      </c>
      <c r="B1170">
        <v>28.25</v>
      </c>
      <c r="C1170">
        <f>$E$1*B1170</f>
        <v>156.9345776031434</v>
      </c>
    </row>
    <row r="1171" spans="1:3" x14ac:dyDescent="0.25">
      <c r="A1171" s="402">
        <v>41996.645833333336</v>
      </c>
      <c r="B1171">
        <v>28</v>
      </c>
      <c r="C1171">
        <f>$E$1*B1171</f>
        <v>155.54577603143417</v>
      </c>
    </row>
    <row r="1172" spans="1:3" x14ac:dyDescent="0.25">
      <c r="A1172" s="402">
        <v>41997.645833333336</v>
      </c>
      <c r="B1172">
        <v>27.5</v>
      </c>
      <c r="C1172">
        <f>$E$1*B1172</f>
        <v>152.7681728880157</v>
      </c>
    </row>
    <row r="1173" spans="1:3" x14ac:dyDescent="0.25">
      <c r="A1173" s="402">
        <v>41999.645833333336</v>
      </c>
      <c r="B1173">
        <v>27.65</v>
      </c>
      <c r="C1173">
        <f>$E$1*B1173</f>
        <v>153.60145383104123</v>
      </c>
    </row>
    <row r="1174" spans="1:3" x14ac:dyDescent="0.25">
      <c r="A1174" s="402">
        <v>42002.645833333336</v>
      </c>
      <c r="B1174">
        <v>28</v>
      </c>
      <c r="C1174">
        <f>$E$1*B1174</f>
        <v>155.54577603143417</v>
      </c>
    </row>
    <row r="1175" spans="1:3" x14ac:dyDescent="0.25">
      <c r="A1175" s="402">
        <v>42003.645833333336</v>
      </c>
      <c r="B1175">
        <v>27.65</v>
      </c>
      <c r="C1175">
        <f>$E$1*B1175</f>
        <v>153.60145383104123</v>
      </c>
    </row>
    <row r="1176" spans="1:3" x14ac:dyDescent="0.25">
      <c r="A1176" s="402">
        <v>42004.645833333336</v>
      </c>
      <c r="B1176">
        <v>27.9</v>
      </c>
      <c r="C1176">
        <f>$E$1*B1176</f>
        <v>154.99025540275048</v>
      </c>
    </row>
    <row r="1177" spans="1:3" x14ac:dyDescent="0.25">
      <c r="A1177" s="402">
        <v>42005.645833333336</v>
      </c>
      <c r="B1177">
        <v>27.85</v>
      </c>
      <c r="C1177">
        <f>$E$1*B1177</f>
        <v>154.71249508840864</v>
      </c>
    </row>
    <row r="1178" spans="1:3" x14ac:dyDescent="0.25">
      <c r="A1178" s="402">
        <v>42006.645833333336</v>
      </c>
      <c r="B1178">
        <v>28.75</v>
      </c>
      <c r="C1178">
        <f>$E$1*B1178</f>
        <v>159.71218074656187</v>
      </c>
    </row>
    <row r="1179" spans="1:3" x14ac:dyDescent="0.25">
      <c r="A1179" s="402">
        <v>42009.645833333336</v>
      </c>
      <c r="B1179">
        <v>28.3</v>
      </c>
      <c r="C1179">
        <f>$E$1*B1179</f>
        <v>157.21233791748526</v>
      </c>
    </row>
    <row r="1180" spans="1:3" x14ac:dyDescent="0.25">
      <c r="A1180" s="402">
        <v>42010.645833333336</v>
      </c>
      <c r="B1180">
        <v>27.9</v>
      </c>
      <c r="C1180">
        <f>$E$1*B1180</f>
        <v>154.99025540275048</v>
      </c>
    </row>
    <row r="1181" spans="1:3" x14ac:dyDescent="0.25">
      <c r="A1181" s="402">
        <v>42011.645833333336</v>
      </c>
      <c r="B1181">
        <v>28.65</v>
      </c>
      <c r="C1181">
        <f>$E$1*B1181</f>
        <v>159.15666011787818</v>
      </c>
    </row>
    <row r="1182" spans="1:3" x14ac:dyDescent="0.25">
      <c r="A1182" s="402">
        <v>42012.645833333336</v>
      </c>
      <c r="B1182">
        <v>29.3</v>
      </c>
      <c r="C1182">
        <f>$E$1*B1182</f>
        <v>162.76754420432218</v>
      </c>
    </row>
    <row r="1183" spans="1:3" x14ac:dyDescent="0.25">
      <c r="A1183" s="402">
        <v>42013.645833333336</v>
      </c>
      <c r="B1183">
        <v>29.75</v>
      </c>
      <c r="C1183">
        <f>$E$1*B1183</f>
        <v>165.26738703339882</v>
      </c>
    </row>
    <row r="1184" spans="1:3" x14ac:dyDescent="0.25">
      <c r="A1184" s="402">
        <v>42016.645833333336</v>
      </c>
      <c r="B1184">
        <v>30.6</v>
      </c>
      <c r="C1184">
        <f>$E$1*B1184</f>
        <v>169.98931237721021</v>
      </c>
    </row>
    <row r="1185" spans="1:3" x14ac:dyDescent="0.25">
      <c r="A1185" s="402">
        <v>42017.645833333336</v>
      </c>
      <c r="B1185">
        <v>30.05</v>
      </c>
      <c r="C1185">
        <f>$E$1*B1185</f>
        <v>166.9339489194499</v>
      </c>
    </row>
    <row r="1186" spans="1:3" x14ac:dyDescent="0.25">
      <c r="A1186" s="402">
        <v>42018.645833333336</v>
      </c>
      <c r="B1186">
        <v>29.6</v>
      </c>
      <c r="C1186">
        <f>$E$1*B1186</f>
        <v>164.43410609037326</v>
      </c>
    </row>
    <row r="1187" spans="1:3" x14ac:dyDescent="0.25">
      <c r="A1187" s="402">
        <v>42019.645833333336</v>
      </c>
      <c r="B1187">
        <v>29.55</v>
      </c>
      <c r="C1187">
        <f>$E$1*B1187</f>
        <v>164.15634577603143</v>
      </c>
    </row>
    <row r="1188" spans="1:3" x14ac:dyDescent="0.25">
      <c r="A1188" s="402">
        <v>42020.645833333336</v>
      </c>
      <c r="B1188">
        <v>29</v>
      </c>
      <c r="C1188">
        <f>$E$1*B1188</f>
        <v>161.10098231827112</v>
      </c>
    </row>
    <row r="1189" spans="1:3" x14ac:dyDescent="0.25">
      <c r="A1189" s="402">
        <v>42023.645833333336</v>
      </c>
      <c r="B1189">
        <v>28.75</v>
      </c>
      <c r="C1189">
        <f>$E$1*B1189</f>
        <v>159.71218074656187</v>
      </c>
    </row>
    <row r="1190" spans="1:3" x14ac:dyDescent="0.25">
      <c r="A1190" s="402">
        <v>42024.645833333336</v>
      </c>
      <c r="B1190">
        <v>28.8</v>
      </c>
      <c r="C1190">
        <f>$E$1*B1190</f>
        <v>159.98994106090373</v>
      </c>
    </row>
    <row r="1191" spans="1:3" x14ac:dyDescent="0.25">
      <c r="A1191" s="402">
        <v>42025.645833333336</v>
      </c>
      <c r="B1191">
        <v>28.95</v>
      </c>
      <c r="C1191">
        <f>$E$1*B1191</f>
        <v>160.82322200392926</v>
      </c>
    </row>
    <row r="1192" spans="1:3" x14ac:dyDescent="0.25">
      <c r="A1192" s="402">
        <v>42026.645833333336</v>
      </c>
      <c r="B1192">
        <v>28.8</v>
      </c>
      <c r="C1192">
        <f>$E$1*B1192</f>
        <v>159.98994106090373</v>
      </c>
    </row>
    <row r="1193" spans="1:3" x14ac:dyDescent="0.25">
      <c r="A1193" s="402">
        <v>42027.645833333336</v>
      </c>
      <c r="B1193">
        <v>29.1</v>
      </c>
      <c r="C1193">
        <f>$E$1*B1193</f>
        <v>161.65650294695482</v>
      </c>
    </row>
    <row r="1194" spans="1:3" x14ac:dyDescent="0.25">
      <c r="A1194" s="402">
        <v>42031.645833333336</v>
      </c>
      <c r="B1194">
        <v>29.35</v>
      </c>
      <c r="C1194">
        <f>$E$1*B1194</f>
        <v>163.04530451866404</v>
      </c>
    </row>
    <row r="1195" spans="1:3" x14ac:dyDescent="0.25">
      <c r="A1195" s="402">
        <v>42032.645833333336</v>
      </c>
      <c r="B1195">
        <v>28.55</v>
      </c>
      <c r="C1195">
        <f>$E$1*B1195</f>
        <v>158.60113948919448</v>
      </c>
    </row>
    <row r="1196" spans="1:3" x14ac:dyDescent="0.25">
      <c r="A1196" s="402">
        <v>42033.645833333336</v>
      </c>
      <c r="B1196">
        <v>29</v>
      </c>
      <c r="C1196">
        <f>$E$1*B1196</f>
        <v>161.10098231827112</v>
      </c>
    </row>
    <row r="1197" spans="1:3" x14ac:dyDescent="0.25">
      <c r="A1197" s="402">
        <v>42034.645833333336</v>
      </c>
      <c r="B1197">
        <v>28.95</v>
      </c>
      <c r="C1197">
        <f>$E$1*B1197</f>
        <v>160.82322200392926</v>
      </c>
    </row>
    <row r="1198" spans="1:3" x14ac:dyDescent="0.25">
      <c r="A1198" s="402">
        <v>42037.645833333336</v>
      </c>
      <c r="B1198">
        <v>28.75</v>
      </c>
      <c r="C1198">
        <f>$E$1*B1198</f>
        <v>159.71218074656187</v>
      </c>
    </row>
    <row r="1199" spans="1:3" x14ac:dyDescent="0.25">
      <c r="A1199" s="402">
        <v>42038.645833333336</v>
      </c>
      <c r="B1199">
        <v>28.55</v>
      </c>
      <c r="C1199">
        <f>$E$1*B1199</f>
        <v>158.60113948919448</v>
      </c>
    </row>
    <row r="1200" spans="1:3" x14ac:dyDescent="0.25">
      <c r="A1200" s="402">
        <v>42039.645833333336</v>
      </c>
      <c r="B1200">
        <v>29.75</v>
      </c>
      <c r="C1200">
        <f>$E$1*B1200</f>
        <v>165.26738703339882</v>
      </c>
    </row>
    <row r="1201" spans="1:3" x14ac:dyDescent="0.25">
      <c r="A1201" s="402">
        <v>42040.645833333336</v>
      </c>
      <c r="B1201">
        <v>30</v>
      </c>
      <c r="C1201">
        <f>$E$1*B1201</f>
        <v>166.65618860510804</v>
      </c>
    </row>
    <row r="1202" spans="1:3" x14ac:dyDescent="0.25">
      <c r="A1202" s="402">
        <v>42041.645833333336</v>
      </c>
      <c r="B1202">
        <v>29.5</v>
      </c>
      <c r="C1202">
        <f>$E$1*B1202</f>
        <v>163.87858546168957</v>
      </c>
    </row>
    <row r="1203" spans="1:3" x14ac:dyDescent="0.25">
      <c r="A1203" s="402">
        <v>42044.645833333336</v>
      </c>
      <c r="B1203">
        <v>30.7</v>
      </c>
      <c r="C1203">
        <f>$E$1*B1203</f>
        <v>170.54483300589391</v>
      </c>
    </row>
    <row r="1204" spans="1:3" x14ac:dyDescent="0.25">
      <c r="A1204" s="402">
        <v>42045.645833333336</v>
      </c>
      <c r="B1204">
        <v>30.05</v>
      </c>
      <c r="C1204">
        <f>$E$1*B1204</f>
        <v>166.9339489194499</v>
      </c>
    </row>
    <row r="1205" spans="1:3" x14ac:dyDescent="0.25">
      <c r="A1205" s="402">
        <v>42046.645833333336</v>
      </c>
      <c r="B1205">
        <v>29.75</v>
      </c>
      <c r="C1205">
        <f>$E$1*B1205</f>
        <v>165.26738703339882</v>
      </c>
    </row>
    <row r="1206" spans="1:3" x14ac:dyDescent="0.25">
      <c r="A1206" s="402">
        <v>42047.645833333336</v>
      </c>
      <c r="B1206">
        <v>30.05</v>
      </c>
      <c r="C1206">
        <f>$E$1*B1206</f>
        <v>166.9339489194499</v>
      </c>
    </row>
    <row r="1207" spans="1:3" x14ac:dyDescent="0.25">
      <c r="A1207" s="402">
        <v>42048.645833333336</v>
      </c>
      <c r="B1207">
        <v>30.5</v>
      </c>
      <c r="C1207">
        <f>$E$1*B1207</f>
        <v>169.43379174852652</v>
      </c>
    </row>
    <row r="1208" spans="1:3" x14ac:dyDescent="0.25">
      <c r="A1208" s="402">
        <v>42051.645833333336</v>
      </c>
      <c r="B1208">
        <v>31.15</v>
      </c>
      <c r="C1208">
        <f>$E$1*B1208</f>
        <v>173.04467583497052</v>
      </c>
    </row>
    <row r="1209" spans="1:3" x14ac:dyDescent="0.25">
      <c r="A1209" s="402">
        <v>42053.645833333336</v>
      </c>
      <c r="B1209">
        <v>30.9</v>
      </c>
      <c r="C1209">
        <f>$E$1*B1209</f>
        <v>171.65587426326127</v>
      </c>
    </row>
    <row r="1210" spans="1:3" x14ac:dyDescent="0.25">
      <c r="A1210" s="402">
        <v>42054.645833333336</v>
      </c>
      <c r="B1210">
        <v>30.7</v>
      </c>
      <c r="C1210">
        <f>$E$1*B1210</f>
        <v>170.54483300589391</v>
      </c>
    </row>
    <row r="1211" spans="1:3" x14ac:dyDescent="0.25">
      <c r="A1211" s="402">
        <v>42055.645833333336</v>
      </c>
      <c r="B1211">
        <v>30.25</v>
      </c>
      <c r="C1211">
        <f>$E$1*B1211</f>
        <v>168.04499017681727</v>
      </c>
    </row>
    <row r="1212" spans="1:3" x14ac:dyDescent="0.25">
      <c r="A1212" s="402">
        <v>42058.645833333336</v>
      </c>
      <c r="B1212">
        <v>30.2</v>
      </c>
      <c r="C1212">
        <f>$E$1*B1212</f>
        <v>167.76722986247543</v>
      </c>
    </row>
    <row r="1213" spans="1:3" x14ac:dyDescent="0.25">
      <c r="A1213" s="402">
        <v>42059.645833333336</v>
      </c>
      <c r="B1213">
        <v>29.4</v>
      </c>
      <c r="C1213">
        <f>$E$1*B1213</f>
        <v>163.32306483300587</v>
      </c>
    </row>
    <row r="1214" spans="1:3" x14ac:dyDescent="0.25">
      <c r="A1214" s="402">
        <v>42060.645833333336</v>
      </c>
      <c r="B1214">
        <v>29.45</v>
      </c>
      <c r="C1214">
        <f>$E$1*B1214</f>
        <v>163.60082514734773</v>
      </c>
    </row>
    <row r="1215" spans="1:3" x14ac:dyDescent="0.25">
      <c r="A1215" s="402">
        <v>42061.645833333336</v>
      </c>
      <c r="B1215">
        <v>29.4</v>
      </c>
      <c r="C1215">
        <f>$E$1*B1215</f>
        <v>163.32306483300587</v>
      </c>
    </row>
    <row r="1216" spans="1:3" x14ac:dyDescent="0.25">
      <c r="A1216" s="402">
        <v>42062.645833333336</v>
      </c>
      <c r="B1216">
        <v>30.8</v>
      </c>
      <c r="C1216">
        <f>$E$1*B1216</f>
        <v>171.1003536345776</v>
      </c>
    </row>
    <row r="1217" spans="1:3" x14ac:dyDescent="0.25">
      <c r="A1217" s="402">
        <v>42065.645833333336</v>
      </c>
      <c r="B1217">
        <v>30.35</v>
      </c>
      <c r="C1217">
        <f>$E$1*B1217</f>
        <v>168.60051080550099</v>
      </c>
    </row>
    <row r="1218" spans="1:3" x14ac:dyDescent="0.25">
      <c r="A1218" s="402">
        <v>42066.645833333336</v>
      </c>
      <c r="B1218">
        <v>29.9</v>
      </c>
      <c r="C1218">
        <f>$E$1*B1218</f>
        <v>166.10066797642435</v>
      </c>
    </row>
    <row r="1219" spans="1:3" x14ac:dyDescent="0.25">
      <c r="A1219" s="402">
        <v>42067.645833333336</v>
      </c>
      <c r="B1219">
        <v>29.1</v>
      </c>
      <c r="C1219">
        <f>$E$1*B1219</f>
        <v>161.65650294695482</v>
      </c>
    </row>
    <row r="1220" spans="1:3" x14ac:dyDescent="0.25">
      <c r="A1220" s="402">
        <v>42068.645833333336</v>
      </c>
      <c r="B1220">
        <v>29.6</v>
      </c>
      <c r="C1220">
        <f>$E$1*B1220</f>
        <v>164.43410609037326</v>
      </c>
    </row>
    <row r="1221" spans="1:3" x14ac:dyDescent="0.25">
      <c r="A1221" s="402">
        <v>42072.645833333336</v>
      </c>
      <c r="B1221">
        <v>29.15</v>
      </c>
      <c r="C1221">
        <f>$E$1*B1221</f>
        <v>161.93426326129665</v>
      </c>
    </row>
    <row r="1222" spans="1:3" x14ac:dyDescent="0.25">
      <c r="A1222" s="402">
        <v>42073.645833333336</v>
      </c>
      <c r="B1222">
        <v>29.35</v>
      </c>
      <c r="C1222">
        <f>$E$1*B1222</f>
        <v>163.04530451866404</v>
      </c>
    </row>
    <row r="1223" spans="1:3" x14ac:dyDescent="0.25">
      <c r="A1223" s="402">
        <v>42074.645833333336</v>
      </c>
      <c r="B1223">
        <v>29.2</v>
      </c>
      <c r="C1223">
        <f>$E$1*B1223</f>
        <v>162.21202357563848</v>
      </c>
    </row>
    <row r="1224" spans="1:3" x14ac:dyDescent="0.25">
      <c r="A1224" s="402">
        <v>42075.645833333336</v>
      </c>
      <c r="B1224">
        <v>30.2</v>
      </c>
      <c r="C1224">
        <f>$E$1*B1224</f>
        <v>167.76722986247543</v>
      </c>
    </row>
    <row r="1225" spans="1:3" x14ac:dyDescent="0.25">
      <c r="A1225" s="402">
        <v>42076.645833333336</v>
      </c>
      <c r="B1225">
        <v>29.75</v>
      </c>
      <c r="C1225">
        <f>$E$1*B1225</f>
        <v>165.26738703339882</v>
      </c>
    </row>
    <row r="1226" spans="1:3" x14ac:dyDescent="0.25">
      <c r="A1226" s="402">
        <v>42079.645833333336</v>
      </c>
      <c r="B1226">
        <v>29.3</v>
      </c>
      <c r="C1226">
        <f>$E$1*B1226</f>
        <v>162.76754420432218</v>
      </c>
    </row>
    <row r="1227" spans="1:3" x14ac:dyDescent="0.25">
      <c r="A1227" s="402">
        <v>42080.645833333336</v>
      </c>
      <c r="B1227">
        <v>29.5</v>
      </c>
      <c r="C1227">
        <f>$E$1*B1227</f>
        <v>163.87858546168957</v>
      </c>
    </row>
    <row r="1228" spans="1:3" x14ac:dyDescent="0.25">
      <c r="A1228" s="402">
        <v>42081.645833333336</v>
      </c>
      <c r="B1228">
        <v>29.55</v>
      </c>
      <c r="C1228">
        <f>$E$1*B1228</f>
        <v>164.15634577603143</v>
      </c>
    </row>
    <row r="1229" spans="1:3" x14ac:dyDescent="0.25">
      <c r="A1229" s="402">
        <v>42082.645833333336</v>
      </c>
      <c r="B1229">
        <v>29.1</v>
      </c>
      <c r="C1229">
        <f>$E$1*B1229</f>
        <v>161.65650294695482</v>
      </c>
    </row>
    <row r="1230" spans="1:3" x14ac:dyDescent="0.25">
      <c r="A1230" s="402">
        <v>42083.645833333336</v>
      </c>
      <c r="B1230">
        <v>28.9</v>
      </c>
      <c r="C1230">
        <f>$E$1*B1230</f>
        <v>160.5454616895874</v>
      </c>
    </row>
    <row r="1231" spans="1:3" x14ac:dyDescent="0.25">
      <c r="A1231" s="402">
        <v>42086.645833333336</v>
      </c>
      <c r="B1231">
        <v>28.95</v>
      </c>
      <c r="C1231">
        <f>$E$1*B1231</f>
        <v>160.82322200392926</v>
      </c>
    </row>
    <row r="1232" spans="1:3" x14ac:dyDescent="0.25">
      <c r="A1232" s="402">
        <v>42087.645833333336</v>
      </c>
      <c r="B1232">
        <v>29</v>
      </c>
      <c r="C1232">
        <f>$E$1*B1232</f>
        <v>161.10098231827112</v>
      </c>
    </row>
    <row r="1233" spans="1:3" x14ac:dyDescent="0.25">
      <c r="A1233" s="402">
        <v>42088.645833333336</v>
      </c>
      <c r="B1233">
        <v>28.8</v>
      </c>
      <c r="C1233">
        <f>$E$1*B1233</f>
        <v>159.98994106090373</v>
      </c>
    </row>
    <row r="1234" spans="1:3" x14ac:dyDescent="0.25">
      <c r="A1234" s="402">
        <v>42089.645833333336</v>
      </c>
      <c r="B1234">
        <v>28.55</v>
      </c>
      <c r="C1234">
        <f>$E$1*B1234</f>
        <v>158.60113948919448</v>
      </c>
    </row>
    <row r="1235" spans="1:3" x14ac:dyDescent="0.25">
      <c r="A1235" s="402">
        <v>42090.645833333336</v>
      </c>
      <c r="B1235">
        <v>27.8</v>
      </c>
      <c r="C1235">
        <f>$E$1*B1235</f>
        <v>154.43473477406678</v>
      </c>
    </row>
    <row r="1236" spans="1:3" x14ac:dyDescent="0.25">
      <c r="A1236" s="402">
        <v>42093.645833333336</v>
      </c>
      <c r="B1236">
        <v>29.8</v>
      </c>
      <c r="C1236">
        <f>$E$1*B1236</f>
        <v>165.54514734774065</v>
      </c>
    </row>
    <row r="1237" spans="1:3" x14ac:dyDescent="0.25">
      <c r="A1237" s="402">
        <v>42094.645833333336</v>
      </c>
      <c r="B1237">
        <v>30.1</v>
      </c>
      <c r="C1237">
        <f>$E$1*B1237</f>
        <v>167.21170923379174</v>
      </c>
    </row>
    <row r="1238" spans="1:3" x14ac:dyDescent="0.25">
      <c r="A1238" s="402">
        <v>42095.645833333336</v>
      </c>
      <c r="B1238">
        <v>30.1</v>
      </c>
      <c r="C1238">
        <f>$E$1*B1238</f>
        <v>167.21170923379174</v>
      </c>
    </row>
    <row r="1239" spans="1:3" x14ac:dyDescent="0.25">
      <c r="A1239" s="402">
        <v>42100.645833333336</v>
      </c>
      <c r="B1239">
        <v>31</v>
      </c>
      <c r="C1239">
        <f>$E$1*B1239</f>
        <v>172.21139489194496</v>
      </c>
    </row>
    <row r="1240" spans="1:3" x14ac:dyDescent="0.25">
      <c r="A1240" s="402">
        <v>42101.645833333336</v>
      </c>
      <c r="B1240">
        <v>32</v>
      </c>
      <c r="C1240">
        <f>$E$1*B1240</f>
        <v>177.76660117878191</v>
      </c>
    </row>
    <row r="1241" spans="1:3" x14ac:dyDescent="0.25">
      <c r="A1241" s="402">
        <v>42102.645833333336</v>
      </c>
      <c r="B1241">
        <v>34.6</v>
      </c>
      <c r="C1241">
        <f>$E$1*B1241</f>
        <v>192.21013752455795</v>
      </c>
    </row>
    <row r="1242" spans="1:3" x14ac:dyDescent="0.25">
      <c r="A1242" s="402">
        <v>42103.645833333336</v>
      </c>
      <c r="B1242">
        <v>35.200000000000003</v>
      </c>
      <c r="C1242">
        <f>$E$1*B1242</f>
        <v>195.54326129666012</v>
      </c>
    </row>
    <row r="1243" spans="1:3" x14ac:dyDescent="0.25">
      <c r="A1243" s="402">
        <v>42104.645833333336</v>
      </c>
      <c r="B1243">
        <v>38.35</v>
      </c>
      <c r="C1243">
        <f>$E$1*B1243</f>
        <v>213.04216110019647</v>
      </c>
    </row>
    <row r="1244" spans="1:3" x14ac:dyDescent="0.25">
      <c r="A1244" s="402">
        <v>42107.645833333336</v>
      </c>
      <c r="B1244">
        <v>38.9</v>
      </c>
      <c r="C1244">
        <f>$E$1*B1244</f>
        <v>216.09752455795675</v>
      </c>
    </row>
    <row r="1245" spans="1:3" x14ac:dyDescent="0.25">
      <c r="A1245" s="402">
        <v>42109.645833333336</v>
      </c>
      <c r="B1245">
        <v>38.700000000000003</v>
      </c>
      <c r="C1245">
        <f>$E$1*B1245</f>
        <v>214.98648330058938</v>
      </c>
    </row>
    <row r="1246" spans="1:3" x14ac:dyDescent="0.25">
      <c r="A1246" s="402">
        <v>42110.645833333336</v>
      </c>
      <c r="B1246">
        <v>38.299999999999997</v>
      </c>
      <c r="C1246">
        <f>$E$1*B1246</f>
        <v>212.76440078585458</v>
      </c>
    </row>
    <row r="1247" spans="1:3" x14ac:dyDescent="0.25">
      <c r="A1247" s="402">
        <v>42111.645833333336</v>
      </c>
      <c r="B1247">
        <v>39</v>
      </c>
      <c r="C1247">
        <f>$E$1*B1247</f>
        <v>216.65304518664044</v>
      </c>
    </row>
    <row r="1248" spans="1:3" x14ac:dyDescent="0.25">
      <c r="A1248" s="402">
        <v>42114.645833333336</v>
      </c>
      <c r="B1248">
        <v>40</v>
      </c>
      <c r="C1248">
        <f>$E$1*B1248</f>
        <v>222.20825147347739</v>
      </c>
    </row>
    <row r="1249" spans="1:3" x14ac:dyDescent="0.25">
      <c r="A1249" s="402">
        <v>42115.645833333336</v>
      </c>
      <c r="B1249">
        <v>39.700000000000003</v>
      </c>
      <c r="C1249">
        <f>$E$1*B1249</f>
        <v>220.54168958742633</v>
      </c>
    </row>
    <row r="1250" spans="1:3" x14ac:dyDescent="0.25">
      <c r="A1250" s="402">
        <v>42116.645833333336</v>
      </c>
      <c r="B1250">
        <v>39.4</v>
      </c>
      <c r="C1250">
        <f>$E$1*B1250</f>
        <v>218.87512770137522</v>
      </c>
    </row>
    <row r="1251" spans="1:3" x14ac:dyDescent="0.25">
      <c r="A1251" s="402">
        <v>42117.645833333336</v>
      </c>
      <c r="B1251">
        <v>41</v>
      </c>
      <c r="C1251">
        <f>$E$1*B1251</f>
        <v>227.76345776031434</v>
      </c>
    </row>
    <row r="1252" spans="1:3" x14ac:dyDescent="0.25">
      <c r="A1252" s="402">
        <v>42118.645833333336</v>
      </c>
      <c r="B1252">
        <v>40.4</v>
      </c>
      <c r="C1252">
        <f>$E$1*B1252</f>
        <v>224.43033398821217</v>
      </c>
    </row>
    <row r="1253" spans="1:3" x14ac:dyDescent="0.25">
      <c r="A1253" s="402">
        <v>42121.645833333336</v>
      </c>
      <c r="B1253">
        <v>39.700000000000003</v>
      </c>
      <c r="C1253">
        <f>$E$1*B1253</f>
        <v>220.54168958742633</v>
      </c>
    </row>
    <row r="1254" spans="1:3" x14ac:dyDescent="0.25">
      <c r="A1254" s="402">
        <v>42122.645833333336</v>
      </c>
      <c r="B1254">
        <v>46.45</v>
      </c>
      <c r="C1254">
        <f>$E$1*B1254</f>
        <v>258.03933202357564</v>
      </c>
    </row>
    <row r="1255" spans="1:3" x14ac:dyDescent="0.25">
      <c r="A1255" s="402">
        <v>42123.645833333336</v>
      </c>
      <c r="B1255">
        <v>49</v>
      </c>
      <c r="C1255">
        <f>$E$1*B1255</f>
        <v>272.20510805500982</v>
      </c>
    </row>
    <row r="1256" spans="1:3" x14ac:dyDescent="0.25">
      <c r="A1256" s="402">
        <v>42124.645833333336</v>
      </c>
      <c r="B1256">
        <v>46.6</v>
      </c>
      <c r="C1256">
        <f>$E$1*B1256</f>
        <v>258.87261296660114</v>
      </c>
    </row>
    <row r="1257" spans="1:3" x14ac:dyDescent="0.25">
      <c r="A1257" s="402">
        <v>42128.645833333336</v>
      </c>
      <c r="B1257">
        <v>46.9</v>
      </c>
      <c r="C1257">
        <f>$E$1*B1257</f>
        <v>260.53917485265225</v>
      </c>
    </row>
    <row r="1258" spans="1:3" x14ac:dyDescent="0.25">
      <c r="A1258" s="402">
        <v>42129.645833333336</v>
      </c>
      <c r="B1258">
        <v>43.75</v>
      </c>
      <c r="C1258">
        <f>$E$1*B1258</f>
        <v>243.04027504911591</v>
      </c>
    </row>
    <row r="1259" spans="1:3" x14ac:dyDescent="0.25">
      <c r="A1259" s="402">
        <v>42130.645833333336</v>
      </c>
      <c r="B1259">
        <v>44.3</v>
      </c>
      <c r="C1259">
        <f>$E$1*B1259</f>
        <v>246.09563850687618</v>
      </c>
    </row>
    <row r="1260" spans="1:3" x14ac:dyDescent="0.25">
      <c r="A1260" s="402">
        <v>42131.645833333336</v>
      </c>
      <c r="B1260">
        <v>43.45</v>
      </c>
      <c r="C1260">
        <f>$E$1*B1260</f>
        <v>241.37371316306482</v>
      </c>
    </row>
    <row r="1261" spans="1:3" x14ac:dyDescent="0.25">
      <c r="A1261" s="402">
        <v>42132.645833333336</v>
      </c>
      <c r="B1261">
        <v>43.2</v>
      </c>
      <c r="C1261">
        <f>$E$1*B1261</f>
        <v>239.9849115913556</v>
      </c>
    </row>
    <row r="1262" spans="1:3" x14ac:dyDescent="0.25">
      <c r="A1262" s="402">
        <v>42135.645833333336</v>
      </c>
      <c r="B1262">
        <v>45.05</v>
      </c>
      <c r="C1262">
        <f>$E$1*B1262</f>
        <v>250.26204322200388</v>
      </c>
    </row>
    <row r="1263" spans="1:3" x14ac:dyDescent="0.25">
      <c r="A1263" s="402">
        <v>42136.645833333336</v>
      </c>
      <c r="B1263">
        <v>43.65</v>
      </c>
      <c r="C1263">
        <f>$E$1*B1263</f>
        <v>242.48475442043218</v>
      </c>
    </row>
    <row r="1264" spans="1:3" x14ac:dyDescent="0.25">
      <c r="A1264" s="402">
        <v>42137.645833333336</v>
      </c>
      <c r="B1264">
        <v>43.9</v>
      </c>
      <c r="C1264">
        <f>$E$1*B1264</f>
        <v>243.87355599214143</v>
      </c>
    </row>
    <row r="1265" spans="1:3" x14ac:dyDescent="0.25">
      <c r="A1265" s="402">
        <v>42138.645833333336</v>
      </c>
      <c r="B1265">
        <v>44.05</v>
      </c>
      <c r="C1265">
        <f>$E$1*B1265</f>
        <v>244.70683693516696</v>
      </c>
    </row>
    <row r="1266" spans="1:3" x14ac:dyDescent="0.25">
      <c r="A1266" s="402">
        <v>42139.645833333336</v>
      </c>
      <c r="B1266">
        <v>44.6</v>
      </c>
      <c r="C1266">
        <f>$E$1*B1266</f>
        <v>247.7622003929273</v>
      </c>
    </row>
    <row r="1267" spans="1:3" x14ac:dyDescent="0.25">
      <c r="A1267" s="402">
        <v>42142.645833333336</v>
      </c>
      <c r="B1267">
        <v>46.35</v>
      </c>
      <c r="C1267">
        <f>$E$1*B1267</f>
        <v>257.48381139489192</v>
      </c>
    </row>
    <row r="1268" spans="1:3" x14ac:dyDescent="0.25">
      <c r="A1268" s="402">
        <v>42143.645833333336</v>
      </c>
      <c r="B1268">
        <v>46.45</v>
      </c>
      <c r="C1268">
        <f>$E$1*B1268</f>
        <v>258.03933202357564</v>
      </c>
    </row>
    <row r="1269" spans="1:3" x14ac:dyDescent="0.25">
      <c r="A1269" s="402">
        <v>42144.645833333336</v>
      </c>
      <c r="B1269">
        <v>45.8</v>
      </c>
      <c r="C1269">
        <f>$E$1*B1269</f>
        <v>254.42844793713161</v>
      </c>
    </row>
    <row r="1270" spans="1:3" x14ac:dyDescent="0.25">
      <c r="A1270" s="402">
        <v>42145.645833333336</v>
      </c>
      <c r="B1270">
        <v>45.5</v>
      </c>
      <c r="C1270">
        <f>$E$1*B1270</f>
        <v>252.76188605108052</v>
      </c>
    </row>
    <row r="1271" spans="1:3" x14ac:dyDescent="0.25">
      <c r="A1271" s="402">
        <v>42146.645833333336</v>
      </c>
      <c r="B1271">
        <v>45.55</v>
      </c>
      <c r="C1271">
        <f>$E$1*B1271</f>
        <v>253.03964636542236</v>
      </c>
    </row>
    <row r="1272" spans="1:3" x14ac:dyDescent="0.25">
      <c r="A1272" s="402">
        <v>42149.645833333336</v>
      </c>
      <c r="B1272">
        <v>45.8</v>
      </c>
      <c r="C1272">
        <f>$E$1*B1272</f>
        <v>254.42844793713161</v>
      </c>
    </row>
    <row r="1273" spans="1:3" x14ac:dyDescent="0.25">
      <c r="A1273" s="402">
        <v>42150.645833333336</v>
      </c>
      <c r="B1273">
        <v>45.85</v>
      </c>
      <c r="C1273">
        <f>$E$1*B1273</f>
        <v>254.70620825147347</v>
      </c>
    </row>
    <row r="1274" spans="1:3" x14ac:dyDescent="0.25">
      <c r="A1274" s="402">
        <v>42151.645833333336</v>
      </c>
      <c r="B1274">
        <v>44.8</v>
      </c>
      <c r="C1274">
        <f>$E$1*B1274</f>
        <v>248.87324165029466</v>
      </c>
    </row>
    <row r="1275" spans="1:3" x14ac:dyDescent="0.25">
      <c r="A1275" s="402">
        <v>42152.645833333336</v>
      </c>
      <c r="B1275">
        <v>44.1</v>
      </c>
      <c r="C1275">
        <f>$E$1*B1275</f>
        <v>244.98459724950882</v>
      </c>
    </row>
    <row r="1276" spans="1:3" x14ac:dyDescent="0.25">
      <c r="A1276" s="402">
        <v>42153.645833333336</v>
      </c>
      <c r="B1276">
        <v>46.5</v>
      </c>
      <c r="C1276">
        <f>$E$1*B1276</f>
        <v>258.31709233791747</v>
      </c>
    </row>
    <row r="1277" spans="1:3" x14ac:dyDescent="0.25">
      <c r="A1277" s="402">
        <v>42156.645833333336</v>
      </c>
      <c r="B1277">
        <v>48.65</v>
      </c>
      <c r="C1277">
        <f>$E$1*B1277</f>
        <v>270.26078585461687</v>
      </c>
    </row>
    <row r="1278" spans="1:3" x14ac:dyDescent="0.25">
      <c r="A1278" s="402">
        <v>42157.645833333336</v>
      </c>
      <c r="B1278">
        <v>51</v>
      </c>
      <c r="C1278">
        <f>$E$1*B1278</f>
        <v>283.31552062868366</v>
      </c>
    </row>
    <row r="1279" spans="1:3" x14ac:dyDescent="0.25">
      <c r="A1279" s="402">
        <v>42158.645833333336</v>
      </c>
      <c r="B1279">
        <v>49.3</v>
      </c>
      <c r="C1279">
        <f>$E$1*B1279</f>
        <v>273.87166994106087</v>
      </c>
    </row>
    <row r="1280" spans="1:3" x14ac:dyDescent="0.25">
      <c r="A1280" s="402">
        <v>42159.645833333336</v>
      </c>
      <c r="B1280">
        <v>50.2</v>
      </c>
      <c r="C1280">
        <f>$E$1*B1280</f>
        <v>278.87135559921416</v>
      </c>
    </row>
    <row r="1281" spans="1:3" x14ac:dyDescent="0.25">
      <c r="A1281" s="402">
        <v>42160.645833333336</v>
      </c>
      <c r="B1281">
        <v>56</v>
      </c>
      <c r="C1281">
        <f>$E$1*B1281</f>
        <v>311.09155206286835</v>
      </c>
    </row>
    <row r="1282" spans="1:3" x14ac:dyDescent="0.25">
      <c r="A1282" s="402">
        <v>42163.645833333336</v>
      </c>
      <c r="B1282">
        <v>58.2</v>
      </c>
      <c r="C1282">
        <f>$E$1*B1282</f>
        <v>323.31300589390963</v>
      </c>
    </row>
    <row r="1283" spans="1:3" x14ac:dyDescent="0.25">
      <c r="A1283" s="402">
        <v>42164.645833333336</v>
      </c>
      <c r="B1283">
        <v>59.7</v>
      </c>
      <c r="C1283">
        <f>$E$1*B1283</f>
        <v>331.64581532416503</v>
      </c>
    </row>
    <row r="1284" spans="1:3" x14ac:dyDescent="0.25">
      <c r="A1284" s="402">
        <v>42165.645833333336</v>
      </c>
      <c r="B1284">
        <v>56.25</v>
      </c>
      <c r="C1284">
        <f>$E$1*B1284</f>
        <v>312.48035363457757</v>
      </c>
    </row>
    <row r="1285" spans="1:3" x14ac:dyDescent="0.25">
      <c r="A1285" s="402">
        <v>42166.645833333336</v>
      </c>
      <c r="B1285">
        <v>53.8</v>
      </c>
      <c r="C1285">
        <f>$E$1*B1285</f>
        <v>298.87009823182706</v>
      </c>
    </row>
    <row r="1286" spans="1:3" x14ac:dyDescent="0.25">
      <c r="A1286" s="402">
        <v>42167.645833333336</v>
      </c>
      <c r="B1286">
        <v>55.35</v>
      </c>
      <c r="C1286">
        <f>$E$1*B1286</f>
        <v>307.48066797642434</v>
      </c>
    </row>
    <row r="1287" spans="1:3" x14ac:dyDescent="0.25">
      <c r="A1287" s="402">
        <v>42170.645833333336</v>
      </c>
      <c r="B1287">
        <v>54.6</v>
      </c>
      <c r="C1287">
        <f>$E$1*B1287</f>
        <v>303.31426326129662</v>
      </c>
    </row>
    <row r="1288" spans="1:3" x14ac:dyDescent="0.25">
      <c r="A1288" s="402">
        <v>42171.645833333336</v>
      </c>
      <c r="B1288">
        <v>53.1</v>
      </c>
      <c r="C1288">
        <f>$E$1*B1288</f>
        <v>294.98145383104122</v>
      </c>
    </row>
    <row r="1289" spans="1:3" x14ac:dyDescent="0.25">
      <c r="A1289" s="402">
        <v>42172.645833333336</v>
      </c>
      <c r="B1289">
        <v>54.3</v>
      </c>
      <c r="C1289">
        <f>$E$1*B1289</f>
        <v>301.64770137524556</v>
      </c>
    </row>
    <row r="1290" spans="1:3" x14ac:dyDescent="0.25">
      <c r="A1290" s="402">
        <v>42173.645833333336</v>
      </c>
      <c r="B1290">
        <v>55</v>
      </c>
      <c r="C1290">
        <f>$E$1*B1290</f>
        <v>305.5363457760314</v>
      </c>
    </row>
    <row r="1291" spans="1:3" x14ac:dyDescent="0.25">
      <c r="A1291" s="402">
        <v>42174.645833333336</v>
      </c>
      <c r="B1291">
        <v>54.95</v>
      </c>
      <c r="C1291">
        <f>$E$1*B1291</f>
        <v>305.25858546168956</v>
      </c>
    </row>
    <row r="1292" spans="1:3" x14ac:dyDescent="0.25">
      <c r="A1292" s="402">
        <v>42177.645833333336</v>
      </c>
      <c r="B1292">
        <v>63.2</v>
      </c>
      <c r="C1292">
        <f>$E$1*B1292</f>
        <v>351.08903732809426</v>
      </c>
    </row>
    <row r="1293" spans="1:3" x14ac:dyDescent="0.25">
      <c r="A1293" s="402">
        <v>42178.645833333336</v>
      </c>
      <c r="B1293">
        <v>75.5</v>
      </c>
      <c r="C1293">
        <f>$E$1*B1293</f>
        <v>419.41807465618859</v>
      </c>
    </row>
    <row r="1294" spans="1:3" x14ac:dyDescent="0.25">
      <c r="A1294" s="402">
        <v>42179.645833333336</v>
      </c>
      <c r="B1294">
        <v>68.5</v>
      </c>
      <c r="C1294">
        <f>$E$1*B1294</f>
        <v>380.53163064833001</v>
      </c>
    </row>
    <row r="1295" spans="1:3" x14ac:dyDescent="0.25">
      <c r="A1295" s="402">
        <v>42180.645833333336</v>
      </c>
      <c r="B1295">
        <v>71.95</v>
      </c>
      <c r="C1295">
        <f>$E$1*B1295</f>
        <v>399.69709233791747</v>
      </c>
    </row>
    <row r="1296" spans="1:3" x14ac:dyDescent="0.25">
      <c r="A1296" s="402">
        <v>42181.645833333336</v>
      </c>
      <c r="B1296">
        <v>73.25</v>
      </c>
      <c r="C1296">
        <f>$E$1*B1296</f>
        <v>406.91886051080547</v>
      </c>
    </row>
    <row r="1297" spans="1:3" x14ac:dyDescent="0.25">
      <c r="A1297" s="402">
        <v>42184.645833333336</v>
      </c>
      <c r="B1297">
        <v>72.25</v>
      </c>
      <c r="C1297">
        <f>$E$1*B1297</f>
        <v>401.36365422396852</v>
      </c>
    </row>
    <row r="1298" spans="1:3" x14ac:dyDescent="0.25">
      <c r="A1298" s="402">
        <v>42185.645833333336</v>
      </c>
      <c r="B1298">
        <v>78.8</v>
      </c>
      <c r="C1298">
        <f>$E$1*B1298</f>
        <v>437.75025540275044</v>
      </c>
    </row>
    <row r="1299" spans="1:3" x14ac:dyDescent="0.25">
      <c r="A1299" s="402">
        <v>42186.645833333336</v>
      </c>
      <c r="B1299">
        <v>80.75</v>
      </c>
      <c r="C1299">
        <f>$E$1*B1299</f>
        <v>448.5829076620825</v>
      </c>
    </row>
    <row r="1300" spans="1:3" x14ac:dyDescent="0.25">
      <c r="A1300" s="402">
        <v>42187.645833333336</v>
      </c>
      <c r="B1300">
        <v>80.599999999999994</v>
      </c>
      <c r="C1300">
        <f>$E$1*B1300</f>
        <v>447.74962671905689</v>
      </c>
    </row>
    <row r="1301" spans="1:3" x14ac:dyDescent="0.25">
      <c r="A1301" s="402">
        <v>42188.645833333336</v>
      </c>
      <c r="B1301">
        <v>78.349999999999994</v>
      </c>
      <c r="C1301">
        <f>$E$1*B1301</f>
        <v>435.25041257367383</v>
      </c>
    </row>
    <row r="1302" spans="1:3" x14ac:dyDescent="0.25">
      <c r="A1302" s="402">
        <v>42191.645833333336</v>
      </c>
      <c r="B1302">
        <v>80.7</v>
      </c>
      <c r="C1302">
        <f>$E$1*B1302</f>
        <v>448.30514734774067</v>
      </c>
    </row>
    <row r="1303" spans="1:3" x14ac:dyDescent="0.25">
      <c r="A1303" s="402">
        <v>42192.645833333336</v>
      </c>
      <c r="B1303">
        <v>81</v>
      </c>
      <c r="C1303">
        <f>$E$1*B1303</f>
        <v>449.97170923379173</v>
      </c>
    </row>
    <row r="1304" spans="1:3" x14ac:dyDescent="0.25">
      <c r="A1304" s="402">
        <v>42193.645833333336</v>
      </c>
      <c r="B1304">
        <v>84.15</v>
      </c>
      <c r="C1304">
        <f>$E$1*B1304</f>
        <v>467.47060903732807</v>
      </c>
    </row>
    <row r="1305" spans="1:3" x14ac:dyDescent="0.25">
      <c r="A1305" s="402">
        <v>42194.645833333336</v>
      </c>
      <c r="B1305">
        <v>82</v>
      </c>
      <c r="C1305">
        <f>$E$1*B1305</f>
        <v>455.52691552062868</v>
      </c>
    </row>
    <row r="1306" spans="1:3" x14ac:dyDescent="0.25">
      <c r="A1306" s="402">
        <v>42195.645833333336</v>
      </c>
      <c r="B1306">
        <v>82</v>
      </c>
      <c r="C1306">
        <f>$E$1*B1306</f>
        <v>455.52691552062868</v>
      </c>
    </row>
    <row r="1307" spans="1:3" x14ac:dyDescent="0.25">
      <c r="A1307" s="402">
        <v>42198.645833333336</v>
      </c>
      <c r="B1307">
        <v>82.8</v>
      </c>
      <c r="C1307">
        <f>$E$1*B1307</f>
        <v>459.97108055009818</v>
      </c>
    </row>
    <row r="1308" spans="1:3" x14ac:dyDescent="0.25">
      <c r="A1308" s="402">
        <v>42199.645833333336</v>
      </c>
      <c r="B1308">
        <v>83.05</v>
      </c>
      <c r="C1308">
        <f>$E$1*B1308</f>
        <v>461.3598821218074</v>
      </c>
    </row>
    <row r="1309" spans="1:3" x14ac:dyDescent="0.25">
      <c r="A1309" s="402">
        <v>42200.645833333336</v>
      </c>
      <c r="B1309">
        <v>81</v>
      </c>
      <c r="C1309">
        <f>$E$1*B1309</f>
        <v>449.97170923379173</v>
      </c>
    </row>
    <row r="1310" spans="1:3" x14ac:dyDescent="0.25">
      <c r="A1310" s="402">
        <v>42201.645833333336</v>
      </c>
      <c r="B1310">
        <v>80.25</v>
      </c>
      <c r="C1310">
        <f>$E$1*B1310</f>
        <v>445.805304518664</v>
      </c>
    </row>
    <row r="1311" spans="1:3" x14ac:dyDescent="0.25">
      <c r="A1311" s="402">
        <v>42202.645833333336</v>
      </c>
      <c r="B1311">
        <v>77.3</v>
      </c>
      <c r="C1311">
        <f>$E$1*B1311</f>
        <v>429.41744597249505</v>
      </c>
    </row>
    <row r="1312" spans="1:3" x14ac:dyDescent="0.25">
      <c r="A1312" s="402">
        <v>42205.645833333336</v>
      </c>
      <c r="B1312">
        <v>80.7</v>
      </c>
      <c r="C1312">
        <f>$E$1*B1312</f>
        <v>448.30514734774067</v>
      </c>
    </row>
    <row r="1313" spans="1:3" x14ac:dyDescent="0.25">
      <c r="A1313" s="402">
        <v>42206.645833333336</v>
      </c>
      <c r="B1313">
        <v>77.25</v>
      </c>
      <c r="C1313">
        <f>$E$1*B1313</f>
        <v>429.13968565815321</v>
      </c>
    </row>
    <row r="1314" spans="1:3" x14ac:dyDescent="0.25">
      <c r="A1314" s="402">
        <v>42207.645833333336</v>
      </c>
      <c r="B1314">
        <v>78.8</v>
      </c>
      <c r="C1314">
        <f>$E$1*B1314</f>
        <v>437.75025540275044</v>
      </c>
    </row>
    <row r="1315" spans="1:3" x14ac:dyDescent="0.25">
      <c r="A1315" s="402">
        <v>42208.645833333336</v>
      </c>
      <c r="B1315">
        <v>80</v>
      </c>
      <c r="C1315">
        <f>$E$1*B1315</f>
        <v>444.41650294695478</v>
      </c>
    </row>
    <row r="1316" spans="1:3" x14ac:dyDescent="0.25">
      <c r="A1316" s="402">
        <v>42209.645833333336</v>
      </c>
      <c r="B1316">
        <v>80.900000000000006</v>
      </c>
      <c r="C1316">
        <f>$E$1*B1316</f>
        <v>449.41618860510806</v>
      </c>
    </row>
    <row r="1317" spans="1:3" x14ac:dyDescent="0.25">
      <c r="A1317" s="402">
        <v>42212.645833333336</v>
      </c>
      <c r="B1317">
        <v>82.6</v>
      </c>
      <c r="C1317">
        <f>$E$1*B1317</f>
        <v>458.86003929273079</v>
      </c>
    </row>
    <row r="1318" spans="1:3" x14ac:dyDescent="0.25">
      <c r="A1318" s="402">
        <v>42213.645833333336</v>
      </c>
      <c r="B1318">
        <v>80</v>
      </c>
      <c r="C1318">
        <f>$E$1*B1318</f>
        <v>444.41650294695478</v>
      </c>
    </row>
    <row r="1319" spans="1:3" x14ac:dyDescent="0.25">
      <c r="A1319" s="402">
        <v>42214.645833333336</v>
      </c>
      <c r="B1319">
        <v>80</v>
      </c>
      <c r="C1319">
        <f>$E$1*B1319</f>
        <v>444.41650294695478</v>
      </c>
    </row>
    <row r="1320" spans="1:3" x14ac:dyDescent="0.25">
      <c r="A1320" s="402">
        <v>42215.645833333336</v>
      </c>
      <c r="B1320">
        <v>79.349999999999994</v>
      </c>
      <c r="C1320">
        <f>$E$1*B1320</f>
        <v>440.80561886051072</v>
      </c>
    </row>
    <row r="1321" spans="1:3" x14ac:dyDescent="0.25">
      <c r="A1321" s="402">
        <v>42216.645833333336</v>
      </c>
      <c r="B1321">
        <v>87.05</v>
      </c>
      <c r="C1321">
        <f>$E$1*B1321</f>
        <v>483.58070726915514</v>
      </c>
    </row>
    <row r="1322" spans="1:3" x14ac:dyDescent="0.25">
      <c r="A1322" s="402">
        <v>42219.645833333336</v>
      </c>
      <c r="B1322">
        <v>95.95</v>
      </c>
      <c r="C1322">
        <f>$E$1*B1322</f>
        <v>533.02204322200396</v>
      </c>
    </row>
    <row r="1323" spans="1:3" x14ac:dyDescent="0.25">
      <c r="A1323" s="402">
        <v>42220.645833333336</v>
      </c>
      <c r="B1323">
        <v>95.7</v>
      </c>
      <c r="C1323">
        <f>$E$1*B1323</f>
        <v>531.63324165029462</v>
      </c>
    </row>
    <row r="1324" spans="1:3" x14ac:dyDescent="0.25">
      <c r="A1324" s="402">
        <v>42221.645833333336</v>
      </c>
      <c r="B1324">
        <v>100</v>
      </c>
      <c r="C1324">
        <f>$E$1*B1324</f>
        <v>555.52062868369353</v>
      </c>
    </row>
    <row r="1325" spans="1:3" x14ac:dyDescent="0.25">
      <c r="A1325" s="402">
        <v>42222.645833333336</v>
      </c>
      <c r="B1325">
        <v>105.05</v>
      </c>
      <c r="C1325">
        <f>$E$1*B1325</f>
        <v>583.57442043221999</v>
      </c>
    </row>
    <row r="1326" spans="1:3" x14ac:dyDescent="0.25">
      <c r="A1326" s="402">
        <v>42223.645833333336</v>
      </c>
      <c r="B1326">
        <v>100.65</v>
      </c>
      <c r="C1326">
        <f>$E$1*B1326</f>
        <v>559.13151277013753</v>
      </c>
    </row>
    <row r="1327" spans="1:3" x14ac:dyDescent="0.25">
      <c r="A1327" s="402">
        <v>42226.645833333336</v>
      </c>
      <c r="B1327">
        <v>95.65</v>
      </c>
      <c r="C1327">
        <f>$E$1*B1327</f>
        <v>531.35548133595285</v>
      </c>
    </row>
    <row r="1328" spans="1:3" x14ac:dyDescent="0.25">
      <c r="A1328" s="402">
        <v>42227.645833333336</v>
      </c>
      <c r="B1328">
        <v>90.9</v>
      </c>
      <c r="C1328">
        <f>$E$1*B1328</f>
        <v>504.96825147347738</v>
      </c>
    </row>
    <row r="1329" spans="1:3" x14ac:dyDescent="0.25">
      <c r="A1329" s="402">
        <v>42228.645833333336</v>
      </c>
      <c r="B1329">
        <v>86.4</v>
      </c>
      <c r="C1329">
        <f>$E$1*B1329</f>
        <v>479.9698231827112</v>
      </c>
    </row>
    <row r="1330" spans="1:3" x14ac:dyDescent="0.25">
      <c r="A1330" s="402">
        <v>42229.645833333336</v>
      </c>
      <c r="B1330">
        <v>82.1</v>
      </c>
      <c r="C1330">
        <f>$E$1*B1330</f>
        <v>456.08243614931229</v>
      </c>
    </row>
    <row r="1331" spans="1:3" x14ac:dyDescent="0.25">
      <c r="A1331" s="402">
        <v>42230.645833333336</v>
      </c>
      <c r="B1331">
        <v>78</v>
      </c>
      <c r="C1331">
        <f>$E$1*B1331</f>
        <v>433.30609037328088</v>
      </c>
    </row>
    <row r="1332" spans="1:3" x14ac:dyDescent="0.25">
      <c r="A1332" s="402">
        <v>42233.645833333336</v>
      </c>
      <c r="B1332">
        <v>74.099999999999994</v>
      </c>
      <c r="C1332">
        <f>$E$1*B1332</f>
        <v>411.64078585461681</v>
      </c>
    </row>
    <row r="1333" spans="1:3" x14ac:dyDescent="0.25">
      <c r="A1333" s="402">
        <v>42234.645833333336</v>
      </c>
      <c r="B1333">
        <v>77.8</v>
      </c>
      <c r="C1333">
        <f>$E$1*B1333</f>
        <v>432.19504911591349</v>
      </c>
    </row>
    <row r="1334" spans="1:3" x14ac:dyDescent="0.25">
      <c r="A1334" s="402">
        <v>42235.645833333336</v>
      </c>
      <c r="B1334">
        <v>81.650000000000006</v>
      </c>
      <c r="C1334">
        <f>$E$1*B1334</f>
        <v>453.58259332023573</v>
      </c>
    </row>
    <row r="1335" spans="1:3" x14ac:dyDescent="0.25">
      <c r="A1335" s="402">
        <v>42236.645833333336</v>
      </c>
      <c r="B1335">
        <v>77.599999999999994</v>
      </c>
      <c r="C1335">
        <f>$E$1*B1335</f>
        <v>431.0840078585461</v>
      </c>
    </row>
    <row r="1336" spans="1:3" x14ac:dyDescent="0.25">
      <c r="A1336" s="402">
        <v>42237.645833333336</v>
      </c>
      <c r="B1336">
        <v>75.349999999999994</v>
      </c>
      <c r="C1336">
        <f>$E$1*B1336</f>
        <v>418.58479371316298</v>
      </c>
    </row>
    <row r="1337" spans="1:3" x14ac:dyDescent="0.25">
      <c r="A1337" s="402">
        <v>42240.645833333336</v>
      </c>
      <c r="B1337">
        <v>71.95</v>
      </c>
      <c r="C1337">
        <f>$E$1*B1337</f>
        <v>399.69709233791747</v>
      </c>
    </row>
    <row r="1338" spans="1:3" x14ac:dyDescent="0.25">
      <c r="A1338" s="402">
        <v>42241.645833333336</v>
      </c>
      <c r="B1338">
        <v>68.400000000000006</v>
      </c>
      <c r="C1338">
        <f>$E$1*B1338</f>
        <v>379.97611001964634</v>
      </c>
    </row>
    <row r="1339" spans="1:3" x14ac:dyDescent="0.25">
      <c r="A1339" s="402">
        <v>42242.645833333336</v>
      </c>
      <c r="B1339">
        <v>65</v>
      </c>
      <c r="C1339">
        <f>$E$1*B1339</f>
        <v>361.08840864440077</v>
      </c>
    </row>
    <row r="1340" spans="1:3" x14ac:dyDescent="0.25">
      <c r="A1340" s="402">
        <v>42243.645833333336</v>
      </c>
      <c r="B1340">
        <v>68.25</v>
      </c>
      <c r="C1340">
        <f>$E$1*B1340</f>
        <v>379.14282907662079</v>
      </c>
    </row>
    <row r="1341" spans="1:3" x14ac:dyDescent="0.25">
      <c r="A1341" s="402">
        <v>42244.645833333336</v>
      </c>
      <c r="B1341">
        <v>69</v>
      </c>
      <c r="C1341">
        <f>$E$1*B1341</f>
        <v>383.30923379174851</v>
      </c>
    </row>
    <row r="1342" spans="1:3" x14ac:dyDescent="0.25">
      <c r="A1342" s="402">
        <v>42247.645833333336</v>
      </c>
      <c r="B1342">
        <v>67.150000000000006</v>
      </c>
      <c r="C1342">
        <f>$E$1*B1342</f>
        <v>373.03210216110023</v>
      </c>
    </row>
    <row r="1343" spans="1:3" x14ac:dyDescent="0.25">
      <c r="A1343" s="402">
        <v>42248.645833333336</v>
      </c>
      <c r="B1343">
        <v>64.400000000000006</v>
      </c>
      <c r="C1343">
        <f>$E$1*B1343</f>
        <v>357.7552848722986</v>
      </c>
    </row>
    <row r="1344" spans="1:3" x14ac:dyDescent="0.25">
      <c r="A1344" s="402">
        <v>42249.645833333336</v>
      </c>
      <c r="B1344">
        <v>61.3</v>
      </c>
      <c r="C1344">
        <f>$E$1*B1344</f>
        <v>340.53414538310409</v>
      </c>
    </row>
    <row r="1345" spans="1:3" x14ac:dyDescent="0.25">
      <c r="A1345" s="402">
        <v>42250.645833333336</v>
      </c>
      <c r="B1345">
        <v>64.45</v>
      </c>
      <c r="C1345">
        <f>$E$1*B1345</f>
        <v>358.03304518664044</v>
      </c>
    </row>
    <row r="1346" spans="1:3" x14ac:dyDescent="0.25">
      <c r="A1346" s="402">
        <v>42251.645833333336</v>
      </c>
      <c r="B1346">
        <v>61.25</v>
      </c>
      <c r="C1346">
        <f>$E$1*B1346</f>
        <v>340.25638506876226</v>
      </c>
    </row>
    <row r="1347" spans="1:3" x14ac:dyDescent="0.25">
      <c r="A1347" s="402">
        <v>42254.645833333336</v>
      </c>
      <c r="B1347">
        <v>58.2</v>
      </c>
      <c r="C1347">
        <f>$E$1*B1347</f>
        <v>323.31300589390963</v>
      </c>
    </row>
    <row r="1348" spans="1:3" x14ac:dyDescent="0.25">
      <c r="A1348" s="402">
        <v>42255.645833333336</v>
      </c>
      <c r="B1348">
        <v>55.3</v>
      </c>
      <c r="C1348">
        <f>$E$1*B1348</f>
        <v>307.20290766208245</v>
      </c>
    </row>
    <row r="1349" spans="1:3" x14ac:dyDescent="0.25">
      <c r="A1349" s="402">
        <v>42256.645833333336</v>
      </c>
      <c r="B1349">
        <v>56.3</v>
      </c>
      <c r="C1349">
        <f>$E$1*B1349</f>
        <v>312.7581139489194</v>
      </c>
    </row>
    <row r="1350" spans="1:3" x14ac:dyDescent="0.25">
      <c r="A1350" s="402">
        <v>42257.645833333336</v>
      </c>
      <c r="B1350">
        <v>54.3</v>
      </c>
      <c r="C1350">
        <f>$E$1*B1350</f>
        <v>301.64770137524556</v>
      </c>
    </row>
    <row r="1351" spans="1:3" x14ac:dyDescent="0.25">
      <c r="A1351" s="402">
        <v>42258.645833333336</v>
      </c>
      <c r="B1351">
        <v>54.1</v>
      </c>
      <c r="C1351">
        <f>$E$1*B1351</f>
        <v>300.53666011787817</v>
      </c>
    </row>
    <row r="1352" spans="1:3" x14ac:dyDescent="0.25">
      <c r="A1352" s="402">
        <v>42261.645833333336</v>
      </c>
      <c r="B1352">
        <v>56.8</v>
      </c>
      <c r="C1352">
        <f>$E$1*B1352</f>
        <v>315.5357170923379</v>
      </c>
    </row>
    <row r="1353" spans="1:3" x14ac:dyDescent="0.25">
      <c r="A1353" s="402">
        <v>42262.645833333336</v>
      </c>
      <c r="B1353">
        <v>58.55</v>
      </c>
      <c r="C1353">
        <f>$E$1*B1353</f>
        <v>325.25732809430252</v>
      </c>
    </row>
    <row r="1354" spans="1:3" x14ac:dyDescent="0.25">
      <c r="A1354" s="402">
        <v>42263.645833333336</v>
      </c>
      <c r="B1354">
        <v>57.65</v>
      </c>
      <c r="C1354">
        <f>$E$1*B1354</f>
        <v>320.2576424361493</v>
      </c>
    </row>
    <row r="1355" spans="1:3" x14ac:dyDescent="0.25">
      <c r="A1355" s="402">
        <v>42265.645833333336</v>
      </c>
      <c r="B1355">
        <v>56.85</v>
      </c>
      <c r="C1355">
        <f>$E$1*B1355</f>
        <v>315.81347740667974</v>
      </c>
    </row>
    <row r="1356" spans="1:3" x14ac:dyDescent="0.25">
      <c r="A1356" s="402">
        <v>42268.645833333336</v>
      </c>
      <c r="B1356">
        <v>57.2</v>
      </c>
      <c r="C1356">
        <f>$E$1*B1356</f>
        <v>317.75779960707268</v>
      </c>
    </row>
    <row r="1357" spans="1:3" x14ac:dyDescent="0.25">
      <c r="A1357" s="402">
        <v>42269.645833333336</v>
      </c>
      <c r="B1357">
        <v>58.5</v>
      </c>
      <c r="C1357">
        <f>$E$1*B1357</f>
        <v>324.97956777996069</v>
      </c>
    </row>
    <row r="1358" spans="1:3" x14ac:dyDescent="0.25">
      <c r="A1358" s="402">
        <v>42270.645833333336</v>
      </c>
      <c r="B1358">
        <v>61.35</v>
      </c>
      <c r="C1358">
        <f>$E$1*B1358</f>
        <v>340.81190569744598</v>
      </c>
    </row>
    <row r="1359" spans="1:3" x14ac:dyDescent="0.25">
      <c r="A1359" s="402">
        <v>42271.645833333336</v>
      </c>
      <c r="B1359">
        <v>62</v>
      </c>
      <c r="C1359">
        <f>$E$1*B1359</f>
        <v>344.42278978388993</v>
      </c>
    </row>
    <row r="1360" spans="1:3" x14ac:dyDescent="0.25">
      <c r="A1360" s="402">
        <v>42275.645833333336</v>
      </c>
      <c r="B1360">
        <v>57.8</v>
      </c>
      <c r="C1360">
        <f>$E$1*B1360</f>
        <v>321.0909233791748</v>
      </c>
    </row>
    <row r="1361" spans="1:3" x14ac:dyDescent="0.25">
      <c r="A1361" s="402">
        <v>42276.645833333336</v>
      </c>
      <c r="B1361">
        <v>56.05</v>
      </c>
      <c r="C1361">
        <f>$E$1*B1361</f>
        <v>311.36931237721018</v>
      </c>
    </row>
    <row r="1362" spans="1:3" x14ac:dyDescent="0.25">
      <c r="A1362" s="402">
        <v>42277.645833333336</v>
      </c>
      <c r="B1362">
        <v>56.7</v>
      </c>
      <c r="C1362">
        <f>$E$1*B1362</f>
        <v>314.98019646365424</v>
      </c>
    </row>
    <row r="1363" spans="1:3" x14ac:dyDescent="0.25">
      <c r="A1363" s="402">
        <v>42278.645833333336</v>
      </c>
      <c r="B1363">
        <v>55.7</v>
      </c>
      <c r="C1363">
        <f>$E$1*B1363</f>
        <v>309.42499017681729</v>
      </c>
    </row>
    <row r="1364" spans="1:3" x14ac:dyDescent="0.25">
      <c r="A1364" s="402">
        <v>42282.645833333336</v>
      </c>
      <c r="B1364">
        <v>61.45</v>
      </c>
      <c r="C1364">
        <f>$E$1*B1364</f>
        <v>341.36742632612965</v>
      </c>
    </row>
    <row r="1365" spans="1:3" x14ac:dyDescent="0.25">
      <c r="A1365" s="402">
        <v>42283.645833333336</v>
      </c>
      <c r="B1365">
        <v>60.1</v>
      </c>
      <c r="C1365">
        <f>$E$1*B1365</f>
        <v>333.86789783889981</v>
      </c>
    </row>
    <row r="1366" spans="1:3" x14ac:dyDescent="0.25">
      <c r="A1366" s="402">
        <v>42284.645833333336</v>
      </c>
      <c r="B1366">
        <v>64.5</v>
      </c>
      <c r="C1366">
        <f>$E$1*B1366</f>
        <v>358.31080550098227</v>
      </c>
    </row>
    <row r="1367" spans="1:3" x14ac:dyDescent="0.25">
      <c r="A1367" s="402">
        <v>42285.645833333336</v>
      </c>
      <c r="B1367">
        <v>62.35</v>
      </c>
      <c r="C1367">
        <f>$E$1*B1367</f>
        <v>346.36711198428287</v>
      </c>
    </row>
    <row r="1368" spans="1:3" x14ac:dyDescent="0.25">
      <c r="A1368" s="402">
        <v>42286.645833333336</v>
      </c>
      <c r="B1368">
        <v>61.8</v>
      </c>
      <c r="C1368">
        <f>$E$1*B1368</f>
        <v>343.31174852652254</v>
      </c>
    </row>
    <row r="1369" spans="1:3" x14ac:dyDescent="0.25">
      <c r="A1369" s="402">
        <v>42289.645833333336</v>
      </c>
      <c r="B1369">
        <v>59.65</v>
      </c>
      <c r="C1369">
        <f>$E$1*B1369</f>
        <v>331.36805500982314</v>
      </c>
    </row>
    <row r="1370" spans="1:3" x14ac:dyDescent="0.25">
      <c r="A1370" s="402">
        <v>42290.645833333336</v>
      </c>
      <c r="B1370">
        <v>62.4</v>
      </c>
      <c r="C1370">
        <f>$E$1*B1370</f>
        <v>346.6448722986247</v>
      </c>
    </row>
    <row r="1371" spans="1:3" x14ac:dyDescent="0.25">
      <c r="A1371" s="402">
        <v>42291.645833333336</v>
      </c>
      <c r="B1371">
        <v>61.65</v>
      </c>
      <c r="C1371">
        <f>$E$1*B1371</f>
        <v>342.47846758349704</v>
      </c>
    </row>
    <row r="1372" spans="1:3" x14ac:dyDescent="0.25">
      <c r="A1372" s="402">
        <v>42292.645833333336</v>
      </c>
      <c r="B1372">
        <v>62.15</v>
      </c>
      <c r="C1372">
        <f>$E$1*B1372</f>
        <v>345.25607072691548</v>
      </c>
    </row>
    <row r="1373" spans="1:3" x14ac:dyDescent="0.25">
      <c r="A1373" s="402">
        <v>42293.645833333336</v>
      </c>
      <c r="B1373">
        <v>60.05</v>
      </c>
      <c r="C1373">
        <f>$E$1*B1373</f>
        <v>333.59013752455792</v>
      </c>
    </row>
    <row r="1374" spans="1:3" x14ac:dyDescent="0.25">
      <c r="A1374" s="402">
        <v>42296.645833333336</v>
      </c>
      <c r="B1374">
        <v>64.150000000000006</v>
      </c>
      <c r="C1374">
        <f>$E$1*B1374</f>
        <v>356.36648330058938</v>
      </c>
    </row>
    <row r="1375" spans="1:3" x14ac:dyDescent="0.25">
      <c r="A1375" s="402">
        <v>42297.645833333336</v>
      </c>
      <c r="B1375">
        <v>67</v>
      </c>
      <c r="C1375">
        <f>$E$1*B1375</f>
        <v>372.19882121807461</v>
      </c>
    </row>
    <row r="1376" spans="1:3" x14ac:dyDescent="0.25">
      <c r="A1376" s="402">
        <v>42298.645833333336</v>
      </c>
      <c r="B1376">
        <v>68.45</v>
      </c>
      <c r="C1376">
        <f>$E$1*B1376</f>
        <v>380.25387033398817</v>
      </c>
    </row>
    <row r="1377" spans="1:3" x14ac:dyDescent="0.25">
      <c r="A1377" s="402">
        <v>42300.645833333336</v>
      </c>
      <c r="B1377">
        <v>66.8</v>
      </c>
      <c r="C1377">
        <f>$E$1*B1377</f>
        <v>371.08777996070722</v>
      </c>
    </row>
    <row r="1378" spans="1:3" x14ac:dyDescent="0.25">
      <c r="A1378" s="402">
        <v>42303.645833333336</v>
      </c>
      <c r="B1378">
        <v>65.05</v>
      </c>
      <c r="C1378">
        <f>$E$1*B1378</f>
        <v>361.36616895874261</v>
      </c>
    </row>
    <row r="1379" spans="1:3" x14ac:dyDescent="0.25">
      <c r="A1379" s="402">
        <v>42304.645833333336</v>
      </c>
      <c r="B1379">
        <v>63.25</v>
      </c>
      <c r="C1379">
        <f>$E$1*B1379</f>
        <v>351.3667976424361</v>
      </c>
    </row>
    <row r="1380" spans="1:3" x14ac:dyDescent="0.25">
      <c r="A1380" s="402">
        <v>42305.645833333336</v>
      </c>
      <c r="B1380">
        <v>65.650000000000006</v>
      </c>
      <c r="C1380">
        <f>$E$1*B1380</f>
        <v>364.69929273084477</v>
      </c>
    </row>
    <row r="1381" spans="1:3" x14ac:dyDescent="0.25">
      <c r="A1381" s="402">
        <v>42306.645833333336</v>
      </c>
      <c r="B1381">
        <v>64.599999999999994</v>
      </c>
      <c r="C1381">
        <f>$E$1*B1381</f>
        <v>358.86632612966594</v>
      </c>
    </row>
    <row r="1382" spans="1:3" x14ac:dyDescent="0.25">
      <c r="A1382" s="402">
        <v>42307.645833333336</v>
      </c>
      <c r="B1382">
        <v>62.25</v>
      </c>
      <c r="C1382">
        <f>$E$1*B1382</f>
        <v>345.81159135559921</v>
      </c>
    </row>
    <row r="1383" spans="1:3" x14ac:dyDescent="0.25">
      <c r="A1383" s="402">
        <v>42310.645833333336</v>
      </c>
      <c r="B1383">
        <v>61.3</v>
      </c>
      <c r="C1383">
        <f>$E$1*B1383</f>
        <v>340.53414538310409</v>
      </c>
    </row>
    <row r="1384" spans="1:3" x14ac:dyDescent="0.25">
      <c r="A1384" s="402">
        <v>42311.645833333336</v>
      </c>
      <c r="B1384">
        <v>60.8</v>
      </c>
      <c r="C1384">
        <f>$E$1*B1384</f>
        <v>337.75654223968564</v>
      </c>
    </row>
    <row r="1385" spans="1:3" x14ac:dyDescent="0.25">
      <c r="A1385" s="402">
        <v>42312.645833333336</v>
      </c>
      <c r="B1385">
        <v>61</v>
      </c>
      <c r="C1385">
        <f>$E$1*B1385</f>
        <v>338.86758349705303</v>
      </c>
    </row>
    <row r="1386" spans="1:3" x14ac:dyDescent="0.25">
      <c r="A1386" s="402">
        <v>42313.645833333336</v>
      </c>
      <c r="B1386">
        <v>57.85</v>
      </c>
      <c r="C1386">
        <f>$E$1*B1386</f>
        <v>321.36868369351669</v>
      </c>
    </row>
    <row r="1387" spans="1:3" x14ac:dyDescent="0.25">
      <c r="A1387" s="402">
        <v>42314.645833333336</v>
      </c>
      <c r="B1387">
        <v>55.5</v>
      </c>
      <c r="C1387">
        <f>$E$1*B1387</f>
        <v>308.3139489194499</v>
      </c>
    </row>
    <row r="1388" spans="1:3" x14ac:dyDescent="0.25">
      <c r="A1388" s="402">
        <v>42317.645833333336</v>
      </c>
      <c r="B1388">
        <v>56.2</v>
      </c>
      <c r="C1388">
        <f>$E$1*B1388</f>
        <v>312.20259332023574</v>
      </c>
    </row>
    <row r="1389" spans="1:3" x14ac:dyDescent="0.25">
      <c r="A1389" s="402">
        <v>42318.645833333336</v>
      </c>
      <c r="B1389">
        <v>58.95</v>
      </c>
      <c r="C1389">
        <f>$E$1*B1389</f>
        <v>327.4794106090373</v>
      </c>
    </row>
    <row r="1390" spans="1:3" x14ac:dyDescent="0.25">
      <c r="A1390" s="402">
        <v>42319.645833333336</v>
      </c>
      <c r="B1390">
        <v>62</v>
      </c>
      <c r="C1390">
        <f>$E$1*B1390</f>
        <v>344.42278978388993</v>
      </c>
    </row>
    <row r="1391" spans="1:3" x14ac:dyDescent="0.25">
      <c r="A1391" s="402">
        <v>42321.645833333336</v>
      </c>
      <c r="B1391">
        <v>59.5</v>
      </c>
      <c r="C1391">
        <f>$E$1*B1391</f>
        <v>330.53477406679764</v>
      </c>
    </row>
    <row r="1392" spans="1:3" x14ac:dyDescent="0.25">
      <c r="A1392" s="402">
        <v>42324.645833333336</v>
      </c>
      <c r="B1392">
        <v>59.15</v>
      </c>
      <c r="C1392">
        <f>$E$1*B1392</f>
        <v>328.59045186640469</v>
      </c>
    </row>
    <row r="1393" spans="1:3" x14ac:dyDescent="0.25">
      <c r="A1393" s="402">
        <v>42325.645833333336</v>
      </c>
      <c r="B1393">
        <v>59.3</v>
      </c>
      <c r="C1393">
        <f>$E$1*B1393</f>
        <v>329.42373280943019</v>
      </c>
    </row>
    <row r="1394" spans="1:3" x14ac:dyDescent="0.25">
      <c r="A1394" s="402">
        <v>42326.645833333336</v>
      </c>
      <c r="B1394">
        <v>57.8</v>
      </c>
      <c r="C1394">
        <f>$E$1*B1394</f>
        <v>321.0909233791748</v>
      </c>
    </row>
    <row r="1395" spans="1:3" x14ac:dyDescent="0.25">
      <c r="A1395" s="402">
        <v>42327.645833333336</v>
      </c>
      <c r="B1395">
        <v>59.6</v>
      </c>
      <c r="C1395">
        <f>$E$1*B1395</f>
        <v>331.0902946954813</v>
      </c>
    </row>
    <row r="1396" spans="1:3" x14ac:dyDescent="0.25">
      <c r="A1396" s="402">
        <v>42328.645833333336</v>
      </c>
      <c r="B1396">
        <v>61.5</v>
      </c>
      <c r="C1396">
        <f>$E$1*B1396</f>
        <v>341.64518664047148</v>
      </c>
    </row>
    <row r="1397" spans="1:3" x14ac:dyDescent="0.25">
      <c r="A1397" s="402">
        <v>42331.645833333336</v>
      </c>
      <c r="B1397">
        <v>60.2</v>
      </c>
      <c r="C1397">
        <f>$E$1*B1397</f>
        <v>334.42341846758347</v>
      </c>
    </row>
    <row r="1398" spans="1:3" x14ac:dyDescent="0.25">
      <c r="A1398" s="402">
        <v>42332.645833333336</v>
      </c>
      <c r="B1398">
        <v>60.65</v>
      </c>
      <c r="C1398">
        <f>$E$1*B1398</f>
        <v>336.92326129666009</v>
      </c>
    </row>
    <row r="1399" spans="1:3" x14ac:dyDescent="0.25">
      <c r="A1399" s="402">
        <v>42334.645833333336</v>
      </c>
      <c r="B1399">
        <v>62.25</v>
      </c>
      <c r="C1399">
        <f>$E$1*B1399</f>
        <v>345.81159135559921</v>
      </c>
    </row>
    <row r="1400" spans="1:3" x14ac:dyDescent="0.25">
      <c r="A1400" s="402">
        <v>42335.645833333336</v>
      </c>
      <c r="B1400">
        <v>68.45</v>
      </c>
      <c r="C1400">
        <f>$E$1*B1400</f>
        <v>380.25387033398817</v>
      </c>
    </row>
    <row r="1401" spans="1:3" x14ac:dyDescent="0.25">
      <c r="A1401" s="402">
        <v>42338.645833333336</v>
      </c>
      <c r="B1401">
        <v>68.400000000000006</v>
      </c>
      <c r="C1401">
        <f>$E$1*B1401</f>
        <v>379.97611001964634</v>
      </c>
    </row>
    <row r="1402" spans="1:3" x14ac:dyDescent="0.25">
      <c r="A1402" s="402">
        <v>42339.645833333336</v>
      </c>
      <c r="B1402">
        <v>67.599999999999994</v>
      </c>
      <c r="C1402">
        <f>$E$1*B1402</f>
        <v>375.53194499017678</v>
      </c>
    </row>
    <row r="1403" spans="1:3" x14ac:dyDescent="0.25">
      <c r="A1403" s="402">
        <v>42340.645833333336</v>
      </c>
      <c r="B1403">
        <v>68.5</v>
      </c>
      <c r="C1403">
        <f>$E$1*B1403</f>
        <v>380.53163064833001</v>
      </c>
    </row>
    <row r="1404" spans="1:3" x14ac:dyDescent="0.25">
      <c r="A1404" s="402">
        <v>42341.645833333336</v>
      </c>
      <c r="B1404">
        <v>70.2</v>
      </c>
      <c r="C1404">
        <f>$E$1*B1404</f>
        <v>389.97548133595285</v>
      </c>
    </row>
    <row r="1405" spans="1:3" x14ac:dyDescent="0.25">
      <c r="A1405" s="402">
        <v>42342.645833333336</v>
      </c>
      <c r="B1405">
        <v>68.05</v>
      </c>
      <c r="C1405">
        <f>$E$1*B1405</f>
        <v>378.0317878192534</v>
      </c>
    </row>
    <row r="1406" spans="1:3" x14ac:dyDescent="0.25">
      <c r="A1406" s="402">
        <v>42345.645833333336</v>
      </c>
      <c r="B1406">
        <v>65.400000000000006</v>
      </c>
      <c r="C1406">
        <f>$E$1*B1406</f>
        <v>363.31049115913555</v>
      </c>
    </row>
    <row r="1407" spans="1:3" x14ac:dyDescent="0.25">
      <c r="A1407" s="402">
        <v>42346.645833333336</v>
      </c>
      <c r="B1407">
        <v>64.3</v>
      </c>
      <c r="C1407">
        <f>$E$1*B1407</f>
        <v>357.19976424361488</v>
      </c>
    </row>
    <row r="1408" spans="1:3" x14ac:dyDescent="0.25">
      <c r="A1408" s="402">
        <v>42347.645833333336</v>
      </c>
      <c r="B1408">
        <v>61.9</v>
      </c>
      <c r="C1408">
        <f>$E$1*B1408</f>
        <v>343.86726915520626</v>
      </c>
    </row>
    <row r="1409" spans="1:3" x14ac:dyDescent="0.25">
      <c r="A1409" s="402">
        <v>42348.645833333336</v>
      </c>
      <c r="B1409">
        <v>62.25</v>
      </c>
      <c r="C1409">
        <f>$E$1*B1409</f>
        <v>345.81159135559921</v>
      </c>
    </row>
    <row r="1410" spans="1:3" x14ac:dyDescent="0.25">
      <c r="A1410" s="402">
        <v>42349.645833333336</v>
      </c>
      <c r="B1410">
        <v>63.95</v>
      </c>
      <c r="C1410">
        <f>$E$1*B1410</f>
        <v>355.25544204322199</v>
      </c>
    </row>
    <row r="1411" spans="1:3" x14ac:dyDescent="0.25">
      <c r="A1411" s="402">
        <v>42352.645833333336</v>
      </c>
      <c r="B1411">
        <v>64</v>
      </c>
      <c r="C1411">
        <f>$E$1*B1411</f>
        <v>355.53320235756382</v>
      </c>
    </row>
    <row r="1412" spans="1:3" x14ac:dyDescent="0.25">
      <c r="A1412" s="402">
        <v>42353.645833333336</v>
      </c>
      <c r="B1412">
        <v>68.400000000000006</v>
      </c>
      <c r="C1412">
        <f>$E$1*B1412</f>
        <v>379.97611001964634</v>
      </c>
    </row>
    <row r="1413" spans="1:3" x14ac:dyDescent="0.25">
      <c r="A1413" s="402">
        <v>42354.645833333336</v>
      </c>
      <c r="B1413">
        <v>67.150000000000006</v>
      </c>
      <c r="C1413">
        <f>$E$1*B1413</f>
        <v>373.03210216110023</v>
      </c>
    </row>
    <row r="1414" spans="1:3" x14ac:dyDescent="0.25">
      <c r="A1414" s="402">
        <v>42355.645833333336</v>
      </c>
      <c r="B1414">
        <v>69.25</v>
      </c>
      <c r="C1414">
        <f>$E$1*B1414</f>
        <v>384.69803536345773</v>
      </c>
    </row>
    <row r="1415" spans="1:3" x14ac:dyDescent="0.25">
      <c r="A1415" s="402">
        <v>42356.645833333336</v>
      </c>
      <c r="B1415">
        <v>69.75</v>
      </c>
      <c r="C1415">
        <f>$E$1*B1415</f>
        <v>387.47563850687618</v>
      </c>
    </row>
    <row r="1416" spans="1:3" x14ac:dyDescent="0.25">
      <c r="A1416" s="402">
        <v>42359.645833333336</v>
      </c>
      <c r="B1416">
        <v>69.8</v>
      </c>
      <c r="C1416">
        <f>$E$1*B1416</f>
        <v>387.75339882121801</v>
      </c>
    </row>
    <row r="1417" spans="1:3" x14ac:dyDescent="0.25">
      <c r="A1417" s="402">
        <v>42360.645833333336</v>
      </c>
      <c r="B1417">
        <v>71.5</v>
      </c>
      <c r="C1417">
        <f>$E$1*B1417</f>
        <v>397.19724950884086</v>
      </c>
    </row>
    <row r="1418" spans="1:3" x14ac:dyDescent="0.25">
      <c r="A1418" s="402">
        <v>42361.645833333336</v>
      </c>
      <c r="B1418">
        <v>79.8</v>
      </c>
      <c r="C1418">
        <f>$E$1*B1418</f>
        <v>443.30546168958739</v>
      </c>
    </row>
    <row r="1419" spans="1:3" x14ac:dyDescent="0.25">
      <c r="A1419" s="402">
        <v>42362.645833333336</v>
      </c>
      <c r="B1419">
        <v>79.5</v>
      </c>
      <c r="C1419">
        <f>$E$1*B1419</f>
        <v>441.63889980353633</v>
      </c>
    </row>
    <row r="1420" spans="1:3" x14ac:dyDescent="0.25">
      <c r="A1420" s="402">
        <v>42366.645833333336</v>
      </c>
      <c r="B1420">
        <v>78.05</v>
      </c>
      <c r="C1420">
        <f>$E$1*B1420</f>
        <v>433.58385068762271</v>
      </c>
    </row>
    <row r="1421" spans="1:3" x14ac:dyDescent="0.25">
      <c r="A1421" s="402">
        <v>42367.645833333336</v>
      </c>
      <c r="B1421">
        <v>76.349999999999994</v>
      </c>
      <c r="C1421">
        <f>$E$1*B1421</f>
        <v>424.13999999999993</v>
      </c>
    </row>
    <row r="1422" spans="1:3" x14ac:dyDescent="0.25">
      <c r="A1422" s="402">
        <v>42368.645833333336</v>
      </c>
      <c r="B1422">
        <v>75.55</v>
      </c>
      <c r="C1422">
        <f>$E$1*B1422</f>
        <v>419.69583497053043</v>
      </c>
    </row>
    <row r="1423" spans="1:3" x14ac:dyDescent="0.25">
      <c r="A1423" s="402">
        <v>42369.645833333336</v>
      </c>
      <c r="B1423">
        <v>78.95</v>
      </c>
      <c r="C1423">
        <f>$E$1*B1423</f>
        <v>438.583536345776</v>
      </c>
    </row>
    <row r="1424" spans="1:3" x14ac:dyDescent="0.25">
      <c r="A1424" s="402">
        <v>42370.645833333336</v>
      </c>
      <c r="B1424">
        <v>77.099999999999994</v>
      </c>
      <c r="C1424">
        <f>$E$1*B1424</f>
        <v>428.30640471512766</v>
      </c>
    </row>
    <row r="1425" spans="1:3" x14ac:dyDescent="0.25">
      <c r="A1425" s="402">
        <v>42373.645833333336</v>
      </c>
      <c r="B1425">
        <v>75.3</v>
      </c>
      <c r="C1425">
        <f>$E$1*B1425</f>
        <v>418.30703339882115</v>
      </c>
    </row>
    <row r="1426" spans="1:3" x14ac:dyDescent="0.25">
      <c r="A1426" s="402">
        <v>42374.645833333336</v>
      </c>
      <c r="B1426">
        <v>76.599999999999994</v>
      </c>
      <c r="C1426">
        <f>$E$1*B1426</f>
        <v>425.52880157170915</v>
      </c>
    </row>
    <row r="1427" spans="1:3" x14ac:dyDescent="0.25">
      <c r="A1427" s="402">
        <v>42375.645833333336</v>
      </c>
      <c r="B1427">
        <v>75.349999999999994</v>
      </c>
      <c r="C1427">
        <f>$E$1*B1427</f>
        <v>418.58479371316298</v>
      </c>
    </row>
    <row r="1428" spans="1:3" x14ac:dyDescent="0.25">
      <c r="A1428" s="402">
        <v>42376.645833333336</v>
      </c>
      <c r="B1428">
        <v>71.05</v>
      </c>
      <c r="C1428">
        <f>$E$1*B1428</f>
        <v>394.69740667976419</v>
      </c>
    </row>
    <row r="1429" spans="1:3" x14ac:dyDescent="0.25">
      <c r="A1429" s="402">
        <v>42377.645833333336</v>
      </c>
      <c r="B1429">
        <v>74.45</v>
      </c>
      <c r="C1429">
        <f>$E$1*B1429</f>
        <v>413.58510805500981</v>
      </c>
    </row>
    <row r="1430" spans="1:3" x14ac:dyDescent="0.25">
      <c r="A1430" s="402">
        <v>42380.645833333336</v>
      </c>
      <c r="B1430">
        <v>83</v>
      </c>
      <c r="C1430">
        <f>$E$1*B1430</f>
        <v>461.08212180746557</v>
      </c>
    </row>
    <row r="1431" spans="1:3" x14ac:dyDescent="0.25">
      <c r="A1431" s="402">
        <v>42381.645833333336</v>
      </c>
      <c r="B1431">
        <v>81.75</v>
      </c>
      <c r="C1431">
        <f>$E$1*B1431</f>
        <v>454.1381139489194</v>
      </c>
    </row>
    <row r="1432" spans="1:3" x14ac:dyDescent="0.25">
      <c r="A1432" s="402">
        <v>42382.645833333336</v>
      </c>
      <c r="B1432">
        <v>76</v>
      </c>
      <c r="C1432">
        <f>$E$1*B1432</f>
        <v>422.19567779960704</v>
      </c>
    </row>
    <row r="1433" spans="1:3" x14ac:dyDescent="0.25">
      <c r="A1433" s="402">
        <v>42383.645833333336</v>
      </c>
      <c r="B1433">
        <v>72.099999999999994</v>
      </c>
      <c r="C1433">
        <f>$E$1*B1433</f>
        <v>400.53037328094297</v>
      </c>
    </row>
    <row r="1434" spans="1:3" x14ac:dyDescent="0.25">
      <c r="A1434" s="402">
        <v>42384.645833333336</v>
      </c>
      <c r="B1434">
        <v>69.599999999999994</v>
      </c>
      <c r="C1434">
        <f>$E$1*B1434</f>
        <v>386.64235756385062</v>
      </c>
    </row>
    <row r="1435" spans="1:3" x14ac:dyDescent="0.25">
      <c r="A1435" s="402">
        <v>42387.645833333336</v>
      </c>
      <c r="B1435">
        <v>64.3</v>
      </c>
      <c r="C1435">
        <f>$E$1*B1435</f>
        <v>357.19976424361488</v>
      </c>
    </row>
    <row r="1436" spans="1:3" x14ac:dyDescent="0.25">
      <c r="A1436" s="402">
        <v>42388.645833333336</v>
      </c>
      <c r="B1436">
        <v>65.099999999999994</v>
      </c>
      <c r="C1436">
        <f>$E$1*B1436</f>
        <v>361.64392927308444</v>
      </c>
    </row>
    <row r="1437" spans="1:3" x14ac:dyDescent="0.25">
      <c r="A1437" s="402">
        <v>42389.645833333336</v>
      </c>
      <c r="B1437">
        <v>62.35</v>
      </c>
      <c r="C1437">
        <f>$E$1*B1437</f>
        <v>346.36711198428287</v>
      </c>
    </row>
    <row r="1438" spans="1:3" x14ac:dyDescent="0.25">
      <c r="A1438" s="402">
        <v>42390.645833333336</v>
      </c>
      <c r="B1438">
        <v>63.05</v>
      </c>
      <c r="C1438">
        <f>$E$1*B1438</f>
        <v>350.25575638506871</v>
      </c>
    </row>
    <row r="1439" spans="1:3" x14ac:dyDescent="0.25">
      <c r="A1439" s="402">
        <v>42391.645833333336</v>
      </c>
      <c r="B1439">
        <v>67</v>
      </c>
      <c r="C1439">
        <f>$E$1*B1439</f>
        <v>372.19882121807461</v>
      </c>
    </row>
    <row r="1440" spans="1:3" x14ac:dyDescent="0.25">
      <c r="A1440" s="402">
        <v>42394.645833333336</v>
      </c>
      <c r="B1440">
        <v>69.3</v>
      </c>
      <c r="C1440">
        <f>$E$1*B1440</f>
        <v>384.97579567779957</v>
      </c>
    </row>
    <row r="1441" spans="1:3" x14ac:dyDescent="0.25">
      <c r="A1441" s="402">
        <v>42396.645833333336</v>
      </c>
      <c r="B1441">
        <v>70.95</v>
      </c>
      <c r="C1441">
        <f>$E$1*B1441</f>
        <v>394.14188605108052</v>
      </c>
    </row>
    <row r="1442" spans="1:3" x14ac:dyDescent="0.25">
      <c r="A1442" s="402">
        <v>42397.645833333336</v>
      </c>
      <c r="B1442">
        <v>71.900000000000006</v>
      </c>
      <c r="C1442">
        <f>$E$1*B1442</f>
        <v>399.41933202357563</v>
      </c>
    </row>
    <row r="1443" spans="1:3" x14ac:dyDescent="0.25">
      <c r="A1443" s="402">
        <v>42398.645833333336</v>
      </c>
      <c r="B1443">
        <v>71.400000000000006</v>
      </c>
      <c r="C1443">
        <f>$E$1*B1443</f>
        <v>396.64172888015719</v>
      </c>
    </row>
    <row r="1444" spans="1:3" x14ac:dyDescent="0.25">
      <c r="A1444" s="402">
        <v>42401.645833333336</v>
      </c>
      <c r="B1444">
        <v>70.75</v>
      </c>
      <c r="C1444">
        <f>$E$1*B1444</f>
        <v>393.03084479371313</v>
      </c>
    </row>
    <row r="1445" spans="1:3" x14ac:dyDescent="0.25">
      <c r="A1445" s="402">
        <v>42402.645833333336</v>
      </c>
      <c r="B1445">
        <v>69.8</v>
      </c>
      <c r="C1445">
        <f>$E$1*B1445</f>
        <v>387.75339882121801</v>
      </c>
    </row>
    <row r="1446" spans="1:3" x14ac:dyDescent="0.25">
      <c r="A1446" s="402">
        <v>42403.645833333336</v>
      </c>
      <c r="B1446">
        <v>67.3</v>
      </c>
      <c r="C1446">
        <f>$E$1*B1446</f>
        <v>373.86538310412567</v>
      </c>
    </row>
    <row r="1447" spans="1:3" x14ac:dyDescent="0.25">
      <c r="A1447" s="402">
        <v>42404.645833333336</v>
      </c>
      <c r="B1447">
        <v>67</v>
      </c>
      <c r="C1447">
        <f>$E$1*B1447</f>
        <v>372.19882121807461</v>
      </c>
    </row>
    <row r="1448" spans="1:3" x14ac:dyDescent="0.25">
      <c r="A1448" s="402">
        <v>42405.645833333336</v>
      </c>
      <c r="B1448">
        <v>67.55</v>
      </c>
      <c r="C1448">
        <f>$E$1*B1448</f>
        <v>375.25418467583495</v>
      </c>
    </row>
    <row r="1449" spans="1:3" x14ac:dyDescent="0.25">
      <c r="A1449" s="402">
        <v>42408.645833333336</v>
      </c>
      <c r="B1449">
        <v>67.599999999999994</v>
      </c>
      <c r="C1449">
        <f>$E$1*B1449</f>
        <v>375.53194499017678</v>
      </c>
    </row>
    <row r="1450" spans="1:3" x14ac:dyDescent="0.25">
      <c r="A1450" s="402">
        <v>42409.645833333336</v>
      </c>
      <c r="B1450">
        <v>65.2</v>
      </c>
      <c r="C1450">
        <f>$E$1*B1450</f>
        <v>362.19944990176816</v>
      </c>
    </row>
    <row r="1451" spans="1:3" x14ac:dyDescent="0.25">
      <c r="A1451" s="402">
        <v>42410.645833333336</v>
      </c>
      <c r="B1451">
        <v>60.15</v>
      </c>
      <c r="C1451">
        <f>$E$1*B1451</f>
        <v>334.14565815324164</v>
      </c>
    </row>
    <row r="1452" spans="1:3" x14ac:dyDescent="0.25">
      <c r="A1452" s="402">
        <v>42411.645833333336</v>
      </c>
      <c r="B1452">
        <v>54.85</v>
      </c>
      <c r="C1452">
        <f>$E$1*B1452</f>
        <v>304.7030648330059</v>
      </c>
    </row>
    <row r="1453" spans="1:3" x14ac:dyDescent="0.25">
      <c r="A1453" s="402">
        <v>42412.645833333336</v>
      </c>
      <c r="B1453">
        <v>53.6</v>
      </c>
      <c r="C1453">
        <f>$E$1*B1453</f>
        <v>297.75905697445972</v>
      </c>
    </row>
    <row r="1454" spans="1:3" x14ac:dyDescent="0.25">
      <c r="A1454" s="402">
        <v>42415.645833333336</v>
      </c>
      <c r="B1454">
        <v>58.2</v>
      </c>
      <c r="C1454">
        <f>$E$1*B1454</f>
        <v>323.31300589390963</v>
      </c>
    </row>
    <row r="1455" spans="1:3" x14ac:dyDescent="0.25">
      <c r="A1455" s="402">
        <v>42416.645833333336</v>
      </c>
      <c r="B1455">
        <v>57.45</v>
      </c>
      <c r="C1455">
        <f>$E$1*B1455</f>
        <v>319.14660117878191</v>
      </c>
    </row>
    <row r="1456" spans="1:3" x14ac:dyDescent="0.25">
      <c r="A1456" s="402">
        <v>42417.645833333336</v>
      </c>
      <c r="B1456">
        <v>55.6</v>
      </c>
      <c r="C1456">
        <f>$E$1*B1456</f>
        <v>308.86946954813357</v>
      </c>
    </row>
    <row r="1457" spans="1:3" x14ac:dyDescent="0.25">
      <c r="A1457" s="402">
        <v>42418.645833333336</v>
      </c>
      <c r="B1457">
        <v>56.95</v>
      </c>
      <c r="C1457">
        <f>$E$1*B1457</f>
        <v>316.36899803536346</v>
      </c>
    </row>
    <row r="1458" spans="1:3" x14ac:dyDescent="0.25">
      <c r="A1458" s="402">
        <v>42419.645833333336</v>
      </c>
      <c r="B1458">
        <v>57</v>
      </c>
      <c r="C1458">
        <f>$E$1*B1458</f>
        <v>316.64675834970529</v>
      </c>
    </row>
    <row r="1459" spans="1:3" x14ac:dyDescent="0.25">
      <c r="A1459" s="402">
        <v>42422.645833333336</v>
      </c>
      <c r="B1459">
        <v>56.65</v>
      </c>
      <c r="C1459">
        <f>$E$1*B1459</f>
        <v>314.70243614931235</v>
      </c>
    </row>
    <row r="1460" spans="1:3" x14ac:dyDescent="0.25">
      <c r="A1460" s="402">
        <v>42423.645833333336</v>
      </c>
      <c r="B1460">
        <v>54.3</v>
      </c>
      <c r="C1460">
        <f>$E$1*B1460</f>
        <v>301.64770137524556</v>
      </c>
    </row>
    <row r="1461" spans="1:3" x14ac:dyDescent="0.25">
      <c r="A1461" s="402">
        <v>42424.645833333336</v>
      </c>
      <c r="B1461">
        <v>53.65</v>
      </c>
      <c r="C1461">
        <f>$E$1*B1461</f>
        <v>298.03681728880156</v>
      </c>
    </row>
    <row r="1462" spans="1:3" x14ac:dyDescent="0.25">
      <c r="A1462" s="402">
        <v>42425.645833333336</v>
      </c>
      <c r="B1462">
        <v>52.2</v>
      </c>
      <c r="C1462">
        <f>$E$1*B1462</f>
        <v>289.981768172888</v>
      </c>
    </row>
    <row r="1463" spans="1:3" x14ac:dyDescent="0.25">
      <c r="A1463" s="402">
        <v>42426.645833333336</v>
      </c>
      <c r="B1463">
        <v>51.2</v>
      </c>
      <c r="C1463">
        <f>$E$1*B1463</f>
        <v>284.42656188605105</v>
      </c>
    </row>
    <row r="1464" spans="1:3" x14ac:dyDescent="0.25">
      <c r="A1464" s="402">
        <v>42429.645833333336</v>
      </c>
      <c r="B1464">
        <v>49.75</v>
      </c>
      <c r="C1464">
        <f>$E$1*B1464</f>
        <v>276.37151277013749</v>
      </c>
    </row>
    <row r="1465" spans="1:3" x14ac:dyDescent="0.25">
      <c r="A1465" s="402">
        <v>42430.645833333336</v>
      </c>
      <c r="B1465">
        <v>51.5</v>
      </c>
      <c r="C1465">
        <f>$E$1*B1465</f>
        <v>286.09312377210216</v>
      </c>
    </row>
    <row r="1466" spans="1:3" x14ac:dyDescent="0.25">
      <c r="A1466" s="402">
        <v>42431.645833333336</v>
      </c>
      <c r="B1466">
        <v>56.5</v>
      </c>
      <c r="C1466">
        <f>$E$1*B1466</f>
        <v>313.86915520628679</v>
      </c>
    </row>
    <row r="1467" spans="1:3" x14ac:dyDescent="0.25">
      <c r="A1467" s="402">
        <v>42432.645833333336</v>
      </c>
      <c r="B1467">
        <v>56.55</v>
      </c>
      <c r="C1467">
        <f>$E$1*B1467</f>
        <v>314.14691552062862</v>
      </c>
    </row>
    <row r="1468" spans="1:3" x14ac:dyDescent="0.25">
      <c r="A1468" s="402">
        <v>42433.645833333336</v>
      </c>
      <c r="B1468">
        <v>57.35</v>
      </c>
      <c r="C1468">
        <f>$E$1*B1468</f>
        <v>318.59108055009824</v>
      </c>
    </row>
    <row r="1469" spans="1:3" x14ac:dyDescent="0.25">
      <c r="A1469" s="402">
        <v>42437.645833333336</v>
      </c>
      <c r="B1469">
        <v>56.5</v>
      </c>
      <c r="C1469">
        <f>$E$1*B1469</f>
        <v>313.86915520628679</v>
      </c>
    </row>
    <row r="1470" spans="1:3" x14ac:dyDescent="0.25">
      <c r="A1470" s="402">
        <v>42438.645833333336</v>
      </c>
      <c r="B1470">
        <v>57.85</v>
      </c>
      <c r="C1470">
        <f>$E$1*B1470</f>
        <v>321.36868369351669</v>
      </c>
    </row>
    <row r="1471" spans="1:3" x14ac:dyDescent="0.25">
      <c r="A1471" s="402">
        <v>42439.645833333336</v>
      </c>
      <c r="B1471">
        <v>58.4</v>
      </c>
      <c r="C1471">
        <f>$E$1*B1471</f>
        <v>324.42404715127697</v>
      </c>
    </row>
    <row r="1472" spans="1:3" x14ac:dyDescent="0.25">
      <c r="A1472" s="402">
        <v>42440.645833333336</v>
      </c>
      <c r="B1472">
        <v>57.4</v>
      </c>
      <c r="C1472">
        <f>$E$1*B1472</f>
        <v>318.86884086444007</v>
      </c>
    </row>
    <row r="1473" spans="1:3" x14ac:dyDescent="0.25">
      <c r="A1473" s="402">
        <v>42443.645833333336</v>
      </c>
      <c r="B1473">
        <v>56.95</v>
      </c>
      <c r="C1473">
        <f>$E$1*B1473</f>
        <v>316.36899803536346</v>
      </c>
    </row>
    <row r="1474" spans="1:3" x14ac:dyDescent="0.25">
      <c r="A1474" s="402">
        <v>42444.645833333336</v>
      </c>
      <c r="B1474">
        <v>55.3</v>
      </c>
      <c r="C1474">
        <f>$E$1*B1474</f>
        <v>307.20290766208245</v>
      </c>
    </row>
    <row r="1475" spans="1:3" x14ac:dyDescent="0.25">
      <c r="A1475" s="402">
        <v>42445.645833333336</v>
      </c>
      <c r="B1475">
        <v>55.45</v>
      </c>
      <c r="C1475">
        <f>$E$1*B1475</f>
        <v>308.03618860510807</v>
      </c>
    </row>
    <row r="1476" spans="1:3" x14ac:dyDescent="0.25">
      <c r="A1476" s="402">
        <v>42446.645833333336</v>
      </c>
      <c r="B1476">
        <v>56.2</v>
      </c>
      <c r="C1476">
        <f>$E$1*B1476</f>
        <v>312.20259332023574</v>
      </c>
    </row>
    <row r="1477" spans="1:3" x14ac:dyDescent="0.25">
      <c r="A1477" s="402">
        <v>42447.645833333336</v>
      </c>
      <c r="B1477">
        <v>55.5</v>
      </c>
      <c r="C1477">
        <f>$E$1*B1477</f>
        <v>308.3139489194499</v>
      </c>
    </row>
    <row r="1478" spans="1:3" x14ac:dyDescent="0.25">
      <c r="A1478" s="402">
        <v>42450.645833333336</v>
      </c>
      <c r="B1478">
        <v>58</v>
      </c>
      <c r="C1478">
        <f>$E$1*B1478</f>
        <v>322.20196463654224</v>
      </c>
    </row>
    <row r="1479" spans="1:3" x14ac:dyDescent="0.25">
      <c r="A1479" s="402">
        <v>42451.645833333336</v>
      </c>
      <c r="B1479">
        <v>57.3</v>
      </c>
      <c r="C1479">
        <f>$E$1*B1479</f>
        <v>318.31332023575635</v>
      </c>
    </row>
    <row r="1480" spans="1:3" x14ac:dyDescent="0.25">
      <c r="A1480" s="402">
        <v>42452.645833333336</v>
      </c>
      <c r="B1480">
        <v>57.65</v>
      </c>
      <c r="C1480">
        <f>$E$1*B1480</f>
        <v>320.2576424361493</v>
      </c>
    </row>
    <row r="1481" spans="1:3" x14ac:dyDescent="0.25">
      <c r="A1481" s="402">
        <v>42457.645833333336</v>
      </c>
      <c r="B1481">
        <v>56.65</v>
      </c>
      <c r="C1481">
        <f>$E$1*B1481</f>
        <v>314.70243614931235</v>
      </c>
    </row>
    <row r="1482" spans="1:3" x14ac:dyDescent="0.25">
      <c r="A1482" s="402">
        <v>42458.645833333336</v>
      </c>
      <c r="B1482">
        <v>57.4</v>
      </c>
      <c r="C1482">
        <f>$E$1*B1482</f>
        <v>318.86884086444007</v>
      </c>
    </row>
    <row r="1483" spans="1:3" x14ac:dyDescent="0.25">
      <c r="A1483" s="402">
        <v>42459.645833333336</v>
      </c>
      <c r="B1483">
        <v>59.8</v>
      </c>
      <c r="C1483">
        <f>$E$1*B1483</f>
        <v>332.20133595284869</v>
      </c>
    </row>
    <row r="1484" spans="1:3" x14ac:dyDescent="0.25">
      <c r="A1484" s="402">
        <v>42460.645833333336</v>
      </c>
      <c r="B1484">
        <v>59</v>
      </c>
      <c r="C1484">
        <f>$E$1*B1484</f>
        <v>327.75717092337914</v>
      </c>
    </row>
    <row r="1485" spans="1:3" x14ac:dyDescent="0.25">
      <c r="A1485" s="402">
        <v>42461.645833333336</v>
      </c>
      <c r="B1485">
        <v>60.5</v>
      </c>
      <c r="C1485">
        <f>$E$1*B1485</f>
        <v>336.08998035363453</v>
      </c>
    </row>
    <row r="1486" spans="1:3" x14ac:dyDescent="0.25">
      <c r="A1486" s="402">
        <v>42464.645833333336</v>
      </c>
      <c r="B1486">
        <v>59.55</v>
      </c>
      <c r="C1486">
        <f>$E$1*B1486</f>
        <v>330.81253438113947</v>
      </c>
    </row>
    <row r="1487" spans="1:3" x14ac:dyDescent="0.25">
      <c r="A1487" s="402">
        <v>42465.645833333336</v>
      </c>
      <c r="B1487">
        <v>58</v>
      </c>
      <c r="C1487">
        <f>$E$1*B1487</f>
        <v>322.20196463654224</v>
      </c>
    </row>
    <row r="1488" spans="1:3" x14ac:dyDescent="0.25">
      <c r="A1488" s="402">
        <v>42466.645833333336</v>
      </c>
      <c r="B1488">
        <v>60.5</v>
      </c>
      <c r="C1488">
        <f>$E$1*B1488</f>
        <v>336.08998035363453</v>
      </c>
    </row>
    <row r="1489" spans="1:3" x14ac:dyDescent="0.25">
      <c r="A1489" s="402">
        <v>42467.645833333336</v>
      </c>
      <c r="B1489">
        <v>63.5</v>
      </c>
      <c r="C1489">
        <f>$E$1*B1489</f>
        <v>352.75559921414538</v>
      </c>
    </row>
    <row r="1490" spans="1:3" x14ac:dyDescent="0.25">
      <c r="A1490" s="402">
        <v>42468.645833333336</v>
      </c>
      <c r="B1490">
        <v>63.25</v>
      </c>
      <c r="C1490">
        <f>$E$1*B1490</f>
        <v>351.3667976424361</v>
      </c>
    </row>
    <row r="1491" spans="1:3" x14ac:dyDescent="0.25">
      <c r="A1491" s="402">
        <v>42471.645833333336</v>
      </c>
      <c r="B1491">
        <v>63</v>
      </c>
      <c r="C1491">
        <f>$E$1*B1491</f>
        <v>349.97799607072687</v>
      </c>
    </row>
    <row r="1492" spans="1:3" x14ac:dyDescent="0.25">
      <c r="A1492" s="402">
        <v>42472.645833333336</v>
      </c>
      <c r="B1492">
        <v>62.7</v>
      </c>
      <c r="C1492">
        <f>$E$1*B1492</f>
        <v>348.31143418467582</v>
      </c>
    </row>
    <row r="1493" spans="1:3" x14ac:dyDescent="0.25">
      <c r="A1493" s="402">
        <v>42473.645833333336</v>
      </c>
      <c r="B1493">
        <v>63.2</v>
      </c>
      <c r="C1493">
        <f>$E$1*B1493</f>
        <v>351.08903732809426</v>
      </c>
    </row>
    <row r="1494" spans="1:3" x14ac:dyDescent="0.25">
      <c r="A1494" s="402">
        <v>42478.645833333336</v>
      </c>
      <c r="B1494">
        <v>63.25</v>
      </c>
      <c r="C1494">
        <f>$E$1*B1494</f>
        <v>351.3667976424361</v>
      </c>
    </row>
    <row r="1495" spans="1:3" x14ac:dyDescent="0.25">
      <c r="A1495" s="402">
        <v>42480.645833333336</v>
      </c>
      <c r="B1495">
        <v>65.599999999999994</v>
      </c>
      <c r="C1495">
        <f>$E$1*B1495</f>
        <v>364.42153241650288</v>
      </c>
    </row>
    <row r="1496" spans="1:3" x14ac:dyDescent="0.25">
      <c r="A1496" s="402">
        <v>42481.645833333336</v>
      </c>
      <c r="B1496">
        <v>69.5</v>
      </c>
      <c r="C1496">
        <f>$E$1*B1496</f>
        <v>386.08683693516696</v>
      </c>
    </row>
    <row r="1497" spans="1:3" x14ac:dyDescent="0.25">
      <c r="A1497" s="402">
        <v>42482.645833333336</v>
      </c>
      <c r="B1497">
        <v>71.650000000000006</v>
      </c>
      <c r="C1497">
        <f>$E$1*B1497</f>
        <v>398.03053045186641</v>
      </c>
    </row>
    <row r="1498" spans="1:3" x14ac:dyDescent="0.25">
      <c r="A1498" s="402">
        <v>42485.645833333336</v>
      </c>
      <c r="B1498">
        <v>73</v>
      </c>
      <c r="C1498">
        <f>$E$1*B1498</f>
        <v>405.53005893909625</v>
      </c>
    </row>
    <row r="1499" spans="1:3" x14ac:dyDescent="0.25">
      <c r="A1499" s="402">
        <v>42486.645833333336</v>
      </c>
      <c r="B1499">
        <v>72.150000000000006</v>
      </c>
      <c r="C1499">
        <f>$E$1*B1499</f>
        <v>400.80813359528486</v>
      </c>
    </row>
    <row r="1500" spans="1:3" x14ac:dyDescent="0.25">
      <c r="A1500" s="402">
        <v>42487.645833333336</v>
      </c>
      <c r="B1500">
        <v>71.7</v>
      </c>
      <c r="C1500">
        <f>$E$1*B1500</f>
        <v>398.30829076620824</v>
      </c>
    </row>
    <row r="1501" spans="1:3" x14ac:dyDescent="0.25">
      <c r="A1501" s="402">
        <v>42488.645833333336</v>
      </c>
      <c r="B1501">
        <v>69</v>
      </c>
      <c r="C1501">
        <f>$E$1*B1501</f>
        <v>383.30923379174851</v>
      </c>
    </row>
    <row r="1502" spans="1:3" x14ac:dyDescent="0.25">
      <c r="A1502" s="402">
        <v>42489.645833333336</v>
      </c>
      <c r="B1502">
        <v>71.3</v>
      </c>
      <c r="C1502">
        <f>$E$1*B1502</f>
        <v>396.08620825147341</v>
      </c>
    </row>
    <row r="1503" spans="1:3" x14ac:dyDescent="0.25">
      <c r="A1503" s="402">
        <v>42492.645833333336</v>
      </c>
      <c r="B1503">
        <v>69.75</v>
      </c>
      <c r="C1503">
        <f>$E$1*B1503</f>
        <v>387.47563850687618</v>
      </c>
    </row>
    <row r="1504" spans="1:3" x14ac:dyDescent="0.25">
      <c r="A1504" s="402">
        <v>42493.645833333336</v>
      </c>
      <c r="B1504">
        <v>67.05</v>
      </c>
      <c r="C1504">
        <f>$E$1*B1504</f>
        <v>372.47658153241645</v>
      </c>
    </row>
    <row r="1505" spans="1:3" x14ac:dyDescent="0.25">
      <c r="A1505" s="402">
        <v>42494.645833333336</v>
      </c>
      <c r="B1505">
        <v>66.650000000000006</v>
      </c>
      <c r="C1505">
        <f>$E$1*B1505</f>
        <v>370.25449901768172</v>
      </c>
    </row>
    <row r="1506" spans="1:3" x14ac:dyDescent="0.25">
      <c r="A1506" s="402">
        <v>42495.645833333336</v>
      </c>
      <c r="B1506">
        <v>66.7</v>
      </c>
      <c r="C1506">
        <f>$E$1*B1506</f>
        <v>370.53225933202356</v>
      </c>
    </row>
    <row r="1507" spans="1:3" x14ac:dyDescent="0.25">
      <c r="A1507" s="402">
        <v>42496.645833333336</v>
      </c>
      <c r="B1507">
        <v>64.7</v>
      </c>
      <c r="C1507">
        <f>$E$1*B1507</f>
        <v>359.42184675834972</v>
      </c>
    </row>
    <row r="1508" spans="1:3" x14ac:dyDescent="0.25">
      <c r="A1508" s="402">
        <v>42499.645833333336</v>
      </c>
      <c r="B1508">
        <v>64.650000000000006</v>
      </c>
      <c r="C1508">
        <f>$E$1*B1508</f>
        <v>359.14408644400788</v>
      </c>
    </row>
    <row r="1509" spans="1:3" x14ac:dyDescent="0.25">
      <c r="A1509" s="402">
        <v>42500.645833333336</v>
      </c>
      <c r="B1509">
        <v>63</v>
      </c>
      <c r="C1509">
        <f>$E$1*B1509</f>
        <v>349.97799607072687</v>
      </c>
    </row>
    <row r="1510" spans="1:3" x14ac:dyDescent="0.25">
      <c r="A1510" s="402">
        <v>42501.645833333336</v>
      </c>
      <c r="B1510">
        <v>61.5</v>
      </c>
      <c r="C1510">
        <f>$E$1*B1510</f>
        <v>341.64518664047148</v>
      </c>
    </row>
    <row r="1511" spans="1:3" x14ac:dyDescent="0.25">
      <c r="A1511" s="402">
        <v>42502.645833333336</v>
      </c>
      <c r="B1511">
        <v>64.2</v>
      </c>
      <c r="C1511">
        <f>$E$1*B1511</f>
        <v>356.64424361493121</v>
      </c>
    </row>
    <row r="1512" spans="1:3" x14ac:dyDescent="0.25">
      <c r="A1512" s="402">
        <v>42503.645833333336</v>
      </c>
      <c r="B1512">
        <v>62.6</v>
      </c>
      <c r="C1512">
        <f>$E$1*B1512</f>
        <v>347.75591355599209</v>
      </c>
    </row>
    <row r="1513" spans="1:3" x14ac:dyDescent="0.25">
      <c r="A1513" s="402">
        <v>42506.645833333336</v>
      </c>
      <c r="B1513">
        <v>63.95</v>
      </c>
      <c r="C1513">
        <f>$E$1*B1513</f>
        <v>355.25544204322199</v>
      </c>
    </row>
    <row r="1514" spans="1:3" x14ac:dyDescent="0.25">
      <c r="A1514" s="402">
        <v>42507.645833333336</v>
      </c>
      <c r="B1514">
        <v>63.8</v>
      </c>
      <c r="C1514">
        <f>$E$1*B1514</f>
        <v>354.42216110019643</v>
      </c>
    </row>
    <row r="1515" spans="1:3" x14ac:dyDescent="0.25">
      <c r="A1515" s="402">
        <v>42508.645833333336</v>
      </c>
      <c r="B1515">
        <v>63.85</v>
      </c>
      <c r="C1515">
        <f>$E$1*B1515</f>
        <v>354.69992141453827</v>
      </c>
    </row>
    <row r="1516" spans="1:3" x14ac:dyDescent="0.25">
      <c r="A1516" s="402">
        <v>42509.645833333336</v>
      </c>
      <c r="B1516">
        <v>61.85</v>
      </c>
      <c r="C1516">
        <f>$E$1*B1516</f>
        <v>343.58950884086443</v>
      </c>
    </row>
    <row r="1517" spans="1:3" x14ac:dyDescent="0.25">
      <c r="A1517" s="402">
        <v>42510.645833333336</v>
      </c>
      <c r="B1517">
        <v>61.3</v>
      </c>
      <c r="C1517">
        <f>$E$1*B1517</f>
        <v>340.53414538310409</v>
      </c>
    </row>
    <row r="1518" spans="1:3" x14ac:dyDescent="0.25">
      <c r="A1518" s="402">
        <v>42513.645833333336</v>
      </c>
      <c r="B1518">
        <v>61.3</v>
      </c>
      <c r="C1518">
        <f>$E$1*B1518</f>
        <v>340.53414538310409</v>
      </c>
    </row>
    <row r="1519" spans="1:3" x14ac:dyDescent="0.25">
      <c r="A1519" s="402">
        <v>42514.645833333336</v>
      </c>
      <c r="B1519">
        <v>61.4</v>
      </c>
      <c r="C1519">
        <f>$E$1*B1519</f>
        <v>341.08966601178781</v>
      </c>
    </row>
    <row r="1520" spans="1:3" x14ac:dyDescent="0.25">
      <c r="A1520" s="402">
        <v>42515.645833333336</v>
      </c>
      <c r="B1520">
        <v>61</v>
      </c>
      <c r="C1520">
        <f>$E$1*B1520</f>
        <v>338.86758349705303</v>
      </c>
    </row>
    <row r="1521" spans="1:3" x14ac:dyDescent="0.25">
      <c r="A1521" s="402">
        <v>42516.645833333336</v>
      </c>
      <c r="B1521">
        <v>61.45</v>
      </c>
      <c r="C1521">
        <f>$E$1*B1521</f>
        <v>341.36742632612965</v>
      </c>
    </row>
    <row r="1522" spans="1:3" x14ac:dyDescent="0.25">
      <c r="A1522" s="402">
        <v>42517.645833333336</v>
      </c>
      <c r="B1522">
        <v>62.15</v>
      </c>
      <c r="C1522">
        <f>$E$1*B1522</f>
        <v>345.25607072691548</v>
      </c>
    </row>
    <row r="1523" spans="1:3" x14ac:dyDescent="0.25">
      <c r="A1523" s="402">
        <v>42520.645833333336</v>
      </c>
      <c r="B1523">
        <v>62.45</v>
      </c>
      <c r="C1523">
        <f>$E$1*B1523</f>
        <v>346.92263261296659</v>
      </c>
    </row>
    <row r="1524" spans="1:3" x14ac:dyDescent="0.25">
      <c r="A1524" s="402">
        <v>42521.645833333336</v>
      </c>
      <c r="B1524">
        <v>62.45</v>
      </c>
      <c r="C1524">
        <f>$E$1*B1524</f>
        <v>346.92263261296659</v>
      </c>
    </row>
    <row r="1525" spans="1:3" x14ac:dyDescent="0.25">
      <c r="A1525" s="402">
        <v>42522.645833333336</v>
      </c>
      <c r="B1525">
        <v>63.35</v>
      </c>
      <c r="C1525">
        <f>$E$1*B1525</f>
        <v>351.92231827111982</v>
      </c>
    </row>
    <row r="1526" spans="1:3" x14ac:dyDescent="0.25">
      <c r="A1526" s="402">
        <v>42523.645833333336</v>
      </c>
      <c r="B1526">
        <v>63</v>
      </c>
      <c r="C1526">
        <f>$E$1*B1526</f>
        <v>349.97799607072687</v>
      </c>
    </row>
    <row r="1527" spans="1:3" x14ac:dyDescent="0.25">
      <c r="A1527" s="402">
        <v>42524.645833333336</v>
      </c>
      <c r="B1527">
        <v>62.5</v>
      </c>
      <c r="C1527">
        <f>$E$1*B1527</f>
        <v>347.20039292730843</v>
      </c>
    </row>
    <row r="1528" spans="1:3" x14ac:dyDescent="0.25">
      <c r="A1528" s="402">
        <v>42527.645833333336</v>
      </c>
      <c r="B1528">
        <v>63.8</v>
      </c>
      <c r="C1528">
        <f>$E$1*B1528</f>
        <v>354.42216110019643</v>
      </c>
    </row>
    <row r="1529" spans="1:3" x14ac:dyDescent="0.25">
      <c r="A1529" s="402">
        <v>42528.645833333336</v>
      </c>
      <c r="B1529">
        <v>65.900000000000006</v>
      </c>
      <c r="C1529">
        <f>$E$1*B1529</f>
        <v>366.08809430255405</v>
      </c>
    </row>
    <row r="1530" spans="1:3" x14ac:dyDescent="0.25">
      <c r="A1530" s="402">
        <v>42529.645833333336</v>
      </c>
      <c r="B1530">
        <v>64.8</v>
      </c>
      <c r="C1530">
        <f>$E$1*B1530</f>
        <v>359.97736738703338</v>
      </c>
    </row>
    <row r="1531" spans="1:3" x14ac:dyDescent="0.25">
      <c r="A1531" s="402">
        <v>42530.645833333336</v>
      </c>
      <c r="B1531">
        <v>65.900000000000006</v>
      </c>
      <c r="C1531">
        <f>$E$1*B1531</f>
        <v>366.08809430255405</v>
      </c>
    </row>
    <row r="1532" spans="1:3" x14ac:dyDescent="0.25">
      <c r="A1532" s="402">
        <v>42531.645833333336</v>
      </c>
      <c r="B1532">
        <v>64.849999999999994</v>
      </c>
      <c r="C1532">
        <f>$E$1*B1532</f>
        <v>360.25512770137516</v>
      </c>
    </row>
    <row r="1533" spans="1:3" x14ac:dyDescent="0.25">
      <c r="A1533" s="402">
        <v>42534.645833333336</v>
      </c>
      <c r="B1533">
        <v>63.8</v>
      </c>
      <c r="C1533">
        <f>$E$1*B1533</f>
        <v>354.42216110019643</v>
      </c>
    </row>
    <row r="1534" spans="1:3" x14ac:dyDescent="0.25">
      <c r="A1534" s="402">
        <v>42535.645833333336</v>
      </c>
      <c r="B1534">
        <v>64</v>
      </c>
      <c r="C1534">
        <f>$E$1*B1534</f>
        <v>355.53320235756382</v>
      </c>
    </row>
    <row r="1535" spans="1:3" x14ac:dyDescent="0.25">
      <c r="A1535" s="402">
        <v>42536.645833333336</v>
      </c>
      <c r="B1535">
        <v>72.150000000000006</v>
      </c>
      <c r="C1535">
        <f>$E$1*B1535</f>
        <v>400.80813359528486</v>
      </c>
    </row>
    <row r="1536" spans="1:3" x14ac:dyDescent="0.25">
      <c r="A1536" s="402">
        <v>42537.645833333336</v>
      </c>
      <c r="B1536">
        <v>76.400000000000006</v>
      </c>
      <c r="C1536">
        <f>$E$1*B1536</f>
        <v>424.41776031434182</v>
      </c>
    </row>
    <row r="1537" spans="1:3" x14ac:dyDescent="0.25">
      <c r="A1537" s="402">
        <v>42538.645833333336</v>
      </c>
      <c r="B1537">
        <v>81.599999999999994</v>
      </c>
      <c r="C1537">
        <f>$E$1*B1537</f>
        <v>453.30483300589384</v>
      </c>
    </row>
    <row r="1538" spans="1:3" x14ac:dyDescent="0.25">
      <c r="A1538" s="402">
        <v>42541.645833333336</v>
      </c>
      <c r="B1538">
        <v>79.25</v>
      </c>
      <c r="C1538">
        <f>$E$1*B1538</f>
        <v>440.25009823182705</v>
      </c>
    </row>
    <row r="1539" spans="1:3" x14ac:dyDescent="0.25">
      <c r="A1539" s="402">
        <v>42542.645833333336</v>
      </c>
      <c r="B1539">
        <v>82.5</v>
      </c>
      <c r="C1539">
        <f>$E$1*B1539</f>
        <v>458.30451866404712</v>
      </c>
    </row>
    <row r="1540" spans="1:3" x14ac:dyDescent="0.25">
      <c r="A1540" s="402">
        <v>42543.645833333336</v>
      </c>
      <c r="B1540">
        <v>81.5</v>
      </c>
      <c r="C1540">
        <f>$E$1*B1540</f>
        <v>452.74931237721017</v>
      </c>
    </row>
    <row r="1541" spans="1:3" x14ac:dyDescent="0.25">
      <c r="A1541" s="402">
        <v>42544.645833333336</v>
      </c>
      <c r="B1541">
        <v>78.25</v>
      </c>
      <c r="C1541">
        <f>$E$1*B1541</f>
        <v>434.69489194499016</v>
      </c>
    </row>
    <row r="1542" spans="1:3" x14ac:dyDescent="0.25">
      <c r="A1542" s="402">
        <v>42545.645833333336</v>
      </c>
      <c r="B1542">
        <v>77.7</v>
      </c>
      <c r="C1542">
        <f>$E$1*B1542</f>
        <v>431.63952848722982</v>
      </c>
    </row>
    <row r="1543" spans="1:3" x14ac:dyDescent="0.25">
      <c r="A1543" s="402">
        <v>42548.645833333336</v>
      </c>
      <c r="B1543">
        <v>78.349999999999994</v>
      </c>
      <c r="C1543">
        <f>$E$1*B1543</f>
        <v>435.25041257367383</v>
      </c>
    </row>
    <row r="1544" spans="1:3" x14ac:dyDescent="0.25">
      <c r="A1544" s="402">
        <v>42549.645833333336</v>
      </c>
      <c r="B1544">
        <v>77.400000000000006</v>
      </c>
      <c r="C1544">
        <f>$E$1*B1544</f>
        <v>429.97296660117877</v>
      </c>
    </row>
    <row r="1545" spans="1:3" x14ac:dyDescent="0.25">
      <c r="A1545" s="402">
        <v>42550.645833333336</v>
      </c>
      <c r="B1545">
        <v>78.099999999999994</v>
      </c>
      <c r="C1545">
        <f>$E$1*B1545</f>
        <v>433.86161100196455</v>
      </c>
    </row>
    <row r="1546" spans="1:3" x14ac:dyDescent="0.25">
      <c r="A1546" s="402">
        <v>42551.645833333336</v>
      </c>
      <c r="B1546">
        <v>80.8</v>
      </c>
      <c r="C1546">
        <f>$E$1*B1546</f>
        <v>448.86066797642434</v>
      </c>
    </row>
    <row r="1547" spans="1:3" x14ac:dyDescent="0.25">
      <c r="A1547" s="402">
        <v>42552.645833333336</v>
      </c>
      <c r="B1547">
        <v>79</v>
      </c>
      <c r="C1547">
        <f>$E$1*B1547</f>
        <v>438.86129666011783</v>
      </c>
    </row>
    <row r="1548" spans="1:3" x14ac:dyDescent="0.25">
      <c r="A1548" s="402">
        <v>42555.645833333336</v>
      </c>
      <c r="B1548">
        <v>80.2</v>
      </c>
      <c r="C1548">
        <f>$E$1*B1548</f>
        <v>445.52754420432217</v>
      </c>
    </row>
    <row r="1549" spans="1:3" x14ac:dyDescent="0.25">
      <c r="A1549" s="402">
        <v>42556.645833333336</v>
      </c>
      <c r="B1549">
        <v>78</v>
      </c>
      <c r="C1549">
        <f>$E$1*B1549</f>
        <v>433.30609037328088</v>
      </c>
    </row>
    <row r="1550" spans="1:3" x14ac:dyDescent="0.25">
      <c r="A1550" s="402">
        <v>42558.645833333336</v>
      </c>
      <c r="B1550">
        <v>78.2</v>
      </c>
      <c r="C1550">
        <f>$E$1*B1550</f>
        <v>434.41713163064833</v>
      </c>
    </row>
    <row r="1551" spans="1:3" x14ac:dyDescent="0.25">
      <c r="A1551" s="402">
        <v>42559.645833333336</v>
      </c>
      <c r="B1551">
        <v>77.400000000000006</v>
      </c>
      <c r="C1551">
        <f>$E$1*B1551</f>
        <v>429.97296660117877</v>
      </c>
    </row>
    <row r="1552" spans="1:3" x14ac:dyDescent="0.25">
      <c r="A1552" s="402">
        <v>42562.645833333336</v>
      </c>
      <c r="B1552">
        <v>77.7</v>
      </c>
      <c r="C1552">
        <f>$E$1*B1552</f>
        <v>431.63952848722982</v>
      </c>
    </row>
    <row r="1553" spans="1:3" x14ac:dyDescent="0.25">
      <c r="A1553" s="402">
        <v>42563.645833333336</v>
      </c>
      <c r="B1553">
        <v>77.349999999999994</v>
      </c>
      <c r="C1553">
        <f>$E$1*B1553</f>
        <v>429.69520628683688</v>
      </c>
    </row>
    <row r="1554" spans="1:3" x14ac:dyDescent="0.25">
      <c r="A1554" s="402">
        <v>42564.645833333336</v>
      </c>
      <c r="B1554">
        <v>76.55</v>
      </c>
      <c r="C1554">
        <f>$E$1*B1554</f>
        <v>425.25104125736732</v>
      </c>
    </row>
    <row r="1555" spans="1:3" x14ac:dyDescent="0.25">
      <c r="A1555" s="402">
        <v>42565.645833333336</v>
      </c>
      <c r="B1555">
        <v>76.400000000000006</v>
      </c>
      <c r="C1555">
        <f>$E$1*B1555</f>
        <v>424.41776031434182</v>
      </c>
    </row>
    <row r="1556" spans="1:3" x14ac:dyDescent="0.25">
      <c r="A1556" s="402">
        <v>42566.645833333336</v>
      </c>
      <c r="B1556">
        <v>74.7</v>
      </c>
      <c r="C1556">
        <f>$E$1*B1556</f>
        <v>414.97390962671903</v>
      </c>
    </row>
    <row r="1557" spans="1:3" x14ac:dyDescent="0.25">
      <c r="A1557" s="402">
        <v>42569.645833333336</v>
      </c>
      <c r="B1557">
        <v>72.8</v>
      </c>
      <c r="C1557">
        <f>$E$1*B1557</f>
        <v>404.41901768172886</v>
      </c>
    </row>
    <row r="1558" spans="1:3" x14ac:dyDescent="0.25">
      <c r="A1558" s="402">
        <v>42570.645833333336</v>
      </c>
      <c r="B1558">
        <v>72.5</v>
      </c>
      <c r="C1558">
        <f>$E$1*B1558</f>
        <v>402.75245579567775</v>
      </c>
    </row>
    <row r="1559" spans="1:3" x14ac:dyDescent="0.25">
      <c r="A1559" s="402">
        <v>42571.645833333336</v>
      </c>
      <c r="B1559">
        <v>74.5</v>
      </c>
      <c r="C1559">
        <f>$E$1*B1559</f>
        <v>413.86286836935165</v>
      </c>
    </row>
    <row r="1560" spans="1:3" x14ac:dyDescent="0.25">
      <c r="A1560" s="402">
        <v>42572.645833333336</v>
      </c>
      <c r="B1560">
        <v>74</v>
      </c>
      <c r="C1560">
        <f>$E$1*B1560</f>
        <v>411.0852652259332</v>
      </c>
    </row>
    <row r="1561" spans="1:3" x14ac:dyDescent="0.25">
      <c r="A1561" s="402">
        <v>42573.645833333336</v>
      </c>
      <c r="B1561">
        <v>73.650000000000006</v>
      </c>
      <c r="C1561">
        <f>$E$1*B1561</f>
        <v>409.14094302554025</v>
      </c>
    </row>
    <row r="1562" spans="1:3" x14ac:dyDescent="0.25">
      <c r="A1562" s="402">
        <v>42576.645833333336</v>
      </c>
      <c r="B1562">
        <v>74.95</v>
      </c>
      <c r="C1562">
        <f>$E$1*B1562</f>
        <v>416.36271119842826</v>
      </c>
    </row>
    <row r="1563" spans="1:3" x14ac:dyDescent="0.25">
      <c r="A1563" s="402">
        <v>42577.645833333336</v>
      </c>
      <c r="B1563">
        <v>73.75</v>
      </c>
      <c r="C1563">
        <f>$E$1*B1563</f>
        <v>409.69646365422392</v>
      </c>
    </row>
    <row r="1564" spans="1:3" x14ac:dyDescent="0.25">
      <c r="A1564" s="402">
        <v>42578.645833333336</v>
      </c>
      <c r="B1564">
        <v>73.150000000000006</v>
      </c>
      <c r="C1564">
        <f>$E$1*B1564</f>
        <v>406.36333988212181</v>
      </c>
    </row>
    <row r="1565" spans="1:3" x14ac:dyDescent="0.25">
      <c r="A1565" s="402">
        <v>42579.645833333336</v>
      </c>
      <c r="B1565">
        <v>72.849999999999994</v>
      </c>
      <c r="C1565">
        <f>$E$1*B1565</f>
        <v>404.69677799607064</v>
      </c>
    </row>
    <row r="1566" spans="1:3" x14ac:dyDescent="0.25">
      <c r="A1566" s="402">
        <v>42580.645833333336</v>
      </c>
      <c r="B1566">
        <v>72.75</v>
      </c>
      <c r="C1566">
        <f>$E$1*B1566</f>
        <v>404.14125736738703</v>
      </c>
    </row>
    <row r="1567" spans="1:3" x14ac:dyDescent="0.25">
      <c r="A1567" s="402">
        <v>42583.645833333336</v>
      </c>
      <c r="B1567">
        <v>74</v>
      </c>
      <c r="C1567">
        <f>$E$1*B1567</f>
        <v>411.0852652259332</v>
      </c>
    </row>
    <row r="1568" spans="1:3" x14ac:dyDescent="0.25">
      <c r="A1568" s="402">
        <v>42584.645833333336</v>
      </c>
      <c r="B1568">
        <v>77.650000000000006</v>
      </c>
      <c r="C1568">
        <f>$E$1*B1568</f>
        <v>431.36176817288799</v>
      </c>
    </row>
    <row r="1569" spans="1:3" x14ac:dyDescent="0.25">
      <c r="A1569" s="402">
        <v>42585.645833333336</v>
      </c>
      <c r="B1569">
        <v>74.599999999999994</v>
      </c>
      <c r="C1569">
        <f>$E$1*B1569</f>
        <v>414.41838899803531</v>
      </c>
    </row>
    <row r="1570" spans="1:3" x14ac:dyDescent="0.25">
      <c r="A1570" s="402">
        <v>42586.645833333336</v>
      </c>
      <c r="B1570">
        <v>77.5</v>
      </c>
      <c r="C1570">
        <f>$E$1*B1570</f>
        <v>430.52848722986244</v>
      </c>
    </row>
    <row r="1571" spans="1:3" x14ac:dyDescent="0.25">
      <c r="A1571" s="402">
        <v>42587.645833333336</v>
      </c>
      <c r="B1571">
        <v>75.7</v>
      </c>
      <c r="C1571">
        <f>$E$1*B1571</f>
        <v>420.52911591355598</v>
      </c>
    </row>
    <row r="1572" spans="1:3" x14ac:dyDescent="0.25">
      <c r="A1572" s="402">
        <v>42590.645833333336</v>
      </c>
      <c r="B1572">
        <v>73</v>
      </c>
      <c r="C1572">
        <f>$E$1*B1572</f>
        <v>405.53005893909625</v>
      </c>
    </row>
    <row r="1573" spans="1:3" x14ac:dyDescent="0.25">
      <c r="A1573" s="402">
        <v>42591.645833333336</v>
      </c>
      <c r="B1573">
        <v>73</v>
      </c>
      <c r="C1573">
        <f>$E$1*B1573</f>
        <v>405.53005893909625</v>
      </c>
    </row>
    <row r="1574" spans="1:3" x14ac:dyDescent="0.25">
      <c r="A1574" s="402">
        <v>42592.645833333336</v>
      </c>
      <c r="B1574">
        <v>71.45</v>
      </c>
      <c r="C1574">
        <f>$E$1*B1574</f>
        <v>396.91948919449902</v>
      </c>
    </row>
    <row r="1575" spans="1:3" x14ac:dyDescent="0.25">
      <c r="A1575" s="402">
        <v>42593.645833333336</v>
      </c>
      <c r="B1575">
        <v>70.75</v>
      </c>
      <c r="C1575">
        <f>$E$1*B1575</f>
        <v>393.03084479371313</v>
      </c>
    </row>
    <row r="1576" spans="1:3" x14ac:dyDescent="0.25">
      <c r="A1576" s="402">
        <v>42594.645833333336</v>
      </c>
      <c r="B1576">
        <v>71.55</v>
      </c>
      <c r="C1576">
        <f>$E$1*B1576</f>
        <v>397.47500982318269</v>
      </c>
    </row>
    <row r="1577" spans="1:3" x14ac:dyDescent="0.25">
      <c r="A1577" s="402">
        <v>42598.645833333336</v>
      </c>
      <c r="B1577">
        <v>70.3</v>
      </c>
      <c r="C1577">
        <f>$E$1*B1577</f>
        <v>390.53100196463652</v>
      </c>
    </row>
    <row r="1578" spans="1:3" x14ac:dyDescent="0.25">
      <c r="A1578" s="402">
        <v>42599.645833333336</v>
      </c>
      <c r="B1578">
        <v>70.7</v>
      </c>
      <c r="C1578">
        <f>$E$1*B1578</f>
        <v>392.7530844793713</v>
      </c>
    </row>
    <row r="1579" spans="1:3" x14ac:dyDescent="0.25">
      <c r="A1579" s="402">
        <v>42600.645833333336</v>
      </c>
      <c r="B1579">
        <v>69.400000000000006</v>
      </c>
      <c r="C1579">
        <f>$E$1*B1579</f>
        <v>385.53131630648329</v>
      </c>
    </row>
    <row r="1580" spans="1:3" x14ac:dyDescent="0.25">
      <c r="A1580" s="402">
        <v>42601.645833333336</v>
      </c>
      <c r="B1580">
        <v>71.3</v>
      </c>
      <c r="C1580">
        <f>$E$1*B1580</f>
        <v>396.08620825147341</v>
      </c>
    </row>
    <row r="1581" spans="1:3" x14ac:dyDescent="0.25">
      <c r="A1581" s="402">
        <v>42604.645833333336</v>
      </c>
      <c r="B1581">
        <v>68.8</v>
      </c>
      <c r="C1581">
        <f>$E$1*B1581</f>
        <v>382.19819253438112</v>
      </c>
    </row>
    <row r="1582" spans="1:3" x14ac:dyDescent="0.25">
      <c r="A1582" s="402">
        <v>42605.645833333336</v>
      </c>
      <c r="B1582">
        <v>67.5</v>
      </c>
      <c r="C1582">
        <f>$E$1*B1582</f>
        <v>374.97642436149312</v>
      </c>
    </row>
    <row r="1583" spans="1:3" x14ac:dyDescent="0.25">
      <c r="A1583" s="402">
        <v>42606.645833333336</v>
      </c>
      <c r="B1583">
        <v>70.400000000000006</v>
      </c>
      <c r="C1583">
        <f>$E$1*B1583</f>
        <v>391.08652259332024</v>
      </c>
    </row>
    <row r="1584" spans="1:3" x14ac:dyDescent="0.25">
      <c r="A1584" s="402">
        <v>42607.645833333336</v>
      </c>
      <c r="B1584">
        <v>70.400000000000006</v>
      </c>
      <c r="C1584">
        <f>$E$1*B1584</f>
        <v>391.08652259332024</v>
      </c>
    </row>
    <row r="1585" spans="1:3" x14ac:dyDescent="0.25">
      <c r="A1585" s="402">
        <v>42608.645833333336</v>
      </c>
      <c r="B1585">
        <v>69.55</v>
      </c>
      <c r="C1585">
        <f>$E$1*B1585</f>
        <v>386.36459724950879</v>
      </c>
    </row>
    <row r="1586" spans="1:3" x14ac:dyDescent="0.25">
      <c r="A1586" s="402">
        <v>42611.645833333336</v>
      </c>
      <c r="B1586">
        <v>67.05</v>
      </c>
      <c r="C1586">
        <f>$E$1*B1586</f>
        <v>372.47658153241645</v>
      </c>
    </row>
    <row r="1587" spans="1:3" x14ac:dyDescent="0.25">
      <c r="A1587" s="402">
        <v>42612.645833333336</v>
      </c>
      <c r="B1587">
        <v>67.900000000000006</v>
      </c>
      <c r="C1587">
        <f>$E$1*B1587</f>
        <v>377.1985068762279</v>
      </c>
    </row>
    <row r="1588" spans="1:3" x14ac:dyDescent="0.25">
      <c r="A1588" s="402">
        <v>42613.645833333336</v>
      </c>
      <c r="B1588">
        <v>67.8</v>
      </c>
      <c r="C1588">
        <f>$E$1*B1588</f>
        <v>376.64298624754417</v>
      </c>
    </row>
    <row r="1589" spans="1:3" x14ac:dyDescent="0.25">
      <c r="A1589" s="402">
        <v>42614.645833333336</v>
      </c>
      <c r="B1589">
        <v>67.55</v>
      </c>
      <c r="C1589">
        <f>$E$1*B1589</f>
        <v>375.25418467583495</v>
      </c>
    </row>
    <row r="1590" spans="1:3" x14ac:dyDescent="0.25">
      <c r="A1590" s="402">
        <v>42615.645833333336</v>
      </c>
      <c r="B1590">
        <v>73.349999999999994</v>
      </c>
      <c r="C1590">
        <f>$E$1*B1590</f>
        <v>407.47438113948914</v>
      </c>
    </row>
    <row r="1591" spans="1:3" x14ac:dyDescent="0.25">
      <c r="A1591" s="402">
        <v>42619.645833333336</v>
      </c>
      <c r="B1591">
        <v>72.099999999999994</v>
      </c>
      <c r="C1591">
        <f>$E$1*B1591</f>
        <v>400.53037328094297</v>
      </c>
    </row>
    <row r="1592" spans="1:3" x14ac:dyDescent="0.25">
      <c r="A1592" s="402">
        <v>42620.645833333336</v>
      </c>
      <c r="B1592">
        <v>70.900000000000006</v>
      </c>
      <c r="C1592">
        <f>$E$1*B1592</f>
        <v>393.86412573673869</v>
      </c>
    </row>
    <row r="1593" spans="1:3" x14ac:dyDescent="0.25">
      <c r="A1593" s="402">
        <v>42621.645833333336</v>
      </c>
      <c r="B1593">
        <v>72.75</v>
      </c>
      <c r="C1593">
        <f>$E$1*B1593</f>
        <v>404.14125736738703</v>
      </c>
    </row>
    <row r="1594" spans="1:3" x14ac:dyDescent="0.25">
      <c r="A1594" s="402">
        <v>42622.645833333336</v>
      </c>
      <c r="B1594">
        <v>71.2</v>
      </c>
      <c r="C1594">
        <f>$E$1*B1594</f>
        <v>395.53068762278974</v>
      </c>
    </row>
    <row r="1595" spans="1:3" x14ac:dyDescent="0.25">
      <c r="A1595" s="402">
        <v>42625.645833333336</v>
      </c>
      <c r="B1595">
        <v>67.650000000000006</v>
      </c>
      <c r="C1595">
        <f>$E$1*B1595</f>
        <v>375.80970530451867</v>
      </c>
    </row>
    <row r="1596" spans="1:3" x14ac:dyDescent="0.25">
      <c r="A1596" s="402">
        <v>42627.645833333336</v>
      </c>
      <c r="B1596">
        <v>68.900000000000006</v>
      </c>
      <c r="C1596">
        <f>$E$1*B1596</f>
        <v>382.75371316306484</v>
      </c>
    </row>
    <row r="1597" spans="1:3" x14ac:dyDescent="0.25">
      <c r="A1597" s="402">
        <v>42628.645833333336</v>
      </c>
      <c r="B1597">
        <v>70.650000000000006</v>
      </c>
      <c r="C1597">
        <f>$E$1*B1597</f>
        <v>392.47532416502946</v>
      </c>
    </row>
    <row r="1598" spans="1:3" x14ac:dyDescent="0.25">
      <c r="A1598" s="402">
        <v>42629.645833333336</v>
      </c>
      <c r="B1598">
        <v>69.2</v>
      </c>
      <c r="C1598">
        <f>$E$1*B1598</f>
        <v>384.4202750491159</v>
      </c>
    </row>
    <row r="1599" spans="1:3" x14ac:dyDescent="0.25">
      <c r="A1599" s="402">
        <v>42632.645833333336</v>
      </c>
      <c r="B1599">
        <v>69</v>
      </c>
      <c r="C1599">
        <f>$E$1*B1599</f>
        <v>383.30923379174851</v>
      </c>
    </row>
    <row r="1600" spans="1:3" x14ac:dyDescent="0.25">
      <c r="A1600" s="402">
        <v>42633.645833333336</v>
      </c>
      <c r="B1600">
        <v>69.400000000000006</v>
      </c>
      <c r="C1600">
        <f>$E$1*B1600</f>
        <v>385.53131630648329</v>
      </c>
    </row>
    <row r="1601" spans="1:3" x14ac:dyDescent="0.25">
      <c r="A1601" s="402">
        <v>42634.645833333336</v>
      </c>
      <c r="B1601">
        <v>73.099999999999994</v>
      </c>
      <c r="C1601">
        <f>$E$1*B1601</f>
        <v>406.08557956777992</v>
      </c>
    </row>
    <row r="1602" spans="1:3" x14ac:dyDescent="0.25">
      <c r="A1602" s="402">
        <v>42635.645833333336</v>
      </c>
      <c r="B1602">
        <v>76.75</v>
      </c>
      <c r="C1602">
        <f>$E$1*B1602</f>
        <v>426.36208251473477</v>
      </c>
    </row>
    <row r="1603" spans="1:3" x14ac:dyDescent="0.25">
      <c r="A1603" s="402">
        <v>42636.645833333336</v>
      </c>
      <c r="B1603">
        <v>74.400000000000006</v>
      </c>
      <c r="C1603">
        <f>$E$1*B1603</f>
        <v>413.30734774066798</v>
      </c>
    </row>
    <row r="1604" spans="1:3" x14ac:dyDescent="0.25">
      <c r="A1604" s="402">
        <v>42639.645833333336</v>
      </c>
      <c r="B1604">
        <v>71.95</v>
      </c>
      <c r="C1604">
        <f>$E$1*B1604</f>
        <v>399.69709233791747</v>
      </c>
    </row>
    <row r="1605" spans="1:3" x14ac:dyDescent="0.25">
      <c r="A1605" s="402">
        <v>42640.645833333336</v>
      </c>
      <c r="B1605">
        <v>71.849999999999994</v>
      </c>
      <c r="C1605">
        <f>$E$1*B1605</f>
        <v>399.14157170923374</v>
      </c>
    </row>
    <row r="1606" spans="1:3" x14ac:dyDescent="0.25">
      <c r="A1606" s="402">
        <v>42641.645833333336</v>
      </c>
      <c r="B1606">
        <v>74</v>
      </c>
      <c r="C1606">
        <f>$E$1*B1606</f>
        <v>411.0852652259332</v>
      </c>
    </row>
    <row r="1607" spans="1:3" x14ac:dyDescent="0.25">
      <c r="A1607" s="402">
        <v>42642.645833333336</v>
      </c>
      <c r="B1607">
        <v>68.400000000000006</v>
      </c>
      <c r="C1607">
        <f>$E$1*B1607</f>
        <v>379.97611001964634</v>
      </c>
    </row>
    <row r="1608" spans="1:3" x14ac:dyDescent="0.25">
      <c r="A1608" s="402">
        <v>42643.645833333336</v>
      </c>
      <c r="B1608">
        <v>69.5</v>
      </c>
      <c r="C1608">
        <f>$E$1*B1608</f>
        <v>386.08683693516696</v>
      </c>
    </row>
    <row r="1609" spans="1:3" x14ac:dyDescent="0.25">
      <c r="A1609" s="402">
        <v>42646.645833333336</v>
      </c>
      <c r="B1609">
        <v>71.099999999999994</v>
      </c>
      <c r="C1609">
        <f>$E$1*B1609</f>
        <v>394.97516699410602</v>
      </c>
    </row>
    <row r="1610" spans="1:3" x14ac:dyDescent="0.25">
      <c r="A1610" s="402">
        <v>42647.645833333336</v>
      </c>
      <c r="B1610">
        <v>71.099999999999994</v>
      </c>
      <c r="C1610">
        <f>$E$1*B1610</f>
        <v>394.97516699410602</v>
      </c>
    </row>
    <row r="1611" spans="1:3" x14ac:dyDescent="0.25">
      <c r="A1611" s="402">
        <v>42648.645833333336</v>
      </c>
      <c r="B1611">
        <v>71.55</v>
      </c>
      <c r="C1611">
        <f>$E$1*B1611</f>
        <v>397.47500982318269</v>
      </c>
    </row>
    <row r="1612" spans="1:3" x14ac:dyDescent="0.25">
      <c r="A1612" s="402">
        <v>42649.645833333336</v>
      </c>
      <c r="B1612">
        <v>70.5</v>
      </c>
      <c r="C1612">
        <f>$E$1*B1612</f>
        <v>391.64204322200391</v>
      </c>
    </row>
    <row r="1613" spans="1:3" x14ac:dyDescent="0.25">
      <c r="A1613" s="402">
        <v>42650.645833333336</v>
      </c>
      <c r="B1613">
        <v>69.849999999999994</v>
      </c>
      <c r="C1613">
        <f>$E$1*B1613</f>
        <v>388.03115913555985</v>
      </c>
    </row>
    <row r="1614" spans="1:3" x14ac:dyDescent="0.25">
      <c r="A1614" s="402">
        <v>42653.645833333336</v>
      </c>
      <c r="B1614">
        <v>70.150000000000006</v>
      </c>
      <c r="C1614">
        <f>$E$1*B1614</f>
        <v>389.69772102161102</v>
      </c>
    </row>
    <row r="1615" spans="1:3" x14ac:dyDescent="0.25">
      <c r="A1615" s="402">
        <v>42656.645833333336</v>
      </c>
      <c r="B1615">
        <v>69.3</v>
      </c>
      <c r="C1615">
        <f>$E$1*B1615</f>
        <v>384.97579567779957</v>
      </c>
    </row>
    <row r="1616" spans="1:3" x14ac:dyDescent="0.25">
      <c r="A1616" s="402">
        <v>42657.645833333336</v>
      </c>
      <c r="B1616">
        <v>69.400000000000006</v>
      </c>
      <c r="C1616">
        <f>$E$1*B1616</f>
        <v>385.53131630648329</v>
      </c>
    </row>
    <row r="1617" spans="1:3" x14ac:dyDescent="0.25">
      <c r="A1617" s="402">
        <v>42660.645833333336</v>
      </c>
      <c r="B1617">
        <v>69.400000000000006</v>
      </c>
      <c r="C1617">
        <f>$E$1*B1617</f>
        <v>385.53131630648329</v>
      </c>
    </row>
    <row r="1618" spans="1:3" x14ac:dyDescent="0.25">
      <c r="A1618" s="402">
        <v>42661.645833333336</v>
      </c>
      <c r="B1618">
        <v>69.8</v>
      </c>
      <c r="C1618">
        <f>$E$1*B1618</f>
        <v>387.75339882121801</v>
      </c>
    </row>
    <row r="1619" spans="1:3" x14ac:dyDescent="0.25">
      <c r="A1619" s="402">
        <v>42662.645833333336</v>
      </c>
      <c r="B1619">
        <v>70.900000000000006</v>
      </c>
      <c r="C1619">
        <f>$E$1*B1619</f>
        <v>393.86412573673869</v>
      </c>
    </row>
    <row r="1620" spans="1:3" x14ac:dyDescent="0.25">
      <c r="A1620" s="402">
        <v>42663.645833333336</v>
      </c>
      <c r="B1620">
        <v>72</v>
      </c>
      <c r="C1620">
        <f>$E$1*B1620</f>
        <v>399.9748526522593</v>
      </c>
    </row>
    <row r="1621" spans="1:3" x14ac:dyDescent="0.25">
      <c r="A1621" s="402">
        <v>42664.645833333336</v>
      </c>
      <c r="B1621">
        <v>72</v>
      </c>
      <c r="C1621">
        <f>$E$1*B1621</f>
        <v>399.9748526522593</v>
      </c>
    </row>
    <row r="1622" spans="1:3" x14ac:dyDescent="0.25">
      <c r="A1622" s="402">
        <v>42667.645833333336</v>
      </c>
      <c r="B1622">
        <v>71.099999999999994</v>
      </c>
      <c r="C1622">
        <f>$E$1*B1622</f>
        <v>394.97516699410602</v>
      </c>
    </row>
    <row r="1623" spans="1:3" x14ac:dyDescent="0.25">
      <c r="A1623" s="402">
        <v>42668.645833333336</v>
      </c>
      <c r="B1623">
        <v>71</v>
      </c>
      <c r="C1623">
        <f>$E$1*B1623</f>
        <v>394.41964636542235</v>
      </c>
    </row>
    <row r="1624" spans="1:3" x14ac:dyDescent="0.25">
      <c r="A1624" s="402">
        <v>42669.645833333336</v>
      </c>
      <c r="B1624">
        <v>71.150000000000006</v>
      </c>
      <c r="C1624">
        <f>$E$1*B1624</f>
        <v>395.25292730844797</v>
      </c>
    </row>
    <row r="1625" spans="1:3" x14ac:dyDescent="0.25">
      <c r="A1625" s="402">
        <v>42670.645833333336</v>
      </c>
      <c r="B1625">
        <v>70.400000000000006</v>
      </c>
      <c r="C1625">
        <f>$E$1*B1625</f>
        <v>391.08652259332024</v>
      </c>
    </row>
    <row r="1626" spans="1:3" x14ac:dyDescent="0.25">
      <c r="A1626" s="402">
        <v>42671.645833333336</v>
      </c>
      <c r="B1626">
        <v>74</v>
      </c>
      <c r="C1626">
        <f>$E$1*B1626</f>
        <v>411.0852652259332</v>
      </c>
    </row>
    <row r="1627" spans="1:3" x14ac:dyDescent="0.25">
      <c r="A1627" s="402">
        <v>42675.645833333336</v>
      </c>
      <c r="B1627">
        <v>76.349999999999994</v>
      </c>
      <c r="C1627">
        <f>$E$1*B1627</f>
        <v>424.13999999999993</v>
      </c>
    </row>
    <row r="1628" spans="1:3" x14ac:dyDescent="0.25">
      <c r="A1628" s="402">
        <v>42676.645833333336</v>
      </c>
      <c r="B1628">
        <v>73.400000000000006</v>
      </c>
      <c r="C1628">
        <f>$E$1*B1628</f>
        <v>407.75214145383103</v>
      </c>
    </row>
    <row r="1629" spans="1:3" x14ac:dyDescent="0.25">
      <c r="A1629" s="402">
        <v>42677.645833333336</v>
      </c>
      <c r="B1629">
        <v>73.099999999999994</v>
      </c>
      <c r="C1629">
        <f>$E$1*B1629</f>
        <v>406.08557956777992</v>
      </c>
    </row>
    <row r="1630" spans="1:3" x14ac:dyDescent="0.25">
      <c r="A1630" s="402">
        <v>42678.645833333336</v>
      </c>
      <c r="B1630">
        <v>71.650000000000006</v>
      </c>
      <c r="C1630">
        <f>$E$1*B1630</f>
        <v>398.03053045186641</v>
      </c>
    </row>
    <row r="1631" spans="1:3" x14ac:dyDescent="0.25">
      <c r="A1631" s="402">
        <v>42681.645833333336</v>
      </c>
      <c r="B1631">
        <v>73.5</v>
      </c>
      <c r="C1631">
        <f>$E$1*B1631</f>
        <v>408.3076620825147</v>
      </c>
    </row>
    <row r="1632" spans="1:3" x14ac:dyDescent="0.25">
      <c r="A1632" s="402">
        <v>42682.645833333336</v>
      </c>
      <c r="B1632">
        <v>74</v>
      </c>
      <c r="C1632">
        <f>$E$1*B1632</f>
        <v>411.0852652259332</v>
      </c>
    </row>
    <row r="1633" spans="1:3" x14ac:dyDescent="0.25">
      <c r="A1633" s="402">
        <v>42683.645833333336</v>
      </c>
      <c r="B1633">
        <v>72.2</v>
      </c>
      <c r="C1633">
        <f>$E$1*B1633</f>
        <v>401.08589390962669</v>
      </c>
    </row>
    <row r="1634" spans="1:3" x14ac:dyDescent="0.25">
      <c r="A1634" s="402">
        <v>42684.645833333336</v>
      </c>
      <c r="B1634">
        <v>74</v>
      </c>
      <c r="C1634">
        <f>$E$1*B1634</f>
        <v>411.0852652259332</v>
      </c>
    </row>
    <row r="1635" spans="1:3" x14ac:dyDescent="0.25">
      <c r="A1635" s="402">
        <v>42685.645833333336</v>
      </c>
      <c r="B1635">
        <v>70</v>
      </c>
      <c r="C1635">
        <f>$E$1*B1635</f>
        <v>388.8644400785854</v>
      </c>
    </row>
    <row r="1636" spans="1:3" x14ac:dyDescent="0.25">
      <c r="A1636" s="402">
        <v>42689.645833333336</v>
      </c>
      <c r="B1636">
        <v>67.5</v>
      </c>
      <c r="C1636">
        <f>$E$1*B1636</f>
        <v>374.97642436149312</v>
      </c>
    </row>
    <row r="1637" spans="1:3" x14ac:dyDescent="0.25">
      <c r="A1637" s="402">
        <v>42690.645833333336</v>
      </c>
      <c r="B1637">
        <v>68.75</v>
      </c>
      <c r="C1637">
        <f>$E$1*B1637</f>
        <v>381.92043222003929</v>
      </c>
    </row>
    <row r="1638" spans="1:3" x14ac:dyDescent="0.25">
      <c r="A1638" s="402">
        <v>42691.645833333336</v>
      </c>
      <c r="B1638">
        <v>68</v>
      </c>
      <c r="C1638">
        <f>$E$1*B1638</f>
        <v>377.75402750491156</v>
      </c>
    </row>
    <row r="1639" spans="1:3" x14ac:dyDescent="0.25">
      <c r="A1639" s="402">
        <v>42692.645833333336</v>
      </c>
      <c r="B1639">
        <v>67.5</v>
      </c>
      <c r="C1639">
        <f>$E$1*B1639</f>
        <v>374.97642436149312</v>
      </c>
    </row>
    <row r="1640" spans="1:3" x14ac:dyDescent="0.25">
      <c r="A1640" s="402">
        <v>42695.645833333336</v>
      </c>
      <c r="B1640">
        <v>62.45</v>
      </c>
      <c r="C1640">
        <f>$E$1*B1640</f>
        <v>346.92263261296659</v>
      </c>
    </row>
    <row r="1641" spans="1:3" x14ac:dyDescent="0.25">
      <c r="A1641" s="402">
        <v>42696.645833333336</v>
      </c>
      <c r="B1641">
        <v>64</v>
      </c>
      <c r="C1641">
        <f>$E$1*B1641</f>
        <v>355.53320235756382</v>
      </c>
    </row>
    <row r="1642" spans="1:3" x14ac:dyDescent="0.25">
      <c r="A1642" s="402">
        <v>42697.645833333336</v>
      </c>
      <c r="B1642">
        <v>66.599999999999994</v>
      </c>
      <c r="C1642">
        <f>$E$1*B1642</f>
        <v>369.97673870333983</v>
      </c>
    </row>
    <row r="1643" spans="1:3" x14ac:dyDescent="0.25">
      <c r="A1643" s="402">
        <v>42698.645833333336</v>
      </c>
      <c r="B1643">
        <v>67.05</v>
      </c>
      <c r="C1643">
        <f>$E$1*B1643</f>
        <v>372.47658153241645</v>
      </c>
    </row>
    <row r="1644" spans="1:3" x14ac:dyDescent="0.25">
      <c r="A1644" s="402">
        <v>42699.645833333336</v>
      </c>
      <c r="B1644">
        <v>67.7</v>
      </c>
      <c r="C1644">
        <f>$E$1*B1644</f>
        <v>376.08746561886051</v>
      </c>
    </row>
    <row r="1645" spans="1:3" x14ac:dyDescent="0.25">
      <c r="A1645" s="402">
        <v>42702.645833333336</v>
      </c>
      <c r="B1645">
        <v>68.5</v>
      </c>
      <c r="C1645">
        <f>$E$1*B1645</f>
        <v>380.53163064833001</v>
      </c>
    </row>
    <row r="1646" spans="1:3" x14ac:dyDescent="0.25">
      <c r="A1646" s="402">
        <v>42703.645833333336</v>
      </c>
      <c r="B1646">
        <v>69</v>
      </c>
      <c r="C1646">
        <f>$E$1*B1646</f>
        <v>383.30923379174851</v>
      </c>
    </row>
    <row r="1647" spans="1:3" x14ac:dyDescent="0.25">
      <c r="A1647" s="402">
        <v>42704.645833333336</v>
      </c>
      <c r="B1647">
        <v>72.150000000000006</v>
      </c>
      <c r="C1647">
        <f>$E$1*B1647</f>
        <v>400.80813359528486</v>
      </c>
    </row>
    <row r="1648" spans="1:3" x14ac:dyDescent="0.25">
      <c r="A1648" s="402">
        <v>42705.645833333336</v>
      </c>
      <c r="B1648">
        <v>71.900000000000006</v>
      </c>
      <c r="C1648">
        <f>$E$1*B1648</f>
        <v>399.41933202357563</v>
      </c>
    </row>
    <row r="1649" spans="1:3" x14ac:dyDescent="0.25">
      <c r="A1649" s="402">
        <v>42706.645833333336</v>
      </c>
      <c r="B1649">
        <v>70.45</v>
      </c>
      <c r="C1649">
        <f>$E$1*B1649</f>
        <v>391.36428290766207</v>
      </c>
    </row>
    <row r="1650" spans="1:3" x14ac:dyDescent="0.25">
      <c r="A1650" s="402">
        <v>42709.645833333336</v>
      </c>
      <c r="B1650">
        <v>70</v>
      </c>
      <c r="C1650">
        <f>$E$1*B1650</f>
        <v>388.8644400785854</v>
      </c>
    </row>
    <row r="1651" spans="1:3" x14ac:dyDescent="0.25">
      <c r="A1651" s="402">
        <v>42710.645833333336</v>
      </c>
      <c r="B1651">
        <v>69.75</v>
      </c>
      <c r="C1651">
        <f>$E$1*B1651</f>
        <v>387.47563850687618</v>
      </c>
    </row>
    <row r="1652" spans="1:3" x14ac:dyDescent="0.25">
      <c r="A1652" s="402">
        <v>42711.645833333336</v>
      </c>
      <c r="B1652">
        <v>70.3</v>
      </c>
      <c r="C1652">
        <f>$E$1*B1652</f>
        <v>390.53100196463652</v>
      </c>
    </row>
    <row r="1653" spans="1:3" x14ac:dyDescent="0.25">
      <c r="A1653" s="402">
        <v>42712.645833333336</v>
      </c>
      <c r="B1653">
        <v>71.25</v>
      </c>
      <c r="C1653">
        <f>$E$1*B1653</f>
        <v>395.80844793713158</v>
      </c>
    </row>
    <row r="1654" spans="1:3" x14ac:dyDescent="0.25">
      <c r="A1654" s="402">
        <v>42713.645833333336</v>
      </c>
      <c r="B1654">
        <v>70.150000000000006</v>
      </c>
      <c r="C1654">
        <f>$E$1*B1654</f>
        <v>389.69772102161102</v>
      </c>
    </row>
    <row r="1655" spans="1:3" x14ac:dyDescent="0.25">
      <c r="A1655" s="402">
        <v>42716.645833333336</v>
      </c>
      <c r="B1655">
        <v>69.150000000000006</v>
      </c>
      <c r="C1655">
        <f>$E$1*B1655</f>
        <v>384.14251473477407</v>
      </c>
    </row>
    <row r="1656" spans="1:3" x14ac:dyDescent="0.25">
      <c r="A1656" s="402">
        <v>42717.645833333336</v>
      </c>
      <c r="B1656">
        <v>69.099999999999994</v>
      </c>
      <c r="C1656">
        <f>$E$1*B1656</f>
        <v>383.86475442043218</v>
      </c>
    </row>
    <row r="1657" spans="1:3" x14ac:dyDescent="0.25">
      <c r="A1657" s="402">
        <v>42718.645833333336</v>
      </c>
      <c r="B1657">
        <v>68.099999999999994</v>
      </c>
      <c r="C1657">
        <f>$E$1*B1657</f>
        <v>378.30954813359523</v>
      </c>
    </row>
    <row r="1658" spans="1:3" x14ac:dyDescent="0.25">
      <c r="A1658" s="402">
        <v>42719.645833333336</v>
      </c>
      <c r="B1658">
        <v>66.900000000000006</v>
      </c>
      <c r="C1658">
        <f>$E$1*B1658</f>
        <v>371.64330058939095</v>
      </c>
    </row>
    <row r="1659" spans="1:3" x14ac:dyDescent="0.25">
      <c r="A1659" s="402">
        <v>42720.645833333336</v>
      </c>
      <c r="B1659">
        <v>68.650000000000006</v>
      </c>
      <c r="C1659">
        <f>$E$1*B1659</f>
        <v>381.36491159135562</v>
      </c>
    </row>
    <row r="1660" spans="1:3" x14ac:dyDescent="0.25">
      <c r="A1660" s="402">
        <v>42723.645833333336</v>
      </c>
      <c r="B1660">
        <v>72.25</v>
      </c>
      <c r="C1660">
        <f>$E$1*B1660</f>
        <v>401.36365422396852</v>
      </c>
    </row>
    <row r="1661" spans="1:3" x14ac:dyDescent="0.25">
      <c r="A1661" s="402">
        <v>42724.645833333336</v>
      </c>
      <c r="B1661">
        <v>70</v>
      </c>
      <c r="C1661">
        <f>$E$1*B1661</f>
        <v>388.8644400785854</v>
      </c>
    </row>
    <row r="1662" spans="1:3" x14ac:dyDescent="0.25">
      <c r="A1662" s="402">
        <v>42725.645833333336</v>
      </c>
      <c r="B1662">
        <v>69.400000000000006</v>
      </c>
      <c r="C1662">
        <f>$E$1*B1662</f>
        <v>385.53131630648329</v>
      </c>
    </row>
    <row r="1663" spans="1:3" x14ac:dyDescent="0.25">
      <c r="A1663" s="402">
        <v>42726.645833333336</v>
      </c>
      <c r="B1663">
        <v>68.150000000000006</v>
      </c>
      <c r="C1663">
        <f>$E$1*B1663</f>
        <v>378.58730844793712</v>
      </c>
    </row>
    <row r="1664" spans="1:3" x14ac:dyDescent="0.25">
      <c r="A1664" s="402">
        <v>42727.645833333336</v>
      </c>
      <c r="B1664">
        <v>67.5</v>
      </c>
      <c r="C1664">
        <f>$E$1*B1664</f>
        <v>374.97642436149312</v>
      </c>
    </row>
    <row r="1665" spans="1:3" x14ac:dyDescent="0.25">
      <c r="A1665" s="402">
        <v>42730.645833333336</v>
      </c>
      <c r="B1665">
        <v>66.900000000000006</v>
      </c>
      <c r="C1665">
        <f>$E$1*B1665</f>
        <v>371.64330058939095</v>
      </c>
    </row>
    <row r="1666" spans="1:3" x14ac:dyDescent="0.25">
      <c r="A1666" s="402">
        <v>42731.645833333336</v>
      </c>
      <c r="B1666">
        <v>67.3</v>
      </c>
      <c r="C1666">
        <f>$E$1*B1666</f>
        <v>373.86538310412567</v>
      </c>
    </row>
    <row r="1667" spans="1:3" x14ac:dyDescent="0.25">
      <c r="A1667" s="402">
        <v>42732.645833333336</v>
      </c>
      <c r="B1667">
        <v>67.650000000000006</v>
      </c>
      <c r="C1667">
        <f>$E$1*B1667</f>
        <v>375.80970530451867</v>
      </c>
    </row>
    <row r="1668" spans="1:3" x14ac:dyDescent="0.25">
      <c r="A1668" s="402">
        <v>42733.645833333336</v>
      </c>
      <c r="B1668">
        <v>69</v>
      </c>
      <c r="C1668">
        <f>$E$1*B1668</f>
        <v>383.30923379174851</v>
      </c>
    </row>
    <row r="1669" spans="1:3" x14ac:dyDescent="0.25">
      <c r="A1669" s="402">
        <v>42734.645833333336</v>
      </c>
      <c r="B1669">
        <v>69.099999999999994</v>
      </c>
      <c r="C1669">
        <f>$E$1*B1669</f>
        <v>383.86475442043218</v>
      </c>
    </row>
    <row r="1670" spans="1:3" x14ac:dyDescent="0.25">
      <c r="A1670" s="402">
        <v>42737.645833333336</v>
      </c>
      <c r="B1670">
        <v>71.5</v>
      </c>
      <c r="C1670">
        <f>$E$1*B1670</f>
        <v>397.19724950884086</v>
      </c>
    </row>
    <row r="1671" spans="1:3" x14ac:dyDescent="0.25">
      <c r="A1671" s="402">
        <v>42738.645833333336</v>
      </c>
      <c r="B1671">
        <v>72.150000000000006</v>
      </c>
      <c r="C1671">
        <f>$E$1*B1671</f>
        <v>400.80813359528486</v>
      </c>
    </row>
    <row r="1672" spans="1:3" x14ac:dyDescent="0.25">
      <c r="A1672" s="402">
        <v>42739.645833333336</v>
      </c>
      <c r="B1672">
        <v>72.349999999999994</v>
      </c>
      <c r="C1672">
        <f>$E$1*B1672</f>
        <v>401.91917485265219</v>
      </c>
    </row>
    <row r="1673" spans="1:3" x14ac:dyDescent="0.25">
      <c r="A1673" s="402">
        <v>42740.645833333336</v>
      </c>
      <c r="B1673">
        <v>72.05</v>
      </c>
      <c r="C1673">
        <f>$E$1*B1673</f>
        <v>400.25261296660113</v>
      </c>
    </row>
    <row r="1674" spans="1:3" x14ac:dyDescent="0.25">
      <c r="A1674" s="402">
        <v>42741.645833333336</v>
      </c>
      <c r="B1674">
        <v>72.8</v>
      </c>
      <c r="C1674">
        <f>$E$1*B1674</f>
        <v>404.41901768172886</v>
      </c>
    </row>
    <row r="1675" spans="1:3" x14ac:dyDescent="0.25">
      <c r="A1675" s="402">
        <v>42744.645833333336</v>
      </c>
      <c r="B1675">
        <v>73.3</v>
      </c>
      <c r="C1675">
        <f>$E$1*B1675</f>
        <v>407.19662082514731</v>
      </c>
    </row>
    <row r="1676" spans="1:3" x14ac:dyDescent="0.25">
      <c r="A1676" s="402">
        <v>42745.645833333336</v>
      </c>
      <c r="B1676">
        <v>76.25</v>
      </c>
      <c r="C1676">
        <f>$E$1*B1676</f>
        <v>423.58447937131626</v>
      </c>
    </row>
    <row r="1677" spans="1:3" x14ac:dyDescent="0.25">
      <c r="A1677" s="402">
        <v>42746.645833333336</v>
      </c>
      <c r="B1677">
        <v>78.55</v>
      </c>
      <c r="C1677">
        <f>$E$1*B1677</f>
        <v>436.36145383104122</v>
      </c>
    </row>
    <row r="1678" spans="1:3" x14ac:dyDescent="0.25">
      <c r="A1678" s="402">
        <v>42747.645833333336</v>
      </c>
      <c r="B1678">
        <v>80</v>
      </c>
      <c r="C1678">
        <f>$E$1*B1678</f>
        <v>444.41650294695478</v>
      </c>
    </row>
    <row r="1679" spans="1:3" x14ac:dyDescent="0.25">
      <c r="A1679" s="402">
        <v>42748.645833333336</v>
      </c>
      <c r="B1679">
        <v>78.95</v>
      </c>
      <c r="C1679">
        <f>$E$1*B1679</f>
        <v>438.583536345776</v>
      </c>
    </row>
    <row r="1680" spans="1:3" x14ac:dyDescent="0.25">
      <c r="A1680" s="402">
        <v>42751.645833333336</v>
      </c>
      <c r="B1680">
        <v>79</v>
      </c>
      <c r="C1680">
        <f>$E$1*B1680</f>
        <v>438.86129666011783</v>
      </c>
    </row>
    <row r="1681" spans="1:3" x14ac:dyDescent="0.25">
      <c r="A1681" s="402">
        <v>42752.645833333336</v>
      </c>
      <c r="B1681">
        <v>78</v>
      </c>
      <c r="C1681">
        <f>$E$1*B1681</f>
        <v>433.30609037328088</v>
      </c>
    </row>
    <row r="1682" spans="1:3" x14ac:dyDescent="0.25">
      <c r="A1682" s="402">
        <v>42753.645833333336</v>
      </c>
      <c r="B1682">
        <v>78.2</v>
      </c>
      <c r="C1682">
        <f>$E$1*B1682</f>
        <v>434.41713163064833</v>
      </c>
    </row>
    <row r="1683" spans="1:3" x14ac:dyDescent="0.25">
      <c r="A1683" s="402">
        <v>42754.645833333336</v>
      </c>
      <c r="B1683">
        <v>78.25</v>
      </c>
      <c r="C1683">
        <f>$E$1*B1683</f>
        <v>434.69489194499016</v>
      </c>
    </row>
    <row r="1684" spans="1:3" x14ac:dyDescent="0.25">
      <c r="A1684" s="402">
        <v>42755.645833333336</v>
      </c>
      <c r="B1684">
        <v>79.5</v>
      </c>
      <c r="C1684">
        <f>$E$1*B1684</f>
        <v>441.63889980353633</v>
      </c>
    </row>
    <row r="1685" spans="1:3" x14ac:dyDescent="0.25">
      <c r="A1685" s="402">
        <v>42758.645833333336</v>
      </c>
      <c r="B1685">
        <v>79.3</v>
      </c>
      <c r="C1685">
        <f>$E$1*B1685</f>
        <v>440.52785854616889</v>
      </c>
    </row>
    <row r="1686" spans="1:3" x14ac:dyDescent="0.25">
      <c r="A1686" s="402">
        <v>42759.645833333336</v>
      </c>
      <c r="B1686">
        <v>79.05</v>
      </c>
      <c r="C1686">
        <f>$E$1*B1686</f>
        <v>439.13905697445966</v>
      </c>
    </row>
    <row r="1687" spans="1:3" x14ac:dyDescent="0.25">
      <c r="A1687" s="402">
        <v>42760.645833333336</v>
      </c>
      <c r="B1687">
        <v>79.75</v>
      </c>
      <c r="C1687">
        <f>$E$1*B1687</f>
        <v>443.02770137524556</v>
      </c>
    </row>
    <row r="1688" spans="1:3" x14ac:dyDescent="0.25">
      <c r="A1688" s="402">
        <v>42762.645833333336</v>
      </c>
      <c r="B1688">
        <v>79.75</v>
      </c>
      <c r="C1688">
        <f>$E$1*B1688</f>
        <v>443.02770137524556</v>
      </c>
    </row>
    <row r="1689" spans="1:3" x14ac:dyDescent="0.25">
      <c r="A1689" s="402">
        <v>42765.645833333336</v>
      </c>
      <c r="B1689">
        <v>79.900000000000006</v>
      </c>
      <c r="C1689">
        <f>$E$1*B1689</f>
        <v>443.86098231827111</v>
      </c>
    </row>
    <row r="1690" spans="1:3" x14ac:dyDescent="0.25">
      <c r="A1690" s="402">
        <v>42766.645833333336</v>
      </c>
      <c r="B1690">
        <v>77.25</v>
      </c>
      <c r="C1690">
        <f>$E$1*B1690</f>
        <v>429.13968565815321</v>
      </c>
    </row>
    <row r="1691" spans="1:3" x14ac:dyDescent="0.25">
      <c r="A1691" s="402">
        <v>42767.645833333336</v>
      </c>
      <c r="B1691">
        <v>79.3</v>
      </c>
      <c r="C1691">
        <f>$E$1*B1691</f>
        <v>440.52785854616889</v>
      </c>
    </row>
    <row r="1692" spans="1:3" x14ac:dyDescent="0.25">
      <c r="A1692" s="402">
        <v>42768.645833333336</v>
      </c>
      <c r="B1692">
        <v>80.8</v>
      </c>
      <c r="C1692">
        <f>$E$1*B1692</f>
        <v>448.86066797642434</v>
      </c>
    </row>
    <row r="1693" spans="1:3" x14ac:dyDescent="0.25">
      <c r="A1693" s="402">
        <v>42769.645833333336</v>
      </c>
      <c r="B1693">
        <v>86</v>
      </c>
      <c r="C1693">
        <f>$E$1*B1693</f>
        <v>477.74774066797636</v>
      </c>
    </row>
    <row r="1694" spans="1:3" x14ac:dyDescent="0.25">
      <c r="A1694" s="402">
        <v>42772.645833333336</v>
      </c>
      <c r="B1694">
        <v>86.7</v>
      </c>
      <c r="C1694">
        <f>$E$1*B1694</f>
        <v>481.63638506876225</v>
      </c>
    </row>
    <row r="1695" spans="1:3" x14ac:dyDescent="0.25">
      <c r="A1695" s="402">
        <v>42773.645833333336</v>
      </c>
      <c r="B1695">
        <v>87.05</v>
      </c>
      <c r="C1695">
        <f>$E$1*B1695</f>
        <v>483.58070726915514</v>
      </c>
    </row>
    <row r="1696" spans="1:3" x14ac:dyDescent="0.25">
      <c r="A1696" s="402">
        <v>42774.645833333336</v>
      </c>
      <c r="B1696">
        <v>88.4</v>
      </c>
      <c r="C1696">
        <f>$E$1*B1696</f>
        <v>491.08023575638504</v>
      </c>
    </row>
    <row r="1697" spans="1:3" x14ac:dyDescent="0.25">
      <c r="A1697" s="402">
        <v>42775.645833333336</v>
      </c>
      <c r="B1697">
        <v>86.8</v>
      </c>
      <c r="C1697">
        <f>$E$1*B1697</f>
        <v>482.19190569744592</v>
      </c>
    </row>
    <row r="1698" spans="1:3" x14ac:dyDescent="0.25">
      <c r="A1698" s="402">
        <v>42776.645833333336</v>
      </c>
      <c r="B1698">
        <v>85.05</v>
      </c>
      <c r="C1698">
        <f>$E$1*B1698</f>
        <v>472.4702946954813</v>
      </c>
    </row>
    <row r="1699" spans="1:3" x14ac:dyDescent="0.25">
      <c r="A1699" s="402">
        <v>42779.645833333336</v>
      </c>
      <c r="B1699">
        <v>83.4</v>
      </c>
      <c r="C1699">
        <f>$E$1*B1699</f>
        <v>463.30420432220041</v>
      </c>
    </row>
    <row r="1700" spans="1:3" x14ac:dyDescent="0.25">
      <c r="A1700" s="402">
        <v>42780.645833333336</v>
      </c>
      <c r="B1700">
        <v>93.8</v>
      </c>
      <c r="C1700">
        <f>$E$1*B1700</f>
        <v>521.0783497053045</v>
      </c>
    </row>
    <row r="1701" spans="1:3" x14ac:dyDescent="0.25">
      <c r="A1701" s="402">
        <v>42781.645833333336</v>
      </c>
      <c r="B1701">
        <v>93.3</v>
      </c>
      <c r="C1701">
        <f>$E$1*B1701</f>
        <v>518.30074656188594</v>
      </c>
    </row>
    <row r="1702" spans="1:3" x14ac:dyDescent="0.25">
      <c r="A1702" s="402">
        <v>42782.645833333336</v>
      </c>
      <c r="B1702">
        <v>97.15</v>
      </c>
      <c r="C1702">
        <f>$E$1*B1702</f>
        <v>539.6882907662083</v>
      </c>
    </row>
    <row r="1703" spans="1:3" x14ac:dyDescent="0.25">
      <c r="A1703" s="402">
        <v>42783.645833333336</v>
      </c>
      <c r="B1703">
        <v>96</v>
      </c>
      <c r="C1703">
        <f>$E$1*B1703</f>
        <v>533.29980353634573</v>
      </c>
    </row>
    <row r="1704" spans="1:3" x14ac:dyDescent="0.25">
      <c r="A1704" s="402">
        <v>42786.645833333336</v>
      </c>
      <c r="B1704">
        <v>98.15</v>
      </c>
      <c r="C1704">
        <f>$E$1*B1704</f>
        <v>545.24349705304519</v>
      </c>
    </row>
    <row r="1705" spans="1:3" x14ac:dyDescent="0.25">
      <c r="A1705" s="402">
        <v>42787.645833333336</v>
      </c>
      <c r="B1705">
        <v>98.4</v>
      </c>
      <c r="C1705">
        <f>$E$1*B1705</f>
        <v>546.63229862475441</v>
      </c>
    </row>
    <row r="1706" spans="1:3" x14ac:dyDescent="0.25">
      <c r="A1706" s="402">
        <v>42788.645833333336</v>
      </c>
      <c r="B1706">
        <v>98</v>
      </c>
      <c r="C1706">
        <f>$E$1*B1706</f>
        <v>544.41021611001963</v>
      </c>
    </row>
    <row r="1707" spans="1:3" x14ac:dyDescent="0.25">
      <c r="A1707" s="402">
        <v>42789.645833333336</v>
      </c>
      <c r="B1707">
        <v>100</v>
      </c>
      <c r="C1707">
        <f>$E$1*B1707</f>
        <v>555.52062868369353</v>
      </c>
    </row>
    <row r="1708" spans="1:3" x14ac:dyDescent="0.25">
      <c r="A1708" s="402">
        <v>42793.645833333336</v>
      </c>
      <c r="B1708">
        <v>98.25</v>
      </c>
      <c r="C1708">
        <f>$E$1*B1708</f>
        <v>545.79901768172886</v>
      </c>
    </row>
    <row r="1709" spans="1:3" x14ac:dyDescent="0.25">
      <c r="A1709" s="402">
        <v>42794.645833333336</v>
      </c>
      <c r="B1709">
        <v>96.8</v>
      </c>
      <c r="C1709">
        <f>$E$1*B1709</f>
        <v>537.74396856581529</v>
      </c>
    </row>
    <row r="1710" spans="1:3" x14ac:dyDescent="0.25">
      <c r="A1710" s="402">
        <v>42795.645833333336</v>
      </c>
      <c r="B1710">
        <v>98</v>
      </c>
      <c r="C1710">
        <f>$E$1*B1710</f>
        <v>544.41021611001963</v>
      </c>
    </row>
    <row r="1711" spans="1:3" x14ac:dyDescent="0.25">
      <c r="A1711" s="402">
        <v>42796.645833333336</v>
      </c>
      <c r="B1711">
        <v>94.65</v>
      </c>
      <c r="C1711">
        <f>$E$1*B1711</f>
        <v>525.80027504911595</v>
      </c>
    </row>
    <row r="1712" spans="1:3" x14ac:dyDescent="0.25">
      <c r="A1712" s="402">
        <v>42797.645833333336</v>
      </c>
      <c r="B1712">
        <v>93.9</v>
      </c>
      <c r="C1712">
        <f>$E$1*B1712</f>
        <v>521.63387033398817</v>
      </c>
    </row>
    <row r="1713" spans="1:3" x14ac:dyDescent="0.25">
      <c r="A1713" s="402">
        <v>42800.645833333336</v>
      </c>
      <c r="B1713">
        <v>94.5</v>
      </c>
      <c r="C1713">
        <f>$E$1*B1713</f>
        <v>524.96699410609028</v>
      </c>
    </row>
    <row r="1714" spans="1:3" x14ac:dyDescent="0.25">
      <c r="A1714" s="402">
        <v>42801.645833333336</v>
      </c>
      <c r="B1714">
        <v>93.5</v>
      </c>
      <c r="C1714">
        <f>$E$1*B1714</f>
        <v>519.41178781925339</v>
      </c>
    </row>
    <row r="1715" spans="1:3" x14ac:dyDescent="0.25">
      <c r="A1715" s="402">
        <v>42802.645833333336</v>
      </c>
      <c r="B1715">
        <v>92</v>
      </c>
      <c r="C1715">
        <f>$E$1*B1715</f>
        <v>511.078978388998</v>
      </c>
    </row>
    <row r="1716" spans="1:3" x14ac:dyDescent="0.25">
      <c r="A1716" s="402">
        <v>42803.645833333336</v>
      </c>
      <c r="B1716">
        <v>95</v>
      </c>
      <c r="C1716">
        <f>$E$1*B1716</f>
        <v>527.74459724950884</v>
      </c>
    </row>
    <row r="1717" spans="1:3" x14ac:dyDescent="0.25">
      <c r="A1717" s="402">
        <v>42804.645833333336</v>
      </c>
      <c r="B1717">
        <v>99.1</v>
      </c>
      <c r="C1717">
        <f>$E$1*B1717</f>
        <v>550.52094302554019</v>
      </c>
    </row>
    <row r="1718" spans="1:3" x14ac:dyDescent="0.25">
      <c r="A1718" s="402">
        <v>42808.645833333336</v>
      </c>
      <c r="B1718">
        <v>102.55</v>
      </c>
      <c r="C1718">
        <f>$E$1*B1718</f>
        <v>569.68640471512765</v>
      </c>
    </row>
    <row r="1719" spans="1:3" x14ac:dyDescent="0.25">
      <c r="A1719" s="402">
        <v>42809.645833333336</v>
      </c>
      <c r="B1719">
        <v>100.6</v>
      </c>
      <c r="C1719">
        <f>$E$1*B1719</f>
        <v>558.85375245579564</v>
      </c>
    </row>
    <row r="1720" spans="1:3" x14ac:dyDescent="0.25">
      <c r="A1720" s="402">
        <v>42810.645833333336</v>
      </c>
      <c r="B1720">
        <v>99.3</v>
      </c>
      <c r="C1720">
        <f>$E$1*B1720</f>
        <v>551.63198428290764</v>
      </c>
    </row>
    <row r="1721" spans="1:3" x14ac:dyDescent="0.25">
      <c r="A1721" s="402">
        <v>42811.645833333336</v>
      </c>
      <c r="B1721">
        <v>99.05</v>
      </c>
      <c r="C1721">
        <f>$E$1*B1721</f>
        <v>550.24318271119841</v>
      </c>
    </row>
    <row r="1722" spans="1:3" x14ac:dyDescent="0.25">
      <c r="A1722" s="402">
        <v>42814.645833333336</v>
      </c>
      <c r="B1722">
        <v>98</v>
      </c>
      <c r="C1722">
        <f>$E$1*B1722</f>
        <v>544.41021611001963</v>
      </c>
    </row>
    <row r="1723" spans="1:3" x14ac:dyDescent="0.25">
      <c r="A1723" s="402">
        <v>42815.645833333336</v>
      </c>
      <c r="B1723">
        <v>99.7</v>
      </c>
      <c r="C1723">
        <f>$E$1*B1723</f>
        <v>553.85406679764242</v>
      </c>
    </row>
    <row r="1724" spans="1:3" x14ac:dyDescent="0.25">
      <c r="A1724" s="402">
        <v>42816.645833333336</v>
      </c>
      <c r="B1724">
        <v>97</v>
      </c>
      <c r="C1724">
        <f>$E$1*B1724</f>
        <v>538.85500982318263</v>
      </c>
    </row>
    <row r="1725" spans="1:3" x14ac:dyDescent="0.25">
      <c r="A1725" s="402">
        <v>42817.645833333336</v>
      </c>
      <c r="B1725">
        <v>101.5</v>
      </c>
      <c r="C1725">
        <f>$E$1*B1725</f>
        <v>563.85343811394887</v>
      </c>
    </row>
    <row r="1726" spans="1:3" x14ac:dyDescent="0.25">
      <c r="A1726" s="402">
        <v>42818.645833333336</v>
      </c>
      <c r="B1726">
        <v>108.85</v>
      </c>
      <c r="C1726">
        <f>$E$1*B1726</f>
        <v>604.68420432220034</v>
      </c>
    </row>
    <row r="1727" spans="1:3" x14ac:dyDescent="0.25">
      <c r="A1727" s="402">
        <v>42821.645833333336</v>
      </c>
      <c r="B1727">
        <v>119</v>
      </c>
      <c r="C1727">
        <f>$E$1*B1727</f>
        <v>661.06954813359528</v>
      </c>
    </row>
    <row r="1728" spans="1:3" x14ac:dyDescent="0.25">
      <c r="A1728" s="402">
        <v>42822.645833333336</v>
      </c>
      <c r="B1728">
        <v>121.7</v>
      </c>
      <c r="C1728">
        <f>$E$1*B1728</f>
        <v>676.06860510805495</v>
      </c>
    </row>
    <row r="1729" spans="1:3" x14ac:dyDescent="0.25">
      <c r="A1729" s="402">
        <v>42823.645833333336</v>
      </c>
      <c r="B1729">
        <v>116.2</v>
      </c>
      <c r="C1729">
        <f>$E$1*B1729</f>
        <v>645.51497053045182</v>
      </c>
    </row>
    <row r="1730" spans="1:3" x14ac:dyDescent="0.25">
      <c r="A1730" s="402">
        <v>42824.645833333336</v>
      </c>
      <c r="B1730">
        <v>115.85</v>
      </c>
      <c r="C1730">
        <f>$E$1*B1730</f>
        <v>643.57064833005882</v>
      </c>
    </row>
    <row r="1731" spans="1:3" x14ac:dyDescent="0.25">
      <c r="A1731" s="402">
        <v>42825.645833333336</v>
      </c>
      <c r="B1731">
        <v>121</v>
      </c>
      <c r="C1731">
        <f>$E$1*B1731</f>
        <v>672.17996070726906</v>
      </c>
    </row>
    <row r="1732" spans="1:3" x14ac:dyDescent="0.25">
      <c r="A1732" s="402">
        <v>42828.645833333336</v>
      </c>
      <c r="B1732">
        <v>129.69999999999999</v>
      </c>
      <c r="C1732">
        <f>$E$1*B1732</f>
        <v>720.51025540275032</v>
      </c>
    </row>
    <row r="1733" spans="1:3" x14ac:dyDescent="0.25">
      <c r="A1733" s="402">
        <v>42830.645833333336</v>
      </c>
      <c r="B1733">
        <v>128.05000000000001</v>
      </c>
      <c r="C1733">
        <f>$E$1*B1733</f>
        <v>711.34416502946954</v>
      </c>
    </row>
    <row r="1734" spans="1:3" x14ac:dyDescent="0.25">
      <c r="A1734" s="402">
        <v>42831.645833333336</v>
      </c>
      <c r="B1734">
        <v>127.3</v>
      </c>
      <c r="C1734">
        <f>$E$1*B1734</f>
        <v>707.17776031434175</v>
      </c>
    </row>
    <row r="1735" spans="1:3" x14ac:dyDescent="0.25">
      <c r="A1735" s="402">
        <v>42832.645833333336</v>
      </c>
      <c r="B1735">
        <v>126.95</v>
      </c>
      <c r="C1735">
        <f>$E$1*B1735</f>
        <v>705.23343811394886</v>
      </c>
    </row>
    <row r="1736" spans="1:3" x14ac:dyDescent="0.25">
      <c r="A1736" s="402">
        <v>42835.645833333336</v>
      </c>
      <c r="B1736">
        <v>128.5</v>
      </c>
      <c r="C1736">
        <f>$E$1*B1736</f>
        <v>713.84400785854609</v>
      </c>
    </row>
    <row r="1737" spans="1:3" x14ac:dyDescent="0.25">
      <c r="A1737" s="402">
        <v>42836.645833333336</v>
      </c>
      <c r="B1737">
        <v>129</v>
      </c>
      <c r="C1737">
        <f>$E$1*B1737</f>
        <v>716.62161100196454</v>
      </c>
    </row>
    <row r="1738" spans="1:3" x14ac:dyDescent="0.25">
      <c r="A1738" s="402">
        <v>42837.645833333336</v>
      </c>
      <c r="B1738">
        <v>127.65</v>
      </c>
      <c r="C1738">
        <f>$E$1*B1738</f>
        <v>709.12208251473476</v>
      </c>
    </row>
    <row r="1739" spans="1:3" x14ac:dyDescent="0.25">
      <c r="A1739" s="402">
        <v>42838.645833333336</v>
      </c>
      <c r="B1739">
        <v>129.55000000000001</v>
      </c>
      <c r="C1739">
        <f>$E$1*B1739</f>
        <v>719.67697445972499</v>
      </c>
    </row>
    <row r="1740" spans="1:3" x14ac:dyDescent="0.25">
      <c r="A1740" s="402">
        <v>42842.645833333336</v>
      </c>
      <c r="B1740">
        <v>130.15</v>
      </c>
      <c r="C1740">
        <f>$E$1*B1740</f>
        <v>723.0100982318271</v>
      </c>
    </row>
    <row r="1741" spans="1:3" x14ac:dyDescent="0.25">
      <c r="A1741" s="402">
        <v>42843.645833333336</v>
      </c>
      <c r="B1741">
        <v>130</v>
      </c>
      <c r="C1741">
        <f>$E$1*B1741</f>
        <v>722.17681728880154</v>
      </c>
    </row>
    <row r="1742" spans="1:3" x14ac:dyDescent="0.25">
      <c r="A1742" s="402">
        <v>42844.645833333336</v>
      </c>
      <c r="B1742">
        <v>129</v>
      </c>
      <c r="C1742">
        <f>$E$1*B1742</f>
        <v>716.62161100196454</v>
      </c>
    </row>
    <row r="1743" spans="1:3" x14ac:dyDescent="0.25">
      <c r="A1743" s="402">
        <v>42845.645833333336</v>
      </c>
      <c r="B1743">
        <v>126.35</v>
      </c>
      <c r="C1743">
        <f>$E$1*B1743</f>
        <v>701.90031434184664</v>
      </c>
    </row>
    <row r="1744" spans="1:3" x14ac:dyDescent="0.25">
      <c r="A1744" s="402">
        <v>42846.645833333336</v>
      </c>
      <c r="B1744">
        <v>134.4</v>
      </c>
      <c r="C1744">
        <f>$E$1*B1744</f>
        <v>746.61972495088401</v>
      </c>
    </row>
    <row r="1745" spans="1:3" x14ac:dyDescent="0.25">
      <c r="A1745" s="402">
        <v>42849.645833333336</v>
      </c>
      <c r="B1745">
        <v>133.75</v>
      </c>
      <c r="C1745">
        <f>$E$1*B1745</f>
        <v>743.00884086444</v>
      </c>
    </row>
    <row r="1746" spans="1:3" x14ac:dyDescent="0.25">
      <c r="A1746" s="402">
        <v>42850.645833333336</v>
      </c>
      <c r="B1746">
        <v>135</v>
      </c>
      <c r="C1746">
        <f>$E$1*B1746</f>
        <v>749.95284872298623</v>
      </c>
    </row>
    <row r="1747" spans="1:3" x14ac:dyDescent="0.25">
      <c r="A1747" s="402">
        <v>42851.645833333336</v>
      </c>
      <c r="B1747">
        <v>132.9</v>
      </c>
      <c r="C1747">
        <f>$E$1*B1747</f>
        <v>738.28691552062867</v>
      </c>
    </row>
    <row r="1748" spans="1:3" x14ac:dyDescent="0.25">
      <c r="A1748" s="402">
        <v>42852.645833333336</v>
      </c>
      <c r="B1748">
        <v>133.85</v>
      </c>
      <c r="C1748">
        <f>$E$1*B1748</f>
        <v>743.56436149312367</v>
      </c>
    </row>
    <row r="1749" spans="1:3" x14ac:dyDescent="0.25">
      <c r="A1749" s="402">
        <v>42853.645833333336</v>
      </c>
      <c r="B1749">
        <v>132.44999999999999</v>
      </c>
      <c r="C1749">
        <f>$E$1*B1749</f>
        <v>735.787072691552</v>
      </c>
    </row>
    <row r="1750" spans="1:3" x14ac:dyDescent="0.25">
      <c r="A1750" s="402">
        <v>42857.645833333336</v>
      </c>
      <c r="B1750">
        <v>131.30000000000001</v>
      </c>
      <c r="C1750">
        <f>$E$1*B1750</f>
        <v>729.39858546168955</v>
      </c>
    </row>
    <row r="1751" spans="1:3" x14ac:dyDescent="0.25">
      <c r="A1751" s="402">
        <v>42858.645833333336</v>
      </c>
      <c r="B1751">
        <v>132.9</v>
      </c>
      <c r="C1751">
        <f>$E$1*B1751</f>
        <v>738.28691552062867</v>
      </c>
    </row>
    <row r="1752" spans="1:3" x14ac:dyDescent="0.25">
      <c r="A1752" s="402">
        <v>42859.645833333336</v>
      </c>
      <c r="B1752">
        <v>132.30000000000001</v>
      </c>
      <c r="C1752">
        <f>$E$1*B1752</f>
        <v>734.95379174852656</v>
      </c>
    </row>
    <row r="1753" spans="1:3" x14ac:dyDescent="0.25">
      <c r="A1753" s="402">
        <v>42860.645833333336</v>
      </c>
      <c r="B1753">
        <v>134.44999999999999</v>
      </c>
      <c r="C1753">
        <f>$E$1*B1753</f>
        <v>746.89748526522578</v>
      </c>
    </row>
    <row r="1754" spans="1:3" x14ac:dyDescent="0.25">
      <c r="A1754" s="402">
        <v>42863.645833333336</v>
      </c>
      <c r="B1754">
        <v>138.69999999999999</v>
      </c>
      <c r="C1754">
        <f>$E$1*B1754</f>
        <v>770.5071119842828</v>
      </c>
    </row>
    <row r="1755" spans="1:3" x14ac:dyDescent="0.25">
      <c r="A1755" s="402">
        <v>42864.645833333336</v>
      </c>
      <c r="B1755">
        <v>138</v>
      </c>
      <c r="C1755">
        <f>$E$1*B1755</f>
        <v>766.61846758349702</v>
      </c>
    </row>
    <row r="1756" spans="1:3" x14ac:dyDescent="0.25">
      <c r="A1756" s="402">
        <v>42865.645833333336</v>
      </c>
      <c r="B1756">
        <v>134.55000000000001</v>
      </c>
      <c r="C1756">
        <f>$E$1*B1756</f>
        <v>747.45300589390968</v>
      </c>
    </row>
    <row r="1757" spans="1:3" x14ac:dyDescent="0.25">
      <c r="A1757" s="402">
        <v>42866.645833333336</v>
      </c>
      <c r="B1757">
        <v>130.55000000000001</v>
      </c>
      <c r="C1757">
        <f>$E$1*B1757</f>
        <v>725.23218074656188</v>
      </c>
    </row>
    <row r="1758" spans="1:3" x14ac:dyDescent="0.25">
      <c r="A1758" s="402">
        <v>42867.645833333336</v>
      </c>
      <c r="B1758">
        <v>136.80000000000001</v>
      </c>
      <c r="C1758">
        <f>$E$1*B1758</f>
        <v>759.95222003929268</v>
      </c>
    </row>
    <row r="1759" spans="1:3" x14ac:dyDescent="0.25">
      <c r="A1759" s="402">
        <v>42870.645833333336</v>
      </c>
      <c r="B1759">
        <v>135.5</v>
      </c>
      <c r="C1759">
        <f>$E$1*B1759</f>
        <v>752.73045186640468</v>
      </c>
    </row>
    <row r="1760" spans="1:3" x14ac:dyDescent="0.25">
      <c r="A1760" s="402">
        <v>42871.645833333336</v>
      </c>
      <c r="B1760">
        <v>133.5</v>
      </c>
      <c r="C1760">
        <f>$E$1*B1760</f>
        <v>741.62003929273078</v>
      </c>
    </row>
    <row r="1761" spans="1:3" x14ac:dyDescent="0.25">
      <c r="A1761" s="402">
        <v>42872.645833333336</v>
      </c>
      <c r="B1761">
        <v>129.9</v>
      </c>
      <c r="C1761">
        <f>$E$1*B1761</f>
        <v>721.62129666011788</v>
      </c>
    </row>
    <row r="1762" spans="1:3" x14ac:dyDescent="0.25">
      <c r="A1762" s="402">
        <v>42873.645833333336</v>
      </c>
      <c r="B1762">
        <v>125.5</v>
      </c>
      <c r="C1762">
        <f>$E$1*B1762</f>
        <v>697.1783889980353</v>
      </c>
    </row>
    <row r="1763" spans="1:3" x14ac:dyDescent="0.25">
      <c r="A1763" s="402">
        <v>42874.645833333336</v>
      </c>
      <c r="B1763">
        <v>125.75</v>
      </c>
      <c r="C1763">
        <f>$E$1*B1763</f>
        <v>698.56719056974453</v>
      </c>
    </row>
    <row r="1764" spans="1:3" x14ac:dyDescent="0.25">
      <c r="A1764" s="402">
        <v>42877.645833333336</v>
      </c>
      <c r="B1764">
        <v>122.6</v>
      </c>
      <c r="C1764">
        <f>$E$1*B1764</f>
        <v>681.06829076620818</v>
      </c>
    </row>
    <row r="1765" spans="1:3" x14ac:dyDescent="0.25">
      <c r="A1765" s="402">
        <v>42878.645833333336</v>
      </c>
      <c r="B1765">
        <v>118</v>
      </c>
      <c r="C1765">
        <f>$E$1*B1765</f>
        <v>655.51434184675827</v>
      </c>
    </row>
    <row r="1766" spans="1:3" x14ac:dyDescent="0.25">
      <c r="A1766" s="402">
        <v>42879.645833333336</v>
      </c>
      <c r="B1766">
        <v>117</v>
      </c>
      <c r="C1766">
        <f>$E$1*B1766</f>
        <v>649.95913555992138</v>
      </c>
    </row>
    <row r="1767" spans="1:3" x14ac:dyDescent="0.25">
      <c r="A1767" s="402">
        <v>42880.645833333336</v>
      </c>
      <c r="B1767">
        <v>120.4</v>
      </c>
      <c r="C1767">
        <f>$E$1*B1767</f>
        <v>668.84683693516695</v>
      </c>
    </row>
    <row r="1768" spans="1:3" x14ac:dyDescent="0.25">
      <c r="A1768" s="402">
        <v>42881.645833333336</v>
      </c>
      <c r="B1768">
        <v>123.35</v>
      </c>
      <c r="C1768">
        <f>$E$1*B1768</f>
        <v>685.23469548133585</v>
      </c>
    </row>
    <row r="1769" spans="1:3" x14ac:dyDescent="0.25">
      <c r="A1769" s="402">
        <v>42884.645833333336</v>
      </c>
      <c r="B1769">
        <v>120.9</v>
      </c>
      <c r="C1769">
        <f>$E$1*B1769</f>
        <v>671.62444007858539</v>
      </c>
    </row>
    <row r="1770" spans="1:3" x14ac:dyDescent="0.25">
      <c r="A1770" s="402">
        <v>42885.645833333336</v>
      </c>
      <c r="B1770">
        <v>122.1</v>
      </c>
      <c r="C1770">
        <f>$E$1*B1770</f>
        <v>678.29068762278973</v>
      </c>
    </row>
    <row r="1771" spans="1:3" x14ac:dyDescent="0.25">
      <c r="A1771" s="402">
        <v>42886.645833333336</v>
      </c>
      <c r="B1771">
        <v>126.3</v>
      </c>
      <c r="C1771">
        <f>$E$1*B1771</f>
        <v>701.62255402750486</v>
      </c>
    </row>
    <row r="1772" spans="1:3" x14ac:dyDescent="0.25">
      <c r="A1772" s="402">
        <v>42887.645833333336</v>
      </c>
      <c r="B1772">
        <v>125.5</v>
      </c>
      <c r="C1772">
        <f>$E$1*B1772</f>
        <v>697.1783889980353</v>
      </c>
    </row>
    <row r="1773" spans="1:3" x14ac:dyDescent="0.25">
      <c r="A1773" s="402">
        <v>42888.645833333336</v>
      </c>
      <c r="B1773">
        <v>122.5</v>
      </c>
      <c r="C1773">
        <f>$E$1*B1773</f>
        <v>680.51277013752451</v>
      </c>
    </row>
    <row r="1774" spans="1:3" x14ac:dyDescent="0.25">
      <c r="A1774" s="402">
        <v>42891.645833333336</v>
      </c>
      <c r="B1774">
        <v>127.6</v>
      </c>
      <c r="C1774">
        <f>$E$1*B1774</f>
        <v>708.84432220039287</v>
      </c>
    </row>
    <row r="1775" spans="1:3" x14ac:dyDescent="0.25">
      <c r="A1775" s="402">
        <v>42892.645833333336</v>
      </c>
      <c r="B1775">
        <v>133.65</v>
      </c>
      <c r="C1775">
        <f>$E$1*B1775</f>
        <v>742.45332023575634</v>
      </c>
    </row>
    <row r="1776" spans="1:3" x14ac:dyDescent="0.25">
      <c r="A1776" s="402">
        <v>42893.645833333336</v>
      </c>
      <c r="B1776">
        <v>132</v>
      </c>
      <c r="C1776">
        <f>$E$1*B1776</f>
        <v>733.28722986247544</v>
      </c>
    </row>
    <row r="1777" spans="1:3" x14ac:dyDescent="0.25">
      <c r="A1777" s="402">
        <v>42894.645833333336</v>
      </c>
      <c r="B1777">
        <v>130.05000000000001</v>
      </c>
      <c r="C1777">
        <f>$E$1*B1777</f>
        <v>722.45457760314343</v>
      </c>
    </row>
    <row r="1778" spans="1:3" x14ac:dyDescent="0.25">
      <c r="A1778" s="402">
        <v>42895.645833333336</v>
      </c>
      <c r="B1778">
        <v>128.69999999999999</v>
      </c>
      <c r="C1778">
        <f>$E$1*B1778</f>
        <v>714.95504911591343</v>
      </c>
    </row>
    <row r="1779" spans="1:3" x14ac:dyDescent="0.25">
      <c r="A1779" s="402">
        <v>42898.645833333336</v>
      </c>
      <c r="B1779">
        <v>127</v>
      </c>
      <c r="C1779">
        <f>$E$1*B1779</f>
        <v>705.51119842829075</v>
      </c>
    </row>
    <row r="1780" spans="1:3" x14ac:dyDescent="0.25">
      <c r="A1780" s="402">
        <v>42899.645833333336</v>
      </c>
      <c r="B1780">
        <v>125.05</v>
      </c>
      <c r="C1780">
        <f>$E$1*B1780</f>
        <v>694.67854616895863</v>
      </c>
    </row>
    <row r="1781" spans="1:3" x14ac:dyDescent="0.25">
      <c r="A1781" s="402">
        <v>42900.645833333336</v>
      </c>
      <c r="B1781">
        <v>122.9</v>
      </c>
      <c r="C1781">
        <f>$E$1*B1781</f>
        <v>682.73485265225929</v>
      </c>
    </row>
    <row r="1782" spans="1:3" x14ac:dyDescent="0.25">
      <c r="A1782" s="402">
        <v>42901.645833333336</v>
      </c>
      <c r="B1782">
        <v>125</v>
      </c>
      <c r="C1782">
        <f>$E$1*B1782</f>
        <v>694.40078585461686</v>
      </c>
    </row>
    <row r="1783" spans="1:3" x14ac:dyDescent="0.25">
      <c r="A1783" s="402">
        <v>42902.645833333336</v>
      </c>
      <c r="B1783">
        <v>125</v>
      </c>
      <c r="C1783">
        <f>$E$1*B1783</f>
        <v>694.40078585461686</v>
      </c>
    </row>
    <row r="1784" spans="1:3" x14ac:dyDescent="0.25">
      <c r="A1784" s="402">
        <v>42905.645833333336</v>
      </c>
      <c r="B1784">
        <v>127</v>
      </c>
      <c r="C1784">
        <f>$E$1*B1784</f>
        <v>705.51119842829075</v>
      </c>
    </row>
    <row r="1785" spans="1:3" x14ac:dyDescent="0.25">
      <c r="A1785" s="402">
        <v>42906.645833333336</v>
      </c>
      <c r="B1785">
        <v>122.8</v>
      </c>
      <c r="C1785">
        <f>$E$1*B1785</f>
        <v>682.17933202357563</v>
      </c>
    </row>
    <row r="1786" spans="1:3" x14ac:dyDescent="0.25">
      <c r="A1786" s="402">
        <v>42907.645833333336</v>
      </c>
      <c r="B1786">
        <v>124</v>
      </c>
      <c r="C1786">
        <f>$E$1*B1786</f>
        <v>688.84557956777985</v>
      </c>
    </row>
    <row r="1787" spans="1:3" x14ac:dyDescent="0.25">
      <c r="A1787" s="402">
        <v>42908.645833333336</v>
      </c>
      <c r="B1787">
        <v>121.4</v>
      </c>
      <c r="C1787">
        <f>$E$1*B1787</f>
        <v>674.40204322200395</v>
      </c>
    </row>
    <row r="1788" spans="1:3" x14ac:dyDescent="0.25">
      <c r="A1788" s="402">
        <v>42909.645833333336</v>
      </c>
      <c r="B1788">
        <v>118</v>
      </c>
      <c r="C1788">
        <f>$E$1*B1788</f>
        <v>655.51434184675827</v>
      </c>
    </row>
    <row r="1789" spans="1:3" x14ac:dyDescent="0.25">
      <c r="A1789" s="402">
        <v>42913.645833333336</v>
      </c>
      <c r="B1789">
        <v>120.6</v>
      </c>
      <c r="C1789">
        <f>$E$1*B1789</f>
        <v>669.95787819253428</v>
      </c>
    </row>
    <row r="1790" spans="1:3" x14ac:dyDescent="0.25">
      <c r="A1790" s="402">
        <v>42914.645833333336</v>
      </c>
      <c r="B1790">
        <v>123.1</v>
      </c>
      <c r="C1790">
        <f>$E$1*B1790</f>
        <v>683.84589390962662</v>
      </c>
    </row>
    <row r="1791" spans="1:3" x14ac:dyDescent="0.25">
      <c r="A1791" s="402">
        <v>42915.645833333336</v>
      </c>
      <c r="B1791">
        <v>126.1</v>
      </c>
      <c r="C1791">
        <f>$E$1*B1791</f>
        <v>700.51151277013741</v>
      </c>
    </row>
    <row r="1792" spans="1:3" x14ac:dyDescent="0.25">
      <c r="A1792" s="402">
        <v>42916.645833333336</v>
      </c>
      <c r="B1792">
        <v>123.05</v>
      </c>
      <c r="C1792">
        <f>$E$1*B1792</f>
        <v>683.56813359528485</v>
      </c>
    </row>
    <row r="1793" spans="1:3" x14ac:dyDescent="0.25">
      <c r="A1793" s="402">
        <v>42919.645833333336</v>
      </c>
      <c r="B1793">
        <v>124</v>
      </c>
      <c r="C1793">
        <f>$E$1*B1793</f>
        <v>688.84557956777985</v>
      </c>
    </row>
    <row r="1794" spans="1:3" x14ac:dyDescent="0.25">
      <c r="A1794" s="402">
        <v>42920.645833333336</v>
      </c>
      <c r="B1794">
        <v>128.25</v>
      </c>
      <c r="C1794">
        <f>$E$1*B1794</f>
        <v>712.45520628683687</v>
      </c>
    </row>
    <row r="1795" spans="1:3" x14ac:dyDescent="0.25">
      <c r="A1795" s="402">
        <v>42921.645833333336</v>
      </c>
      <c r="B1795">
        <v>132.4</v>
      </c>
      <c r="C1795">
        <f>$E$1*B1795</f>
        <v>735.50931237721022</v>
      </c>
    </row>
    <row r="1796" spans="1:3" x14ac:dyDescent="0.25">
      <c r="A1796" s="402">
        <v>42922.645833333336</v>
      </c>
      <c r="B1796">
        <v>134.55000000000001</v>
      </c>
      <c r="C1796">
        <f>$E$1*B1796</f>
        <v>747.45300589390968</v>
      </c>
    </row>
    <row r="1797" spans="1:3" x14ac:dyDescent="0.25">
      <c r="A1797" s="402">
        <v>42923.645833333336</v>
      </c>
      <c r="B1797">
        <v>136</v>
      </c>
      <c r="C1797">
        <f>$E$1*B1797</f>
        <v>755.50805500982312</v>
      </c>
    </row>
    <row r="1798" spans="1:3" x14ac:dyDescent="0.25">
      <c r="A1798" s="402">
        <v>42926.645833333336</v>
      </c>
      <c r="B1798">
        <v>139.35</v>
      </c>
      <c r="C1798">
        <f>$E$1*B1798</f>
        <v>774.1179960707268</v>
      </c>
    </row>
    <row r="1799" spans="1:3" x14ac:dyDescent="0.25">
      <c r="A1799" s="402">
        <v>42927.645833333336</v>
      </c>
      <c r="B1799">
        <v>136.9</v>
      </c>
      <c r="C1799">
        <f>$E$1*B1799</f>
        <v>760.50774066797635</v>
      </c>
    </row>
    <row r="1800" spans="1:3" x14ac:dyDescent="0.25">
      <c r="A1800" s="402">
        <v>42928.645833333336</v>
      </c>
      <c r="B1800">
        <v>136.69999999999999</v>
      </c>
      <c r="C1800">
        <f>$E$1*B1800</f>
        <v>759.3966994106089</v>
      </c>
    </row>
    <row r="1801" spans="1:3" x14ac:dyDescent="0.25">
      <c r="A1801" s="402">
        <v>42929.645833333336</v>
      </c>
      <c r="B1801">
        <v>133.75</v>
      </c>
      <c r="C1801">
        <f>$E$1*B1801</f>
        <v>743.00884086444</v>
      </c>
    </row>
    <row r="1802" spans="1:3" x14ac:dyDescent="0.25">
      <c r="A1802" s="402">
        <v>42930.645833333336</v>
      </c>
      <c r="B1802">
        <v>130.05000000000001</v>
      </c>
      <c r="C1802">
        <f>$E$1*B1802</f>
        <v>722.45457760314343</v>
      </c>
    </row>
    <row r="1803" spans="1:3" x14ac:dyDescent="0.25">
      <c r="A1803" s="402">
        <v>42933.645833333336</v>
      </c>
      <c r="B1803">
        <v>137.94999999999999</v>
      </c>
      <c r="C1803">
        <f>$E$1*B1803</f>
        <v>766.34070726915513</v>
      </c>
    </row>
    <row r="1804" spans="1:3" x14ac:dyDescent="0.25">
      <c r="A1804" s="402">
        <v>42934.645833333336</v>
      </c>
      <c r="B1804">
        <v>131.85</v>
      </c>
      <c r="C1804">
        <f>$E$1*B1804</f>
        <v>732.45394891944977</v>
      </c>
    </row>
    <row r="1805" spans="1:3" x14ac:dyDescent="0.25">
      <c r="A1805" s="402">
        <v>42935.645833333336</v>
      </c>
      <c r="B1805">
        <v>135.75</v>
      </c>
      <c r="C1805">
        <f>$E$1*B1805</f>
        <v>754.1192534381139</v>
      </c>
    </row>
    <row r="1806" spans="1:3" x14ac:dyDescent="0.25">
      <c r="A1806" s="402">
        <v>42936.645833333336</v>
      </c>
      <c r="B1806">
        <v>132.1</v>
      </c>
      <c r="C1806">
        <f>$E$1*B1806</f>
        <v>733.84275049115899</v>
      </c>
    </row>
    <row r="1807" spans="1:3" x14ac:dyDescent="0.25">
      <c r="A1807" s="402">
        <v>42937.645833333336</v>
      </c>
      <c r="B1807">
        <v>132.1</v>
      </c>
      <c r="C1807">
        <f>$E$1*B1807</f>
        <v>733.84275049115899</v>
      </c>
    </row>
    <row r="1808" spans="1:3" x14ac:dyDescent="0.25">
      <c r="A1808" s="402">
        <v>42940.645833333336</v>
      </c>
      <c r="B1808">
        <v>130.94999999999999</v>
      </c>
      <c r="C1808">
        <f>$E$1*B1808</f>
        <v>727.45426326129655</v>
      </c>
    </row>
    <row r="1809" spans="1:3" x14ac:dyDescent="0.25">
      <c r="A1809" s="402">
        <v>42941.645833333336</v>
      </c>
      <c r="B1809">
        <v>130.5</v>
      </c>
      <c r="C1809">
        <f>$E$1*B1809</f>
        <v>724.95442043221999</v>
      </c>
    </row>
    <row r="1810" spans="1:3" x14ac:dyDescent="0.25">
      <c r="A1810" s="402">
        <v>42942.645833333336</v>
      </c>
      <c r="B1810">
        <v>128.6</v>
      </c>
      <c r="C1810">
        <f>$E$1*B1810</f>
        <v>714.39952848722976</v>
      </c>
    </row>
    <row r="1811" spans="1:3" x14ac:dyDescent="0.25">
      <c r="A1811" s="402">
        <v>42943.645833333336</v>
      </c>
      <c r="B1811">
        <v>125.75</v>
      </c>
      <c r="C1811">
        <f>$E$1*B1811</f>
        <v>698.56719056974453</v>
      </c>
    </row>
    <row r="1812" spans="1:3" x14ac:dyDescent="0.25">
      <c r="A1812" s="402">
        <v>42944.645833333336</v>
      </c>
      <c r="B1812">
        <v>125.25</v>
      </c>
      <c r="C1812">
        <f>$E$1*B1812</f>
        <v>695.78958742632608</v>
      </c>
    </row>
    <row r="1813" spans="1:3" x14ac:dyDescent="0.25">
      <c r="A1813" s="402">
        <v>42947.645833333336</v>
      </c>
      <c r="B1813">
        <v>126.2</v>
      </c>
      <c r="C1813">
        <f>$E$1*B1813</f>
        <v>701.0670333988212</v>
      </c>
    </row>
    <row r="1814" spans="1:3" x14ac:dyDescent="0.25">
      <c r="A1814" s="402">
        <v>42948.645833333336</v>
      </c>
      <c r="B1814">
        <v>125.8</v>
      </c>
      <c r="C1814">
        <f>$E$1*B1814</f>
        <v>698.84495088408642</v>
      </c>
    </row>
    <row r="1815" spans="1:3" x14ac:dyDescent="0.25">
      <c r="A1815" s="402">
        <v>42949.645833333336</v>
      </c>
      <c r="B1815">
        <v>133</v>
      </c>
      <c r="C1815">
        <f>$E$1*B1815</f>
        <v>738.84243614931233</v>
      </c>
    </row>
    <row r="1816" spans="1:3" x14ac:dyDescent="0.25">
      <c r="A1816" s="402">
        <v>42950.645833333336</v>
      </c>
      <c r="B1816">
        <v>128.65</v>
      </c>
      <c r="C1816">
        <f>$E$1*B1816</f>
        <v>714.67728880157165</v>
      </c>
    </row>
    <row r="1817" spans="1:3" x14ac:dyDescent="0.25">
      <c r="A1817" s="402">
        <v>42951.645833333336</v>
      </c>
      <c r="B1817">
        <v>132.4</v>
      </c>
      <c r="C1817">
        <f>$E$1*B1817</f>
        <v>735.50931237721022</v>
      </c>
    </row>
    <row r="1818" spans="1:3" x14ac:dyDescent="0.25">
      <c r="A1818" s="402">
        <v>42954.645833333336</v>
      </c>
      <c r="B1818">
        <v>122.05</v>
      </c>
      <c r="C1818">
        <f>$E$1*B1818</f>
        <v>678.01292730844784</v>
      </c>
    </row>
    <row r="1819" spans="1:3" x14ac:dyDescent="0.25">
      <c r="A1819" s="402">
        <v>42955.645833333336</v>
      </c>
      <c r="B1819">
        <v>118.6</v>
      </c>
      <c r="C1819">
        <f>$E$1*B1819</f>
        <v>658.84746561886038</v>
      </c>
    </row>
    <row r="1820" spans="1:3" x14ac:dyDescent="0.25">
      <c r="A1820" s="402">
        <v>42956.645833333336</v>
      </c>
      <c r="B1820">
        <v>115.5</v>
      </c>
      <c r="C1820">
        <f>$E$1*B1820</f>
        <v>641.62632612966593</v>
      </c>
    </row>
    <row r="1821" spans="1:3" x14ac:dyDescent="0.25">
      <c r="A1821" s="402">
        <v>42957.645833333336</v>
      </c>
      <c r="B1821">
        <v>108.6</v>
      </c>
      <c r="C1821">
        <f>$E$1*B1821</f>
        <v>603.29540275049112</v>
      </c>
    </row>
    <row r="1822" spans="1:3" x14ac:dyDescent="0.25">
      <c r="A1822" s="402">
        <v>42958.645833333336</v>
      </c>
      <c r="B1822">
        <v>111.15</v>
      </c>
      <c r="C1822">
        <f>$E$1*B1822</f>
        <v>617.46117878192535</v>
      </c>
    </row>
    <row r="1823" spans="1:3" x14ac:dyDescent="0.25">
      <c r="A1823" s="402">
        <v>42961.645833333336</v>
      </c>
      <c r="B1823">
        <v>112.45</v>
      </c>
      <c r="C1823">
        <f>$E$1*B1823</f>
        <v>624.68294695481336</v>
      </c>
    </row>
    <row r="1824" spans="1:3" x14ac:dyDescent="0.25">
      <c r="A1824" s="402">
        <v>42963.645833333336</v>
      </c>
      <c r="B1824">
        <v>113.1</v>
      </c>
      <c r="C1824">
        <f>$E$1*B1824</f>
        <v>628.29383104125725</v>
      </c>
    </row>
    <row r="1825" spans="1:3" x14ac:dyDescent="0.25">
      <c r="A1825" s="402">
        <v>42964.645833333336</v>
      </c>
      <c r="B1825">
        <v>118.4</v>
      </c>
      <c r="C1825">
        <f>$E$1*B1825</f>
        <v>657.73642436149305</v>
      </c>
    </row>
    <row r="1826" spans="1:3" x14ac:dyDescent="0.25">
      <c r="A1826" s="402">
        <v>42965.645833333336</v>
      </c>
      <c r="B1826">
        <v>117.1</v>
      </c>
      <c r="C1826">
        <f>$E$1*B1826</f>
        <v>650.51465618860504</v>
      </c>
    </row>
    <row r="1827" spans="1:3" x14ac:dyDescent="0.25">
      <c r="A1827" s="402">
        <v>42968.645833333336</v>
      </c>
      <c r="B1827">
        <v>115.8</v>
      </c>
      <c r="C1827">
        <f>$E$1*B1827</f>
        <v>643.29288801571704</v>
      </c>
    </row>
    <row r="1828" spans="1:3" x14ac:dyDescent="0.25">
      <c r="A1828" s="402">
        <v>42969.645833333336</v>
      </c>
      <c r="B1828">
        <v>115.35</v>
      </c>
      <c r="C1828">
        <f>$E$1*B1828</f>
        <v>640.79304518664037</v>
      </c>
    </row>
    <row r="1829" spans="1:3" x14ac:dyDescent="0.25">
      <c r="A1829" s="402">
        <v>42970.645833333336</v>
      </c>
      <c r="B1829">
        <v>118.8</v>
      </c>
      <c r="C1829">
        <f>$E$1*B1829</f>
        <v>659.95850687622783</v>
      </c>
    </row>
    <row r="1830" spans="1:3" x14ac:dyDescent="0.25">
      <c r="A1830" s="402">
        <v>42971.645833333336</v>
      </c>
      <c r="B1830">
        <v>119.15</v>
      </c>
      <c r="C1830">
        <f>$E$1*B1830</f>
        <v>661.90282907662083</v>
      </c>
    </row>
    <row r="1831" spans="1:3" x14ac:dyDescent="0.25">
      <c r="A1831" s="402">
        <v>42975.645833333336</v>
      </c>
      <c r="B1831">
        <v>115.6</v>
      </c>
      <c r="C1831">
        <f>$E$1*B1831</f>
        <v>642.18184675834959</v>
      </c>
    </row>
    <row r="1832" spans="1:3" x14ac:dyDescent="0.25">
      <c r="A1832" s="402">
        <v>42976.645833333336</v>
      </c>
      <c r="B1832">
        <v>115.3</v>
      </c>
      <c r="C1832">
        <f>$E$1*B1832</f>
        <v>640.51528487229859</v>
      </c>
    </row>
    <row r="1833" spans="1:3" x14ac:dyDescent="0.25">
      <c r="A1833" s="402">
        <v>42977.645833333336</v>
      </c>
      <c r="B1833">
        <v>115.3</v>
      </c>
      <c r="C1833">
        <f>$E$1*B1833</f>
        <v>640.51528487229859</v>
      </c>
    </row>
    <row r="1834" spans="1:3" x14ac:dyDescent="0.25">
      <c r="A1834" s="402">
        <v>42978.645833333336</v>
      </c>
      <c r="B1834">
        <v>121</v>
      </c>
      <c r="C1834">
        <f>$E$1*B1834</f>
        <v>672.17996070726906</v>
      </c>
    </row>
    <row r="1835" spans="1:3" x14ac:dyDescent="0.25">
      <c r="A1835" s="402">
        <v>42979.645833333336</v>
      </c>
      <c r="B1835">
        <v>121.8</v>
      </c>
      <c r="C1835">
        <f>$E$1*B1835</f>
        <v>676.62412573673862</v>
      </c>
    </row>
    <row r="1836" spans="1:3" x14ac:dyDescent="0.25">
      <c r="A1836" s="402">
        <v>42982.645833333336</v>
      </c>
      <c r="B1836">
        <v>118.45</v>
      </c>
      <c r="C1836">
        <f>$E$1*B1836</f>
        <v>658.01418467583494</v>
      </c>
    </row>
    <row r="1837" spans="1:3" x14ac:dyDescent="0.25">
      <c r="A1837" s="402">
        <v>42983.645833333336</v>
      </c>
      <c r="B1837">
        <v>117.45</v>
      </c>
      <c r="C1837">
        <f>$E$1*B1837</f>
        <v>652.45897838899805</v>
      </c>
    </row>
    <row r="1838" spans="1:3" x14ac:dyDescent="0.25">
      <c r="A1838" s="402">
        <v>42984.645833333336</v>
      </c>
      <c r="B1838">
        <v>120.2</v>
      </c>
      <c r="C1838">
        <f>$E$1*B1838</f>
        <v>667.73579567779962</v>
      </c>
    </row>
    <row r="1839" spans="1:3" x14ac:dyDescent="0.25">
      <c r="A1839" s="402">
        <v>42985.645833333336</v>
      </c>
      <c r="B1839">
        <v>120</v>
      </c>
      <c r="C1839">
        <f>$E$1*B1839</f>
        <v>666.62475442043217</v>
      </c>
    </row>
    <row r="1840" spans="1:3" x14ac:dyDescent="0.25">
      <c r="A1840" s="402">
        <v>42986.645833333336</v>
      </c>
      <c r="B1840">
        <v>122</v>
      </c>
      <c r="C1840">
        <f>$E$1*B1840</f>
        <v>677.73516699410607</v>
      </c>
    </row>
    <row r="1841" spans="1:3" x14ac:dyDescent="0.25">
      <c r="A1841" s="402">
        <v>42989.645833333336</v>
      </c>
      <c r="B1841">
        <v>119.6</v>
      </c>
      <c r="C1841">
        <f>$E$1*B1841</f>
        <v>664.40267190569739</v>
      </c>
    </row>
    <row r="1842" spans="1:3" x14ac:dyDescent="0.25">
      <c r="A1842" s="402">
        <v>42990.645833333336</v>
      </c>
      <c r="B1842">
        <v>118.7</v>
      </c>
      <c r="C1842">
        <f>$E$1*B1842</f>
        <v>659.40298624754416</v>
      </c>
    </row>
    <row r="1843" spans="1:3" x14ac:dyDescent="0.25">
      <c r="A1843" s="402">
        <v>42991.645833333336</v>
      </c>
      <c r="B1843">
        <v>118</v>
      </c>
      <c r="C1843">
        <f>$E$1*B1843</f>
        <v>655.51434184675827</v>
      </c>
    </row>
    <row r="1844" spans="1:3" x14ac:dyDescent="0.25">
      <c r="A1844" s="402">
        <v>42992.645833333336</v>
      </c>
      <c r="B1844">
        <v>116.65</v>
      </c>
      <c r="C1844">
        <f>$E$1*B1844</f>
        <v>648.01481335952849</v>
      </c>
    </row>
    <row r="1845" spans="1:3" x14ac:dyDescent="0.25">
      <c r="A1845" s="402">
        <v>42993.645833333336</v>
      </c>
      <c r="B1845">
        <v>113.95</v>
      </c>
      <c r="C1845">
        <f>$E$1*B1845</f>
        <v>633.0157563850687</v>
      </c>
    </row>
    <row r="1846" spans="1:3" x14ac:dyDescent="0.25">
      <c r="A1846" s="402">
        <v>42996.645833333336</v>
      </c>
      <c r="B1846">
        <v>113.9</v>
      </c>
      <c r="C1846">
        <f>$E$1*B1846</f>
        <v>632.73799607072692</v>
      </c>
    </row>
    <row r="1847" spans="1:3" x14ac:dyDescent="0.25">
      <c r="A1847" s="402">
        <v>42997.645833333336</v>
      </c>
      <c r="B1847">
        <v>112.1</v>
      </c>
      <c r="C1847">
        <f>$E$1*B1847</f>
        <v>622.73862475442036</v>
      </c>
    </row>
    <row r="1848" spans="1:3" x14ac:dyDescent="0.25">
      <c r="A1848" s="402">
        <v>42998.645833333336</v>
      </c>
      <c r="B1848">
        <v>112</v>
      </c>
      <c r="C1848">
        <f>$E$1*B1848</f>
        <v>622.18310412573669</v>
      </c>
    </row>
    <row r="1849" spans="1:3" x14ac:dyDescent="0.25">
      <c r="A1849" s="402">
        <v>42999.645833333336</v>
      </c>
      <c r="B1849">
        <v>113.5</v>
      </c>
      <c r="C1849">
        <f>$E$1*B1849</f>
        <v>630.51591355599214</v>
      </c>
    </row>
    <row r="1850" spans="1:3" x14ac:dyDescent="0.25">
      <c r="A1850" s="402">
        <v>43000.645833333336</v>
      </c>
      <c r="B1850">
        <v>110.35</v>
      </c>
      <c r="C1850">
        <f>$E$1*B1850</f>
        <v>613.01701375245568</v>
      </c>
    </row>
    <row r="1851" spans="1:3" x14ac:dyDescent="0.25">
      <c r="A1851" s="402">
        <v>43003.645833333336</v>
      </c>
      <c r="B1851">
        <v>105</v>
      </c>
      <c r="C1851">
        <f>$E$1*B1851</f>
        <v>583.2966601178781</v>
      </c>
    </row>
    <row r="1852" spans="1:3" x14ac:dyDescent="0.25">
      <c r="A1852" s="402">
        <v>43004.645833333336</v>
      </c>
      <c r="B1852">
        <v>104</v>
      </c>
      <c r="C1852">
        <f>$E$1*B1852</f>
        <v>577.74145383104121</v>
      </c>
    </row>
    <row r="1853" spans="1:3" x14ac:dyDescent="0.25">
      <c r="A1853" s="402">
        <v>43005.645833333336</v>
      </c>
      <c r="B1853">
        <v>105.5</v>
      </c>
      <c r="C1853">
        <f>$E$1*B1853</f>
        <v>586.07426326129666</v>
      </c>
    </row>
    <row r="1854" spans="1:3" x14ac:dyDescent="0.25">
      <c r="A1854" s="402">
        <v>43006.645833333336</v>
      </c>
      <c r="B1854">
        <v>106.45</v>
      </c>
      <c r="C1854">
        <f>$E$1*B1854</f>
        <v>591.35170923379167</v>
      </c>
    </row>
    <row r="1855" spans="1:3" x14ac:dyDescent="0.25">
      <c r="A1855" s="402">
        <v>43007.645833333336</v>
      </c>
      <c r="B1855">
        <v>105.95</v>
      </c>
      <c r="C1855">
        <f>$E$1*B1855</f>
        <v>588.57410609037322</v>
      </c>
    </row>
    <row r="1856" spans="1:3" x14ac:dyDescent="0.25">
      <c r="A1856" s="402">
        <v>43011.645833333336</v>
      </c>
      <c r="B1856">
        <v>105</v>
      </c>
      <c r="C1856">
        <f>$E$1*B1856</f>
        <v>583.2966601178781</v>
      </c>
    </row>
    <row r="1857" spans="1:3" x14ac:dyDescent="0.25">
      <c r="A1857" s="402">
        <v>43012.645833333336</v>
      </c>
      <c r="B1857">
        <v>105.45</v>
      </c>
      <c r="C1857">
        <f>$E$1*B1857</f>
        <v>585.79650294695477</v>
      </c>
    </row>
    <row r="1858" spans="1:3" x14ac:dyDescent="0.25">
      <c r="A1858" s="402">
        <v>43013.645833333336</v>
      </c>
      <c r="B1858">
        <v>105.5</v>
      </c>
      <c r="C1858">
        <f>$E$1*B1858</f>
        <v>586.07426326129666</v>
      </c>
    </row>
    <row r="1859" spans="1:3" x14ac:dyDescent="0.25">
      <c r="A1859" s="402">
        <v>43014.645833333336</v>
      </c>
      <c r="B1859">
        <v>105.75</v>
      </c>
      <c r="C1859">
        <f>$E$1*B1859</f>
        <v>587.46306483300589</v>
      </c>
    </row>
    <row r="1860" spans="1:3" x14ac:dyDescent="0.25">
      <c r="A1860" s="402">
        <v>43017.645833333336</v>
      </c>
      <c r="B1860">
        <v>104.45</v>
      </c>
      <c r="C1860">
        <f>$E$1*B1860</f>
        <v>580.24129666011788</v>
      </c>
    </row>
    <row r="1861" spans="1:3" x14ac:dyDescent="0.25">
      <c r="A1861" s="402">
        <v>43018.645833333336</v>
      </c>
      <c r="B1861">
        <v>109</v>
      </c>
      <c r="C1861">
        <f>$E$1*B1861</f>
        <v>605.5174852652259</v>
      </c>
    </row>
    <row r="1862" spans="1:3" x14ac:dyDescent="0.25">
      <c r="A1862" s="402">
        <v>43019.645833333336</v>
      </c>
      <c r="B1862">
        <v>110.4</v>
      </c>
      <c r="C1862">
        <f>$E$1*B1862</f>
        <v>613.29477406679757</v>
      </c>
    </row>
    <row r="1863" spans="1:3" x14ac:dyDescent="0.25">
      <c r="A1863" s="402">
        <v>43020.645833333336</v>
      </c>
      <c r="B1863">
        <v>113.35</v>
      </c>
      <c r="C1863">
        <f>$E$1*B1863</f>
        <v>629.68263261296647</v>
      </c>
    </row>
    <row r="1864" spans="1:3" x14ac:dyDescent="0.25">
      <c r="A1864" s="402">
        <v>43021.645833333336</v>
      </c>
      <c r="B1864">
        <v>112.9</v>
      </c>
      <c r="C1864">
        <f>$E$1*B1864</f>
        <v>627.18278978388992</v>
      </c>
    </row>
    <row r="1865" spans="1:3" x14ac:dyDescent="0.25">
      <c r="A1865" s="402">
        <v>43024.645833333336</v>
      </c>
      <c r="B1865">
        <v>107.9</v>
      </c>
      <c r="C1865">
        <f>$E$1*B1865</f>
        <v>599.40675834970534</v>
      </c>
    </row>
    <row r="1866" spans="1:3" x14ac:dyDescent="0.25">
      <c r="A1866" s="402">
        <v>43025.791666666664</v>
      </c>
      <c r="B1866">
        <v>106</v>
      </c>
      <c r="C1866">
        <f>$E$1*B1866</f>
        <v>588.85186640471511</v>
      </c>
    </row>
    <row r="1867" spans="1:3" x14ac:dyDescent="0.25">
      <c r="A1867" s="402">
        <v>43026.645833333336</v>
      </c>
      <c r="B1867">
        <v>110</v>
      </c>
      <c r="C1867">
        <f>$E$1*B1867</f>
        <v>611.07269155206279</v>
      </c>
    </row>
    <row r="1868" spans="1:3" x14ac:dyDescent="0.25">
      <c r="A1868" s="402">
        <v>43027.826388888891</v>
      </c>
      <c r="B1868">
        <v>111.8</v>
      </c>
      <c r="C1868">
        <f>$E$1*B1868</f>
        <v>621.07206286836924</v>
      </c>
    </row>
    <row r="1869" spans="1:3" x14ac:dyDescent="0.25">
      <c r="A1869" s="402">
        <v>43031.645833333336</v>
      </c>
      <c r="B1869">
        <v>112.2</v>
      </c>
      <c r="C1869">
        <f>$E$1*B1869</f>
        <v>623.29414538310414</v>
      </c>
    </row>
    <row r="1870" spans="1:3" x14ac:dyDescent="0.25">
      <c r="A1870" s="402">
        <v>43032.645833333336</v>
      </c>
      <c r="B1870">
        <v>117.45</v>
      </c>
      <c r="C1870">
        <f>$E$1*B1870</f>
        <v>652.45897838899805</v>
      </c>
    </row>
    <row r="1871" spans="1:3" x14ac:dyDescent="0.25">
      <c r="A1871" s="402">
        <v>43033.645833333336</v>
      </c>
      <c r="B1871">
        <v>116</v>
      </c>
      <c r="C1871">
        <f>$E$1*B1871</f>
        <v>644.40392927308449</v>
      </c>
    </row>
    <row r="1872" spans="1:3" x14ac:dyDescent="0.25">
      <c r="A1872" s="402">
        <v>43034.645833333336</v>
      </c>
      <c r="B1872">
        <v>113.35</v>
      </c>
      <c r="C1872">
        <f>$E$1*B1872</f>
        <v>629.68263261296647</v>
      </c>
    </row>
    <row r="1873" spans="1:3" x14ac:dyDescent="0.25">
      <c r="A1873" s="402">
        <v>43035.645833333336</v>
      </c>
      <c r="B1873">
        <v>115.75</v>
      </c>
      <c r="C1873">
        <f>$E$1*B1873</f>
        <v>643.01512770137515</v>
      </c>
    </row>
    <row r="1874" spans="1:3" x14ac:dyDescent="0.25">
      <c r="A1874" s="402">
        <v>43038.645833333336</v>
      </c>
      <c r="B1874">
        <v>116</v>
      </c>
      <c r="C1874">
        <f>$E$1*B1874</f>
        <v>644.40392927308449</v>
      </c>
    </row>
    <row r="1875" spans="1:3" x14ac:dyDescent="0.25">
      <c r="A1875" s="402">
        <v>43039.645833333336</v>
      </c>
      <c r="B1875">
        <v>113.55</v>
      </c>
      <c r="C1875">
        <f>$E$1*B1875</f>
        <v>630.79367387033392</v>
      </c>
    </row>
    <row r="1876" spans="1:3" x14ac:dyDescent="0.25">
      <c r="A1876" s="402">
        <v>43040.645833333336</v>
      </c>
      <c r="B1876">
        <v>125</v>
      </c>
      <c r="C1876">
        <f>$E$1*B1876</f>
        <v>694.40078585461686</v>
      </c>
    </row>
    <row r="1877" spans="1:3" x14ac:dyDescent="0.25">
      <c r="A1877" s="402">
        <v>43041.645833333336</v>
      </c>
      <c r="B1877">
        <v>124.9</v>
      </c>
      <c r="C1877">
        <f>$E$1*B1877</f>
        <v>693.84526522593319</v>
      </c>
    </row>
    <row r="1878" spans="1:3" x14ac:dyDescent="0.25">
      <c r="A1878" s="402">
        <v>43042.645833333336</v>
      </c>
      <c r="B1878">
        <v>120.15</v>
      </c>
      <c r="C1878">
        <f>$E$1*B1878</f>
        <v>667.45803536345772</v>
      </c>
    </row>
    <row r="1879" spans="1:3" x14ac:dyDescent="0.25">
      <c r="A1879" s="402">
        <v>43045.645833333336</v>
      </c>
      <c r="B1879">
        <v>119</v>
      </c>
      <c r="C1879">
        <f>$E$1*B1879</f>
        <v>661.06954813359528</v>
      </c>
    </row>
    <row r="1880" spans="1:3" x14ac:dyDescent="0.25">
      <c r="A1880" s="402">
        <v>43046.645833333336</v>
      </c>
      <c r="B1880">
        <v>116.45</v>
      </c>
      <c r="C1880">
        <f>$E$1*B1880</f>
        <v>646.90377210216104</v>
      </c>
    </row>
    <row r="1881" spans="1:3" x14ac:dyDescent="0.25">
      <c r="A1881" s="402">
        <v>43047.645833333336</v>
      </c>
      <c r="B1881">
        <v>114.45</v>
      </c>
      <c r="C1881">
        <f>$E$1*B1881</f>
        <v>635.79335952848714</v>
      </c>
    </row>
    <row r="1882" spans="1:3" x14ac:dyDescent="0.25">
      <c r="A1882" s="402">
        <v>43048.645833333336</v>
      </c>
      <c r="B1882">
        <v>113.75</v>
      </c>
      <c r="C1882">
        <f>$E$1*B1882</f>
        <v>631.90471512770137</v>
      </c>
    </row>
    <row r="1883" spans="1:3" x14ac:dyDescent="0.25">
      <c r="A1883" s="402">
        <v>43049.645833333336</v>
      </c>
      <c r="B1883">
        <v>113.15</v>
      </c>
      <c r="C1883">
        <f>$E$1*B1883</f>
        <v>628.57159135559925</v>
      </c>
    </row>
    <row r="1884" spans="1:3" x14ac:dyDescent="0.25">
      <c r="A1884" s="402">
        <v>43052.645833333336</v>
      </c>
      <c r="B1884">
        <v>112.7</v>
      </c>
      <c r="C1884">
        <f>$E$1*B1884</f>
        <v>626.07174852652258</v>
      </c>
    </row>
    <row r="1885" spans="1:3" x14ac:dyDescent="0.25">
      <c r="A1885" s="402">
        <v>43053.645833333336</v>
      </c>
      <c r="B1885">
        <v>113</v>
      </c>
      <c r="C1885">
        <f>$E$1*B1885</f>
        <v>627.73831041257358</v>
      </c>
    </row>
    <row r="1886" spans="1:3" x14ac:dyDescent="0.25">
      <c r="A1886" s="402">
        <v>43054.645833333336</v>
      </c>
      <c r="B1886">
        <v>103.4</v>
      </c>
      <c r="C1886">
        <f>$E$1*B1886</f>
        <v>574.4083300589391</v>
      </c>
    </row>
    <row r="1887" spans="1:3" x14ac:dyDescent="0.25">
      <c r="A1887" s="402">
        <v>43055.645833333336</v>
      </c>
      <c r="B1887">
        <v>105.5</v>
      </c>
      <c r="C1887">
        <f>$E$1*B1887</f>
        <v>586.07426326129666</v>
      </c>
    </row>
    <row r="1888" spans="1:3" x14ac:dyDescent="0.25">
      <c r="A1888" s="402">
        <v>43056.645833333336</v>
      </c>
      <c r="B1888">
        <v>104.7</v>
      </c>
      <c r="C1888">
        <f>$E$1*B1888</f>
        <v>581.63009823182711</v>
      </c>
    </row>
    <row r="1889" spans="1:3" x14ac:dyDescent="0.25">
      <c r="A1889" s="402">
        <v>43059.645833333336</v>
      </c>
      <c r="B1889">
        <v>109.95</v>
      </c>
      <c r="C1889">
        <f>$E$1*B1889</f>
        <v>610.79493123772102</v>
      </c>
    </row>
    <row r="1890" spans="1:3" x14ac:dyDescent="0.25">
      <c r="A1890" s="402">
        <v>43060.645833333336</v>
      </c>
      <c r="B1890">
        <v>110</v>
      </c>
      <c r="C1890">
        <f>$E$1*B1890</f>
        <v>611.07269155206279</v>
      </c>
    </row>
    <row r="1891" spans="1:3" x14ac:dyDescent="0.25">
      <c r="A1891" s="402">
        <v>43061.645833333336</v>
      </c>
      <c r="B1891">
        <v>110.2</v>
      </c>
      <c r="C1891">
        <f>$E$1*B1891</f>
        <v>612.18373280943024</v>
      </c>
    </row>
    <row r="1892" spans="1:3" x14ac:dyDescent="0.25">
      <c r="A1892" s="402">
        <v>43062.645833333336</v>
      </c>
      <c r="B1892">
        <v>110.5</v>
      </c>
      <c r="C1892">
        <f>$E$1*B1892</f>
        <v>613.85029469548124</v>
      </c>
    </row>
    <row r="1893" spans="1:3" x14ac:dyDescent="0.25">
      <c r="A1893" s="402">
        <v>43063.645833333336</v>
      </c>
      <c r="B1893">
        <v>110.4</v>
      </c>
      <c r="C1893">
        <f>$E$1*B1893</f>
        <v>613.29477406679757</v>
      </c>
    </row>
    <row r="1894" spans="1:3" x14ac:dyDescent="0.25">
      <c r="A1894" s="402">
        <v>43066.645833333336</v>
      </c>
      <c r="B1894">
        <v>110</v>
      </c>
      <c r="C1894">
        <f>$E$1*B1894</f>
        <v>611.07269155206279</v>
      </c>
    </row>
    <row r="1895" spans="1:3" x14ac:dyDescent="0.25">
      <c r="A1895" s="402">
        <v>43067.645833333336</v>
      </c>
      <c r="B1895">
        <v>108.55</v>
      </c>
      <c r="C1895">
        <f>$E$1*B1895</f>
        <v>603.01764243614923</v>
      </c>
    </row>
    <row r="1896" spans="1:3" x14ac:dyDescent="0.25">
      <c r="A1896" s="402">
        <v>43068.645833333336</v>
      </c>
      <c r="B1896">
        <v>108.9</v>
      </c>
      <c r="C1896">
        <f>$E$1*B1896</f>
        <v>604.96196463654223</v>
      </c>
    </row>
    <row r="1897" spans="1:3" x14ac:dyDescent="0.25">
      <c r="A1897" s="402">
        <v>43069.645833333336</v>
      </c>
      <c r="B1897">
        <v>107.45</v>
      </c>
      <c r="C1897">
        <f>$E$1*B1897</f>
        <v>596.90691552062867</v>
      </c>
    </row>
    <row r="1898" spans="1:3" x14ac:dyDescent="0.25">
      <c r="A1898" s="402">
        <v>43070.645833333336</v>
      </c>
      <c r="B1898">
        <v>105.2</v>
      </c>
      <c r="C1898">
        <f>$E$1*B1898</f>
        <v>584.40770137524555</v>
      </c>
    </row>
    <row r="1899" spans="1:3" x14ac:dyDescent="0.25">
      <c r="A1899" s="402">
        <v>43073.645833333336</v>
      </c>
      <c r="B1899">
        <v>105.3</v>
      </c>
      <c r="C1899">
        <f>$E$1*B1899</f>
        <v>584.96322200392922</v>
      </c>
    </row>
    <row r="1900" spans="1:3" x14ac:dyDescent="0.25">
      <c r="A1900" s="402">
        <v>43074.645833333336</v>
      </c>
      <c r="B1900">
        <v>105.1</v>
      </c>
      <c r="C1900">
        <f>$E$1*B1900</f>
        <v>583.85218074656177</v>
      </c>
    </row>
    <row r="1901" spans="1:3" x14ac:dyDescent="0.25">
      <c r="A1901" s="402">
        <v>43075.645833333336</v>
      </c>
      <c r="B1901">
        <v>105</v>
      </c>
      <c r="C1901">
        <f>$E$1*B1901</f>
        <v>583.2966601178781</v>
      </c>
    </row>
    <row r="1902" spans="1:3" x14ac:dyDescent="0.25">
      <c r="A1902" s="402">
        <v>43076.645833333336</v>
      </c>
      <c r="B1902">
        <v>109.1</v>
      </c>
      <c r="C1902">
        <f>$E$1*B1902</f>
        <v>606.07300589390957</v>
      </c>
    </row>
    <row r="1903" spans="1:3" x14ac:dyDescent="0.25">
      <c r="A1903" s="402">
        <v>43077.645833333336</v>
      </c>
      <c r="B1903">
        <v>109.5</v>
      </c>
      <c r="C1903">
        <f>$E$1*B1903</f>
        <v>608.29508840864435</v>
      </c>
    </row>
    <row r="1904" spans="1:3" x14ac:dyDescent="0.25">
      <c r="A1904" s="402">
        <v>43080.645833333336</v>
      </c>
      <c r="B1904">
        <v>114.75</v>
      </c>
      <c r="C1904">
        <f>$E$1*B1904</f>
        <v>637.45992141453826</v>
      </c>
    </row>
    <row r="1905" spans="1:3" x14ac:dyDescent="0.25">
      <c r="A1905" s="402">
        <v>43081.645833333336</v>
      </c>
      <c r="B1905">
        <v>114.2</v>
      </c>
      <c r="C1905">
        <f>$E$1*B1905</f>
        <v>634.40455795677792</v>
      </c>
    </row>
    <row r="1906" spans="1:3" x14ac:dyDescent="0.25">
      <c r="A1906" s="402">
        <v>43082.645833333336</v>
      </c>
      <c r="B1906">
        <v>110.8</v>
      </c>
      <c r="C1906">
        <f>$E$1*B1906</f>
        <v>615.51685658153235</v>
      </c>
    </row>
    <row r="1907" spans="1:3" x14ac:dyDescent="0.25">
      <c r="A1907" s="402">
        <v>43083.645833333336</v>
      </c>
      <c r="B1907">
        <v>109.5</v>
      </c>
      <c r="C1907">
        <f>$E$1*B1907</f>
        <v>608.29508840864435</v>
      </c>
    </row>
    <row r="1908" spans="1:3" x14ac:dyDescent="0.25">
      <c r="A1908" s="402">
        <v>43084.645833333336</v>
      </c>
      <c r="B1908">
        <v>110.35</v>
      </c>
      <c r="C1908">
        <f>$E$1*B1908</f>
        <v>613.01701375245568</v>
      </c>
    </row>
    <row r="1909" spans="1:3" x14ac:dyDescent="0.25">
      <c r="A1909" s="402">
        <v>43087.645833333336</v>
      </c>
      <c r="B1909">
        <v>108.7</v>
      </c>
      <c r="C1909">
        <f>$E$1*B1909</f>
        <v>603.85092337917479</v>
      </c>
    </row>
    <row r="1910" spans="1:3" x14ac:dyDescent="0.25">
      <c r="A1910" s="402">
        <v>43088.645833333336</v>
      </c>
      <c r="B1910">
        <v>114.25</v>
      </c>
      <c r="C1910">
        <f>$E$1*B1910</f>
        <v>634.68231827111981</v>
      </c>
    </row>
    <row r="1911" spans="1:3" x14ac:dyDescent="0.25">
      <c r="A1911" s="402">
        <v>43089.645833333336</v>
      </c>
      <c r="B1911">
        <v>111.55</v>
      </c>
      <c r="C1911">
        <f>$E$1*B1911</f>
        <v>619.68326129666002</v>
      </c>
    </row>
    <row r="1912" spans="1:3" x14ac:dyDescent="0.25">
      <c r="A1912" s="402">
        <v>43090.645833333336</v>
      </c>
      <c r="B1912">
        <v>111.8</v>
      </c>
      <c r="C1912">
        <f>$E$1*B1912</f>
        <v>621.07206286836924</v>
      </c>
    </row>
    <row r="1913" spans="1:3" x14ac:dyDescent="0.25">
      <c r="A1913" s="402">
        <v>43091.645833333336</v>
      </c>
      <c r="B1913">
        <v>113.5</v>
      </c>
      <c r="C1913">
        <f>$E$1*B1913</f>
        <v>630.51591355599214</v>
      </c>
    </row>
    <row r="1914" spans="1:3" x14ac:dyDescent="0.25">
      <c r="A1914" s="402">
        <v>43095.645833333336</v>
      </c>
      <c r="B1914">
        <v>116.4</v>
      </c>
      <c r="C1914">
        <f>$E$1*B1914</f>
        <v>646.62601178781927</v>
      </c>
    </row>
    <row r="1915" spans="1:3" x14ac:dyDescent="0.25">
      <c r="A1915" s="402">
        <v>43096.645833333336</v>
      </c>
      <c r="B1915">
        <v>116.6</v>
      </c>
      <c r="C1915">
        <f>$E$1*B1915</f>
        <v>647.7370530451866</v>
      </c>
    </row>
    <row r="1916" spans="1:3" x14ac:dyDescent="0.25">
      <c r="A1916" s="402">
        <v>43097.645833333336</v>
      </c>
      <c r="B1916">
        <v>116</v>
      </c>
      <c r="C1916">
        <f>$E$1*B1916</f>
        <v>644.40392927308449</v>
      </c>
    </row>
    <row r="1917" spans="1:3" x14ac:dyDescent="0.25">
      <c r="A1917" s="402">
        <v>43098.645833333336</v>
      </c>
      <c r="B1917">
        <v>116</v>
      </c>
      <c r="C1917">
        <f>$E$1*B1917</f>
        <v>644.40392927308449</v>
      </c>
    </row>
    <row r="1918" spans="1:3" x14ac:dyDescent="0.25">
      <c r="A1918" s="402">
        <v>43101.645833333336</v>
      </c>
      <c r="B1918">
        <v>116</v>
      </c>
      <c r="C1918">
        <f>$E$1*B1918</f>
        <v>644.40392927308449</v>
      </c>
    </row>
    <row r="1919" spans="1:3" x14ac:dyDescent="0.25">
      <c r="A1919" s="402">
        <v>43102.645833333336</v>
      </c>
      <c r="B1919">
        <v>111</v>
      </c>
      <c r="C1919">
        <f>$E$1*B1919</f>
        <v>616.6278978388998</v>
      </c>
    </row>
    <row r="1920" spans="1:3" x14ac:dyDescent="0.25">
      <c r="A1920" s="402">
        <v>43103.645833333336</v>
      </c>
      <c r="B1920">
        <v>111</v>
      </c>
      <c r="C1920">
        <f>$E$1*B1920</f>
        <v>616.6278978388998</v>
      </c>
    </row>
    <row r="1921" spans="1:3" x14ac:dyDescent="0.25">
      <c r="A1921" s="402">
        <v>43104.645833333336</v>
      </c>
      <c r="B1921">
        <v>112.9</v>
      </c>
      <c r="C1921">
        <f>$E$1*B1921</f>
        <v>627.18278978388992</v>
      </c>
    </row>
    <row r="1922" spans="1:3" x14ac:dyDescent="0.25">
      <c r="A1922" s="402">
        <v>43105.645833333336</v>
      </c>
      <c r="B1922">
        <v>118</v>
      </c>
      <c r="C1922">
        <f>$E$1*B1922</f>
        <v>655.51434184675827</v>
      </c>
    </row>
    <row r="1923" spans="1:3" x14ac:dyDescent="0.25">
      <c r="A1923" s="402">
        <v>43108.645833333336</v>
      </c>
      <c r="B1923">
        <v>116.6</v>
      </c>
      <c r="C1923">
        <f>$E$1*B1923</f>
        <v>647.7370530451866</v>
      </c>
    </row>
    <row r="1924" spans="1:3" x14ac:dyDescent="0.25">
      <c r="A1924" s="402">
        <v>43109.645833333336</v>
      </c>
      <c r="B1924">
        <v>116</v>
      </c>
      <c r="C1924">
        <f>$E$1*B1924</f>
        <v>644.40392927308449</v>
      </c>
    </row>
    <row r="1925" spans="1:3" x14ac:dyDescent="0.25">
      <c r="A1925" s="402">
        <v>43110.645833333336</v>
      </c>
      <c r="B1925">
        <v>116.5</v>
      </c>
      <c r="C1925">
        <f>$E$1*B1925</f>
        <v>647.18153241650293</v>
      </c>
    </row>
    <row r="1926" spans="1:3" x14ac:dyDescent="0.25">
      <c r="A1926" s="402">
        <v>43111.645833333336</v>
      </c>
      <c r="B1926">
        <v>116.6</v>
      </c>
      <c r="C1926">
        <f>$E$1*B1926</f>
        <v>647.7370530451866</v>
      </c>
    </row>
    <row r="1927" spans="1:3" x14ac:dyDescent="0.25">
      <c r="A1927" s="402">
        <v>43112.645833333336</v>
      </c>
      <c r="B1927">
        <v>116</v>
      </c>
      <c r="C1927">
        <f>$E$1*B1927</f>
        <v>644.40392927308449</v>
      </c>
    </row>
    <row r="1928" spans="1:3" x14ac:dyDescent="0.25">
      <c r="A1928" s="402">
        <v>43115.645833333336</v>
      </c>
      <c r="B1928">
        <v>114.65</v>
      </c>
      <c r="C1928">
        <f>$E$1*B1928</f>
        <v>636.90440078585459</v>
      </c>
    </row>
    <row r="1929" spans="1:3" x14ac:dyDescent="0.25">
      <c r="A1929" s="402">
        <v>43116.645833333336</v>
      </c>
      <c r="B1929">
        <v>112.25</v>
      </c>
      <c r="C1929">
        <f>$E$1*B1929</f>
        <v>623.57190569744591</v>
      </c>
    </row>
    <row r="1930" spans="1:3" x14ac:dyDescent="0.25">
      <c r="A1930" s="402">
        <v>43117.645833333336</v>
      </c>
      <c r="B1930">
        <v>112.5</v>
      </c>
      <c r="C1930">
        <f>$E$1*B1930</f>
        <v>624.96070726915514</v>
      </c>
    </row>
    <row r="1931" spans="1:3" x14ac:dyDescent="0.25">
      <c r="A1931" s="402">
        <v>43118.645833333336</v>
      </c>
      <c r="B1931">
        <v>111</v>
      </c>
      <c r="C1931">
        <f>$E$1*B1931</f>
        <v>616.6278978388998</v>
      </c>
    </row>
    <row r="1932" spans="1:3" x14ac:dyDescent="0.25">
      <c r="A1932" s="402">
        <v>43119.645833333336</v>
      </c>
      <c r="B1932">
        <v>111</v>
      </c>
      <c r="C1932">
        <f>$E$1*B1932</f>
        <v>616.6278978388998</v>
      </c>
    </row>
    <row r="1933" spans="1:3" x14ac:dyDescent="0.25">
      <c r="A1933" s="402">
        <v>43122.645833333336</v>
      </c>
      <c r="B1933">
        <v>110.5</v>
      </c>
      <c r="C1933">
        <f>$E$1*B1933</f>
        <v>613.85029469548124</v>
      </c>
    </row>
    <row r="1934" spans="1:3" x14ac:dyDescent="0.25">
      <c r="A1934" s="402">
        <v>43123.645833333336</v>
      </c>
      <c r="B1934">
        <v>110.2</v>
      </c>
      <c r="C1934">
        <f>$E$1*B1934</f>
        <v>612.18373280943024</v>
      </c>
    </row>
    <row r="1935" spans="1:3" x14ac:dyDescent="0.25">
      <c r="A1935" s="402">
        <v>43124.645833333336</v>
      </c>
      <c r="B1935">
        <v>110</v>
      </c>
      <c r="C1935">
        <f>$E$1*B1935</f>
        <v>611.07269155206279</v>
      </c>
    </row>
    <row r="1936" spans="1:3" x14ac:dyDescent="0.25">
      <c r="A1936" s="402">
        <v>43125.645833333336</v>
      </c>
      <c r="B1936">
        <v>114.5</v>
      </c>
      <c r="C1936">
        <f>$E$1*B1936</f>
        <v>636.07111984282903</v>
      </c>
    </row>
    <row r="1937" spans="1:3" x14ac:dyDescent="0.25">
      <c r="A1937" s="402">
        <v>43129.645833333336</v>
      </c>
      <c r="B1937">
        <v>123.5</v>
      </c>
      <c r="C1937">
        <f>$E$1*B1937</f>
        <v>686.0679764243614</v>
      </c>
    </row>
    <row r="1938" spans="1:3" x14ac:dyDescent="0.25">
      <c r="A1938" s="402">
        <v>43130.645833333336</v>
      </c>
      <c r="B1938">
        <v>121.35</v>
      </c>
      <c r="C1938">
        <f>$E$1*B1938</f>
        <v>674.12428290766195</v>
      </c>
    </row>
    <row r="1939" spans="1:3" x14ac:dyDescent="0.25">
      <c r="A1939" s="402">
        <v>43131.645833333336</v>
      </c>
      <c r="B1939">
        <v>120.35</v>
      </c>
      <c r="C1939">
        <f>$E$1*B1939</f>
        <v>668.56907662082506</v>
      </c>
    </row>
    <row r="1940" spans="1:3" x14ac:dyDescent="0.25">
      <c r="A1940" s="402">
        <v>43132.645833333336</v>
      </c>
      <c r="B1940">
        <v>118</v>
      </c>
      <c r="C1940">
        <f>$E$1*B1940</f>
        <v>655.51434184675827</v>
      </c>
    </row>
    <row r="1941" spans="1:3" x14ac:dyDescent="0.25">
      <c r="A1941" s="402">
        <v>43133.645833333336</v>
      </c>
      <c r="B1941">
        <v>112.45</v>
      </c>
      <c r="C1941">
        <f>$E$1*B1941</f>
        <v>624.68294695481336</v>
      </c>
    </row>
    <row r="1942" spans="1:3" x14ac:dyDescent="0.25">
      <c r="A1942" s="402">
        <v>43136.645833333336</v>
      </c>
      <c r="B1942">
        <v>112</v>
      </c>
      <c r="C1942">
        <f>$E$1*B1942</f>
        <v>622.18310412573669</v>
      </c>
    </row>
    <row r="1943" spans="1:3" x14ac:dyDescent="0.25">
      <c r="A1943" s="402">
        <v>43137.645833333336</v>
      </c>
      <c r="B1943">
        <v>106.25</v>
      </c>
      <c r="C1943">
        <f>$E$1*B1943</f>
        <v>590.24066797642433</v>
      </c>
    </row>
    <row r="1944" spans="1:3" x14ac:dyDescent="0.25">
      <c r="A1944" s="402">
        <v>43138.645833333336</v>
      </c>
      <c r="B1944">
        <v>110.2</v>
      </c>
      <c r="C1944">
        <f>$E$1*B1944</f>
        <v>612.18373280943024</v>
      </c>
    </row>
    <row r="1945" spans="1:3" x14ac:dyDescent="0.25">
      <c r="A1945" s="402">
        <v>43139.645833333336</v>
      </c>
      <c r="B1945">
        <v>112.6</v>
      </c>
      <c r="C1945">
        <f>$E$1*B1945</f>
        <v>625.5162278978388</v>
      </c>
    </row>
    <row r="1946" spans="1:3" x14ac:dyDescent="0.25">
      <c r="A1946" s="402">
        <v>43140.645833333336</v>
      </c>
      <c r="B1946">
        <v>110.4</v>
      </c>
      <c r="C1946">
        <f>$E$1*B1946</f>
        <v>613.29477406679757</v>
      </c>
    </row>
    <row r="1947" spans="1:3" x14ac:dyDescent="0.25">
      <c r="A1947" s="402">
        <v>43143.645833333336</v>
      </c>
      <c r="B1947">
        <v>113.5</v>
      </c>
      <c r="C1947">
        <f>$E$1*B1947</f>
        <v>630.51591355599214</v>
      </c>
    </row>
    <row r="1948" spans="1:3" x14ac:dyDescent="0.25">
      <c r="A1948" s="402">
        <v>43145.645833333336</v>
      </c>
      <c r="B1948">
        <v>112</v>
      </c>
      <c r="C1948">
        <f>$E$1*B1948</f>
        <v>622.18310412573669</v>
      </c>
    </row>
    <row r="1949" spans="1:3" x14ac:dyDescent="0.25">
      <c r="A1949" s="402">
        <v>43146.645833333336</v>
      </c>
      <c r="B1949">
        <v>111.4</v>
      </c>
      <c r="C1949">
        <f>$E$1*B1949</f>
        <v>618.84998035363458</v>
      </c>
    </row>
    <row r="1950" spans="1:3" x14ac:dyDescent="0.25">
      <c r="A1950" s="402">
        <v>43147.645833333336</v>
      </c>
      <c r="B1950">
        <v>109.75</v>
      </c>
      <c r="C1950">
        <f>$E$1*B1950</f>
        <v>609.68388998035357</v>
      </c>
    </row>
    <row r="1951" spans="1:3" x14ac:dyDescent="0.25">
      <c r="A1951" s="402">
        <v>43150.645833333336</v>
      </c>
      <c r="B1951">
        <v>109.5</v>
      </c>
      <c r="C1951">
        <f>$E$1*B1951</f>
        <v>608.29508840864435</v>
      </c>
    </row>
    <row r="1952" spans="1:3" x14ac:dyDescent="0.25">
      <c r="A1952" s="402">
        <v>43151.645833333336</v>
      </c>
      <c r="B1952">
        <v>108.7</v>
      </c>
      <c r="C1952">
        <f>$E$1*B1952</f>
        <v>603.85092337917479</v>
      </c>
    </row>
    <row r="1953" spans="1:3" x14ac:dyDescent="0.25">
      <c r="A1953" s="402">
        <v>43152.645833333336</v>
      </c>
      <c r="B1953">
        <v>108.55</v>
      </c>
      <c r="C1953">
        <f>$E$1*B1953</f>
        <v>603.01764243614923</v>
      </c>
    </row>
    <row r="1954" spans="1:3" x14ac:dyDescent="0.25">
      <c r="A1954" s="402">
        <v>43153.645833333336</v>
      </c>
      <c r="B1954">
        <v>107.85</v>
      </c>
      <c r="C1954">
        <f>$E$1*B1954</f>
        <v>599.12899803536334</v>
      </c>
    </row>
    <row r="1955" spans="1:3" x14ac:dyDescent="0.25">
      <c r="A1955" s="402">
        <v>43154.645833333336</v>
      </c>
      <c r="B1955">
        <v>108.75</v>
      </c>
      <c r="C1955">
        <f>$E$1*B1955</f>
        <v>604.12868369351668</v>
      </c>
    </row>
    <row r="1956" spans="1:3" x14ac:dyDescent="0.25">
      <c r="A1956" s="402">
        <v>43157.645833333336</v>
      </c>
      <c r="B1956">
        <v>106.25</v>
      </c>
      <c r="C1956">
        <f>$E$1*B1956</f>
        <v>590.24066797642433</v>
      </c>
    </row>
    <row r="1957" spans="1:3" x14ac:dyDescent="0.25">
      <c r="A1957" s="402">
        <v>43158.645833333336</v>
      </c>
      <c r="B1957">
        <v>105.7</v>
      </c>
      <c r="C1957">
        <f>$E$1*B1957</f>
        <v>587.185304518664</v>
      </c>
    </row>
    <row r="1958" spans="1:3" x14ac:dyDescent="0.25">
      <c r="A1958" s="402">
        <v>43159.645833333336</v>
      </c>
      <c r="B1958">
        <v>104.85</v>
      </c>
      <c r="C1958">
        <f>$E$1*B1958</f>
        <v>582.46337917485255</v>
      </c>
    </row>
    <row r="1959" spans="1:3" x14ac:dyDescent="0.25">
      <c r="A1959" s="402">
        <v>43160.645833333336</v>
      </c>
      <c r="B1959">
        <v>104.1</v>
      </c>
      <c r="C1959">
        <f>$E$1*B1959</f>
        <v>578.29697445972488</v>
      </c>
    </row>
    <row r="1960" spans="1:3" x14ac:dyDescent="0.25">
      <c r="A1960" s="402">
        <v>43164.645833333336</v>
      </c>
      <c r="B1960">
        <v>102.95</v>
      </c>
      <c r="C1960">
        <f>$E$1*B1960</f>
        <v>571.90848722986243</v>
      </c>
    </row>
    <row r="1961" spans="1:3" x14ac:dyDescent="0.25">
      <c r="A1961" s="402">
        <v>43165.645833333336</v>
      </c>
      <c r="B1961">
        <v>98.95</v>
      </c>
      <c r="C1961">
        <f>$E$1*B1961</f>
        <v>549.68766208251475</v>
      </c>
    </row>
    <row r="1962" spans="1:3" x14ac:dyDescent="0.25">
      <c r="A1962" s="402">
        <v>43166.645833333336</v>
      </c>
      <c r="B1962">
        <v>97.45</v>
      </c>
      <c r="C1962">
        <f>$E$1*B1962</f>
        <v>541.3548526522593</v>
      </c>
    </row>
    <row r="1963" spans="1:3" x14ac:dyDescent="0.25">
      <c r="A1963" s="402">
        <v>43167.645833333336</v>
      </c>
      <c r="B1963">
        <v>96.7</v>
      </c>
      <c r="C1963">
        <f>$E$1*B1963</f>
        <v>537.18844793713163</v>
      </c>
    </row>
    <row r="1964" spans="1:3" x14ac:dyDescent="0.25">
      <c r="A1964" s="402">
        <v>43168.645833333336</v>
      </c>
      <c r="B1964">
        <v>98.2</v>
      </c>
      <c r="C1964">
        <f>$E$1*B1964</f>
        <v>545.52125736738697</v>
      </c>
    </row>
    <row r="1965" spans="1:3" x14ac:dyDescent="0.25">
      <c r="A1965" s="402">
        <v>43171.645833333336</v>
      </c>
      <c r="B1965">
        <v>99.9</v>
      </c>
      <c r="C1965">
        <f>$E$1*B1965</f>
        <v>554.96510805500986</v>
      </c>
    </row>
    <row r="1966" spans="1:3" x14ac:dyDescent="0.25">
      <c r="A1966" s="402">
        <v>43172.645833333336</v>
      </c>
      <c r="B1966">
        <v>101.3</v>
      </c>
      <c r="C1966">
        <f>$E$1*B1966</f>
        <v>562.74239685658142</v>
      </c>
    </row>
    <row r="1967" spans="1:3" x14ac:dyDescent="0.25">
      <c r="A1967" s="402">
        <v>43173.645833333336</v>
      </c>
      <c r="B1967">
        <v>104.3</v>
      </c>
      <c r="C1967">
        <f>$E$1*B1967</f>
        <v>579.40801571709233</v>
      </c>
    </row>
    <row r="1968" spans="1:3" x14ac:dyDescent="0.25">
      <c r="A1968" s="402">
        <v>43174.645833333336</v>
      </c>
      <c r="B1968">
        <v>104.9</v>
      </c>
      <c r="C1968">
        <f>$E$1*B1968</f>
        <v>582.74113948919444</v>
      </c>
    </row>
    <row r="1969" spans="1:3" x14ac:dyDescent="0.25">
      <c r="A1969" s="402">
        <v>43175.645833333336</v>
      </c>
      <c r="B1969">
        <v>102.8</v>
      </c>
      <c r="C1969">
        <f>$E$1*B1969</f>
        <v>571.07520628683687</v>
      </c>
    </row>
    <row r="1970" spans="1:3" x14ac:dyDescent="0.25">
      <c r="A1970" s="402">
        <v>43178.645833333336</v>
      </c>
      <c r="B1970">
        <v>101.95</v>
      </c>
      <c r="C1970">
        <f>$E$1*B1970</f>
        <v>566.35328094302554</v>
      </c>
    </row>
    <row r="1971" spans="1:3" x14ac:dyDescent="0.25">
      <c r="A1971" s="402">
        <v>43179.645833333336</v>
      </c>
      <c r="B1971">
        <v>101.15</v>
      </c>
      <c r="C1971">
        <f>$E$1*B1971</f>
        <v>561.90911591355598</v>
      </c>
    </row>
    <row r="1972" spans="1:3" x14ac:dyDescent="0.25">
      <c r="A1972" s="402">
        <v>43180.645833333336</v>
      </c>
      <c r="B1972">
        <v>100.55</v>
      </c>
      <c r="C1972">
        <f>$E$1*B1972</f>
        <v>558.57599214145375</v>
      </c>
    </row>
    <row r="1973" spans="1:3" x14ac:dyDescent="0.25">
      <c r="A1973" s="402">
        <v>43181.645833333336</v>
      </c>
      <c r="B1973">
        <v>98.65</v>
      </c>
      <c r="C1973">
        <f>$E$1*B1973</f>
        <v>548.02110019646364</v>
      </c>
    </row>
    <row r="1974" spans="1:3" x14ac:dyDescent="0.25">
      <c r="A1974" s="402">
        <v>43182.645833333336</v>
      </c>
      <c r="B1974">
        <v>100</v>
      </c>
      <c r="C1974">
        <f>$E$1*B1974</f>
        <v>555.52062868369353</v>
      </c>
    </row>
    <row r="1975" spans="1:3" x14ac:dyDescent="0.25">
      <c r="A1975" s="402">
        <v>43185.645833333336</v>
      </c>
      <c r="B1975">
        <v>97.45</v>
      </c>
      <c r="C1975">
        <f>$E$1*B1975</f>
        <v>541.3548526522593</v>
      </c>
    </row>
    <row r="1976" spans="1:3" x14ac:dyDescent="0.25">
      <c r="A1976" s="402">
        <v>43186.645833333336</v>
      </c>
      <c r="B1976">
        <v>98</v>
      </c>
      <c r="C1976">
        <f>$E$1*B1976</f>
        <v>544.41021611001963</v>
      </c>
    </row>
    <row r="1977" spans="1:3" x14ac:dyDescent="0.25">
      <c r="A1977" s="402">
        <v>43187.645833333336</v>
      </c>
      <c r="B1977">
        <v>98.25</v>
      </c>
      <c r="C1977">
        <f>$E$1*B1977</f>
        <v>545.79901768172886</v>
      </c>
    </row>
  </sheetData>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25"/>
  <sheetViews>
    <sheetView workbookViewId="0">
      <selection activeCell="E5" sqref="E5"/>
    </sheetView>
  </sheetViews>
  <sheetFormatPr defaultRowHeight="15" x14ac:dyDescent="0.25"/>
  <cols>
    <col min="1" max="1" width="10.140625" bestFit="1" customWidth="1"/>
    <col min="9" max="9" width="18.5703125" customWidth="1"/>
    <col min="10" max="10" width="9.5703125" customWidth="1"/>
    <col min="11" max="11" width="12.140625" bestFit="1" customWidth="1"/>
    <col min="12" max="12" width="11.5703125" bestFit="1" customWidth="1"/>
  </cols>
  <sheetData>
    <row r="1" spans="1:131" ht="60" x14ac:dyDescent="0.25">
      <c r="A1" t="s">
        <v>931</v>
      </c>
      <c r="B1" t="s">
        <v>930</v>
      </c>
      <c r="C1" t="s">
        <v>953</v>
      </c>
      <c r="E1" s="378" t="s">
        <v>954</v>
      </c>
      <c r="J1" s="395" t="s">
        <v>932</v>
      </c>
      <c r="K1" s="396"/>
      <c r="L1" s="396"/>
      <c r="M1" s="396"/>
      <c r="N1" s="396"/>
      <c r="O1" s="396"/>
      <c r="P1" s="396"/>
      <c r="Q1" s="396"/>
      <c r="R1" s="396"/>
    </row>
    <row r="2" spans="1:131" x14ac:dyDescent="0.25">
      <c r="A2">
        <v>124</v>
      </c>
      <c r="B2" s="384">
        <v>39448</v>
      </c>
      <c r="C2" s="385">
        <v>7.5289999999999999</v>
      </c>
      <c r="D2" s="385"/>
      <c r="E2" s="385"/>
      <c r="I2" s="384"/>
      <c r="J2" s="395" t="s">
        <v>966</v>
      </c>
      <c r="K2" s="395"/>
      <c r="L2" s="395"/>
      <c r="M2" s="395"/>
      <c r="N2" s="395"/>
      <c r="O2" s="395"/>
      <c r="P2" s="395"/>
      <c r="Q2" s="395"/>
      <c r="R2" s="395"/>
      <c r="S2" s="386"/>
      <c r="T2" s="386"/>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4"/>
      <c r="CB2" s="384"/>
      <c r="CC2" s="384"/>
      <c r="CD2" s="384"/>
      <c r="CE2" s="384"/>
      <c r="CF2" s="384"/>
      <c r="CG2" s="384"/>
      <c r="CH2" s="384"/>
      <c r="CI2" s="384"/>
      <c r="CJ2" s="384"/>
      <c r="CK2" s="384"/>
      <c r="CL2" s="384"/>
      <c r="CM2" s="384"/>
      <c r="CN2" s="384"/>
      <c r="CO2" s="384"/>
      <c r="CP2" s="384"/>
      <c r="CQ2" s="384"/>
      <c r="CR2" s="384"/>
      <c r="CS2" s="384"/>
      <c r="CT2" s="384"/>
      <c r="CU2" s="384"/>
      <c r="CV2" s="384"/>
      <c r="CW2" s="384"/>
      <c r="CX2" s="384"/>
      <c r="CY2" s="384"/>
      <c r="CZ2" s="384"/>
      <c r="DA2" s="384"/>
      <c r="DB2" s="384"/>
      <c r="DC2" s="384"/>
      <c r="DD2" s="384"/>
      <c r="DE2" s="384"/>
      <c r="DF2" s="384"/>
      <c r="DG2" s="384"/>
      <c r="DH2" s="384"/>
      <c r="DI2" s="384"/>
      <c r="DJ2" s="384"/>
      <c r="DK2" s="384"/>
      <c r="DL2" s="384"/>
      <c r="DM2" s="384"/>
      <c r="DN2" s="384"/>
      <c r="DO2" s="384"/>
      <c r="DP2" s="384"/>
      <c r="DQ2" s="384"/>
      <c r="DR2" s="384"/>
      <c r="DS2" s="384"/>
      <c r="DT2" s="384"/>
      <c r="DU2" s="384"/>
      <c r="DV2" s="384"/>
      <c r="DW2" s="384"/>
      <c r="DX2" s="384"/>
      <c r="DY2" s="384"/>
      <c r="DZ2" s="384"/>
      <c r="EA2" s="384"/>
    </row>
    <row r="3" spans="1:131" x14ac:dyDescent="0.25">
      <c r="A3">
        <v>123</v>
      </c>
      <c r="B3" s="384">
        <v>39479</v>
      </c>
      <c r="C3" s="385">
        <v>7.5679999999999996</v>
      </c>
      <c r="D3" s="385"/>
      <c r="E3" s="385"/>
      <c r="I3" s="385"/>
    </row>
    <row r="4" spans="1:131" x14ac:dyDescent="0.25">
      <c r="A4">
        <v>122</v>
      </c>
      <c r="B4" s="384">
        <v>39508</v>
      </c>
      <c r="C4" s="385">
        <v>7.9379999999999997</v>
      </c>
      <c r="D4" s="385"/>
      <c r="E4" s="384"/>
      <c r="I4" s="385"/>
      <c r="J4" s="397" t="s">
        <v>955</v>
      </c>
      <c r="K4" s="397" t="s">
        <v>956</v>
      </c>
      <c r="L4" s="397" t="s">
        <v>957</v>
      </c>
      <c r="M4" s="397" t="s">
        <v>958</v>
      </c>
      <c r="N4" s="397" t="s">
        <v>959</v>
      </c>
      <c r="O4" s="397" t="s">
        <v>960</v>
      </c>
      <c r="P4" s="397" t="s">
        <v>961</v>
      </c>
      <c r="Q4" s="397" t="s">
        <v>962</v>
      </c>
      <c r="R4" s="397" t="s">
        <v>963</v>
      </c>
      <c r="S4" s="397" t="s">
        <v>964</v>
      </c>
    </row>
    <row r="5" spans="1:131" ht="15.75" thickBot="1" x14ac:dyDescent="0.3">
      <c r="A5">
        <v>121</v>
      </c>
      <c r="B5" s="384">
        <v>39539</v>
      </c>
      <c r="C5" s="385">
        <v>7.9560000000000004</v>
      </c>
      <c r="D5" s="384">
        <f>B5</f>
        <v>39539</v>
      </c>
      <c r="E5" s="385">
        <f>AVERAGE(C5:C16)</f>
        <v>7.5625000000000009</v>
      </c>
      <c r="I5" s="398" t="s">
        <v>937</v>
      </c>
      <c r="J5" s="380">
        <f>E5/100</f>
        <v>7.5625000000000012E-2</v>
      </c>
      <c r="K5" s="380">
        <f>E17/100</f>
        <v>7.2632499999999989E-2</v>
      </c>
      <c r="L5" s="380">
        <f>E29/100</f>
        <v>7.9168333333333341E-2</v>
      </c>
      <c r="M5" s="380">
        <f>E41/100</f>
        <v>8.4446666666666684E-2</v>
      </c>
      <c r="N5" s="380">
        <f>E53/100</f>
        <v>8.1891666666666668E-2</v>
      </c>
      <c r="O5" s="380">
        <f>E65/100</f>
        <v>8.4279999999999994E-2</v>
      </c>
      <c r="P5" s="380">
        <f>E77/100</f>
        <v>8.283666666666667E-2</v>
      </c>
      <c r="Q5" s="380">
        <f>E89/100</f>
        <v>7.7274166666666672E-2</v>
      </c>
      <c r="R5" s="380">
        <f>E101/100</f>
        <v>6.9346666666666654E-2</v>
      </c>
      <c r="S5" s="380">
        <f>E113/100</f>
        <v>6.9661666666666663E-2</v>
      </c>
    </row>
    <row r="6" spans="1:131" ht="15.75" thickBot="1" x14ac:dyDescent="0.3">
      <c r="A6">
        <v>120</v>
      </c>
      <c r="B6" s="384">
        <v>39569</v>
      </c>
      <c r="C6" s="385">
        <v>8.1010000000000009</v>
      </c>
      <c r="D6" s="385"/>
      <c r="E6" s="385"/>
      <c r="I6" s="398" t="s">
        <v>933</v>
      </c>
      <c r="J6" s="390">
        <v>0.61721184250000005</v>
      </c>
      <c r="K6" s="390">
        <v>-0.38358168129999998</v>
      </c>
      <c r="L6" s="390">
        <v>1.2259413690000001</v>
      </c>
      <c r="M6" s="387">
        <v>0.77999101469999998</v>
      </c>
      <c r="N6" s="387">
        <v>0.26155870590000002</v>
      </c>
      <c r="O6" s="387">
        <v>0.2456203901</v>
      </c>
      <c r="P6" s="387">
        <v>1.0176616119999999</v>
      </c>
      <c r="Q6" s="387">
        <v>1.510072909</v>
      </c>
      <c r="R6" s="387">
        <v>1.2153058489999999</v>
      </c>
      <c r="S6" s="387">
        <v>0.48859162639999998</v>
      </c>
    </row>
    <row r="7" spans="1:131" ht="15.75" thickBot="1" x14ac:dyDescent="0.3">
      <c r="A7">
        <v>119</v>
      </c>
      <c r="B7" s="384">
        <v>39600</v>
      </c>
      <c r="C7" s="385">
        <v>8.7129999999999992</v>
      </c>
      <c r="D7" s="385"/>
      <c r="E7" s="385"/>
      <c r="I7" s="398" t="s">
        <v>934</v>
      </c>
      <c r="J7" s="389">
        <v>-0.36459999999999998</v>
      </c>
      <c r="K7" s="389">
        <v>0.63470000000000004</v>
      </c>
      <c r="L7" s="389">
        <v>8.6699999999999999E-2</v>
      </c>
      <c r="M7" s="388">
        <v>-0.1037</v>
      </c>
      <c r="N7" s="388">
        <v>6.8599999999999994E-2</v>
      </c>
      <c r="O7" s="388">
        <v>0.1663</v>
      </c>
      <c r="P7" s="388">
        <v>0.25750000000000001</v>
      </c>
      <c r="Q7" s="388">
        <v>-0.10639999999999999</v>
      </c>
      <c r="R7" s="388">
        <v>0.18240000000000001</v>
      </c>
      <c r="S7" s="388">
        <v>9.4799999999999995E-2</v>
      </c>
    </row>
    <row r="8" spans="1:131" ht="15.75" thickBot="1" x14ac:dyDescent="0.3">
      <c r="A8">
        <v>118</v>
      </c>
      <c r="B8" s="384">
        <v>39630</v>
      </c>
      <c r="C8" s="385">
        <v>9.3160000000000007</v>
      </c>
      <c r="D8" s="385"/>
      <c r="E8" s="385"/>
      <c r="I8" s="398" t="s">
        <v>935</v>
      </c>
      <c r="J8" s="390">
        <v>0.56577661199999996</v>
      </c>
      <c r="K8" s="390">
        <v>-0.2610093034</v>
      </c>
      <c r="L8" s="390">
        <v>1.2280780170000001</v>
      </c>
      <c r="M8" s="387">
        <v>0.79980171050000004</v>
      </c>
      <c r="N8" s="387">
        <v>-7.8819349309999995E-2</v>
      </c>
      <c r="O8" s="387">
        <v>0.46275340370000001</v>
      </c>
      <c r="P8" s="387">
        <v>0.98211827019999998</v>
      </c>
      <c r="Q8" s="387">
        <v>1.506591781</v>
      </c>
      <c r="R8" s="387">
        <v>1.2119382320000001</v>
      </c>
      <c r="S8" s="387">
        <v>0.4605749985</v>
      </c>
    </row>
    <row r="9" spans="1:131" x14ac:dyDescent="0.25">
      <c r="A9">
        <v>117</v>
      </c>
      <c r="B9" s="384">
        <v>39661</v>
      </c>
      <c r="C9" s="385">
        <v>8.6999999999999993</v>
      </c>
      <c r="D9" s="385"/>
      <c r="E9" s="385"/>
      <c r="I9" s="398" t="s">
        <v>936</v>
      </c>
      <c r="J9" s="399">
        <v>-0.3836</v>
      </c>
      <c r="K9" s="399">
        <v>0.40960000000000002</v>
      </c>
      <c r="L9" s="399">
        <v>7.7600000000000002E-2</v>
      </c>
      <c r="M9" s="400">
        <v>-0.13200000000000001</v>
      </c>
      <c r="N9" s="400">
        <v>7.2099999999999997E-2</v>
      </c>
      <c r="O9" s="400">
        <v>0.14940000000000001</v>
      </c>
      <c r="P9" s="400">
        <v>0.19339999999999999</v>
      </c>
      <c r="Q9" s="400">
        <v>-0.12479999999999999</v>
      </c>
      <c r="R9" s="400">
        <v>0.14249999999999999</v>
      </c>
      <c r="S9" s="400">
        <v>9.2799999999999994E-2</v>
      </c>
    </row>
    <row r="10" spans="1:131" x14ac:dyDescent="0.25">
      <c r="A10">
        <v>116</v>
      </c>
      <c r="B10" s="384">
        <v>39692</v>
      </c>
      <c r="C10" s="385">
        <v>8.6170000000000009</v>
      </c>
      <c r="D10" s="385"/>
      <c r="E10" s="385"/>
    </row>
    <row r="11" spans="1:131" ht="105" x14ac:dyDescent="0.25">
      <c r="A11">
        <v>115</v>
      </c>
      <c r="B11" s="384">
        <v>39722</v>
      </c>
      <c r="C11" s="385">
        <v>7.4779999999999998</v>
      </c>
      <c r="D11" s="385"/>
      <c r="E11" s="385"/>
      <c r="I11" s="391" t="s">
        <v>965</v>
      </c>
      <c r="J11" s="380">
        <f t="shared" ref="J11:S11" si="0">IF((J5+J6*(J7-J5))&gt;0,(J5+J6*(J7-J5)),J5)</f>
        <v>7.5625000000000012E-2</v>
      </c>
      <c r="K11" s="380">
        <f t="shared" si="0"/>
        <v>7.2632499999999989E-2</v>
      </c>
      <c r="L11" s="380">
        <f t="shared" si="0"/>
        <v>8.8401715077518331E-2</v>
      </c>
      <c r="M11" s="380">
        <f t="shared" si="0"/>
        <v>8.4446666666666684E-2</v>
      </c>
      <c r="N11" s="380">
        <f t="shared" si="0"/>
        <v>7.8415115534079163E-2</v>
      </c>
      <c r="O11" s="380">
        <f t="shared" si="0"/>
        <v>0.104425784396002</v>
      </c>
      <c r="P11" s="380">
        <f t="shared" si="0"/>
        <v>0.26058483602395999</v>
      </c>
      <c r="Q11" s="380">
        <f t="shared" si="0"/>
        <v>7.7274166666666672E-2</v>
      </c>
      <c r="R11" s="380">
        <f t="shared" si="0"/>
        <v>0.20674104391561332</v>
      </c>
      <c r="S11" s="380">
        <f t="shared" si="0"/>
        <v>8.1944045834985324E-2</v>
      </c>
    </row>
    <row r="12" spans="1:131" x14ac:dyDescent="0.25">
      <c r="A12">
        <v>114</v>
      </c>
      <c r="B12" s="384">
        <v>39753</v>
      </c>
      <c r="C12" s="385">
        <v>7.08</v>
      </c>
      <c r="D12" s="385"/>
      <c r="E12" s="385"/>
      <c r="I12" s="385"/>
    </row>
    <row r="13" spans="1:131" x14ac:dyDescent="0.25">
      <c r="A13">
        <v>113</v>
      </c>
      <c r="B13" s="384">
        <v>39783</v>
      </c>
      <c r="C13" s="385">
        <v>5.26</v>
      </c>
      <c r="D13" s="385"/>
      <c r="E13" s="385"/>
      <c r="I13" s="385"/>
    </row>
    <row r="14" spans="1:131" x14ac:dyDescent="0.25">
      <c r="A14">
        <v>112</v>
      </c>
      <c r="B14" s="384">
        <v>39814</v>
      </c>
      <c r="C14" s="385">
        <v>6.1870000000000003</v>
      </c>
      <c r="D14" s="385"/>
      <c r="E14" s="385"/>
      <c r="I14" s="385"/>
    </row>
    <row r="15" spans="1:131" x14ac:dyDescent="0.25">
      <c r="A15">
        <v>111</v>
      </c>
      <c r="B15" s="384">
        <v>39845</v>
      </c>
      <c r="C15" s="385">
        <v>6.3280000000000003</v>
      </c>
      <c r="D15" s="385"/>
      <c r="E15" s="385"/>
      <c r="I15" s="385"/>
    </row>
    <row r="16" spans="1:131" x14ac:dyDescent="0.25">
      <c r="A16">
        <v>110</v>
      </c>
      <c r="B16" s="384">
        <v>39873</v>
      </c>
      <c r="C16" s="385">
        <v>7.0140000000000002</v>
      </c>
      <c r="D16" s="385"/>
      <c r="E16" s="385"/>
      <c r="I16" s="385"/>
    </row>
    <row r="17" spans="1:9" x14ac:dyDescent="0.25">
      <c r="A17">
        <v>109</v>
      </c>
      <c r="B17" s="384">
        <v>39904</v>
      </c>
      <c r="C17" s="385">
        <v>6.242</v>
      </c>
      <c r="D17" s="384">
        <f>B17</f>
        <v>39904</v>
      </c>
      <c r="E17" s="385">
        <f>AVERAGE(C17:C28)</f>
        <v>7.2632499999999993</v>
      </c>
      <c r="I17" s="385"/>
    </row>
    <row r="18" spans="1:9" x14ac:dyDescent="0.25">
      <c r="A18">
        <v>108</v>
      </c>
      <c r="B18" s="384">
        <v>39934</v>
      </c>
      <c r="C18" s="385">
        <v>6.71</v>
      </c>
      <c r="D18" s="385"/>
      <c r="E18" s="385"/>
      <c r="I18" s="385"/>
    </row>
    <row r="19" spans="1:9" x14ac:dyDescent="0.25">
      <c r="A19">
        <v>107</v>
      </c>
      <c r="B19" s="384">
        <v>39965</v>
      </c>
      <c r="C19" s="385">
        <v>7.0129999999999999</v>
      </c>
      <c r="D19" s="385"/>
      <c r="E19" s="385"/>
      <c r="I19" s="385"/>
    </row>
    <row r="20" spans="1:9" x14ac:dyDescent="0.25">
      <c r="A20">
        <v>106</v>
      </c>
      <c r="B20" s="384">
        <v>39995</v>
      </c>
      <c r="C20" s="385">
        <v>6.9980000000000002</v>
      </c>
      <c r="D20" s="385"/>
      <c r="E20" s="385"/>
      <c r="I20" s="385"/>
    </row>
    <row r="21" spans="1:9" x14ac:dyDescent="0.25">
      <c r="A21">
        <v>105</v>
      </c>
      <c r="B21" s="384">
        <v>40026</v>
      </c>
      <c r="C21" s="385">
        <v>7.4340000000000002</v>
      </c>
      <c r="D21" s="385"/>
      <c r="E21" s="385"/>
      <c r="I21" s="385"/>
    </row>
    <row r="22" spans="1:9" x14ac:dyDescent="0.25">
      <c r="A22">
        <v>104</v>
      </c>
      <c r="B22" s="384">
        <v>40057</v>
      </c>
      <c r="C22" s="385">
        <v>7.2149999999999999</v>
      </c>
      <c r="D22" s="385"/>
      <c r="E22" s="385"/>
      <c r="I22" s="385"/>
    </row>
    <row r="23" spans="1:9" x14ac:dyDescent="0.25">
      <c r="A23">
        <v>103</v>
      </c>
      <c r="B23" s="384">
        <v>40087</v>
      </c>
      <c r="C23" s="385">
        <v>7.306</v>
      </c>
      <c r="D23" s="385"/>
      <c r="E23" s="385"/>
      <c r="I23" s="385"/>
    </row>
    <row r="24" spans="1:9" x14ac:dyDescent="0.25">
      <c r="A24">
        <v>102</v>
      </c>
      <c r="B24" s="384">
        <v>40118</v>
      </c>
      <c r="C24" s="385">
        <v>7.2569999999999997</v>
      </c>
      <c r="D24" s="385"/>
      <c r="E24" s="385"/>
      <c r="I24" s="385"/>
    </row>
    <row r="25" spans="1:9" x14ac:dyDescent="0.25">
      <c r="A25">
        <v>101</v>
      </c>
      <c r="B25" s="384">
        <v>40148</v>
      </c>
      <c r="C25" s="385">
        <v>7.6790000000000003</v>
      </c>
      <c r="D25" s="385"/>
      <c r="E25" s="385"/>
      <c r="I25" s="385"/>
    </row>
    <row r="26" spans="1:9" x14ac:dyDescent="0.25">
      <c r="A26">
        <v>100</v>
      </c>
      <c r="B26" s="384">
        <v>40179</v>
      </c>
      <c r="C26" s="385">
        <v>7.5910000000000002</v>
      </c>
      <c r="D26" s="385"/>
      <c r="E26" s="385"/>
      <c r="I26" s="385"/>
    </row>
    <row r="27" spans="1:9" x14ac:dyDescent="0.25">
      <c r="A27">
        <v>99</v>
      </c>
      <c r="B27" s="384">
        <v>40210</v>
      </c>
      <c r="C27" s="385">
        <v>7.8639999999999999</v>
      </c>
      <c r="D27" s="385"/>
      <c r="E27" s="385"/>
      <c r="I27" s="385"/>
    </row>
    <row r="28" spans="1:9" x14ac:dyDescent="0.25">
      <c r="A28">
        <v>98</v>
      </c>
      <c r="B28" s="384">
        <v>40238</v>
      </c>
      <c r="C28" s="385">
        <v>7.85</v>
      </c>
      <c r="D28" s="385"/>
      <c r="E28" s="385"/>
      <c r="I28" s="385"/>
    </row>
    <row r="29" spans="1:9" x14ac:dyDescent="0.25">
      <c r="A29">
        <v>97</v>
      </c>
      <c r="B29" s="384">
        <v>40269</v>
      </c>
      <c r="C29" s="385">
        <v>8.0609999999999999</v>
      </c>
      <c r="D29" s="384">
        <f>B29</f>
        <v>40269</v>
      </c>
      <c r="E29" s="385">
        <f>AVERAGE(C29:C40)</f>
        <v>7.9168333333333338</v>
      </c>
      <c r="I29" s="385"/>
    </row>
    <row r="30" spans="1:9" x14ac:dyDescent="0.25">
      <c r="A30">
        <v>96</v>
      </c>
      <c r="B30" s="384">
        <v>40299</v>
      </c>
      <c r="C30" s="385">
        <v>7.5640000000000001</v>
      </c>
      <c r="D30" s="385"/>
      <c r="E30" s="385"/>
      <c r="I30" s="385"/>
    </row>
    <row r="31" spans="1:9" x14ac:dyDescent="0.25">
      <c r="A31">
        <v>95</v>
      </c>
      <c r="B31" s="384">
        <v>40330</v>
      </c>
      <c r="C31" s="385">
        <v>7.5609999999999999</v>
      </c>
      <c r="D31" s="385"/>
      <c r="E31" s="385"/>
      <c r="I31" s="385"/>
    </row>
    <row r="32" spans="1:9" x14ac:dyDescent="0.25">
      <c r="A32">
        <v>94</v>
      </c>
      <c r="B32" s="384">
        <v>40360</v>
      </c>
      <c r="C32" s="385">
        <v>7.8029999999999999</v>
      </c>
      <c r="D32" s="385"/>
      <c r="E32" s="385"/>
      <c r="I32" s="385"/>
    </row>
    <row r="33" spans="1:9" x14ac:dyDescent="0.25">
      <c r="A33">
        <v>93</v>
      </c>
      <c r="B33" s="384">
        <v>40391</v>
      </c>
      <c r="C33" s="385">
        <v>7.9359999999999999</v>
      </c>
      <c r="D33" s="385"/>
      <c r="E33" s="385"/>
      <c r="I33" s="385"/>
    </row>
    <row r="34" spans="1:9" x14ac:dyDescent="0.25">
      <c r="A34">
        <v>92</v>
      </c>
      <c r="B34" s="384">
        <v>40422</v>
      </c>
      <c r="C34" s="385">
        <v>7.8520000000000003</v>
      </c>
      <c r="D34" s="385"/>
      <c r="E34" s="385"/>
      <c r="I34" s="385"/>
    </row>
    <row r="35" spans="1:9" x14ac:dyDescent="0.25">
      <c r="A35">
        <v>91</v>
      </c>
      <c r="B35" s="384">
        <v>40452</v>
      </c>
      <c r="C35" s="385">
        <v>8.1210000000000004</v>
      </c>
      <c r="D35" s="385"/>
      <c r="E35" s="385"/>
      <c r="I35" s="385"/>
    </row>
    <row r="36" spans="1:9" x14ac:dyDescent="0.25">
      <c r="A36">
        <v>90</v>
      </c>
      <c r="B36" s="384">
        <v>40483</v>
      </c>
      <c r="C36" s="385">
        <v>8.0660000000000007</v>
      </c>
      <c r="D36" s="385"/>
      <c r="E36" s="385"/>
      <c r="I36" s="385"/>
    </row>
    <row r="37" spans="1:9" x14ac:dyDescent="0.25">
      <c r="A37">
        <v>89</v>
      </c>
      <c r="B37" s="384">
        <v>40513</v>
      </c>
      <c r="C37" s="385">
        <v>7.9130000000000003</v>
      </c>
      <c r="D37" s="385"/>
      <c r="E37" s="385"/>
      <c r="I37" s="385"/>
    </row>
    <row r="38" spans="1:9" x14ac:dyDescent="0.25">
      <c r="A38">
        <v>88</v>
      </c>
      <c r="B38" s="384">
        <v>40544</v>
      </c>
      <c r="C38" s="385">
        <v>8.1479999999999997</v>
      </c>
      <c r="D38" s="385"/>
      <c r="E38" s="385"/>
      <c r="I38" s="385"/>
    </row>
    <row r="39" spans="1:9" x14ac:dyDescent="0.25">
      <c r="A39">
        <v>87</v>
      </c>
      <c r="B39" s="384">
        <v>40575</v>
      </c>
      <c r="C39" s="385">
        <v>7.992</v>
      </c>
      <c r="D39" s="385"/>
      <c r="E39" s="385"/>
      <c r="I39" s="385"/>
    </row>
    <row r="40" spans="1:9" x14ac:dyDescent="0.25">
      <c r="A40">
        <v>86</v>
      </c>
      <c r="B40" s="384">
        <v>40603</v>
      </c>
      <c r="C40" s="385">
        <v>7.9850000000000003</v>
      </c>
      <c r="D40" s="385"/>
      <c r="E40" s="385"/>
      <c r="I40" s="385"/>
    </row>
    <row r="41" spans="1:9" x14ac:dyDescent="0.25">
      <c r="A41">
        <v>85</v>
      </c>
      <c r="B41" s="384">
        <v>40634</v>
      </c>
      <c r="C41" s="385">
        <v>8.1349999999999998</v>
      </c>
      <c r="D41" s="384">
        <f>B41</f>
        <v>40634</v>
      </c>
      <c r="E41" s="385">
        <f>AVERAGE(C41:C52)</f>
        <v>8.4446666666666683</v>
      </c>
      <c r="I41" s="385"/>
    </row>
    <row r="42" spans="1:9" x14ac:dyDescent="0.25">
      <c r="A42">
        <v>84</v>
      </c>
      <c r="B42" s="384">
        <v>40664</v>
      </c>
      <c r="C42" s="385">
        <v>8.4109999999999996</v>
      </c>
      <c r="D42" s="385"/>
      <c r="E42" s="385"/>
      <c r="I42" s="385"/>
    </row>
    <row r="43" spans="1:9" x14ac:dyDescent="0.25">
      <c r="A43">
        <v>83</v>
      </c>
      <c r="B43" s="384">
        <v>40695</v>
      </c>
      <c r="C43" s="385">
        <v>8.3260000000000005</v>
      </c>
      <c r="D43" s="385"/>
      <c r="E43" s="385"/>
      <c r="I43" s="385"/>
    </row>
    <row r="44" spans="1:9" x14ac:dyDescent="0.25">
      <c r="A44">
        <v>82</v>
      </c>
      <c r="B44" s="384">
        <v>40725</v>
      </c>
      <c r="C44" s="385">
        <v>8.4540000000000006</v>
      </c>
      <c r="D44" s="385"/>
      <c r="E44" s="385"/>
      <c r="I44" s="385"/>
    </row>
    <row r="45" spans="1:9" x14ac:dyDescent="0.25">
      <c r="A45">
        <v>81</v>
      </c>
      <c r="B45" s="384">
        <v>40756</v>
      </c>
      <c r="C45" s="385">
        <v>8.3190000000000008</v>
      </c>
      <c r="D45" s="385"/>
      <c r="E45" s="385"/>
      <c r="I45" s="385"/>
    </row>
    <row r="46" spans="1:9" x14ac:dyDescent="0.25">
      <c r="A46">
        <v>80</v>
      </c>
      <c r="B46" s="384">
        <v>40787</v>
      </c>
      <c r="C46" s="385">
        <v>8.4420000000000002</v>
      </c>
      <c r="D46" s="385"/>
      <c r="E46" s="385"/>
      <c r="I46" s="385"/>
    </row>
    <row r="47" spans="1:9" x14ac:dyDescent="0.25">
      <c r="A47">
        <v>79</v>
      </c>
      <c r="B47" s="384">
        <v>40817</v>
      </c>
      <c r="C47" s="385">
        <v>8.8789999999999996</v>
      </c>
      <c r="D47" s="385"/>
      <c r="E47" s="385"/>
      <c r="I47" s="385"/>
    </row>
    <row r="48" spans="1:9" x14ac:dyDescent="0.25">
      <c r="A48">
        <v>78</v>
      </c>
      <c r="B48" s="384">
        <v>40848</v>
      </c>
      <c r="C48" s="385">
        <v>8.7379999999999995</v>
      </c>
      <c r="D48" s="385"/>
      <c r="E48" s="385"/>
      <c r="I48" s="385"/>
    </row>
    <row r="49" spans="1:9" x14ac:dyDescent="0.25">
      <c r="A49">
        <v>77</v>
      </c>
      <c r="B49" s="384">
        <v>40878</v>
      </c>
      <c r="C49" s="385">
        <v>8.5719999999999992</v>
      </c>
      <c r="D49" s="385"/>
      <c r="E49" s="385"/>
      <c r="I49" s="385"/>
    </row>
    <row r="50" spans="1:9" x14ac:dyDescent="0.25">
      <c r="A50">
        <v>76</v>
      </c>
      <c r="B50" s="384">
        <v>40909</v>
      </c>
      <c r="C50" s="385">
        <v>8.2690000000000001</v>
      </c>
      <c r="D50" s="385"/>
      <c r="E50" s="385"/>
      <c r="I50" s="385"/>
    </row>
    <row r="51" spans="1:9" x14ac:dyDescent="0.25">
      <c r="A51">
        <v>75</v>
      </c>
      <c r="B51" s="384">
        <v>40940</v>
      </c>
      <c r="C51" s="385">
        <v>8.2029999999999994</v>
      </c>
      <c r="D51" s="385"/>
      <c r="E51" s="385"/>
      <c r="I51" s="385"/>
    </row>
    <row r="52" spans="1:9" x14ac:dyDescent="0.25">
      <c r="A52">
        <v>74</v>
      </c>
      <c r="B52" s="384">
        <v>40969</v>
      </c>
      <c r="C52" s="385">
        <v>8.5879999999999992</v>
      </c>
      <c r="D52" s="385"/>
      <c r="E52" s="385"/>
      <c r="I52" s="385"/>
    </row>
    <row r="53" spans="1:9" x14ac:dyDescent="0.25">
      <c r="A53">
        <v>73</v>
      </c>
      <c r="B53" s="384">
        <v>41000</v>
      </c>
      <c r="C53" s="385">
        <v>8.6750000000000007</v>
      </c>
      <c r="D53" s="384">
        <f>B53</f>
        <v>41000</v>
      </c>
      <c r="E53" s="385">
        <f>AVERAGE(C53:C64)</f>
        <v>8.1891666666666669</v>
      </c>
      <c r="I53" s="385"/>
    </row>
    <row r="54" spans="1:9" x14ac:dyDescent="0.25">
      <c r="A54">
        <v>72</v>
      </c>
      <c r="B54" s="384">
        <v>41030</v>
      </c>
      <c r="C54" s="385">
        <v>8.3770000000000007</v>
      </c>
      <c r="D54" s="385"/>
      <c r="E54" s="385"/>
      <c r="I54" s="385"/>
    </row>
    <row r="55" spans="1:9" x14ac:dyDescent="0.25">
      <c r="A55">
        <v>71</v>
      </c>
      <c r="B55" s="384">
        <v>41061</v>
      </c>
      <c r="C55" s="385">
        <v>8.39</v>
      </c>
      <c r="D55" s="385"/>
      <c r="E55" s="385"/>
      <c r="I55" s="385"/>
    </row>
    <row r="56" spans="1:9" x14ac:dyDescent="0.25">
      <c r="A56">
        <v>70</v>
      </c>
      <c r="B56" s="384">
        <v>41091</v>
      </c>
      <c r="C56" s="385">
        <v>8.2469999999999999</v>
      </c>
      <c r="D56" s="385"/>
      <c r="E56" s="385"/>
      <c r="I56" s="385"/>
    </row>
    <row r="57" spans="1:9" x14ac:dyDescent="0.25">
      <c r="A57">
        <v>69</v>
      </c>
      <c r="B57" s="384">
        <v>41122</v>
      </c>
      <c r="C57" s="385">
        <v>8.2409999999999997</v>
      </c>
      <c r="D57" s="385"/>
      <c r="E57" s="385"/>
      <c r="I57" s="385"/>
    </row>
    <row r="58" spans="1:9" x14ac:dyDescent="0.25">
      <c r="A58">
        <v>68</v>
      </c>
      <c r="B58" s="384">
        <v>41153</v>
      </c>
      <c r="C58" s="385">
        <v>8.1519999999999992</v>
      </c>
      <c r="D58" s="385"/>
      <c r="E58" s="385"/>
      <c r="I58" s="385"/>
    </row>
    <row r="59" spans="1:9" x14ac:dyDescent="0.25">
      <c r="A59">
        <v>67</v>
      </c>
      <c r="B59" s="384">
        <v>41183</v>
      </c>
      <c r="C59" s="385">
        <v>8.2170000000000005</v>
      </c>
      <c r="D59" s="385"/>
      <c r="E59" s="385"/>
      <c r="I59" s="385"/>
    </row>
    <row r="60" spans="1:9" x14ac:dyDescent="0.25">
      <c r="A60">
        <v>66</v>
      </c>
      <c r="B60" s="384">
        <v>41214</v>
      </c>
      <c r="C60" s="385">
        <v>8.1769999999999996</v>
      </c>
      <c r="D60" s="385"/>
      <c r="E60" s="385"/>
      <c r="I60" s="385"/>
    </row>
    <row r="61" spans="1:9" x14ac:dyDescent="0.25">
      <c r="A61">
        <v>65</v>
      </c>
      <c r="B61" s="384">
        <v>41244</v>
      </c>
      <c r="C61" s="385">
        <v>8.0489999999999995</v>
      </c>
      <c r="D61" s="385"/>
      <c r="E61" s="385"/>
      <c r="I61" s="385"/>
    </row>
    <row r="62" spans="1:9" x14ac:dyDescent="0.25">
      <c r="A62">
        <v>64</v>
      </c>
      <c r="B62" s="384">
        <v>41275</v>
      </c>
      <c r="C62" s="385">
        <v>7.9119999999999999</v>
      </c>
      <c r="D62" s="385"/>
      <c r="E62" s="385"/>
      <c r="I62" s="385"/>
    </row>
    <row r="63" spans="1:9" x14ac:dyDescent="0.25">
      <c r="A63">
        <v>63</v>
      </c>
      <c r="B63" s="384">
        <v>41306</v>
      </c>
      <c r="C63" s="385">
        <v>7.8730000000000002</v>
      </c>
      <c r="D63" s="385"/>
      <c r="E63" s="385"/>
      <c r="I63" s="385"/>
    </row>
    <row r="64" spans="1:9" x14ac:dyDescent="0.25">
      <c r="A64">
        <v>62</v>
      </c>
      <c r="B64" s="384">
        <v>41334</v>
      </c>
      <c r="C64" s="385">
        <v>7.96</v>
      </c>
      <c r="D64" s="385"/>
      <c r="E64" s="385"/>
      <c r="I64" s="385"/>
    </row>
    <row r="65" spans="1:9" x14ac:dyDescent="0.25">
      <c r="A65">
        <v>61</v>
      </c>
      <c r="B65" s="384">
        <v>41365</v>
      </c>
      <c r="C65" s="385">
        <v>7.7309999999999999</v>
      </c>
      <c r="D65" s="384">
        <f>B65</f>
        <v>41365</v>
      </c>
      <c r="E65" s="385">
        <f>AVERAGE(C65:C76)</f>
        <v>8.427999999999999</v>
      </c>
      <c r="I65" s="385"/>
    </row>
    <row r="66" spans="1:9" x14ac:dyDescent="0.25">
      <c r="A66">
        <v>60</v>
      </c>
      <c r="B66" s="384">
        <v>41395</v>
      </c>
      <c r="C66" s="385">
        <v>7.4489999999999998</v>
      </c>
      <c r="D66" s="385"/>
      <c r="E66" s="385"/>
      <c r="I66" s="385"/>
    </row>
    <row r="67" spans="1:9" x14ac:dyDescent="0.25">
      <c r="A67">
        <v>59</v>
      </c>
      <c r="B67" s="384">
        <v>41426</v>
      </c>
      <c r="C67" s="385">
        <v>7.4489999999999998</v>
      </c>
      <c r="D67" s="385"/>
      <c r="E67" s="385"/>
      <c r="I67" s="385"/>
    </row>
    <row r="68" spans="1:9" x14ac:dyDescent="0.25">
      <c r="A68">
        <v>58</v>
      </c>
      <c r="B68" s="384">
        <v>41456</v>
      </c>
      <c r="C68" s="385">
        <v>8.17</v>
      </c>
      <c r="D68" s="385"/>
      <c r="E68" s="385"/>
      <c r="I68" s="385"/>
    </row>
    <row r="69" spans="1:9" x14ac:dyDescent="0.25">
      <c r="A69">
        <v>57</v>
      </c>
      <c r="B69" s="384">
        <v>41487</v>
      </c>
      <c r="C69" s="385">
        <v>8.6020000000000003</v>
      </c>
      <c r="D69" s="385"/>
      <c r="E69" s="385"/>
      <c r="I69" s="385"/>
    </row>
    <row r="70" spans="1:9" x14ac:dyDescent="0.25">
      <c r="A70">
        <v>56</v>
      </c>
      <c r="B70" s="384">
        <v>41518</v>
      </c>
      <c r="C70" s="385">
        <v>8.7609999999999992</v>
      </c>
      <c r="D70" s="385"/>
      <c r="E70" s="385"/>
      <c r="I70" s="385"/>
    </row>
    <row r="71" spans="1:9" x14ac:dyDescent="0.25">
      <c r="A71">
        <v>55</v>
      </c>
      <c r="B71" s="384">
        <v>41548</v>
      </c>
      <c r="C71" s="385">
        <v>8.6300000000000008</v>
      </c>
      <c r="D71" s="385"/>
      <c r="E71" s="385"/>
      <c r="I71" s="385"/>
    </row>
    <row r="72" spans="1:9" x14ac:dyDescent="0.25">
      <c r="A72">
        <v>54</v>
      </c>
      <c r="B72" s="384">
        <v>41579</v>
      </c>
      <c r="C72" s="385">
        <v>9.06</v>
      </c>
      <c r="D72" s="385"/>
      <c r="E72" s="385"/>
      <c r="I72" s="385"/>
    </row>
    <row r="73" spans="1:9" x14ac:dyDescent="0.25">
      <c r="A73">
        <v>53</v>
      </c>
      <c r="B73" s="384">
        <v>41609</v>
      </c>
      <c r="C73" s="385">
        <v>8.8249999999999993</v>
      </c>
      <c r="D73" s="385"/>
      <c r="E73" s="385"/>
      <c r="I73" s="385"/>
    </row>
    <row r="74" spans="1:9" x14ac:dyDescent="0.25">
      <c r="A74">
        <v>52</v>
      </c>
      <c r="B74" s="384">
        <v>41640</v>
      </c>
      <c r="C74" s="385">
        <v>8.7880000000000003</v>
      </c>
      <c r="D74" s="385"/>
      <c r="E74" s="385"/>
      <c r="I74" s="385"/>
    </row>
    <row r="75" spans="1:9" x14ac:dyDescent="0.25">
      <c r="A75">
        <v>51</v>
      </c>
      <c r="B75" s="384">
        <v>41671</v>
      </c>
      <c r="C75" s="385">
        <v>8.8610000000000007</v>
      </c>
      <c r="D75" s="385"/>
      <c r="E75" s="385"/>
      <c r="I75" s="385"/>
    </row>
    <row r="76" spans="1:9" x14ac:dyDescent="0.25">
      <c r="A76">
        <v>50</v>
      </c>
      <c r="B76" s="384">
        <v>41699</v>
      </c>
      <c r="C76" s="385">
        <v>8.81</v>
      </c>
      <c r="D76" s="385"/>
      <c r="E76" s="385"/>
      <c r="I76" s="385"/>
    </row>
    <row r="77" spans="1:9" x14ac:dyDescent="0.25">
      <c r="A77">
        <v>49</v>
      </c>
      <c r="B77" s="384">
        <v>41730</v>
      </c>
      <c r="C77" s="385">
        <v>8.83</v>
      </c>
      <c r="D77" s="384">
        <f>B77</f>
        <v>41730</v>
      </c>
      <c r="E77" s="385">
        <f>AVERAGE(C77:C88)</f>
        <v>8.283666666666667</v>
      </c>
      <c r="I77" s="385"/>
    </row>
    <row r="78" spans="1:9" x14ac:dyDescent="0.25">
      <c r="A78">
        <v>48</v>
      </c>
      <c r="B78" s="384">
        <v>41760</v>
      </c>
      <c r="C78" s="385">
        <v>8.6460000000000008</v>
      </c>
      <c r="D78" s="385"/>
      <c r="E78" s="385"/>
      <c r="I78" s="385"/>
    </row>
    <row r="79" spans="1:9" x14ac:dyDescent="0.25">
      <c r="A79">
        <v>47</v>
      </c>
      <c r="B79" s="384">
        <v>41791</v>
      </c>
      <c r="C79" s="385">
        <v>8.7469999999999999</v>
      </c>
      <c r="D79" s="385"/>
      <c r="E79" s="385"/>
      <c r="I79" s="385"/>
    </row>
    <row r="80" spans="1:9" x14ac:dyDescent="0.25">
      <c r="A80">
        <v>46</v>
      </c>
      <c r="B80" s="384">
        <v>41821</v>
      </c>
      <c r="C80" s="385">
        <v>8.7219999999999995</v>
      </c>
      <c r="D80" s="385"/>
      <c r="E80" s="385"/>
      <c r="I80" s="385"/>
    </row>
    <row r="81" spans="1:9" x14ac:dyDescent="0.25">
      <c r="A81">
        <v>45</v>
      </c>
      <c r="B81" s="384">
        <v>41852</v>
      </c>
      <c r="C81" s="385">
        <v>8.5649999999999995</v>
      </c>
      <c r="D81" s="385"/>
      <c r="E81" s="385"/>
      <c r="I81" s="385"/>
    </row>
    <row r="82" spans="1:9" x14ac:dyDescent="0.25">
      <c r="A82">
        <v>44</v>
      </c>
      <c r="B82" s="384">
        <v>41883</v>
      </c>
      <c r="C82" s="385">
        <v>8.516</v>
      </c>
      <c r="D82" s="385"/>
      <c r="E82" s="385"/>
      <c r="I82" s="385"/>
    </row>
    <row r="83" spans="1:9" x14ac:dyDescent="0.25">
      <c r="A83">
        <v>43</v>
      </c>
      <c r="B83" s="384">
        <v>41913</v>
      </c>
      <c r="C83" s="385">
        <v>8.2769999999999992</v>
      </c>
      <c r="D83" s="385"/>
      <c r="E83" s="385"/>
      <c r="I83" s="385"/>
    </row>
    <row r="84" spans="1:9" x14ac:dyDescent="0.25">
      <c r="A84">
        <v>42</v>
      </c>
      <c r="B84" s="384">
        <v>41944</v>
      </c>
      <c r="C84" s="385">
        <v>8.0869999999999997</v>
      </c>
      <c r="D84" s="385"/>
      <c r="E84" s="385"/>
      <c r="I84" s="385"/>
    </row>
    <row r="85" spans="1:9" x14ac:dyDescent="0.25">
      <c r="A85">
        <v>41</v>
      </c>
      <c r="B85" s="384">
        <v>41974</v>
      </c>
      <c r="C85" s="385">
        <v>7.8570000000000002</v>
      </c>
      <c r="D85" s="385"/>
      <c r="E85" s="385"/>
      <c r="I85" s="385"/>
    </row>
    <row r="86" spans="1:9" x14ac:dyDescent="0.25">
      <c r="A86">
        <v>40</v>
      </c>
      <c r="B86" s="384">
        <v>42005</v>
      </c>
      <c r="C86" s="385">
        <v>7.6929999999999996</v>
      </c>
      <c r="D86" s="385"/>
      <c r="E86" s="385"/>
      <c r="I86" s="385"/>
    </row>
    <row r="87" spans="1:9" x14ac:dyDescent="0.25">
      <c r="A87">
        <v>39</v>
      </c>
      <c r="B87" s="384">
        <v>42036</v>
      </c>
      <c r="C87" s="385">
        <v>7.7279999999999998</v>
      </c>
      <c r="D87" s="385"/>
      <c r="E87" s="385"/>
      <c r="I87" s="385"/>
    </row>
    <row r="88" spans="1:9" x14ac:dyDescent="0.25">
      <c r="A88">
        <v>38</v>
      </c>
      <c r="B88" s="384">
        <v>42064</v>
      </c>
      <c r="C88" s="385">
        <v>7.7359999999999998</v>
      </c>
      <c r="D88" s="385"/>
      <c r="E88" s="385"/>
      <c r="I88" s="385"/>
    </row>
    <row r="89" spans="1:9" x14ac:dyDescent="0.25">
      <c r="A89">
        <v>37</v>
      </c>
      <c r="B89" s="384">
        <v>42095</v>
      </c>
      <c r="C89" s="385">
        <v>7.86</v>
      </c>
      <c r="D89" s="384">
        <f>B89</f>
        <v>42095</v>
      </c>
      <c r="E89" s="385">
        <f>AVERAGE(C89:C100)</f>
        <v>7.7274166666666666</v>
      </c>
      <c r="I89" s="385"/>
    </row>
    <row r="90" spans="1:9" x14ac:dyDescent="0.25">
      <c r="A90">
        <v>36</v>
      </c>
      <c r="B90" s="384">
        <v>42125</v>
      </c>
      <c r="C90" s="385">
        <v>7.8159999999999998</v>
      </c>
      <c r="D90" s="385"/>
      <c r="E90" s="385"/>
      <c r="I90" s="385"/>
    </row>
    <row r="91" spans="1:9" x14ac:dyDescent="0.25">
      <c r="A91">
        <v>35</v>
      </c>
      <c r="B91" s="384">
        <v>42156</v>
      </c>
      <c r="C91" s="385">
        <v>7.86</v>
      </c>
      <c r="D91" s="385"/>
      <c r="E91" s="385"/>
      <c r="I91" s="385"/>
    </row>
    <row r="92" spans="1:9" x14ac:dyDescent="0.25">
      <c r="A92">
        <v>34</v>
      </c>
      <c r="B92" s="384">
        <v>42186</v>
      </c>
      <c r="C92" s="385">
        <v>7.8079999999999998</v>
      </c>
      <c r="D92" s="385"/>
      <c r="E92" s="385"/>
      <c r="I92" s="385"/>
    </row>
    <row r="93" spans="1:9" x14ac:dyDescent="0.25">
      <c r="A93">
        <v>33</v>
      </c>
      <c r="B93" s="384">
        <v>42217</v>
      </c>
      <c r="C93" s="385">
        <v>7.7869999999999999</v>
      </c>
      <c r="D93" s="385"/>
      <c r="E93" s="385"/>
      <c r="I93" s="385"/>
    </row>
    <row r="94" spans="1:9" x14ac:dyDescent="0.25">
      <c r="A94">
        <v>32</v>
      </c>
      <c r="B94" s="384">
        <v>42248</v>
      </c>
      <c r="C94" s="385">
        <v>7.5410000000000004</v>
      </c>
      <c r="D94" s="385"/>
      <c r="E94" s="385"/>
      <c r="I94" s="385"/>
    </row>
    <row r="95" spans="1:9" x14ac:dyDescent="0.25">
      <c r="A95">
        <v>31</v>
      </c>
      <c r="B95" s="384">
        <v>42278</v>
      </c>
      <c r="C95" s="385">
        <v>7.641</v>
      </c>
      <c r="D95" s="385"/>
      <c r="E95" s="385"/>
      <c r="I95" s="385"/>
    </row>
    <row r="96" spans="1:9" x14ac:dyDescent="0.25">
      <c r="A96">
        <v>30</v>
      </c>
      <c r="B96" s="384">
        <v>42309</v>
      </c>
      <c r="C96" s="385">
        <v>7.7859999999999996</v>
      </c>
      <c r="D96" s="385"/>
      <c r="E96" s="385"/>
      <c r="I96" s="385"/>
    </row>
    <row r="97" spans="1:9" x14ac:dyDescent="0.25">
      <c r="A97">
        <v>29</v>
      </c>
      <c r="B97" s="384">
        <v>42339</v>
      </c>
      <c r="C97" s="385">
        <v>7.758</v>
      </c>
      <c r="D97" s="385"/>
      <c r="E97" s="385"/>
      <c r="I97" s="385"/>
    </row>
    <row r="98" spans="1:9" x14ac:dyDescent="0.25">
      <c r="A98">
        <v>28</v>
      </c>
      <c r="B98" s="384">
        <v>42370</v>
      </c>
      <c r="C98" s="385">
        <v>7.7830000000000004</v>
      </c>
      <c r="D98" s="385"/>
      <c r="E98" s="385"/>
      <c r="I98" s="385"/>
    </row>
    <row r="99" spans="1:9" x14ac:dyDescent="0.25">
      <c r="A99">
        <v>27</v>
      </c>
      <c r="B99" s="384">
        <v>42401</v>
      </c>
      <c r="C99" s="385">
        <v>7.6260000000000003</v>
      </c>
      <c r="D99" s="385"/>
      <c r="E99" s="385"/>
      <c r="I99" s="385"/>
    </row>
    <row r="100" spans="1:9" x14ac:dyDescent="0.25">
      <c r="A100">
        <v>26</v>
      </c>
      <c r="B100" s="384">
        <v>42430</v>
      </c>
      <c r="C100" s="385">
        <v>7.4630000000000001</v>
      </c>
      <c r="D100" s="385"/>
      <c r="E100" s="385"/>
      <c r="I100" s="385"/>
    </row>
    <row r="101" spans="1:9" x14ac:dyDescent="0.25">
      <c r="A101">
        <v>25</v>
      </c>
      <c r="B101" s="384">
        <v>42461</v>
      </c>
      <c r="C101" s="385">
        <v>7.4370000000000003</v>
      </c>
      <c r="D101" s="384">
        <f>B101</f>
        <v>42461</v>
      </c>
      <c r="E101" s="385">
        <f>AVERAGE(C101:C112)</f>
        <v>6.9346666666666659</v>
      </c>
      <c r="I101" s="385"/>
    </row>
    <row r="102" spans="1:9" x14ac:dyDescent="0.25">
      <c r="A102">
        <v>24</v>
      </c>
      <c r="B102" s="384">
        <v>42491</v>
      </c>
      <c r="C102" s="385">
        <v>7.4710000000000001</v>
      </c>
      <c r="D102" s="385"/>
      <c r="E102" s="385"/>
      <c r="I102" s="385"/>
    </row>
    <row r="103" spans="1:9" x14ac:dyDescent="0.25">
      <c r="A103">
        <v>23</v>
      </c>
      <c r="B103" s="384">
        <v>42522</v>
      </c>
      <c r="C103" s="385">
        <v>7.45</v>
      </c>
      <c r="D103" s="385"/>
      <c r="E103" s="385"/>
      <c r="I103" s="385"/>
    </row>
    <row r="104" spans="1:9" x14ac:dyDescent="0.25">
      <c r="A104">
        <v>22</v>
      </c>
      <c r="B104" s="384">
        <v>42552</v>
      </c>
      <c r="C104" s="385">
        <v>7.1639999999999997</v>
      </c>
      <c r="D104" s="385"/>
      <c r="E104" s="385"/>
      <c r="I104" s="385"/>
    </row>
    <row r="105" spans="1:9" x14ac:dyDescent="0.25">
      <c r="A105">
        <v>21</v>
      </c>
      <c r="B105" s="384">
        <v>42583</v>
      </c>
      <c r="C105" s="385">
        <v>7.11</v>
      </c>
      <c r="D105" s="385"/>
      <c r="E105" s="385"/>
      <c r="I105" s="385"/>
    </row>
    <row r="106" spans="1:9" x14ac:dyDescent="0.25">
      <c r="A106">
        <v>20</v>
      </c>
      <c r="B106" s="384">
        <v>42614</v>
      </c>
      <c r="C106" s="385">
        <v>6.9619999999999997</v>
      </c>
      <c r="D106" s="385"/>
      <c r="E106" s="385"/>
      <c r="I106" s="385"/>
    </row>
    <row r="107" spans="1:9" x14ac:dyDescent="0.25">
      <c r="A107">
        <v>19</v>
      </c>
      <c r="B107" s="384">
        <v>42644</v>
      </c>
      <c r="C107" s="385">
        <v>6.8860000000000001</v>
      </c>
      <c r="D107" s="385"/>
      <c r="E107" s="385"/>
      <c r="I107" s="385"/>
    </row>
    <row r="108" spans="1:9" x14ac:dyDescent="0.25">
      <c r="A108">
        <v>18</v>
      </c>
      <c r="B108" s="384">
        <v>42675</v>
      </c>
      <c r="C108" s="385">
        <v>6.2460000000000004</v>
      </c>
      <c r="D108" s="385"/>
      <c r="E108" s="385"/>
      <c r="I108" s="385"/>
    </row>
    <row r="109" spans="1:9" x14ac:dyDescent="0.25">
      <c r="A109">
        <v>17</v>
      </c>
      <c r="B109" s="384">
        <v>42705</v>
      </c>
      <c r="C109" s="385">
        <v>6.516</v>
      </c>
      <c r="D109" s="385"/>
      <c r="E109" s="385"/>
      <c r="I109" s="385"/>
    </row>
    <row r="110" spans="1:9" x14ac:dyDescent="0.25">
      <c r="A110">
        <v>16</v>
      </c>
      <c r="B110" s="384">
        <v>42736</v>
      </c>
      <c r="C110" s="385">
        <v>6.4089999999999998</v>
      </c>
      <c r="D110" s="385"/>
      <c r="E110" s="385"/>
      <c r="I110" s="385"/>
    </row>
    <row r="111" spans="1:9" x14ac:dyDescent="0.25">
      <c r="A111">
        <v>15</v>
      </c>
      <c r="B111" s="384">
        <v>42767</v>
      </c>
      <c r="C111" s="385">
        <v>6.8710000000000004</v>
      </c>
      <c r="D111" s="385"/>
      <c r="E111" s="385"/>
      <c r="I111" s="385"/>
    </row>
    <row r="112" spans="1:9" x14ac:dyDescent="0.25">
      <c r="A112">
        <v>14</v>
      </c>
      <c r="B112" s="384">
        <v>42795</v>
      </c>
      <c r="C112" s="385">
        <v>6.694</v>
      </c>
      <c r="D112" s="385"/>
      <c r="E112" s="385"/>
      <c r="I112" s="385"/>
    </row>
    <row r="113" spans="1:9" x14ac:dyDescent="0.25">
      <c r="A113">
        <v>13</v>
      </c>
      <c r="B113" s="384">
        <v>42826</v>
      </c>
      <c r="C113" s="385">
        <v>6.9640000000000004</v>
      </c>
      <c r="D113" s="384">
        <f>B113</f>
        <v>42826</v>
      </c>
      <c r="E113" s="385">
        <f>AVERAGE(C113:C124)</f>
        <v>6.9661666666666662</v>
      </c>
      <c r="I113" s="385"/>
    </row>
    <row r="114" spans="1:9" x14ac:dyDescent="0.25">
      <c r="A114">
        <v>12</v>
      </c>
      <c r="B114" s="384">
        <v>42856</v>
      </c>
      <c r="C114" s="385">
        <v>6.6639999999999997</v>
      </c>
      <c r="D114" s="385"/>
      <c r="E114" s="385"/>
      <c r="I114" s="385"/>
    </row>
    <row r="115" spans="1:9" x14ac:dyDescent="0.25">
      <c r="A115">
        <v>11</v>
      </c>
      <c r="B115" s="384">
        <v>42887</v>
      </c>
      <c r="C115" s="385">
        <v>6.5110000000000001</v>
      </c>
      <c r="D115" s="385"/>
      <c r="E115" s="385"/>
      <c r="I115" s="385"/>
    </row>
    <row r="116" spans="1:9" x14ac:dyDescent="0.25">
      <c r="A116">
        <v>10</v>
      </c>
      <c r="B116" s="384">
        <v>42917</v>
      </c>
      <c r="C116" s="385">
        <v>6.4660000000000002</v>
      </c>
      <c r="D116" s="385"/>
      <c r="E116" s="385"/>
      <c r="I116" s="385"/>
    </row>
    <row r="117" spans="1:9" x14ac:dyDescent="0.25">
      <c r="A117">
        <v>9</v>
      </c>
      <c r="B117" s="384">
        <v>42948</v>
      </c>
      <c r="C117" s="385">
        <v>6.5259999999999998</v>
      </c>
      <c r="D117" s="385"/>
      <c r="E117" s="385"/>
      <c r="I117" s="385"/>
    </row>
    <row r="118" spans="1:9" x14ac:dyDescent="0.25">
      <c r="A118">
        <v>8</v>
      </c>
      <c r="B118" s="384">
        <v>42979</v>
      </c>
      <c r="C118" s="385">
        <v>6.6669999999999998</v>
      </c>
      <c r="D118" s="385"/>
      <c r="E118" s="385"/>
      <c r="I118" s="385"/>
    </row>
    <row r="119" spans="1:9" x14ac:dyDescent="0.25">
      <c r="A119">
        <v>7</v>
      </c>
      <c r="B119" s="384">
        <v>43009</v>
      </c>
      <c r="C119" s="385">
        <v>6.8620000000000001</v>
      </c>
      <c r="D119" s="385"/>
      <c r="E119" s="385"/>
      <c r="I119" s="385"/>
    </row>
    <row r="120" spans="1:9" x14ac:dyDescent="0.25">
      <c r="A120">
        <v>6</v>
      </c>
      <c r="B120" s="384">
        <v>43040</v>
      </c>
      <c r="C120" s="385">
        <v>7.0620000000000003</v>
      </c>
      <c r="D120" s="385"/>
      <c r="E120" s="385"/>
      <c r="I120" s="385"/>
    </row>
    <row r="121" spans="1:9" x14ac:dyDescent="0.25">
      <c r="A121">
        <v>5</v>
      </c>
      <c r="B121" s="384">
        <v>43070</v>
      </c>
      <c r="C121" s="385">
        <v>7.3179999999999996</v>
      </c>
      <c r="D121" s="385"/>
      <c r="E121" s="385"/>
      <c r="I121" s="385"/>
    </row>
    <row r="122" spans="1:9" x14ac:dyDescent="0.25">
      <c r="A122">
        <v>4</v>
      </c>
      <c r="B122" s="384">
        <v>43101</v>
      </c>
      <c r="C122" s="385">
        <v>7.43</v>
      </c>
      <c r="D122" s="385"/>
      <c r="E122" s="385"/>
      <c r="I122" s="385"/>
    </row>
    <row r="123" spans="1:9" x14ac:dyDescent="0.25">
      <c r="A123">
        <v>3</v>
      </c>
      <c r="B123" s="384">
        <v>43132</v>
      </c>
      <c r="C123" s="385">
        <v>7.726</v>
      </c>
      <c r="D123" s="385"/>
      <c r="E123" s="385"/>
      <c r="I123" s="385"/>
    </row>
    <row r="124" spans="1:9" x14ac:dyDescent="0.25">
      <c r="A124">
        <v>2</v>
      </c>
      <c r="B124" s="384">
        <v>43160</v>
      </c>
      <c r="C124" s="385">
        <v>7.3979999999999997</v>
      </c>
      <c r="D124" s="385"/>
      <c r="E124" s="385"/>
      <c r="I124" s="385"/>
    </row>
    <row r="125" spans="1:9" x14ac:dyDescent="0.25">
      <c r="A125">
        <v>1</v>
      </c>
      <c r="B125" s="384">
        <v>43191</v>
      </c>
      <c r="C125" s="385">
        <v>7.76</v>
      </c>
      <c r="D125" s="385"/>
      <c r="E125" s="385"/>
      <c r="I125" s="385"/>
    </row>
  </sheetData>
  <sortState ref="A2:C125">
    <sortCondition descending="1" ref="A2:A125"/>
  </sortState>
  <pageMargins left="0.7" right="0.7" top="0.75" bottom="0.75" header="0.3" footer="0.3"/>
  <pageSetup orientation="portrait" horizontalDpi="0"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5"/>
  <sheetViews>
    <sheetView zoomScaleSheetLayoutView="100" workbookViewId="0">
      <pane xSplit="1" ySplit="4" topLeftCell="B8" activePane="bottomRight" state="frozen"/>
      <selection activeCell="I2" sqref="I2"/>
      <selection pane="topRight" activeCell="I2" sqref="I2"/>
      <selection pane="bottomLeft" activeCell="I2" sqref="I2"/>
      <selection pane="bottomRight" activeCell="C19" sqref="C19"/>
    </sheetView>
  </sheetViews>
  <sheetFormatPr defaultRowHeight="15" x14ac:dyDescent="0.25"/>
  <cols>
    <col min="1" max="1" width="20.7109375" style="6" customWidth="1"/>
    <col min="2" max="6" width="13.5703125" style="6" customWidth="1"/>
    <col min="7" max="7" width="14.85546875" style="6" bestFit="1" customWidth="1"/>
    <col min="8" max="11" width="13.5703125" style="6" customWidth="1"/>
    <col min="12" max="12" width="13.28515625" style="6" customWidth="1"/>
    <col min="13" max="14" width="12.140625" style="6" customWidth="1"/>
    <col min="15" max="16384" width="9.140625" style="6"/>
  </cols>
  <sheetData>
    <row r="1" spans="1:14" s="8" customFormat="1" x14ac:dyDescent="0.25">
      <c r="A1" s="8" t="str">
        <f>'Data Sheet'!B1</f>
        <v>NITIN SPINNERS LTD</v>
      </c>
      <c r="H1" t="str">
        <f>UPDATE</f>
        <v/>
      </c>
      <c r="J1" s="3"/>
      <c r="K1" s="3"/>
      <c r="M1" s="8" t="s">
        <v>1</v>
      </c>
    </row>
    <row r="3" spans="1:14" s="2" customFormat="1" x14ac:dyDescent="0.25">
      <c r="A3" s="15" t="s">
        <v>2</v>
      </c>
      <c r="B3" s="16">
        <f>'Data Sheet'!B16</f>
        <v>39538</v>
      </c>
      <c r="C3" s="16">
        <f>'Data Sheet'!C16</f>
        <v>39903</v>
      </c>
      <c r="D3" s="16">
        <f>'Data Sheet'!D16</f>
        <v>40268</v>
      </c>
      <c r="E3" s="16">
        <f>'Data Sheet'!E16</f>
        <v>40633</v>
      </c>
      <c r="F3" s="16">
        <f>'Data Sheet'!F16</f>
        <v>40999</v>
      </c>
      <c r="G3" s="16">
        <f>'Data Sheet'!G16</f>
        <v>41364</v>
      </c>
      <c r="H3" s="16">
        <f>'Data Sheet'!H16</f>
        <v>41729</v>
      </c>
      <c r="I3" s="16">
        <f>'Data Sheet'!I16</f>
        <v>42094</v>
      </c>
      <c r="J3" s="16">
        <f>'Data Sheet'!J16</f>
        <v>42460</v>
      </c>
      <c r="K3" s="16">
        <f>'Data Sheet'!K16</f>
        <v>42825</v>
      </c>
      <c r="L3" s="17" t="s">
        <v>3</v>
      </c>
      <c r="M3" s="17" t="s">
        <v>4</v>
      </c>
      <c r="N3" s="17" t="s">
        <v>5</v>
      </c>
    </row>
    <row r="4" spans="1:14" s="8" customFormat="1" x14ac:dyDescent="0.25">
      <c r="A4" s="8" t="s">
        <v>6</v>
      </c>
      <c r="B4" s="1">
        <f>'Data Sheet'!B17</f>
        <v>203.76</v>
      </c>
      <c r="C4" s="1">
        <f>'Data Sheet'!C17</f>
        <v>262.27</v>
      </c>
      <c r="D4" s="1">
        <f>'Data Sheet'!D17</f>
        <v>301.95</v>
      </c>
      <c r="E4" s="1">
        <f>'Data Sheet'!E17</f>
        <v>410.92</v>
      </c>
      <c r="F4" s="1">
        <f>'Data Sheet'!F17</f>
        <v>428.3</v>
      </c>
      <c r="G4" s="1">
        <f>'Data Sheet'!G17</f>
        <v>446.05</v>
      </c>
      <c r="H4" s="1">
        <f>'Data Sheet'!H17</f>
        <v>488.34</v>
      </c>
      <c r="I4" s="1">
        <f>'Data Sheet'!I17</f>
        <v>616.47</v>
      </c>
      <c r="J4" s="1">
        <f>'Data Sheet'!J17</f>
        <v>766.87</v>
      </c>
      <c r="K4" s="1">
        <f>'Data Sheet'!K17</f>
        <v>933.38</v>
      </c>
      <c r="L4" s="1">
        <f>SUM(Quarters!H4:K4)</f>
        <v>1144</v>
      </c>
      <c r="M4" s="1">
        <f>$K4+M23*K4</f>
        <v>1158.343114504064</v>
      </c>
      <c r="N4" s="1">
        <f>$K4+N23*L4</f>
        <v>1126.2467066252109</v>
      </c>
    </row>
    <row r="5" spans="1:14" x14ac:dyDescent="0.25">
      <c r="A5" s="6" t="s">
        <v>7</v>
      </c>
      <c r="B5" s="9">
        <f>SUM('Data Sheet'!B18,'Data Sheet'!B20:B24, -1*'Data Sheet'!B19)</f>
        <v>170.51999999999998</v>
      </c>
      <c r="C5" s="9">
        <f>SUM('Data Sheet'!C18,'Data Sheet'!C20:C24, -1*'Data Sheet'!C19)</f>
        <v>265.48</v>
      </c>
      <c r="D5" s="9">
        <f>SUM('Data Sheet'!D18,'Data Sheet'!D20:D24, -1*'Data Sheet'!D19)</f>
        <v>267.71000000000004</v>
      </c>
      <c r="E5" s="9">
        <f>SUM('Data Sheet'!E18,'Data Sheet'!E20:E24, -1*'Data Sheet'!E19)</f>
        <v>335.11999999999995</v>
      </c>
      <c r="F5" s="9">
        <f>SUM('Data Sheet'!F18,'Data Sheet'!F20:F24, -1*'Data Sheet'!F19)</f>
        <v>383.25</v>
      </c>
      <c r="G5" s="9">
        <f>SUM('Data Sheet'!G18,'Data Sheet'!G20:G24, -1*'Data Sheet'!G19)</f>
        <v>373.56</v>
      </c>
      <c r="H5" s="9">
        <f>SUM('Data Sheet'!H18,'Data Sheet'!H20:H24, -1*'Data Sheet'!H19)</f>
        <v>394.39999999999992</v>
      </c>
      <c r="I5" s="9">
        <f>SUM('Data Sheet'!I18,'Data Sheet'!I20:I24, -1*'Data Sheet'!I19)</f>
        <v>517.28</v>
      </c>
      <c r="J5" s="9">
        <f>SUM('Data Sheet'!J18,'Data Sheet'!J20:J24, -1*'Data Sheet'!J19)</f>
        <v>629.83999999999992</v>
      </c>
      <c r="K5" s="9">
        <f>SUM('Data Sheet'!K18,'Data Sheet'!K20:K24, -1*'Data Sheet'!K19)</f>
        <v>800.26</v>
      </c>
      <c r="L5" s="9">
        <f>SUM(Quarters!H5:K5)</f>
        <v>993.72</v>
      </c>
      <c r="M5" s="9">
        <f>M4-M6</f>
        <v>973.67580645176122</v>
      </c>
      <c r="N5" s="9">
        <f>N4-N6</f>
        <v>978.29884380035367</v>
      </c>
    </row>
    <row r="6" spans="1:14" s="8" customFormat="1" x14ac:dyDescent="0.25">
      <c r="A6" s="8" t="s">
        <v>8</v>
      </c>
      <c r="B6" s="1">
        <f>B4-B5</f>
        <v>33.240000000000009</v>
      </c>
      <c r="C6" s="1">
        <f t="shared" ref="C6:K6" si="0">C4-C5</f>
        <v>-3.2100000000000364</v>
      </c>
      <c r="D6" s="1">
        <f t="shared" si="0"/>
        <v>34.239999999999952</v>
      </c>
      <c r="E6" s="1">
        <f t="shared" si="0"/>
        <v>75.800000000000068</v>
      </c>
      <c r="F6" s="1">
        <f t="shared" si="0"/>
        <v>45.050000000000011</v>
      </c>
      <c r="G6" s="1">
        <f t="shared" si="0"/>
        <v>72.490000000000009</v>
      </c>
      <c r="H6" s="1">
        <f t="shared" si="0"/>
        <v>93.940000000000055</v>
      </c>
      <c r="I6" s="1">
        <f t="shared" si="0"/>
        <v>99.190000000000055</v>
      </c>
      <c r="J6" s="1">
        <f t="shared" si="0"/>
        <v>137.03000000000009</v>
      </c>
      <c r="K6" s="1">
        <f t="shared" si="0"/>
        <v>133.12</v>
      </c>
      <c r="L6" s="1">
        <f>SUM(Quarters!H6:K6)</f>
        <v>150.28000000000003</v>
      </c>
      <c r="M6" s="1">
        <f>M4*M24</f>
        <v>184.66730805230287</v>
      </c>
      <c r="N6" s="1">
        <f>N4*N24</f>
        <v>147.94786282485725</v>
      </c>
    </row>
    <row r="7" spans="1:14" x14ac:dyDescent="0.25">
      <c r="A7" s="6" t="s">
        <v>9</v>
      </c>
      <c r="B7" s="9">
        <f>'Data Sheet'!B25</f>
        <v>0.17</v>
      </c>
      <c r="C7" s="9">
        <f>'Data Sheet'!C25</f>
        <v>0.98</v>
      </c>
      <c r="D7" s="9">
        <f>'Data Sheet'!D25</f>
        <v>0.56000000000000005</v>
      </c>
      <c r="E7" s="9">
        <f>'Data Sheet'!E25</f>
        <v>0.24</v>
      </c>
      <c r="F7" s="9">
        <f>'Data Sheet'!F25</f>
        <v>0.13</v>
      </c>
      <c r="G7" s="9">
        <f>'Data Sheet'!G25</f>
        <v>0.3</v>
      </c>
      <c r="H7" s="9">
        <f>'Data Sheet'!H25</f>
        <v>0.35</v>
      </c>
      <c r="I7" s="9">
        <f>'Data Sheet'!I25</f>
        <v>5.13</v>
      </c>
      <c r="J7" s="9">
        <f>'Data Sheet'!J25</f>
        <v>0.72</v>
      </c>
      <c r="K7" s="9">
        <f>'Data Sheet'!K25</f>
        <v>0.79</v>
      </c>
      <c r="L7" s="9">
        <f>SUM(Quarters!H7:K7)</f>
        <v>1.9700000000000002</v>
      </c>
      <c r="M7" s="9">
        <v>0</v>
      </c>
      <c r="N7" s="9">
        <v>0</v>
      </c>
    </row>
    <row r="8" spans="1:14" x14ac:dyDescent="0.25">
      <c r="A8" s="6" t="s">
        <v>10</v>
      </c>
      <c r="B8" s="9">
        <f>'Data Sheet'!B26</f>
        <v>21.09</v>
      </c>
      <c r="C8" s="9">
        <f>'Data Sheet'!C26</f>
        <v>-3.07</v>
      </c>
      <c r="D8" s="9">
        <f>'Data Sheet'!D26</f>
        <v>18.649999999999999</v>
      </c>
      <c r="E8" s="9">
        <f>'Data Sheet'!E26</f>
        <v>45.33</v>
      </c>
      <c r="F8" s="9">
        <f>'Data Sheet'!F26</f>
        <v>23.98</v>
      </c>
      <c r="G8" s="9">
        <f>'Data Sheet'!G26</f>
        <v>24.5</v>
      </c>
      <c r="H8" s="9">
        <f>'Data Sheet'!H26</f>
        <v>24.87</v>
      </c>
      <c r="I8" s="9">
        <f>'Data Sheet'!I26</f>
        <v>27.94</v>
      </c>
      <c r="J8" s="9">
        <f>'Data Sheet'!J26</f>
        <v>39.56</v>
      </c>
      <c r="K8" s="9">
        <f>'Data Sheet'!K26</f>
        <v>41.65</v>
      </c>
      <c r="L8" s="9">
        <f>SUM(Quarters!H8:K8)</f>
        <v>54.49</v>
      </c>
      <c r="M8" s="9">
        <f>+$L8</f>
        <v>54.49</v>
      </c>
      <c r="N8" s="9">
        <f>+$L8</f>
        <v>54.49</v>
      </c>
    </row>
    <row r="9" spans="1:14" x14ac:dyDescent="0.25">
      <c r="A9" s="6" t="s">
        <v>11</v>
      </c>
      <c r="B9" s="9">
        <f>'Data Sheet'!B27</f>
        <v>14.59</v>
      </c>
      <c r="C9" s="9">
        <f>'Data Sheet'!C27</f>
        <v>23.9</v>
      </c>
      <c r="D9" s="9">
        <f>'Data Sheet'!D27</f>
        <v>15.15</v>
      </c>
      <c r="E9" s="9">
        <f>'Data Sheet'!E27</f>
        <v>21.04</v>
      </c>
      <c r="F9" s="9">
        <f>'Data Sheet'!F27</f>
        <v>20.9</v>
      </c>
      <c r="G9" s="9">
        <f>'Data Sheet'!G27</f>
        <v>27.31</v>
      </c>
      <c r="H9" s="9">
        <f>'Data Sheet'!H27</f>
        <v>17.46</v>
      </c>
      <c r="I9" s="9">
        <f>'Data Sheet'!I27</f>
        <v>22.62</v>
      </c>
      <c r="J9" s="9">
        <f>'Data Sheet'!J27</f>
        <v>33.01</v>
      </c>
      <c r="K9" s="9">
        <f>'Data Sheet'!K27</f>
        <v>22.24</v>
      </c>
      <c r="L9" s="9">
        <f>SUM(Quarters!H9:K9)</f>
        <v>28.93</v>
      </c>
      <c r="M9" s="9">
        <f>+$L9</f>
        <v>28.93</v>
      </c>
      <c r="N9" s="9">
        <f>+$L9</f>
        <v>28.93</v>
      </c>
    </row>
    <row r="10" spans="1:14" x14ac:dyDescent="0.25">
      <c r="A10" s="6" t="s">
        <v>12</v>
      </c>
      <c r="B10" s="9">
        <f>'Data Sheet'!B28</f>
        <v>-2.27</v>
      </c>
      <c r="C10" s="9">
        <f>'Data Sheet'!C28</f>
        <v>-23.06</v>
      </c>
      <c r="D10" s="9">
        <f>'Data Sheet'!D28</f>
        <v>1</v>
      </c>
      <c r="E10" s="9">
        <f>'Data Sheet'!E28</f>
        <v>9.67</v>
      </c>
      <c r="F10" s="9">
        <f>'Data Sheet'!F28</f>
        <v>0.3</v>
      </c>
      <c r="G10" s="9">
        <f>'Data Sheet'!G28</f>
        <v>20.97</v>
      </c>
      <c r="H10" s="9">
        <f>'Data Sheet'!H28</f>
        <v>51.95</v>
      </c>
      <c r="I10" s="9">
        <f>'Data Sheet'!I28</f>
        <v>53.75</v>
      </c>
      <c r="J10" s="9">
        <f>'Data Sheet'!J28</f>
        <v>65.19</v>
      </c>
      <c r="K10" s="9">
        <f>'Data Sheet'!K28</f>
        <v>70.02</v>
      </c>
      <c r="L10" s="9">
        <f>SUM(Quarters!H10:K10)</f>
        <v>68.83</v>
      </c>
      <c r="M10" s="9">
        <f>M6+M7-SUM(M8:M9)</f>
        <v>101.24730805230287</v>
      </c>
      <c r="N10" s="9">
        <f>N6+N7-SUM(N8:N9)</f>
        <v>64.527862824857252</v>
      </c>
    </row>
    <row r="11" spans="1:14" x14ac:dyDescent="0.25">
      <c r="A11" s="6" t="s">
        <v>13</v>
      </c>
      <c r="B11" s="9">
        <f>'Data Sheet'!B29</f>
        <v>2.02</v>
      </c>
      <c r="C11" s="9">
        <f>'Data Sheet'!C29</f>
        <v>-8.9499999999999993</v>
      </c>
      <c r="D11" s="9">
        <f>'Data Sheet'!D29</f>
        <v>0.32</v>
      </c>
      <c r="E11" s="9">
        <f>'Data Sheet'!E29</f>
        <v>2.93</v>
      </c>
      <c r="F11" s="9">
        <f>'Data Sheet'!F29</f>
        <v>0</v>
      </c>
      <c r="G11" s="9">
        <f>'Data Sheet'!G29</f>
        <v>6.84</v>
      </c>
      <c r="H11" s="9">
        <f>'Data Sheet'!H29</f>
        <v>17.170000000000002</v>
      </c>
      <c r="I11" s="9">
        <f>'Data Sheet'!I29</f>
        <v>12.79</v>
      </c>
      <c r="J11" s="9">
        <f>'Data Sheet'!J29</f>
        <v>21.04</v>
      </c>
      <c r="K11" s="9">
        <f>'Data Sheet'!K29</f>
        <v>12.87</v>
      </c>
      <c r="L11" s="9">
        <f>SUM(Quarters!H11:K11)</f>
        <v>15.250000000000002</v>
      </c>
      <c r="M11" s="10">
        <f>IF($L10&gt;0,$L11/$L10,0)</f>
        <v>0.2215603661194247</v>
      </c>
      <c r="N11" s="10">
        <f>IF($L10&gt;0,$L11/$L10,0)</f>
        <v>0.2215603661194247</v>
      </c>
    </row>
    <row r="12" spans="1:14" s="8" customFormat="1" x14ac:dyDescent="0.25">
      <c r="A12" s="8" t="s">
        <v>14</v>
      </c>
      <c r="B12" s="1">
        <f>'Data Sheet'!B30</f>
        <v>-4.29</v>
      </c>
      <c r="C12" s="1">
        <f>'Data Sheet'!C30</f>
        <v>-14.11</v>
      </c>
      <c r="D12" s="1">
        <f>'Data Sheet'!D30</f>
        <v>0.68</v>
      </c>
      <c r="E12" s="1">
        <f>'Data Sheet'!E30</f>
        <v>6.74</v>
      </c>
      <c r="F12" s="1">
        <f>'Data Sheet'!F30</f>
        <v>0.3</v>
      </c>
      <c r="G12" s="1">
        <f>'Data Sheet'!G30</f>
        <v>14.14</v>
      </c>
      <c r="H12" s="1">
        <f>'Data Sheet'!H30</f>
        <v>34.78</v>
      </c>
      <c r="I12" s="1">
        <f>'Data Sheet'!I30</f>
        <v>40.96</v>
      </c>
      <c r="J12" s="1">
        <f>'Data Sheet'!J30</f>
        <v>44.16</v>
      </c>
      <c r="K12" s="1">
        <f>'Data Sheet'!K30</f>
        <v>57.15</v>
      </c>
      <c r="L12" s="1">
        <f>SUM(Quarters!H12:K12)</f>
        <v>53.59</v>
      </c>
      <c r="M12" s="1">
        <f>M10-M11*M10</f>
        <v>78.814917411628471</v>
      </c>
      <c r="N12" s="1">
        <f>N10-N11*N10</f>
        <v>50.231045912477867</v>
      </c>
    </row>
    <row r="13" spans="1:14" x14ac:dyDescent="0.25">
      <c r="A13" s="11" t="s">
        <v>58</v>
      </c>
      <c r="B13" s="9">
        <f>IF('Data Sheet'!B93&gt;0,B12/'Data Sheet'!B93,0)</f>
        <v>-1.0505965073910934</v>
      </c>
      <c r="C13" s="9">
        <f>IF('Data Sheet'!C93&gt;0,C12/'Data Sheet'!C93,0)</f>
        <v>-3.4554584427245518</v>
      </c>
      <c r="D13" s="9">
        <f>IF('Data Sheet'!D93&gt;0,D12/'Data Sheet'!D93,0)</f>
        <v>0.14836165640989446</v>
      </c>
      <c r="E13" s="9">
        <f>IF('Data Sheet'!E93&gt;0,E12/'Data Sheet'!E93,0)</f>
        <v>1.4705258297098363</v>
      </c>
      <c r="F13" s="9">
        <f>IF('Data Sheet'!F93&gt;0,F12/'Data Sheet'!F93,0)</f>
        <v>6.5453671945541678E-2</v>
      </c>
      <c r="G13" s="9">
        <f>IF('Data Sheet'!G93&gt;0,G12/'Data Sheet'!G93,0)</f>
        <v>3.0850497376998645</v>
      </c>
      <c r="H13" s="9">
        <f>IF('Data Sheet'!H93&gt;0,H12/'Data Sheet'!H93,0)</f>
        <v>7.5882623675531313</v>
      </c>
      <c r="I13" s="9">
        <f>IF('Data Sheet'!I93&gt;0,I12/'Data Sheet'!I93,0)</f>
        <v>8.936608009631291</v>
      </c>
      <c r="J13" s="9">
        <f>IF('Data Sheet'!J93&gt;0,J12/'Data Sheet'!J93,0)</f>
        <v>9.6347805103837345</v>
      </c>
      <c r="K13" s="9">
        <f>IF('Data Sheet'!K93&gt;0,K12/'Data Sheet'!K93,0)</f>
        <v>12.468924505625688</v>
      </c>
      <c r="L13" s="9">
        <f>IF('Data Sheet'!$B6&gt;0,'Profit &amp; Loss'!L12/'Data Sheet'!$B6,0)</f>
        <v>9.6468064789927865</v>
      </c>
      <c r="M13" s="9">
        <f>IF('Data Sheet'!$B6&gt;0,'Profit &amp; Loss'!M12/'Data Sheet'!$B6,0)</f>
        <v>14.187577083929444</v>
      </c>
      <c r="N13" s="9">
        <f>IF('Data Sheet'!$B6&gt;0,'Profit &amp; Loss'!N12/'Data Sheet'!$B6,0)</f>
        <v>9.0421567298950478</v>
      </c>
    </row>
    <row r="14" spans="1:14" x14ac:dyDescent="0.25">
      <c r="A14" s="6" t="s">
        <v>16</v>
      </c>
      <c r="B14" s="9">
        <f>IF(B15&gt;0,B15/B13,"")</f>
        <v>-11.174604062937062</v>
      </c>
      <c r="C14" s="9">
        <f t="shared" ref="C14:K14" si="1">IF(C15&gt;0,C15/C13,"")</f>
        <v>-1.4006824507441531</v>
      </c>
      <c r="D14" s="9">
        <f t="shared" si="1"/>
        <v>58.640488455882348</v>
      </c>
      <c r="E14" s="9">
        <f t="shared" si="1"/>
        <v>8.4459584109792285</v>
      </c>
      <c r="F14" s="9">
        <f t="shared" si="1"/>
        <v>94.417926699999981</v>
      </c>
      <c r="G14" s="9">
        <f t="shared" si="1"/>
        <v>3.2349559483734085</v>
      </c>
      <c r="H14" s="9">
        <f t="shared" si="1"/>
        <v>2.1164265575043126</v>
      </c>
      <c r="I14" s="9">
        <f t="shared" si="1"/>
        <v>4.34057306286621</v>
      </c>
      <c r="J14" s="9">
        <f t="shared" si="1"/>
        <v>6.8045141173007249</v>
      </c>
      <c r="K14" s="9">
        <f t="shared" si="1"/>
        <v>10.440355135783028</v>
      </c>
      <c r="L14" s="9">
        <f>IF(L13&gt;0,L15/L13,0)</f>
        <v>10.552715058779622</v>
      </c>
      <c r="M14" s="9">
        <f>M25</f>
        <v>10.552715058779622</v>
      </c>
      <c r="N14" s="9">
        <f>N25</f>
        <v>6.2482566467678851</v>
      </c>
    </row>
    <row r="15" spans="1:14" s="8" customFormat="1" x14ac:dyDescent="0.25">
      <c r="A15" s="8" t="s">
        <v>59</v>
      </c>
      <c r="B15" s="1">
        <f>'Data Sheet'!B90</f>
        <v>11.74</v>
      </c>
      <c r="C15" s="1">
        <f>'Data Sheet'!C90</f>
        <v>4.84</v>
      </c>
      <c r="D15" s="1">
        <f>'Data Sheet'!D90</f>
        <v>8.6999999999999993</v>
      </c>
      <c r="E15" s="1">
        <f>'Data Sheet'!E90</f>
        <v>12.42</v>
      </c>
      <c r="F15" s="1">
        <f>'Data Sheet'!F90</f>
        <v>6.18</v>
      </c>
      <c r="G15" s="1">
        <f>'Data Sheet'!G90</f>
        <v>9.98</v>
      </c>
      <c r="H15" s="1">
        <f>'Data Sheet'!H90</f>
        <v>16.059999999999999</v>
      </c>
      <c r="I15" s="1">
        <f>'Data Sheet'!I90</f>
        <v>38.79</v>
      </c>
      <c r="J15" s="1">
        <f>'Data Sheet'!J90</f>
        <v>65.56</v>
      </c>
      <c r="K15" s="1">
        <f>'Data Sheet'!K90</f>
        <v>130.18</v>
      </c>
      <c r="L15" s="1">
        <f>'Data Sheet'!B8</f>
        <v>101.8</v>
      </c>
      <c r="M15" s="12">
        <f>M13*M14</f>
        <v>149.71745834117891</v>
      </c>
      <c r="N15" s="13">
        <f>N13*N14</f>
        <v>56.497715888683693</v>
      </c>
    </row>
    <row r="17" spans="1:14" s="8" customFormat="1" x14ac:dyDescent="0.25">
      <c r="A17" s="8" t="s">
        <v>15</v>
      </c>
    </row>
    <row r="18" spans="1:14" x14ac:dyDescent="0.25">
      <c r="A18" s="6" t="s">
        <v>17</v>
      </c>
      <c r="B18" s="7">
        <f>IF('Data Sheet'!B30&gt;0, 'Data Sheet'!B31/'Data Sheet'!B30, 0)</f>
        <v>0</v>
      </c>
      <c r="C18" s="7">
        <f>IF('Data Sheet'!C30&gt;0, 'Data Sheet'!C31/'Data Sheet'!C30, 0)</f>
        <v>0</v>
      </c>
      <c r="D18" s="7">
        <f>IF('Data Sheet'!D30&gt;0, 'Data Sheet'!D31/'Data Sheet'!D30, 0)</f>
        <v>0</v>
      </c>
      <c r="E18" s="7">
        <f>IF('Data Sheet'!E30&gt;0, 'Data Sheet'!E31/'Data Sheet'!E30, 0)</f>
        <v>0</v>
      </c>
      <c r="F18" s="7">
        <f>IF('Data Sheet'!F30&gt;0, 'Data Sheet'!F31/'Data Sheet'!F30, 0)</f>
        <v>0</v>
      </c>
      <c r="G18" s="7">
        <f>IF('Data Sheet'!G30&gt;0, 'Data Sheet'!G31/'Data Sheet'!G30, 0)</f>
        <v>0</v>
      </c>
      <c r="H18" s="7">
        <f>IF('Data Sheet'!H30&gt;0, 'Data Sheet'!H31/'Data Sheet'!H30, 0)</f>
        <v>9.8907418056354224E-2</v>
      </c>
      <c r="I18" s="7">
        <f>IF('Data Sheet'!I30&gt;0, 'Data Sheet'!I31/'Data Sheet'!I30, 0)</f>
        <v>0.11181640625</v>
      </c>
      <c r="J18" s="7">
        <f>IF('Data Sheet'!J30&gt;0, 'Data Sheet'!J31/'Data Sheet'!J30, 0)</f>
        <v>0.10371376811594205</v>
      </c>
      <c r="K18" s="7">
        <f>IF('Data Sheet'!K30&gt;0, 'Data Sheet'!K31/'Data Sheet'!K30, 0)</f>
        <v>9.6237970253718289E-2</v>
      </c>
    </row>
    <row r="19" spans="1:14" x14ac:dyDescent="0.25">
      <c r="A19" s="6" t="s">
        <v>18</v>
      </c>
      <c r="B19" s="7">
        <f>IF(B6&gt;0,B6/B4,0)</f>
        <v>0.16313309776207308</v>
      </c>
      <c r="C19" s="7">
        <f t="shared" ref="C19:K19" si="2">IF(C6&gt;0,C6/C4,0)</f>
        <v>0</v>
      </c>
      <c r="D19" s="7">
        <f t="shared" si="2"/>
        <v>0.11339625765855259</v>
      </c>
      <c r="E19" s="7">
        <f t="shared" si="2"/>
        <v>0.18446412927090447</v>
      </c>
      <c r="F19" s="7">
        <f t="shared" si="2"/>
        <v>0.10518328274573899</v>
      </c>
      <c r="G19" s="7">
        <f t="shared" si="2"/>
        <v>0.16251541307028361</v>
      </c>
      <c r="H19" s="7">
        <f t="shared" si="2"/>
        <v>0.19236597452594517</v>
      </c>
      <c r="I19" s="7">
        <f t="shared" si="2"/>
        <v>0.16089996269080417</v>
      </c>
      <c r="J19" s="7">
        <f t="shared" si="2"/>
        <v>0.17868739160483535</v>
      </c>
      <c r="K19" s="7">
        <f t="shared" si="2"/>
        <v>0.14262144035655361</v>
      </c>
      <c r="L19" s="7">
        <f>IF(L6&gt;0,L6/L4,0)</f>
        <v>0.13136363636363638</v>
      </c>
    </row>
    <row r="20" spans="1:14" x14ac:dyDescent="0.25">
      <c r="B20" s="7"/>
      <c r="C20" s="7"/>
      <c r="D20" s="7"/>
      <c r="E20" s="7"/>
      <c r="F20" s="7"/>
      <c r="G20" s="7"/>
      <c r="H20" s="7"/>
      <c r="I20" s="7"/>
      <c r="J20" s="7"/>
      <c r="K20" s="7"/>
      <c r="L20" s="7"/>
    </row>
    <row r="21" spans="1:14" x14ac:dyDescent="0.25">
      <c r="B21" s="7"/>
      <c r="C21" s="7"/>
      <c r="D21" s="7"/>
      <c r="E21" s="7"/>
      <c r="F21" s="7"/>
      <c r="G21" s="7"/>
      <c r="H21" s="7"/>
      <c r="I21" s="7"/>
      <c r="J21" s="7"/>
      <c r="K21" s="7"/>
      <c r="L21" s="7"/>
    </row>
    <row r="22" spans="1:14" s="2" customFormat="1" x14ac:dyDescent="0.25">
      <c r="A22" s="15"/>
      <c r="B22" s="16"/>
      <c r="C22" s="16"/>
      <c r="D22" s="16"/>
      <c r="E22" s="16"/>
      <c r="F22" s="16"/>
      <c r="G22" s="16" t="s">
        <v>19</v>
      </c>
      <c r="H22" s="16" t="s">
        <v>66</v>
      </c>
      <c r="I22" s="16" t="s">
        <v>67</v>
      </c>
      <c r="J22" s="16" t="s">
        <v>68</v>
      </c>
      <c r="K22" s="16" t="s">
        <v>69</v>
      </c>
      <c r="L22" s="17" t="s">
        <v>70</v>
      </c>
      <c r="M22" s="17" t="s">
        <v>20</v>
      </c>
      <c r="N22" s="17" t="s">
        <v>21</v>
      </c>
    </row>
    <row r="23" spans="1:14" s="8" customFormat="1" x14ac:dyDescent="0.25">
      <c r="A23" s="6"/>
      <c r="B23" s="6"/>
      <c r="C23" s="6"/>
      <c r="D23" s="6"/>
      <c r="E23" s="6"/>
      <c r="F23" s="6"/>
      <c r="G23" s="6" t="s">
        <v>22</v>
      </c>
      <c r="H23" s="7">
        <f>IF(B4=0,"",POWER($K4/B4,1/9)-1)</f>
        <v>0.18423455355672536</v>
      </c>
      <c r="I23" s="7">
        <f>IF(D4=0,"",POWER($K4/D4,1/7)-1)</f>
        <v>0.17494526848533565</v>
      </c>
      <c r="J23" s="7">
        <f>IF(F4=0,"",POWER($K4/F4,1/5)-1)</f>
        <v>0.16858977851854107</v>
      </c>
      <c r="K23" s="7">
        <f>IF(H4=0,"",POWER($K4/H4, 1/3)-1)</f>
        <v>0.24101985740434118</v>
      </c>
      <c r="L23" s="7">
        <f>IF(ISERROR(MAX(IF(J4=0,"",(K4-J4)/J4),IF(K4=0,"",(L4-K4)/K4))),"",MAX(IF(J4=0,"",(K4-J4)/J4),IF(K4=0,"",(L4-K4)/K4)))</f>
        <v>0.22565300306413252</v>
      </c>
      <c r="M23" s="22">
        <f>MAX(K23:L23)</f>
        <v>0.24101985740434118</v>
      </c>
      <c r="N23" s="22">
        <f>MIN(H23:L23)</f>
        <v>0.16858977851854107</v>
      </c>
    </row>
    <row r="24" spans="1:14" x14ac:dyDescent="0.25">
      <c r="G24" s="6" t="s">
        <v>18</v>
      </c>
      <c r="H24" s="7">
        <f>IF(SUM(B4:$K$4)=0,"",SUMPRODUCT(B19:$K$19,B4:$K$4)/SUM(B4:$K$4))</f>
        <v>0.14904359746496212</v>
      </c>
      <c r="I24" s="7">
        <f>IF(SUM(E4:$K$4)=0,"",SUMPRODUCT(E19:$K$19,E4:$K$4)/SUM(E4:$K$4))</f>
        <v>0.160529835001088</v>
      </c>
      <c r="J24" s="7">
        <f>IF(SUM(G4:$K$4)=0,"",SUMPRODUCT(G19:$K$19,G4:$K$4)/SUM(G4:$K$4))</f>
        <v>0.16479602351196981</v>
      </c>
      <c r="K24" s="7">
        <f>IF(SUM(I4:$K$4)=0, "", SUMPRODUCT(I19:$K$19,I4:$K$4)/SUM(I4:$K$4))</f>
        <v>0.15942366794433513</v>
      </c>
      <c r="L24" s="7">
        <f>L19</f>
        <v>0.13136363636363638</v>
      </c>
      <c r="M24" s="22">
        <f>MAX(K24:L24)</f>
        <v>0.15942366794433513</v>
      </c>
      <c r="N24" s="22">
        <f>MIN(H24:L24)</f>
        <v>0.13136363636363638</v>
      </c>
    </row>
    <row r="25" spans="1:14" x14ac:dyDescent="0.25">
      <c r="G25" s="6" t="s">
        <v>23</v>
      </c>
      <c r="H25" s="9">
        <f>IF(ISERROR(AVERAGEIF(B14:$L14,"&gt;0")),"",AVERAGEIF(B14:$L14,"&gt;0"))</f>
        <v>22.11043482749654</v>
      </c>
      <c r="I25" s="9">
        <f>IF(ISERROR(AVERAGEIF(E14:$L14,"&gt;0")),"",AVERAGEIF(E14:$L14,"&gt;0"))</f>
        <v>17.544178123948317</v>
      </c>
      <c r="J25" s="9">
        <f>IF(ISERROR(AVERAGEIF(G14:$L14,"&gt;0")),"",AVERAGEIF(G14:$L14,"&gt;0"))</f>
        <v>6.2482566467678851</v>
      </c>
      <c r="K25" s="9">
        <f>IF(ISERROR(AVERAGEIF(I14:$L14,"&gt;0")),"",AVERAGEIF(I14:$L14,"&gt;0"))</f>
        <v>8.0345393436823969</v>
      </c>
      <c r="L25" s="9">
        <f>L14</f>
        <v>10.552715058779622</v>
      </c>
      <c r="M25" s="1">
        <f>MAX(K25:L25)</f>
        <v>10.552715058779622</v>
      </c>
      <c r="N25" s="1">
        <f>MIN(H25:L25)</f>
        <v>6.2482566467678851</v>
      </c>
    </row>
  </sheetData>
  <hyperlinks>
    <hyperlink ref="M1" r:id="rId1"/>
  </hyperlinks>
  <printOptions gridLines="1"/>
  <pageMargins left="0.7" right="0.7" top="0.75" bottom="0.75" header="0.3" footer="0.3"/>
  <pageSetup paperSize="9" orientation="landscape" horizontalDpi="300" verticalDpi="300"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vt:i4>
      </vt:variant>
    </vt:vector>
  </HeadingPairs>
  <TitlesOfParts>
    <vt:vector size="34" baseType="lpstr">
      <vt:lpstr>How-To-Use</vt:lpstr>
      <vt:lpstr>Overview</vt:lpstr>
      <vt:lpstr>Data Sheet</vt:lpstr>
      <vt:lpstr>Others</vt:lpstr>
      <vt:lpstr>DrVM_Comparison</vt:lpstr>
      <vt:lpstr>Financial Analysis</vt:lpstr>
      <vt:lpstr>Price</vt:lpstr>
      <vt:lpstr>CAPM-EquityReqRet</vt:lpstr>
      <vt:lpstr>Profit &amp; Loss</vt:lpstr>
      <vt:lpstr>Balance Sheet</vt:lpstr>
      <vt:lpstr>Trend</vt:lpstr>
      <vt:lpstr>Quarters</vt:lpstr>
      <vt:lpstr>Alt D S</vt:lpstr>
      <vt:lpstr>Investment_Ratio</vt:lpstr>
      <vt:lpstr>Asset_Ratio</vt:lpstr>
      <vt:lpstr>Other_input_data</vt:lpstr>
      <vt:lpstr>Model_Input2</vt:lpstr>
      <vt:lpstr>Comparative</vt:lpstr>
      <vt:lpstr>Analysis2</vt:lpstr>
      <vt:lpstr>Cash Flow</vt:lpstr>
      <vt:lpstr>Valuation</vt:lpstr>
      <vt:lpstr>PE Forecast</vt:lpstr>
      <vt:lpstr>Comparative1</vt:lpstr>
      <vt:lpstr>'Alt D S'!UPDATE</vt:lpstr>
      <vt:lpstr>Asset_Ratio!UPDATE</vt:lpstr>
      <vt:lpstr>Comparative!UPDATE</vt:lpstr>
      <vt:lpstr>Comparative1!UPDATE</vt:lpstr>
      <vt:lpstr>Investment_Ratio!UPDATE</vt:lpstr>
      <vt:lpstr>Model_Input2!UPDATE</vt:lpstr>
      <vt:lpstr>Others!UPDATE</vt:lpstr>
      <vt:lpstr>Overview!UPDATE</vt:lpstr>
      <vt:lpstr>'PE Forecast'!UPDATE</vt:lpstr>
      <vt:lpstr>Trend!UPDATE</vt:lpstr>
      <vt:lpstr>UPDATE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PM</cp:lastModifiedBy>
  <cp:lastPrinted>2012-12-06T18:14:13Z</cp:lastPrinted>
  <dcterms:created xsi:type="dcterms:W3CDTF">2012-08-17T09:55:37Z</dcterms:created>
  <dcterms:modified xsi:type="dcterms:W3CDTF">2018-05-22T03:48:59Z</dcterms:modified>
</cp:coreProperties>
</file>