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obo.DILIGENCE\Desktop\"/>
    </mc:Choice>
  </mc:AlternateContent>
  <bookViews>
    <workbookView xWindow="0" yWindow="0" windowWidth="23385" windowHeight="8910" tabRatio="916" firstSheet="1" activeTab="3"/>
  </bookViews>
  <sheets>
    <sheet name="Phil Fisher" sheetId="25" state="hidden" r:id="rId1"/>
    <sheet name="Revenue" sheetId="36" r:id="rId2"/>
    <sheet name="DMS" sheetId="37" r:id="rId3"/>
    <sheet name="Screener Output" sheetId="20" r:id="rId4"/>
    <sheet name="Data Sheet" sheetId="35"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4">'Data Sheet'!$E$1</definedName>
    <definedName name="UPDATE">#REF!</definedName>
  </definedNames>
  <calcPr calcId="152511"/>
</workbook>
</file>

<file path=xl/calcChain.xml><?xml version="1.0" encoding="utf-8"?>
<calcChain xmlns="http://schemas.openxmlformats.org/spreadsheetml/2006/main">
  <c r="D66" i="20" l="1"/>
  <c r="E66" i="20"/>
  <c r="F66" i="20"/>
  <c r="G66" i="20"/>
  <c r="H66" i="20"/>
  <c r="I66" i="20"/>
  <c r="J66" i="20"/>
  <c r="K66" i="20"/>
  <c r="L66" i="20"/>
  <c r="C66" i="20"/>
  <c r="B92" i="20"/>
  <c r="B33" i="20"/>
  <c r="B56" i="20"/>
  <c r="B52" i="20"/>
  <c r="B48" i="20"/>
  <c r="B93" i="20"/>
  <c r="B40" i="20"/>
  <c r="B55" i="20"/>
  <c r="B43" i="20"/>
  <c r="B59" i="20"/>
  <c r="B36" i="20"/>
  <c r="B38" i="20"/>
  <c r="B37" i="20"/>
  <c r="B44" i="20"/>
  <c r="B41" i="20"/>
  <c r="B54" i="20"/>
  <c r="B57" i="20"/>
  <c r="B42" i="20"/>
  <c r="B35" i="20"/>
  <c r="B94" i="20"/>
  <c r="B39" i="20"/>
  <c r="B46" i="20"/>
  <c r="B21" i="20"/>
  <c r="B62" i="20"/>
  <c r="B45" i="20"/>
  <c r="B47" i="20"/>
  <c r="B3" i="20"/>
  <c r="B50" i="20"/>
  <c r="B49" i="20"/>
  <c r="C3" i="20" l="1"/>
  <c r="C52" i="20"/>
  <c r="C33" i="20"/>
  <c r="E56" i="20"/>
  <c r="F42" i="20"/>
  <c r="D41" i="20"/>
  <c r="D42" i="20"/>
  <c r="K48" i="20"/>
  <c r="K47" i="20"/>
  <c r="C47" i="20"/>
  <c r="E92" i="20"/>
  <c r="G40" i="20"/>
  <c r="J57" i="20"/>
  <c r="J50" i="20"/>
  <c r="G47" i="20"/>
  <c r="L92" i="20"/>
  <c r="I44" i="20"/>
  <c r="L57" i="20"/>
  <c r="L36" i="20"/>
  <c r="F39" i="20"/>
  <c r="F59" i="20"/>
  <c r="B53" i="20"/>
  <c r="K40" i="20"/>
  <c r="F36" i="20"/>
  <c r="F92" i="20"/>
  <c r="G43" i="20"/>
  <c r="G44" i="20"/>
  <c r="H44" i="20"/>
  <c r="C44" i="20"/>
  <c r="C37" i="20"/>
  <c r="G59" i="20"/>
  <c r="K46" i="20"/>
  <c r="D37" i="20"/>
  <c r="I92" i="20"/>
  <c r="H48" i="20"/>
  <c r="F35" i="20"/>
  <c r="E47" i="20"/>
  <c r="F57" i="20"/>
  <c r="K93" i="20"/>
  <c r="D47" i="20"/>
  <c r="C92" i="20"/>
  <c r="F56" i="20"/>
  <c r="F37" i="20"/>
  <c r="F47" i="20"/>
  <c r="I47" i="20"/>
  <c r="C40" i="20"/>
  <c r="J55" i="20"/>
  <c r="I93" i="20"/>
  <c r="G41" i="20"/>
  <c r="D59" i="20"/>
  <c r="H35" i="20"/>
  <c r="C43" i="20"/>
  <c r="D57" i="20"/>
  <c r="C49" i="20"/>
  <c r="G39" i="20"/>
  <c r="J46" i="20"/>
  <c r="E41" i="20"/>
  <c r="G56" i="20"/>
  <c r="H93" i="20"/>
  <c r="K41" i="20"/>
  <c r="H92" i="20"/>
  <c r="G37" i="20"/>
  <c r="C55" i="20"/>
  <c r="L49" i="20"/>
  <c r="K55" i="20"/>
  <c r="D93" i="20"/>
  <c r="G38" i="20"/>
  <c r="D92" i="20"/>
  <c r="G48" i="20"/>
  <c r="F48" i="20"/>
  <c r="J42" i="20"/>
  <c r="L37" i="20"/>
  <c r="G55" i="20"/>
  <c r="L59" i="20"/>
  <c r="H38" i="20"/>
  <c r="L38" i="20"/>
  <c r="J92" i="20"/>
  <c r="F44" i="20"/>
  <c r="G50" i="20"/>
  <c r="H45" i="20"/>
  <c r="L45" i="20"/>
  <c r="J93" i="20"/>
  <c r="A1" i="20"/>
  <c r="G36" i="20"/>
  <c r="J40" i="20"/>
  <c r="E42" i="20"/>
  <c r="I46" i="20"/>
  <c r="I56" i="20"/>
  <c r="L93" i="20"/>
  <c r="E93" i="20"/>
  <c r="J59" i="20"/>
  <c r="C38" i="20"/>
  <c r="L55" i="20"/>
  <c r="H49" i="20"/>
  <c r="K37" i="20"/>
  <c r="I40" i="20"/>
  <c r="J47" i="20"/>
  <c r="L44" i="20"/>
  <c r="D56" i="20"/>
  <c r="E40" i="20"/>
  <c r="C56" i="20"/>
  <c r="I37" i="20"/>
  <c r="G92" i="20"/>
  <c r="K59" i="20"/>
  <c r="F43" i="20"/>
  <c r="F49" i="20"/>
  <c r="J56" i="20"/>
  <c r="F93" i="20"/>
  <c r="J37" i="20"/>
  <c r="G42" i="20"/>
  <c r="G35" i="20"/>
  <c r="F50" i="20"/>
  <c r="D49" i="20"/>
  <c r="J39" i="20"/>
  <c r="G45" i="20"/>
  <c r="J41" i="20"/>
  <c r="F38" i="20"/>
  <c r="D35" i="20"/>
  <c r="K35" i="20"/>
  <c r="H39" i="20"/>
  <c r="E49" i="20"/>
  <c r="E44" i="20"/>
  <c r="H47" i="20"/>
  <c r="B5" i="20"/>
  <c r="I36" i="20"/>
  <c r="J38" i="20"/>
  <c r="H57" i="20"/>
  <c r="K57" i="20"/>
  <c r="D38" i="20"/>
  <c r="E59" i="20"/>
  <c r="H50" i="20"/>
  <c r="E45" i="20"/>
  <c r="I49" i="20"/>
  <c r="E54" i="20"/>
  <c r="J44" i="20"/>
  <c r="K42" i="20"/>
  <c r="K39" i="20"/>
  <c r="E39" i="20"/>
  <c r="C50" i="20"/>
  <c r="E46" i="20"/>
  <c r="H43" i="20"/>
  <c r="K50" i="20"/>
  <c r="I48" i="20"/>
  <c r="C36" i="20"/>
  <c r="K38" i="20"/>
  <c r="K92" i="20"/>
  <c r="D54" i="20"/>
  <c r="G93" i="20"/>
  <c r="L54" i="20"/>
  <c r="J35" i="20"/>
  <c r="E55" i="20"/>
  <c r="D46" i="20"/>
  <c r="I42" i="20"/>
  <c r="D43" i="20"/>
  <c r="H56" i="20"/>
  <c r="I54" i="20"/>
  <c r="L43" i="20"/>
  <c r="L42" i="20"/>
  <c r="E48" i="20"/>
  <c r="E36" i="20"/>
  <c r="C46" i="20"/>
  <c r="L48" i="20"/>
  <c r="H36" i="20"/>
  <c r="E37" i="20"/>
  <c r="H54" i="20"/>
  <c r="K49" i="20"/>
  <c r="D45" i="20"/>
  <c r="C42" i="20"/>
  <c r="B34" i="20"/>
  <c r="L50" i="20"/>
  <c r="C39" i="20"/>
  <c r="I39" i="20"/>
  <c r="L56" i="20"/>
  <c r="J45" i="20"/>
  <c r="C35" i="20"/>
  <c r="I43" i="20"/>
  <c r="C45" i="20"/>
  <c r="L41" i="20"/>
  <c r="E38" i="20"/>
  <c r="C48" i="20"/>
  <c r="I41" i="20"/>
  <c r="D39" i="20"/>
  <c r="F41" i="20"/>
  <c r="H46" i="20"/>
  <c r="C59" i="20"/>
  <c r="G46" i="20"/>
  <c r="D48" i="20"/>
  <c r="K43" i="20"/>
  <c r="H37" i="20"/>
  <c r="C54" i="20"/>
  <c r="F55" i="20"/>
  <c r="E50" i="20"/>
  <c r="K44" i="20"/>
  <c r="D50" i="20"/>
  <c r="M94" i="20"/>
  <c r="E35" i="20"/>
  <c r="I50" i="20"/>
  <c r="K56" i="20"/>
  <c r="F40" i="20"/>
  <c r="L39" i="20"/>
  <c r="H42" i="20"/>
  <c r="C93" i="20"/>
  <c r="I57" i="20"/>
  <c r="J49" i="20"/>
  <c r="L35" i="20"/>
  <c r="K45" i="20"/>
  <c r="G57" i="20"/>
  <c r="I55" i="20"/>
  <c r="I45" i="20"/>
  <c r="L46" i="20"/>
  <c r="F46" i="20"/>
  <c r="D55" i="20"/>
  <c r="D40" i="20"/>
  <c r="G49" i="20"/>
  <c r="F45" i="20"/>
  <c r="C57" i="20"/>
  <c r="H40" i="20"/>
  <c r="J36" i="20"/>
  <c r="J43" i="20"/>
  <c r="C41" i="20"/>
  <c r="H55" i="20"/>
  <c r="K36" i="20"/>
  <c r="I59" i="20"/>
  <c r="K54" i="20"/>
  <c r="I38" i="20"/>
  <c r="H41" i="20"/>
  <c r="I35" i="20"/>
  <c r="J48" i="20"/>
  <c r="F54" i="20"/>
  <c r="G54" i="20"/>
  <c r="E57" i="20"/>
  <c r="D44" i="20"/>
  <c r="J54" i="20"/>
  <c r="L40" i="20"/>
  <c r="D36" i="20"/>
  <c r="E43" i="20"/>
  <c r="L47" i="20"/>
  <c r="H59" i="20"/>
  <c r="G95" i="20" l="1"/>
  <c r="F35" i="37" s="1"/>
  <c r="K95" i="20"/>
  <c r="J35" i="37" s="1"/>
  <c r="F95" i="20"/>
  <c r="E35" i="37" s="1"/>
  <c r="L95" i="20"/>
  <c r="K35" i="37" s="1"/>
  <c r="D95" i="20"/>
  <c r="C35" i="37" s="1"/>
  <c r="C95" i="20"/>
  <c r="B35" i="37" s="1"/>
  <c r="E95" i="20"/>
  <c r="D35" i="37" s="1"/>
  <c r="H95" i="20"/>
  <c r="G35" i="37" s="1"/>
  <c r="I95" i="20"/>
  <c r="H35" i="37" s="1"/>
  <c r="J95" i="20"/>
  <c r="I35" i="37" s="1"/>
  <c r="D36" i="37"/>
  <c r="E36" i="37"/>
  <c r="K36" i="37"/>
  <c r="J36" i="37"/>
  <c r="F36" i="37"/>
  <c r="C36" i="37"/>
  <c r="G36" i="37"/>
  <c r="H36" i="37"/>
  <c r="I36" i="37"/>
  <c r="B36" i="37"/>
  <c r="H31" i="37"/>
  <c r="I31" i="37"/>
  <c r="E31" i="37"/>
  <c r="J31" i="37"/>
  <c r="G31" i="37"/>
  <c r="K31" i="37"/>
  <c r="D31" i="37"/>
  <c r="C31" i="37"/>
  <c r="F31" i="37"/>
  <c r="B31" i="37"/>
  <c r="H39" i="37"/>
  <c r="D38" i="37"/>
  <c r="I39" i="37"/>
  <c r="E39" i="37"/>
  <c r="C38" i="37"/>
  <c r="J39" i="37"/>
  <c r="E38" i="37"/>
  <c r="G39" i="37"/>
  <c r="I38" i="37"/>
  <c r="F38" i="37"/>
  <c r="K39" i="37"/>
  <c r="G38" i="37"/>
  <c r="H38" i="37"/>
  <c r="K38" i="37"/>
  <c r="D39" i="37"/>
  <c r="J38" i="37"/>
  <c r="C39" i="37"/>
  <c r="F39" i="37"/>
  <c r="B39" i="37"/>
  <c r="B38" i="37"/>
  <c r="B50" i="37"/>
  <c r="E48" i="37"/>
  <c r="F46" i="37"/>
  <c r="E45" i="37"/>
  <c r="F47" i="37"/>
  <c r="H45" i="37"/>
  <c r="K46" i="37"/>
  <c r="F48" i="37"/>
  <c r="D45" i="37"/>
  <c r="J46" i="37"/>
  <c r="J48" i="37"/>
  <c r="G48" i="37"/>
  <c r="H47" i="37"/>
  <c r="I46" i="37"/>
  <c r="C45" i="37"/>
  <c r="G46" i="37"/>
  <c r="E47" i="37"/>
  <c r="I48" i="37"/>
  <c r="I47" i="37"/>
  <c r="F45" i="37"/>
  <c r="K45" i="37"/>
  <c r="C48" i="37"/>
  <c r="D47" i="37"/>
  <c r="H46" i="37"/>
  <c r="K48" i="37"/>
  <c r="J45" i="37"/>
  <c r="D48" i="37"/>
  <c r="C46" i="37"/>
  <c r="I45" i="37"/>
  <c r="G47" i="37"/>
  <c r="E46" i="37"/>
  <c r="G45" i="37"/>
  <c r="H48" i="37"/>
  <c r="K47" i="37"/>
  <c r="C47" i="37"/>
  <c r="J47" i="37"/>
  <c r="D46" i="37"/>
  <c r="B48" i="37"/>
  <c r="B46" i="37"/>
  <c r="B47" i="37"/>
  <c r="B45" i="37"/>
  <c r="H30" i="37"/>
  <c r="C29" i="37"/>
  <c r="E29" i="37"/>
  <c r="C30" i="37"/>
  <c r="H29" i="37"/>
  <c r="D29" i="37"/>
  <c r="J30" i="37"/>
  <c r="F29" i="37"/>
  <c r="D30" i="37"/>
  <c r="K29" i="37"/>
  <c r="G29" i="37"/>
  <c r="K30" i="37"/>
  <c r="G30" i="37"/>
  <c r="J29" i="37"/>
  <c r="F30" i="37"/>
  <c r="E30" i="37"/>
  <c r="I30" i="37"/>
  <c r="I29" i="37"/>
  <c r="B30" i="37"/>
  <c r="B29" i="37"/>
  <c r="K104" i="20"/>
  <c r="L104" i="20"/>
  <c r="H104" i="20"/>
  <c r="J104" i="20"/>
  <c r="G104" i="20"/>
  <c r="F104" i="20"/>
  <c r="I104" i="20"/>
  <c r="E104" i="20"/>
  <c r="L96" i="20"/>
  <c r="L97" i="20"/>
  <c r="K97" i="20"/>
  <c r="K99" i="20" s="1"/>
  <c r="K96" i="20"/>
  <c r="K100" i="20" s="1"/>
  <c r="J96" i="20"/>
  <c r="J100" i="20" s="1"/>
  <c r="J97" i="20"/>
  <c r="I96" i="20"/>
  <c r="I100" i="20" s="1"/>
  <c r="I97" i="20"/>
  <c r="H97" i="20"/>
  <c r="H99" i="20" s="1"/>
  <c r="H96" i="20"/>
  <c r="H100" i="20" s="1"/>
  <c r="G97" i="20"/>
  <c r="G96" i="20"/>
  <c r="G100" i="20" s="1"/>
  <c r="F96" i="20"/>
  <c r="F100" i="20" s="1"/>
  <c r="F97" i="20"/>
  <c r="E97" i="20"/>
  <c r="E96" i="20"/>
  <c r="E100" i="20" s="1"/>
  <c r="D97" i="20"/>
  <c r="D96" i="20"/>
  <c r="D100" i="20" s="1"/>
  <c r="C97" i="20"/>
  <c r="C99" i="20" s="1"/>
  <c r="C96" i="20"/>
  <c r="C100" i="20" s="1"/>
  <c r="L85" i="20"/>
  <c r="K85" i="20"/>
  <c r="F85" i="20"/>
  <c r="G85" i="20"/>
  <c r="J85" i="20"/>
  <c r="H85" i="20"/>
  <c r="I85" i="20"/>
  <c r="E85" i="20"/>
  <c r="D85" i="20"/>
  <c r="E84" i="20"/>
  <c r="K84" i="20"/>
  <c r="G84" i="20"/>
  <c r="F84" i="20"/>
  <c r="J84" i="20"/>
  <c r="H84" i="20"/>
  <c r="L84" i="20"/>
  <c r="I84" i="20"/>
  <c r="D84" i="20"/>
  <c r="K17" i="37"/>
  <c r="C17" i="37"/>
  <c r="E17" i="37"/>
  <c r="D17" i="37"/>
  <c r="H17" i="37"/>
  <c r="J17" i="37"/>
  <c r="F17" i="37"/>
  <c r="G17" i="37"/>
  <c r="I17" i="37"/>
  <c r="B17" i="37"/>
  <c r="I16" i="37"/>
  <c r="G16" i="37"/>
  <c r="F16" i="37"/>
  <c r="E16" i="37"/>
  <c r="H16" i="37"/>
  <c r="K16" i="37"/>
  <c r="D16" i="37"/>
  <c r="J16" i="37"/>
  <c r="C16" i="37"/>
  <c r="B16" i="37"/>
  <c r="E74" i="20"/>
  <c r="K74" i="20"/>
  <c r="G74" i="20"/>
  <c r="F74" i="20"/>
  <c r="J74" i="20"/>
  <c r="H74" i="20"/>
  <c r="L74" i="20"/>
  <c r="I74" i="20"/>
  <c r="D74" i="20"/>
  <c r="C14" i="37"/>
  <c r="H14" i="37"/>
  <c r="F14" i="37"/>
  <c r="I14" i="37"/>
  <c r="D14" i="37"/>
  <c r="G14" i="37"/>
  <c r="K14" i="37"/>
  <c r="E14" i="37"/>
  <c r="J14" i="37"/>
  <c r="B14" i="37"/>
  <c r="D1" i="37"/>
  <c r="C21" i="20"/>
  <c r="B19" i="20"/>
  <c r="L5" i="20"/>
  <c r="C34" i="20"/>
  <c r="B16" i="20"/>
  <c r="F34" i="20"/>
  <c r="B10" i="20"/>
  <c r="B7" i="20"/>
  <c r="B14" i="20"/>
  <c r="C5" i="20"/>
  <c r="B12" i="20"/>
  <c r="H5" i="20"/>
  <c r="J5" i="20"/>
  <c r="J34" i="20"/>
  <c r="G34" i="20"/>
  <c r="B8" i="20"/>
  <c r="B11" i="20"/>
  <c r="B9" i="20"/>
  <c r="B22" i="20"/>
  <c r="D5" i="20"/>
  <c r="B13" i="20"/>
  <c r="B18" i="20"/>
  <c r="F5" i="20"/>
  <c r="D34" i="20"/>
  <c r="B6" i="20"/>
  <c r="G5" i="20"/>
  <c r="H34" i="20"/>
  <c r="B15" i="20"/>
  <c r="E34" i="20"/>
  <c r="K5" i="20"/>
  <c r="B4" i="20"/>
  <c r="E5" i="20"/>
  <c r="I34" i="20"/>
  <c r="L34" i="20"/>
  <c r="K34" i="20"/>
  <c r="B17" i="20"/>
  <c r="I5" i="20"/>
  <c r="L83" i="20" l="1"/>
  <c r="K83" i="20"/>
  <c r="J83" i="20"/>
  <c r="I83" i="20"/>
  <c r="H83" i="20"/>
  <c r="G83" i="20"/>
  <c r="F83" i="20"/>
  <c r="E99" i="20"/>
  <c r="D99" i="20"/>
  <c r="F99" i="20"/>
  <c r="G99" i="20"/>
  <c r="J99" i="20"/>
  <c r="I99" i="20"/>
  <c r="H40" i="37"/>
  <c r="F40" i="37"/>
  <c r="B40" i="37"/>
  <c r="J40" i="37"/>
  <c r="C40" i="37"/>
  <c r="K40" i="37"/>
  <c r="D40" i="37"/>
  <c r="G40" i="37"/>
  <c r="I40" i="37"/>
  <c r="E40" i="37"/>
  <c r="L99" i="20"/>
  <c r="M97" i="20"/>
  <c r="L100" i="20"/>
  <c r="M96" i="20"/>
  <c r="M100" i="20" s="1"/>
  <c r="J26" i="37"/>
  <c r="I26" i="37"/>
  <c r="F26" i="37"/>
  <c r="K26" i="37"/>
  <c r="H26" i="37"/>
  <c r="G26" i="37"/>
  <c r="C26" i="37"/>
  <c r="E26" i="37"/>
  <c r="D26" i="37"/>
  <c r="B26" i="37"/>
  <c r="B3" i="37"/>
  <c r="B27" i="37" s="1"/>
  <c r="F3" i="37"/>
  <c r="F27" i="37" s="1"/>
  <c r="J3" i="37"/>
  <c r="J27" i="37" s="1"/>
  <c r="K3" i="37"/>
  <c r="K27" i="37" s="1"/>
  <c r="E3" i="37"/>
  <c r="E27" i="37" s="1"/>
  <c r="H3" i="37"/>
  <c r="H27" i="37" s="1"/>
  <c r="D3" i="37"/>
  <c r="D27" i="37" s="1"/>
  <c r="G3" i="37"/>
  <c r="G27" i="37" s="1"/>
  <c r="C3" i="37"/>
  <c r="C27" i="37" s="1"/>
  <c r="I3" i="37"/>
  <c r="I27" i="37" s="1"/>
  <c r="E1" i="35"/>
  <c r="B6" i="35"/>
  <c r="B93" i="35"/>
  <c r="C93" i="35"/>
  <c r="D93" i="35"/>
  <c r="E93" i="35"/>
  <c r="F93" i="35"/>
  <c r="G93" i="35"/>
  <c r="H93" i="35"/>
  <c r="I93" i="35"/>
  <c r="J93" i="35"/>
  <c r="K93" i="35"/>
  <c r="E10" i="20"/>
  <c r="L10" i="20"/>
  <c r="J11" i="20"/>
  <c r="J13" i="20"/>
  <c r="D12" i="20"/>
  <c r="B29" i="20"/>
  <c r="C8" i="20"/>
  <c r="H4" i="20"/>
  <c r="I22" i="20"/>
  <c r="E4" i="20"/>
  <c r="B24" i="20"/>
  <c r="E15" i="20"/>
  <c r="B23" i="20"/>
  <c r="F6" i="20"/>
  <c r="L17" i="20"/>
  <c r="L15" i="20"/>
  <c r="F7" i="20"/>
  <c r="F18" i="20"/>
  <c r="E16" i="20"/>
  <c r="F22" i="20"/>
  <c r="K9" i="20"/>
  <c r="G7" i="20"/>
  <c r="I18" i="20"/>
  <c r="L6" i="20"/>
  <c r="E13" i="20"/>
  <c r="B25" i="20"/>
  <c r="J15" i="20"/>
  <c r="C19" i="20"/>
  <c r="F16" i="20"/>
  <c r="D62" i="20"/>
  <c r="I16" i="20"/>
  <c r="H17" i="20"/>
  <c r="J4" i="20"/>
  <c r="J10" i="20"/>
  <c r="D8" i="20"/>
  <c r="J16" i="20"/>
  <c r="E62" i="20"/>
  <c r="F4" i="20"/>
  <c r="J19" i="20"/>
  <c r="G13" i="20"/>
  <c r="C12" i="20"/>
  <c r="J17" i="20"/>
  <c r="B31" i="20"/>
  <c r="L19" i="20"/>
  <c r="C4" i="20"/>
  <c r="C17" i="20"/>
  <c r="G9" i="20"/>
  <c r="H14" i="20"/>
  <c r="H6" i="20"/>
  <c r="F11" i="20"/>
  <c r="E19" i="20"/>
  <c r="D18" i="20"/>
  <c r="I19" i="20"/>
  <c r="D10" i="20"/>
  <c r="G12" i="20"/>
  <c r="L18" i="20"/>
  <c r="H22" i="20"/>
  <c r="C22" i="20"/>
  <c r="C13" i="20"/>
  <c r="G16" i="20"/>
  <c r="F17" i="20"/>
  <c r="K13" i="20"/>
  <c r="F14" i="20"/>
  <c r="E7" i="20"/>
  <c r="K17" i="20"/>
  <c r="E18" i="20"/>
  <c r="K14" i="20"/>
  <c r="H16" i="20"/>
  <c r="C6" i="20"/>
  <c r="K62" i="20"/>
  <c r="E17" i="20"/>
  <c r="K7" i="20"/>
  <c r="J62" i="20"/>
  <c r="B30" i="20"/>
  <c r="G14" i="20"/>
  <c r="H10" i="20"/>
  <c r="L11" i="20"/>
  <c r="L16" i="20"/>
  <c r="F15" i="20"/>
  <c r="F62" i="20"/>
  <c r="K15" i="20"/>
  <c r="H13" i="20"/>
  <c r="J9" i="20"/>
  <c r="K8" i="20"/>
  <c r="I15" i="20"/>
  <c r="F10" i="20"/>
  <c r="D19" i="20"/>
  <c r="B26" i="20"/>
  <c r="J12" i="20"/>
  <c r="I12" i="20"/>
  <c r="G10" i="20"/>
  <c r="M92" i="20"/>
  <c r="E14" i="20"/>
  <c r="H19" i="20"/>
  <c r="B28" i="20"/>
  <c r="I6" i="20"/>
  <c r="L62" i="20"/>
  <c r="F9" i="20"/>
  <c r="C15" i="20"/>
  <c r="H11" i="20"/>
  <c r="K18" i="20"/>
  <c r="D9" i="20"/>
  <c r="D15" i="20"/>
  <c r="D11" i="20"/>
  <c r="H9" i="20"/>
  <c r="K12" i="20"/>
  <c r="F8" i="20"/>
  <c r="D14" i="20"/>
  <c r="D7" i="20"/>
  <c r="I8" i="20"/>
  <c r="J18" i="20"/>
  <c r="J14" i="20"/>
  <c r="J8" i="20"/>
  <c r="K11" i="20"/>
  <c r="F12" i="20"/>
  <c r="L4" i="20"/>
  <c r="E6" i="20"/>
  <c r="H7" i="20"/>
  <c r="L12" i="20"/>
  <c r="C10" i="20"/>
  <c r="G11" i="20"/>
  <c r="C18" i="20"/>
  <c r="K4" i="20"/>
  <c r="C16" i="20"/>
  <c r="H18" i="20"/>
  <c r="G19" i="20"/>
  <c r="D4" i="20"/>
  <c r="D16" i="20"/>
  <c r="L9" i="20"/>
  <c r="I4" i="20"/>
  <c r="G22" i="20"/>
  <c r="H8" i="20"/>
  <c r="I14" i="20"/>
  <c r="E22" i="20"/>
  <c r="I10" i="20"/>
  <c r="G6" i="20"/>
  <c r="G4" i="20"/>
  <c r="D13" i="20"/>
  <c r="I11" i="20"/>
  <c r="G15" i="20"/>
  <c r="E11" i="20"/>
  <c r="L22" i="20"/>
  <c r="I9" i="20"/>
  <c r="C62" i="20"/>
  <c r="D6" i="20"/>
  <c r="K10" i="20"/>
  <c r="C11" i="20"/>
  <c r="K19" i="20"/>
  <c r="F13" i="20"/>
  <c r="G18" i="20"/>
  <c r="H12" i="20"/>
  <c r="J22" i="20"/>
  <c r="I13" i="20"/>
  <c r="J7" i="20"/>
  <c r="D22" i="20"/>
  <c r="L7" i="20"/>
  <c r="I62" i="20"/>
  <c r="G8" i="20"/>
  <c r="K6" i="20"/>
  <c r="C14" i="20"/>
  <c r="L14" i="20"/>
  <c r="I7" i="20"/>
  <c r="E12" i="20"/>
  <c r="J6" i="20"/>
  <c r="E8" i="20"/>
  <c r="G62" i="20"/>
  <c r="K22" i="20"/>
  <c r="G17" i="20"/>
  <c r="D17" i="20"/>
  <c r="H62" i="20"/>
  <c r="C7" i="20"/>
  <c r="H15" i="20"/>
  <c r="B27" i="20"/>
  <c r="C9" i="20"/>
  <c r="E9" i="20"/>
  <c r="F19" i="20"/>
  <c r="K16" i="20"/>
  <c r="I17" i="20"/>
  <c r="L13" i="20"/>
  <c r="L8" i="20"/>
  <c r="L80" i="20" l="1"/>
  <c r="K80" i="20"/>
  <c r="J80" i="20"/>
  <c r="I80" i="20"/>
  <c r="H80" i="20"/>
  <c r="G80" i="20"/>
  <c r="F80" i="20"/>
  <c r="L82" i="20"/>
  <c r="K82" i="20"/>
  <c r="J82" i="20"/>
  <c r="I82" i="20"/>
  <c r="H82" i="20"/>
  <c r="G82" i="20"/>
  <c r="F82" i="20"/>
  <c r="L81" i="20"/>
  <c r="K81" i="20"/>
  <c r="J81" i="20"/>
  <c r="I81" i="20"/>
  <c r="H81" i="20"/>
  <c r="G81" i="20"/>
  <c r="F81" i="20"/>
  <c r="M95" i="20"/>
  <c r="M99" i="20" s="1"/>
  <c r="B13" i="37"/>
  <c r="C13" i="37"/>
  <c r="K13" i="37"/>
  <c r="J13" i="37"/>
  <c r="I13" i="37"/>
  <c r="H13" i="37"/>
  <c r="G13" i="37"/>
  <c r="F13" i="37"/>
  <c r="E13" i="37"/>
  <c r="D13" i="37"/>
  <c r="C12" i="37"/>
  <c r="E12" i="37"/>
  <c r="I12" i="37"/>
  <c r="H12" i="37"/>
  <c r="J12" i="37"/>
  <c r="G12" i="37"/>
  <c r="F12" i="37"/>
  <c r="K12" i="37"/>
  <c r="D12" i="37"/>
  <c r="B12" i="37"/>
  <c r="F28" i="37"/>
  <c r="H28" i="37"/>
  <c r="E28" i="37"/>
  <c r="D28" i="37"/>
  <c r="J28" i="37"/>
  <c r="K28" i="37"/>
  <c r="I28" i="37"/>
  <c r="G28" i="37"/>
  <c r="C28" i="37"/>
  <c r="B28" i="37"/>
  <c r="G34" i="37"/>
  <c r="C34" i="37"/>
  <c r="D34" i="37"/>
  <c r="J34" i="37"/>
  <c r="K34" i="37"/>
  <c r="I34" i="37"/>
  <c r="F34" i="37"/>
  <c r="E34" i="37"/>
  <c r="H34" i="37"/>
  <c r="B34" i="37"/>
  <c r="K32" i="37"/>
  <c r="E32" i="37"/>
  <c r="D32" i="37"/>
  <c r="F32" i="37"/>
  <c r="C32" i="37"/>
  <c r="H32" i="37"/>
  <c r="G32" i="37"/>
  <c r="J32" i="37"/>
  <c r="I32" i="37"/>
  <c r="B32" i="37"/>
  <c r="F42" i="37"/>
  <c r="H42" i="37"/>
  <c r="E42" i="37"/>
  <c r="C42" i="37"/>
  <c r="K42" i="37"/>
  <c r="J42" i="37"/>
  <c r="G42" i="37"/>
  <c r="I42" i="37"/>
  <c r="D42" i="37"/>
  <c r="B42" i="37"/>
  <c r="J103" i="20"/>
  <c r="J105" i="20" s="1"/>
  <c r="I23" i="37" s="1"/>
  <c r="F103" i="20"/>
  <c r="F105" i="20" s="1"/>
  <c r="E23" i="37" s="1"/>
  <c r="G103" i="20"/>
  <c r="G105" i="20" s="1"/>
  <c r="F23" i="37" s="1"/>
  <c r="L103" i="20"/>
  <c r="L105" i="20" s="1"/>
  <c r="K23" i="37" s="1"/>
  <c r="I103" i="20"/>
  <c r="I105" i="20" s="1"/>
  <c r="H23" i="37" s="1"/>
  <c r="H103" i="20"/>
  <c r="H105" i="20" s="1"/>
  <c r="G23" i="37" s="1"/>
  <c r="K103" i="20"/>
  <c r="K105" i="20" s="1"/>
  <c r="J23" i="37" s="1"/>
  <c r="E103" i="20"/>
  <c r="E105" i="20" s="1"/>
  <c r="D23" i="37" s="1"/>
  <c r="L98" i="20"/>
  <c r="K98" i="20"/>
  <c r="J98" i="20"/>
  <c r="I98" i="20"/>
  <c r="H98" i="20"/>
  <c r="G98" i="20"/>
  <c r="F98" i="20"/>
  <c r="E98" i="20"/>
  <c r="D98" i="20"/>
  <c r="C98" i="20"/>
  <c r="J22" i="37"/>
  <c r="I22" i="37"/>
  <c r="K22" i="37"/>
  <c r="C22" i="37"/>
  <c r="H22" i="37"/>
  <c r="G22" i="37"/>
  <c r="D22" i="37"/>
  <c r="F22" i="37"/>
  <c r="E22" i="37"/>
  <c r="B22" i="37"/>
  <c r="J21" i="37"/>
  <c r="I21" i="37"/>
  <c r="K21" i="37"/>
  <c r="C21" i="37"/>
  <c r="H21" i="37"/>
  <c r="G21" i="37"/>
  <c r="D21" i="37"/>
  <c r="F21" i="37"/>
  <c r="E21" i="37"/>
  <c r="B21" i="37"/>
  <c r="D20" i="37"/>
  <c r="E20" i="37"/>
  <c r="F20" i="37"/>
  <c r="J20" i="37"/>
  <c r="H20" i="37"/>
  <c r="K20" i="37"/>
  <c r="I20" i="37"/>
  <c r="G20" i="37"/>
  <c r="C20" i="37"/>
  <c r="L73" i="20"/>
  <c r="L75" i="20" s="1"/>
  <c r="K15" i="37" s="1"/>
  <c r="H73" i="20"/>
  <c r="H75" i="20" s="1"/>
  <c r="G15" i="37" s="1"/>
  <c r="E73" i="20"/>
  <c r="E75" i="20" s="1"/>
  <c r="D15" i="37" s="1"/>
  <c r="G73" i="20"/>
  <c r="G75" i="20" s="1"/>
  <c r="F15" i="37" s="1"/>
  <c r="I73" i="20"/>
  <c r="I75" i="20" s="1"/>
  <c r="H15" i="37" s="1"/>
  <c r="J73" i="20"/>
  <c r="J75" i="20" s="1"/>
  <c r="I15" i="37" s="1"/>
  <c r="F73" i="20"/>
  <c r="F75" i="20" s="1"/>
  <c r="E15" i="37" s="1"/>
  <c r="K73" i="20"/>
  <c r="K75" i="20" s="1"/>
  <c r="J15" i="37" s="1"/>
  <c r="D73" i="20"/>
  <c r="D75" i="20" s="1"/>
  <c r="C15" i="37" s="1"/>
  <c r="D8" i="37"/>
  <c r="D9" i="37" s="1"/>
  <c r="I10" i="37"/>
  <c r="I24" i="37" s="1"/>
  <c r="F7" i="37"/>
  <c r="J10" i="37"/>
  <c r="J24" i="37" s="1"/>
  <c r="E8" i="37"/>
  <c r="E9" i="37" s="1"/>
  <c r="J7" i="37"/>
  <c r="K7" i="37"/>
  <c r="C8" i="37"/>
  <c r="C9" i="37" s="1"/>
  <c r="C6" i="37"/>
  <c r="F8" i="37"/>
  <c r="F9" i="37" s="1"/>
  <c r="J8" i="37"/>
  <c r="J9" i="37" s="1"/>
  <c r="H8" i="37"/>
  <c r="H9" i="37" s="1"/>
  <c r="G6" i="37"/>
  <c r="H7" i="37"/>
  <c r="F6" i="37"/>
  <c r="C10" i="37"/>
  <c r="C24" i="37" s="1"/>
  <c r="F10" i="37"/>
  <c r="F24" i="37" s="1"/>
  <c r="I7" i="37"/>
  <c r="C7" i="37"/>
  <c r="D6" i="37"/>
  <c r="H10" i="37"/>
  <c r="H24" i="37" s="1"/>
  <c r="E6" i="37"/>
  <c r="K10" i="37"/>
  <c r="K24" i="37" s="1"/>
  <c r="G10" i="37"/>
  <c r="G24" i="37" s="1"/>
  <c r="D7" i="37"/>
  <c r="E10" i="37"/>
  <c r="E24" i="37" s="1"/>
  <c r="H6" i="37"/>
  <c r="K8" i="37"/>
  <c r="K9" i="37" s="1"/>
  <c r="J6" i="37"/>
  <c r="E7" i="37"/>
  <c r="I8" i="37"/>
  <c r="I9" i="37" s="1"/>
  <c r="G7" i="37"/>
  <c r="I6" i="37"/>
  <c r="G8" i="37"/>
  <c r="G9" i="37" s="1"/>
  <c r="D10" i="37"/>
  <c r="D24" i="37" s="1"/>
  <c r="K6" i="37"/>
  <c r="B10" i="37"/>
  <c r="B24" i="37" s="1"/>
  <c r="B8" i="37"/>
  <c r="B9" i="37" s="1"/>
  <c r="B7" i="37"/>
  <c r="B6" i="37"/>
  <c r="D4" i="37"/>
  <c r="D5" i="37" s="1"/>
  <c r="E4" i="37"/>
  <c r="E5" i="37" s="1"/>
  <c r="C4" i="37"/>
  <c r="C5" i="37" s="1"/>
  <c r="F4" i="37"/>
  <c r="F5" i="37" s="1"/>
  <c r="J4" i="37"/>
  <c r="J5" i="37" s="1"/>
  <c r="H4" i="37"/>
  <c r="H5" i="37" s="1"/>
  <c r="K4" i="37"/>
  <c r="K5" i="37" s="1"/>
  <c r="I4" i="37"/>
  <c r="I5" i="37" s="1"/>
  <c r="G4" i="37"/>
  <c r="G5" i="37" s="1"/>
  <c r="B4" i="37"/>
  <c r="B5" i="37" s="1"/>
  <c r="G2" i="37"/>
  <c r="E2" i="37"/>
  <c r="H2" i="37"/>
  <c r="F2" i="37"/>
  <c r="I2" i="37"/>
  <c r="K2" i="37"/>
  <c r="J2" i="37"/>
  <c r="D2" i="37"/>
  <c r="C2" i="37"/>
  <c r="B2" i="37"/>
  <c r="D67" i="20"/>
  <c r="D69" i="20"/>
  <c r="G67" i="20"/>
  <c r="K69" i="20"/>
  <c r="J67" i="20"/>
  <c r="E67" i="20"/>
  <c r="K67" i="20"/>
  <c r="L69" i="20"/>
  <c r="I69" i="20"/>
  <c r="J69" i="20"/>
  <c r="F67" i="20"/>
  <c r="E69" i="20"/>
  <c r="L67" i="20"/>
  <c r="C67" i="20"/>
  <c r="H67" i="20"/>
  <c r="C69" i="20"/>
  <c r="H69" i="20"/>
  <c r="G69" i="20"/>
  <c r="F69" i="20"/>
  <c r="I67" i="20"/>
  <c r="D23" i="20"/>
  <c r="K28" i="20"/>
  <c r="E30" i="20"/>
  <c r="I26" i="20"/>
  <c r="K30" i="20"/>
  <c r="C26" i="20"/>
  <c r="F27" i="20"/>
  <c r="K29" i="20"/>
  <c r="H24" i="20"/>
  <c r="I23" i="20"/>
  <c r="C23" i="20"/>
  <c r="I24" i="20"/>
  <c r="H29" i="20"/>
  <c r="J28" i="20"/>
  <c r="D24" i="20"/>
  <c r="G23" i="20"/>
  <c r="G28" i="20"/>
  <c r="L26" i="20"/>
  <c r="K24" i="20"/>
  <c r="H30" i="20"/>
  <c r="D28" i="20"/>
  <c r="C27" i="20"/>
  <c r="G27" i="20"/>
  <c r="C29" i="20"/>
  <c r="I28" i="20"/>
  <c r="E29" i="20"/>
  <c r="C31" i="20"/>
  <c r="L23" i="20"/>
  <c r="C28" i="20"/>
  <c r="H26" i="20"/>
  <c r="D31" i="20"/>
  <c r="H28" i="20"/>
  <c r="G24" i="20"/>
  <c r="G26" i="20"/>
  <c r="E28" i="20"/>
  <c r="G25" i="20"/>
  <c r="L28" i="20"/>
  <c r="I25" i="20"/>
  <c r="D30" i="20"/>
  <c r="H27" i="20"/>
  <c r="D29" i="20"/>
  <c r="C25" i="20"/>
  <c r="C30" i="20"/>
  <c r="E23" i="20"/>
  <c r="I27" i="20"/>
  <c r="H31" i="20"/>
  <c r="F23" i="20"/>
  <c r="I30" i="20"/>
  <c r="L31" i="20"/>
  <c r="F25" i="20"/>
  <c r="F30" i="20"/>
  <c r="H25" i="20"/>
  <c r="L25" i="20"/>
  <c r="I29" i="20"/>
  <c r="J29" i="20"/>
  <c r="J23" i="20"/>
  <c r="J25" i="20"/>
  <c r="L27" i="20"/>
  <c r="K23" i="20"/>
  <c r="D27" i="20"/>
  <c r="E25" i="20"/>
  <c r="J27" i="20"/>
  <c r="E27" i="20"/>
  <c r="J30" i="20"/>
  <c r="J26" i="20"/>
  <c r="F24" i="20"/>
  <c r="F28" i="20"/>
  <c r="E26" i="20"/>
  <c r="F31" i="20"/>
  <c r="D26" i="20"/>
  <c r="K27" i="20"/>
  <c r="L30" i="20"/>
  <c r="I31" i="20"/>
  <c r="L29" i="20"/>
  <c r="J31" i="20"/>
  <c r="E24" i="20"/>
  <c r="K26" i="20"/>
  <c r="F29" i="20"/>
  <c r="K25" i="20"/>
  <c r="K31" i="20"/>
  <c r="J24" i="20"/>
  <c r="D25" i="20"/>
  <c r="F26" i="20"/>
  <c r="C24" i="20"/>
  <c r="G31" i="20"/>
  <c r="G30" i="20"/>
  <c r="E31" i="20"/>
  <c r="H23" i="20"/>
  <c r="G29" i="20"/>
  <c r="L24" i="20"/>
  <c r="L86" i="20" l="1"/>
  <c r="K86" i="20"/>
  <c r="J86" i="20"/>
  <c r="I86" i="20"/>
  <c r="H86" i="20"/>
  <c r="G86" i="20"/>
  <c r="F86" i="20"/>
  <c r="L79" i="20"/>
  <c r="K19" i="37" s="1"/>
  <c r="I79" i="20"/>
  <c r="H19" i="37" s="1"/>
  <c r="K79" i="20"/>
  <c r="J19" i="37" s="1"/>
  <c r="J79" i="20"/>
  <c r="I19" i="37" s="1"/>
  <c r="H79" i="20"/>
  <c r="G19" i="37" s="1"/>
  <c r="G79" i="20"/>
  <c r="F19" i="37" s="1"/>
  <c r="F79" i="20"/>
  <c r="E19" i="37" s="1"/>
  <c r="L35" i="37"/>
  <c r="B51" i="37"/>
  <c r="B52" i="37" s="1"/>
  <c r="J33" i="37"/>
  <c r="C33" i="37"/>
  <c r="F33" i="37"/>
  <c r="D33" i="37"/>
  <c r="G33" i="37"/>
  <c r="I33" i="37"/>
  <c r="H33" i="37"/>
  <c r="E33" i="37"/>
  <c r="K33" i="37"/>
  <c r="B33" i="37"/>
  <c r="J11" i="37"/>
  <c r="J43" i="37"/>
  <c r="E11" i="37"/>
  <c r="E43" i="37"/>
  <c r="I11" i="37"/>
  <c r="I43" i="37"/>
  <c r="G11" i="37"/>
  <c r="G43" i="37"/>
  <c r="D11" i="37"/>
  <c r="D43" i="37"/>
  <c r="K11" i="37"/>
  <c r="K43" i="37"/>
  <c r="H11" i="37"/>
  <c r="H43" i="37"/>
  <c r="C11" i="37"/>
  <c r="C43" i="37"/>
  <c r="F11" i="37"/>
  <c r="F43" i="37"/>
  <c r="B11" i="37"/>
  <c r="B43" i="37"/>
  <c r="M5" i="20"/>
  <c r="L3" i="37" s="1"/>
  <c r="M19" i="20"/>
  <c r="M18" i="20"/>
  <c r="M17" i="20"/>
  <c r="M12" i="20"/>
  <c r="M13" i="20"/>
  <c r="L6" i="37" s="1"/>
  <c r="M14" i="20"/>
  <c r="M15" i="20"/>
  <c r="L7" i="37" s="1"/>
  <c r="M16" i="20"/>
  <c r="K68" i="20"/>
  <c r="H68" i="20"/>
  <c r="J70" i="20"/>
  <c r="E68" i="20"/>
  <c r="F70" i="20"/>
  <c r="J68" i="20"/>
  <c r="D70" i="20"/>
  <c r="H70" i="20"/>
  <c r="K70" i="20"/>
  <c r="G68" i="20"/>
  <c r="L68" i="20"/>
  <c r="D68" i="20"/>
  <c r="F68" i="20"/>
  <c r="E70" i="20"/>
  <c r="I70" i="20"/>
  <c r="I68" i="20"/>
  <c r="L70" i="20"/>
  <c r="G70" i="20"/>
  <c r="M98" i="20" l="1"/>
  <c r="L34" i="37"/>
  <c r="L8" i="37"/>
  <c r="L9" i="37" s="1"/>
  <c r="L10" i="37"/>
  <c r="L11" i="37" s="1"/>
  <c r="L4" i="37"/>
  <c r="L5" i="37" s="1"/>
</calcChain>
</file>

<file path=xl/sharedStrings.xml><?xml version="1.0" encoding="utf-8"?>
<sst xmlns="http://schemas.openxmlformats.org/spreadsheetml/2006/main" count="308" uniqueCount="231">
  <si>
    <t>Face value</t>
  </si>
  <si>
    <t>Equity Share Capital</t>
  </si>
  <si>
    <t>Reserves</t>
  </si>
  <si>
    <t>Net Block</t>
  </si>
  <si>
    <t>Capital Work in Progress</t>
  </si>
  <si>
    <t>Investments</t>
  </si>
  <si>
    <t>Other Income</t>
  </si>
  <si>
    <t>Employee Cost</t>
  </si>
  <si>
    <t>Operating Profit</t>
  </si>
  <si>
    <t>Interest</t>
  </si>
  <si>
    <t>Depreciation</t>
  </si>
  <si>
    <t>Tax</t>
  </si>
  <si>
    <t>EPS</t>
  </si>
  <si>
    <t>Sales</t>
  </si>
  <si>
    <t>Inventory</t>
  </si>
  <si>
    <t>Borrowings</t>
  </si>
  <si>
    <t>Other Liabilities</t>
  </si>
  <si>
    <t>Cash from Investing Activity</t>
  </si>
  <si>
    <t>Cash from Financing Activity</t>
  </si>
  <si>
    <t>COMPANY NAME</t>
  </si>
  <si>
    <t>LATEST VERSION</t>
  </si>
  <si>
    <t>PLEASE DO NOT MAKE ANY CHANGES TO THIS SHEET</t>
  </si>
  <si>
    <t>CURRENT VERSION</t>
  </si>
  <si>
    <t>META</t>
  </si>
  <si>
    <t>Number of shares</t>
  </si>
  <si>
    <t>Face Value</t>
  </si>
  <si>
    <t>Current Price</t>
  </si>
  <si>
    <t>Market Capitalization</t>
  </si>
  <si>
    <t>PROFIT &amp; LOSS</t>
  </si>
  <si>
    <t>Report Date</t>
  </si>
  <si>
    <t>Raw Material Cost</t>
  </si>
  <si>
    <t>Change in Inventory</t>
  </si>
  <si>
    <t>Power and Fuel</t>
  </si>
  <si>
    <t>Other Mfr. Exp</t>
  </si>
  <si>
    <t>Selling and admin</t>
  </si>
  <si>
    <t>Other Expenses</t>
  </si>
  <si>
    <t>Profit before tax</t>
  </si>
  <si>
    <t>Net profit</t>
  </si>
  <si>
    <t>Dividend Amount</t>
  </si>
  <si>
    <t>Quarters</t>
  </si>
  <si>
    <t>Expenses</t>
  </si>
  <si>
    <t>BALANCE SHEET</t>
  </si>
  <si>
    <t>Total</t>
  </si>
  <si>
    <t>Other Assets</t>
  </si>
  <si>
    <t>Receivables</t>
  </si>
  <si>
    <t>Cash &amp; Bank</t>
  </si>
  <si>
    <t>No. of Equity Shares</t>
  </si>
  <si>
    <t>New Bonus Shares</t>
  </si>
  <si>
    <t>CASH FLOW:</t>
  </si>
  <si>
    <t>Cash from Operating Activity</t>
  </si>
  <si>
    <t>Net Cash Flow</t>
  </si>
  <si>
    <t>PRICE:</t>
  </si>
  <si>
    <t>DERIVED:</t>
  </si>
  <si>
    <t>Adjusted Equity Shares in Cr</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</si>
  <si>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</si>
  <si>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</si>
  <si>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</si>
  <si>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</si>
  <si>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</si>
  <si>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</si>
  <si>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</si>
  <si>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</si>
  <si>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</si>
  <si>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</si>
  <si>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</si>
  <si>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</si>
  <si>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</si>
  <si>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</si>
  <si>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</si>
  <si>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</si>
  <si>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</si>
  <si>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</si>
  <si>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</si>
  <si>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</si>
  <si>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</si>
  <si>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</si>
  <si>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</si>
  <si>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</si>
  <si>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</si>
  <si>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</si>
  <si>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</si>
  <si>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</si>
  <si>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</si>
  <si>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</si>
  <si>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</si>
  <si>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</si>
  <si>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</si>
  <si>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</si>
  <si>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</si>
  <si>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</si>
  <si>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</si>
  <si>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</si>
  <si>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</si>
  <si>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</si>
  <si>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</si>
  <si>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</si>
  <si>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</si>
  <si>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</si>
  <si>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</si>
  <si>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</si>
  <si>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</si>
  <si>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Sales YoY</t>
  </si>
  <si>
    <t>EPS YoY</t>
  </si>
  <si>
    <t>Red Flags</t>
  </si>
  <si>
    <t>1. Skewed business performance - Significant change In financial ratios from previous year</t>
  </si>
  <si>
    <t>2.Absence or low implementation of policies</t>
  </si>
  <si>
    <t>3.Unusual related party transactions</t>
  </si>
  <si>
    <t>4.Too many acquisitions</t>
  </si>
  <si>
    <t>5.Formation of too many subsidiaries</t>
  </si>
  <si>
    <t>When your stock falls, ask yourself. Is it critical to its survival or is it just a temporary patch? If it is temporary, your stock will most likely pass through the tough phase. As you go about investing, always keep in mind, every good stock will have bad days.</t>
  </si>
  <si>
    <t>Outperformers</t>
  </si>
  <si>
    <t>Use of technology and premiumization to improve margins</t>
  </si>
  <si>
    <t>Company is in perpetual challenger mode. Responds swiftly to competition.</t>
  </si>
  <si>
    <t>Up the ante in customer satisfaction</t>
  </si>
  <si>
    <t>There is relentless focus on execution and excellent capital allocation</t>
  </si>
  <si>
    <t>They stay relevant through economic cycles by anticipating and adapting to disruption better.</t>
  </si>
  <si>
    <t>Ability to convert as opportunities what peers see as risk</t>
  </si>
  <si>
    <t>Stable leadership</t>
  </si>
  <si>
    <t>Not venturing in unrelated business or making unrelated acquisitions</t>
  </si>
  <si>
    <t>Good investing means being prepared for an environment different than what we thought and keeping Plan B ready. Predit less and plan more.</t>
  </si>
  <si>
    <t>Accept that market and returns have cycles. What goes up will go down.</t>
  </si>
  <si>
    <r>
      <t xml:space="preserve">Invest in companies with </t>
    </r>
    <r>
      <rPr>
        <b/>
        <sz val="12"/>
        <color theme="1"/>
        <rFont val="Calibri"/>
        <family val="2"/>
        <scheme val="minor"/>
      </rPr>
      <t xml:space="preserve">share of mind </t>
    </r>
    <r>
      <rPr>
        <sz val="10"/>
        <color theme="1"/>
        <rFont val="Calibri"/>
        <family val="2"/>
        <scheme val="minor"/>
      </rPr>
      <t>among consumers. These companies have pricing power and a unique moat. The consumers keep coming back to these products</t>
    </r>
  </si>
  <si>
    <t>A vast majority of customers will have something positive about the company</t>
  </si>
  <si>
    <t>The art of valuation</t>
  </si>
  <si>
    <t>1.Analysts need to be careful of and fix their own internal flaws, keeping emotions in check. Steering clear of the overconfidence mind trap, the heuristics mind trap, confirmation bias, and the like would keep you in good stead. “Make sure we know there’s always a different view on a particular stock,” Valentine states</t>
  </si>
  <si>
    <t>2.It is essential to get a grasp on expectations and concerns of market participants and where those fit into the larger market outlook.</t>
  </si>
  <si>
    <t>3.Don’t change price target unless there is ample reason, whether a revised forecast, a revised multiple, or a new valuation method. Another critical point: If you’re going to change your price target, don’t do it incrementally.</t>
  </si>
  <si>
    <t>4.Which factors are going to move my stocks and where can I get unique insights on these factors?</t>
  </si>
  <si>
    <t>RoCE</t>
  </si>
  <si>
    <t>Going to Bed Smarter #4: ROCE, the Secret Winning Edge to any portfolio</t>
  </si>
  <si>
    <t>At Marketsmojo we use the concept of Return on Capital Employed (ROCE) to uncover great companies that can deliver fantastic shareholder returns.  In this, the fourth piece in the series of Going to Bed Smarter, I present pieces which let you into the secret of ROCE.</t>
  </si>
  <si>
    <t>Sanjeev Mohta</t>
  </si>
  <si>
    <t>August 28, 11:54: AM IST</t>
  </si>
  <si>
    <t>  </t>
  </si>
  <si>
    <t>Yesterday’s ET story says,“Warren Buffett in Talks for a Slice of Paytm”.</t>
  </si>
  <si>
    <t>Let’s discuss how Warren Buffett finds a great business.</t>
  </si>
  <si>
    <t>At Marketsmojo we use the concept of Return on Capital Employed (ROCE) to uncover great companies that can deliver fantastic shareholder returns. </t>
  </si>
  <si>
    <t>The Magic of ROCE</t>
  </si>
  <si>
    <t>The 2007 letter of Berkshire Hathaway is a classic. If there is only one Berkshire Hathaway letter you want to read, this one is it. In that letter, Warren Buffett narrates the success of See’s Candy.</t>
  </si>
  <si>
    <t>ROCE = EBIT/Capital Employed</t>
  </si>
  <si>
    <t>How do we calculated ROCE? Well, there are a few variants. But the easiest one is shown in this paper by Mirae Asset Management. Marketsmojo uses the same method.</t>
  </si>
  <si>
    <t>EBIT is easy to calculate, but what about the Capital Employed? The paper says: “Capital Employed is the capital investment necessary for a business to function. It is commonly represented as total assets less current liabilities (or Fixed Assets plus Working Capital).”</t>
  </si>
  <si>
    <t>ROCE is a far more useful measure compared to Return on Equity (ROE) as: “ ROCE is especially useful when comparing the performance of companies in capital-intensive sectors such as utilities and telecoms. This is because unlike return on equity (ROE), which only analyzes profitability related to a company’s equity, ROCE considers debt and other liabilities as well. This provides a better indication of financial performance for companies with significant debt.”</t>
  </si>
  <si>
    <t>It follows from the equation that in order to generate high ROCE, a company must either have very high profit margins or need low levels of Capital Employed or a combination of the two.</t>
  </si>
  <si>
    <t>We have had many such companies in India as well. Many consumer related business enjoy high ROCE due to their Asset Light nature.  Hindustan Unilever with ROCE at close to 800%, Nestle at 400%, Page Industries at 84% are great examples.</t>
  </si>
  <si>
    <t>High ROCE Means High Valuation</t>
  </si>
  <si>
    <t>A 2011 report, “Impact of ROCE on valuation”, by PWC concluded: “Companies that deliver better Return on Capital Employed (ROCE) experience higher valuation”</t>
  </si>
  <si>
    <t>The relationship remains the same today. Is it any wonder why Hindustan Unilever, Nestle or Page Industries enjoy such high valuations?</t>
  </si>
  <si>
    <t>At Marketsmojo, the five-year average ROCE  is one of the most important metric used in our Quality Parameter.</t>
  </si>
  <si>
    <t>An interesting example: The Abrasives Industry</t>
  </si>
  <si>
    <t>Let us look at the Abrasives Industry (which was picked randomly) which has a fairly uniform product, the relationship between the five-year average ROCE and Price/Book Value is fairly consistent with the findings above.</t>
  </si>
  <si>
    <t>Next time you look at a stock, don’t forget to look at its long term ROCE – it’ll give you an insight about the inherent strength of the company’s business, and its ability to squeeze value from every rupee of capital. That will not only determine its valuation but also the price performance.</t>
  </si>
  <si>
    <t>His 2007 newsletter reads: “A truly great business must have an enduring ‘moat’ that protects excellent returns on invested capital (ROIC).” </t>
  </si>
  <si>
    <t>In this, the fourth piece in the series of Going to Bed Smarter, I present pieces which let you into the secret of ROCE.</t>
  </si>
  <si>
    <t>“We bought See’s for $25 million when its sales were $30 million and pre-tax earnings were less than $5 million. The capital then required to conduct the business was $8 million (Modest seasonal debt was also needed for a few months each year). Consequently, the company was earning 60% pre-tax on invested capital. Two factors helped to minimize the funds required for operations. First, the product was sold for cash, and that eliminated accounts receivable. Second, the production and distribution cycle was short, which minimized inventories.</t>
  </si>
  <si>
    <t>Last year See’s sales were $383 million, and pre-tax profits were $82 million. The capital now required to run the business is $40 million. This means we have had to reinvest only $32 million since 1972 to handle the modest physical growth – and somewhat immodest financial growth – of the business. In the meantime pre-tax earnings have totaled $1.35 billion. All of that, except for the $32 million, has been sent to Berkshire (or, in the early years, to Blue Chip). After paying corporate taxes on the profits, we have used the rest to buy other attractive businesses. Just as Adam and Eve kick-started an activity that led to six billion humans, See’s has given birth to multiple new streams of cash for us. (The biblical command to “be fruitful and multiply” is one we take seriously at Berkshire.)</t>
  </si>
  <si>
    <t>There aren’t many See’s in Corporate America. Typically, companies that increase their earnings from $5 million to $82 million require, say, $400 million or so of capital investment to finance their growth. That’s because growing businesses have both working capital needs that increase in proportion to sales growth and significant requirements for fixed asset investments.</t>
  </si>
  <si>
    <t>A company that needs large increases in capital to engender its growth may well prove to be a satisfactory investment. There is, to follow through on our example, nothing shabby about earning $82 million pre-tax on $400 million of net tangible assets. But that equation for the owner is vastly different from the See’s situation.It’s far better to have an ever-increasing stream of earnings with virtually no major capital requirements. Ask Microsoft or Google.”</t>
  </si>
  <si>
    <t>In 1997, when running research for HSBC, I had written a piece on the importance of ROCE. I had found that, everything else remaining the same, high ROCE companies enjoy far higher valuation that companies with low ROCE. At least for the companies where market believes that the high ROCE is sustainable.</t>
  </si>
  <si>
    <t>JK LAKSHMI CEMENT LTD</t>
  </si>
  <si>
    <t>Graph Data:</t>
  </si>
  <si>
    <r>
      <t xml:space="preserve">Total Income - </t>
    </r>
    <r>
      <rPr>
        <b/>
        <i/>
        <sz val="12"/>
        <color theme="1"/>
        <rFont val="Calibri"/>
        <family val="2"/>
        <scheme val="minor"/>
      </rPr>
      <t>Annual</t>
    </r>
  </si>
  <si>
    <t>(INR Crores/10 Millions)</t>
  </si>
  <si>
    <t>Narration</t>
  </si>
  <si>
    <t>Last 4 Quarters</t>
  </si>
  <si>
    <t>Growth Trends</t>
  </si>
  <si>
    <t>10Yr</t>
  </si>
  <si>
    <t>7Yr</t>
  </si>
  <si>
    <t>5Yr</t>
  </si>
  <si>
    <t>3Yr</t>
  </si>
  <si>
    <t>TTM</t>
  </si>
  <si>
    <t>Sales Growth</t>
  </si>
  <si>
    <t>OPM</t>
  </si>
  <si>
    <t>Operating Profit Margin (OPM%)</t>
  </si>
  <si>
    <t>Profit before tax (PBT)</t>
  </si>
  <si>
    <t>Tax%</t>
  </si>
  <si>
    <t>Net Profit after tax (PAT)</t>
  </si>
  <si>
    <t>last 4 Qtr</t>
  </si>
  <si>
    <t>Net Profit Margin (NPM%)</t>
  </si>
  <si>
    <t>Cash from Operating Activity (CFO)</t>
  </si>
  <si>
    <t>Capex (NFA+WIP+Dep)</t>
  </si>
  <si>
    <t>Capex Calculation</t>
  </si>
  <si>
    <t>New Assets</t>
  </si>
  <si>
    <t>Total Debt (D)</t>
  </si>
  <si>
    <t>Cash + Investments (CI +NCI)</t>
  </si>
  <si>
    <t>Self-Sustainable Growth Rate (SSGR)</t>
  </si>
  <si>
    <t>SSGR Calculation</t>
  </si>
  <si>
    <t>SSGR = NFAT*NPM*(1-DPR) – Dep</t>
  </si>
  <si>
    <t>DPR=Dividend payout Ratio=Dividend paid/PAT</t>
  </si>
  <si>
    <t>NFAT = Sales/Average net fixed assets</t>
  </si>
  <si>
    <t>NPM = Net Profit margin as % of sales</t>
  </si>
  <si>
    <t>Dep = Depn rate as % of net fixed assets</t>
  </si>
  <si>
    <t>PBT/Avg. NFA (&lt;10%,&gt;25%)</t>
  </si>
  <si>
    <t>Average net Fixed Assets</t>
  </si>
  <si>
    <t>ROE on Avg Equity (&lt;7%, &gt;25%)</t>
  </si>
  <si>
    <t>ROCE (EBIT on Avg CE/TA) (&lt;10%,&gt;35%)</t>
  </si>
  <si>
    <t>Incremental ROE 3Yr Rolling</t>
  </si>
  <si>
    <t>Net Fixed Asset Turnover (High is better)</t>
  </si>
  <si>
    <t>Receivables days (Low is better)</t>
  </si>
  <si>
    <t>Inventory Turnover (High is better)</t>
  </si>
  <si>
    <t>Net Fixed Assets (NFA)</t>
  </si>
  <si>
    <t>Capital Work in Progress (CWIP)</t>
  </si>
  <si>
    <t>Share Capital</t>
  </si>
  <si>
    <t>Dividend Paid (Div) Without DDT</t>
  </si>
  <si>
    <t>Dividend Payout (Div/PAT)</t>
  </si>
  <si>
    <t>Price to earning</t>
  </si>
  <si>
    <t>Mcap</t>
  </si>
  <si>
    <t xml:space="preserve">Total Equity (E) </t>
  </si>
  <si>
    <t>Debt to Equity ratio (D/E)</t>
  </si>
  <si>
    <t>Cost of funds</t>
  </si>
  <si>
    <t>Interest outgo (Rs. Cr.)</t>
  </si>
  <si>
    <t>Interest Coverage (OP/Int.Out)</t>
  </si>
  <si>
    <t>Cash from Investing Activity (CFI)</t>
  </si>
  <si>
    <t>Cash from Financing Activity (CFF)</t>
  </si>
  <si>
    <t>Net Cash Flow (CFO+CFI+CFF)</t>
  </si>
  <si>
    <t>Total Retained Earnings (RE) in 10 Yrs</t>
  </si>
  <si>
    <t>Total increase in Mcap in 10yrs (B)</t>
  </si>
  <si>
    <t>Value created per INR of RE (B/A)</t>
  </si>
  <si>
    <t>Average Equity</t>
  </si>
  <si>
    <t>Return on average equity</t>
  </si>
  <si>
    <t>Market Cap</t>
  </si>
  <si>
    <t>Debt</t>
  </si>
  <si>
    <t>Profit</t>
  </si>
  <si>
    <t>Enterprice Price (Equity+debt)</t>
  </si>
  <si>
    <t>Book Value</t>
  </si>
  <si>
    <t>Rolling ROE calcuation</t>
  </si>
  <si>
    <t>3 year return</t>
  </si>
  <si>
    <t>3 year equity</t>
  </si>
  <si>
    <t>Profit/Mcap</t>
  </si>
  <si>
    <t>Cash Profit Margin (CPM%)</t>
  </si>
  <si>
    <t>10Yr Cash profit Margin (10yr CPM%)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</si>
</sst>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_(* #,##0.0_);_(* \(#,##0.0\);_(* &quot;-&quot;??_);_(@_)"/>
    <numFmt numFmtId="167" formatCode="_ * #,##0.00_ ;_ * \-#,##0.00_ ;_ * &quot;-&quot;??_ ;_ @_ "/>
    <numFmt numFmtId="168" formatCode="[$-409]mmm\-yy;@"/>
    <numFmt numFmtId="169" formatCode="0.0"/>
    <numFmt numFmtId="170" formatCode="#,##0.0"/>
    <numFmt numFmtId="171" formatCode="0.0%"/>
  </numFmts>
  <fonts count="21"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Calibri"/>
      <family val="2"/>
      <scheme val="minor"/>
    </font>
    <font>
      <sz val="10"/>
      <name val="Arial"/>
      <family val="2"/>
    </font>
    <font>
      <sz val="11"/>
      <color theme="1"/>
      <name val="Calibri"/>
      <family val="2"/>
      <scheme val="minor"/>
    </font>
    <font>
      <b/>
      <sz val="11"/>
      <color theme="0"/>
      <name val="Calibri"/>
      <family val="2"/>
      <scheme val="minor"/>
    </font>
    <font>
      <b/>
      <sz val="11"/>
      <color rgb="FFFF0000"/>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u/>
      <sz val="11"/>
      <color theme="10"/>
      <name val="Calibri"/>
      <family val="2"/>
    </font>
    <font>
      <sz val="10"/>
      <color theme="1"/>
      <name val="Calibri"/>
      <family val="2"/>
      <scheme val="minor"/>
    </font>
    <font>
      <b/>
      <sz val="12"/>
      <color theme="1"/>
      <name val="Calibri"/>
      <family val="2"/>
      <scheme val="minor"/>
    </font>
    <font>
      <b/>
      <i/>
      <sz val="12"/>
      <color theme="1"/>
      <name val="Calibri"/>
      <family val="2"/>
      <scheme val="minor"/>
    </font>
    <font>
      <sz val="8"/>
      <name val="Calibri"/>
      <family val="2"/>
      <charset val="1"/>
    </font>
    <font>
      <b/>
      <sz val="9"/>
      <color theme="1"/>
      <name val="Calibri"/>
      <family val="2"/>
      <scheme val="minor"/>
    </font>
    <font>
      <sz val="9"/>
      <color theme="1"/>
      <name val="Calibri"/>
      <family val="2"/>
      <scheme val="minor"/>
    </font>
    <font>
      <b/>
      <sz val="10"/>
      <name val="Calibri"/>
      <family val="2"/>
    </font>
  </fonts>
  <fills count="11">
    <fill>
      <patternFill patternType="none"/>
    </fill>
    <fill>
      <patternFill patternType="gray125"/>
    </fill>
    <fill>
      <patternFill patternType="solid">
        <fgColor rgb="FFFFFF00"/>
        <bgColor indexed="64"/>
      </patternFill>
    </fill>
    <fill>
      <patternFill patternType="solid">
        <fgColor theme="9"/>
      </patternFill>
    </fill>
    <fill>
      <patternFill patternType="solid">
        <fgColor indexed="30"/>
        <bgColor indexed="40"/>
      </patternFill>
    </fill>
    <fill>
      <patternFill patternType="solid">
        <fgColor rgb="FF0275D8"/>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8" tint="-0.249977111117893"/>
        <bgColor indexed="40"/>
      </patternFill>
    </fill>
  </fills>
  <borders count="5">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right/>
      <top/>
      <bottom style="thin">
        <color indexed="64"/>
      </bottom>
      <diagonal/>
    </border>
  </borders>
  <cellStyleXfs count="7">
    <xf numFmtId="0" fontId="0" fillId="0" borderId="0"/>
    <xf numFmtId="9" fontId="6" fillId="0" borderId="0" applyFont="0" applyFill="0" applyBorder="0" applyAlignment="0" applyProtection="0"/>
    <xf numFmtId="164" fontId="6" fillId="0" borderId="0" applyFont="0" applyFill="0" applyBorder="0" applyAlignment="0" applyProtection="0"/>
    <xf numFmtId="0" fontId="2" fillId="3" borderId="0" applyNumberFormat="0" applyBorder="0" applyAlignment="0" applyProtection="0"/>
    <xf numFmtId="0" fontId="5" fillId="0" borderId="0"/>
    <xf numFmtId="167" fontId="6" fillId="0" borderId="0" applyFont="0" applyFill="0" applyBorder="0" applyAlignment="0" applyProtection="0"/>
    <xf numFmtId="0" fontId="13" fillId="0" borderId="0" applyNumberFormat="0" applyFill="0" applyBorder="0" applyAlignment="0" applyProtection="0">
      <alignment vertical="top"/>
      <protection locked="0"/>
    </xf>
  </cellStyleXfs>
  <cellXfs count="64">
    <xf numFmtId="0" fontId="0" fillId="0" borderId="0" xfId="0"/>
    <xf numFmtId="0" fontId="8" fillId="0" borderId="0" xfId="0" applyFont="1"/>
    <xf numFmtId="0" fontId="12" fillId="0" borderId="0" xfId="0" applyFont="1"/>
    <xf numFmtId="0" fontId="11" fillId="4" borderId="1" xfId="0" applyFont="1" applyFill="1" applyBorder="1" applyAlignment="1">
      <alignment horizontal="center"/>
    </xf>
    <xf numFmtId="167" fontId="1" fillId="0" borderId="0" xfId="5" applyFont="1" applyBorder="1"/>
    <xf numFmtId="167" fontId="0" fillId="0" borderId="0" xfId="5" applyFont="1" applyBorder="1"/>
    <xf numFmtId="168" fontId="7" fillId="5" borderId="0" xfId="5" applyNumberFormat="1" applyFont="1" applyFill="1" applyBorder="1"/>
    <xf numFmtId="168" fontId="7" fillId="5" borderId="0" xfId="0" applyNumberFormat="1" applyFont="1" applyFill="1" applyBorder="1" applyAlignment="1">
      <alignment horizontal="center"/>
    </xf>
    <xf numFmtId="168" fontId="3" fillId="0" borderId="0" xfId="5" applyNumberFormat="1" applyFont="1" applyFill="1" applyBorder="1"/>
    <xf numFmtId="167" fontId="6" fillId="0" borderId="0" xfId="5" applyFont="1" applyBorder="1"/>
    <xf numFmtId="164" fontId="0" fillId="0" borderId="0" xfId="5" applyNumberFormat="1" applyFont="1" applyBorder="1"/>
    <xf numFmtId="168" fontId="11" fillId="4" borderId="3" xfId="0" applyNumberFormat="1" applyFont="1" applyFill="1" applyBorder="1" applyAlignment="1">
      <alignment horizontal="center"/>
    </xf>
    <xf numFmtId="0" fontId="14" fillId="0" borderId="0" xfId="0" applyFont="1"/>
    <xf numFmtId="0" fontId="1" fillId="0" borderId="0" xfId="0" applyFont="1"/>
    <xf numFmtId="0" fontId="12" fillId="2" borderId="0" xfId="0" applyFont="1" applyFill="1"/>
    <xf numFmtId="0" fontId="12" fillId="0" borderId="0" xfId="0" applyFont="1" applyFill="1"/>
    <xf numFmtId="9" fontId="12" fillId="0" borderId="0" xfId="1" applyFont="1" applyFill="1"/>
    <xf numFmtId="0" fontId="0" fillId="0" borderId="0" xfId="0" applyFill="1"/>
    <xf numFmtId="168" fontId="12" fillId="0" borderId="0" xfId="1" applyNumberFormat="1" applyFont="1"/>
    <xf numFmtId="166" fontId="12" fillId="0" borderId="0" xfId="2" applyNumberFormat="1" applyFont="1"/>
    <xf numFmtId="165" fontId="12" fillId="0" borderId="0" xfId="2" applyNumberFormat="1" applyFont="1"/>
    <xf numFmtId="0" fontId="4" fillId="7" borderId="0" xfId="0" applyFont="1" applyFill="1"/>
    <xf numFmtId="1" fontId="11" fillId="4" borderId="3" xfId="0" applyNumberFormat="1" applyFont="1" applyFill="1" applyBorder="1" applyAlignment="1">
      <alignment horizontal="center"/>
    </xf>
    <xf numFmtId="1" fontId="10" fillId="0" borderId="0" xfId="0" applyNumberFormat="1" applyFont="1" applyBorder="1" applyAlignment="1">
      <alignment horizontal="center"/>
    </xf>
    <xf numFmtId="1" fontId="12" fillId="0" borderId="2" xfId="0" applyNumberFormat="1" applyFont="1" applyFill="1" applyBorder="1" applyAlignment="1">
      <alignment horizontal="center"/>
    </xf>
    <xf numFmtId="1" fontId="0" fillId="0" borderId="0" xfId="0" applyNumberFormat="1" applyAlignment="1">
      <alignment horizontal="center"/>
    </xf>
    <xf numFmtId="0" fontId="9" fillId="0" borderId="0" xfId="0" applyFont="1" applyBorder="1" applyAlignment="1"/>
    <xf numFmtId="0" fontId="10" fillId="0" borderId="0" xfId="0" applyFont="1" applyBorder="1" applyAlignment="1"/>
    <xf numFmtId="0" fontId="0" fillId="0" borderId="0" xfId="0" applyAlignment="1"/>
    <xf numFmtId="2" fontId="12" fillId="0" borderId="2" xfId="0" applyNumberFormat="1" applyFont="1" applyFill="1" applyBorder="1" applyAlignment="1"/>
    <xf numFmtId="167" fontId="6" fillId="0" borderId="0" xfId="5" applyFont="1" applyBorder="1" applyAlignment="1"/>
    <xf numFmtId="0" fontId="2" fillId="0" borderId="0" xfId="0" applyFont="1" applyAlignment="1"/>
    <xf numFmtId="1" fontId="12" fillId="0" borderId="2" xfId="0" applyNumberFormat="1" applyFont="1" applyFill="1" applyBorder="1" applyAlignment="1"/>
    <xf numFmtId="9" fontId="17" fillId="0" borderId="0" xfId="1" applyFont="1" applyFill="1"/>
    <xf numFmtId="167" fontId="6" fillId="8" borderId="0" xfId="5" applyFont="1" applyFill="1" applyBorder="1"/>
    <xf numFmtId="1" fontId="12" fillId="8" borderId="2" xfId="0" applyNumberFormat="1" applyFont="1" applyFill="1" applyBorder="1" applyAlignment="1">
      <alignment horizontal="center"/>
    </xf>
    <xf numFmtId="2" fontId="12" fillId="8" borderId="2" xfId="0" applyNumberFormat="1" applyFont="1" applyFill="1" applyBorder="1" applyAlignment="1"/>
    <xf numFmtId="167" fontId="1" fillId="8" borderId="0" xfId="5" applyFont="1" applyFill="1" applyBorder="1"/>
    <xf numFmtId="0" fontId="2" fillId="9" borderId="0" xfId="0" applyFont="1" applyFill="1" applyAlignment="1"/>
    <xf numFmtId="1" fontId="0" fillId="0" borderId="0" xfId="0" applyNumberFormat="1"/>
    <xf numFmtId="9" fontId="0" fillId="0" borderId="0" xfId="1" applyFont="1"/>
    <xf numFmtId="9" fontId="1" fillId="0" borderId="0" xfId="1" applyFont="1"/>
    <xf numFmtId="9" fontId="18" fillId="0" borderId="0" xfId="1" applyFont="1"/>
    <xf numFmtId="2" fontId="0" fillId="0" borderId="0" xfId="0" applyNumberFormat="1" applyAlignment="1"/>
    <xf numFmtId="9" fontId="19" fillId="0" borderId="0" xfId="1" applyFont="1"/>
    <xf numFmtId="0" fontId="12" fillId="0" borderId="0" xfId="0" applyFont="1" applyFill="1" applyAlignment="1"/>
    <xf numFmtId="2" fontId="10" fillId="0" borderId="0" xfId="0" applyNumberFormat="1" applyFont="1" applyBorder="1" applyAlignment="1"/>
    <xf numFmtId="2" fontId="10" fillId="0" borderId="4" xfId="0" applyNumberFormat="1" applyFont="1" applyBorder="1" applyAlignment="1"/>
    <xf numFmtId="0" fontId="20" fillId="0" borderId="0" xfId="0" applyFont="1" applyFill="1" applyAlignment="1"/>
    <xf numFmtId="9" fontId="10" fillId="0" borderId="0" xfId="1" applyFont="1" applyBorder="1" applyAlignment="1"/>
    <xf numFmtId="164" fontId="10" fillId="0" borderId="0" xfId="2" applyFont="1" applyBorder="1" applyAlignment="1"/>
    <xf numFmtId="168" fontId="11" fillId="10" borderId="3" xfId="0" applyNumberFormat="1" applyFont="1" applyFill="1" applyBorder="1" applyAlignment="1">
      <alignment horizontal="center"/>
    </xf>
    <xf numFmtId="168" fontId="11" fillId="10" borderId="3" xfId="0" applyNumberFormat="1" applyFont="1" applyFill="1" applyBorder="1" applyAlignment="1">
      <alignment horizontal="right"/>
    </xf>
    <xf numFmtId="2" fontId="12" fillId="0" borderId="0" xfId="0" applyNumberFormat="1" applyFont="1" applyFill="1" applyBorder="1" applyAlignment="1"/>
    <xf numFmtId="167" fontId="0" fillId="0" borderId="0" xfId="5" applyFont="1" applyFill="1" applyBorder="1" applyAlignment="1"/>
    <xf numFmtId="0" fontId="10" fillId="0" borderId="4" xfId="0" applyFont="1" applyBorder="1" applyAlignment="1"/>
    <xf numFmtId="169" fontId="0" fillId="0" borderId="0" xfId="0" applyNumberFormat="1"/>
    <xf numFmtId="170" fontId="0" fillId="0" borderId="0" xfId="0" applyNumberFormat="1"/>
    <xf numFmtId="171" fontId="0" fillId="0" borderId="0" xfId="0" applyNumberFormat="1"/>
    <xf numFmtId="0" fontId="14" fillId="0" borderId="0" xfId="0" applyFont="1" applyAlignment="1">
      <alignment horizontal="left" wrapText="1"/>
    </xf>
    <xf numFmtId="0" fontId="14" fillId="0" borderId="0" xfId="0" applyFont="1" applyAlignment="1">
      <alignment horizontal="left" vertical="center" wrapText="1"/>
    </xf>
    <xf numFmtId="0" fontId="15" fillId="6" borderId="0" xfId="0" applyFont="1" applyFill="1" applyBorder="1" applyAlignment="1" applyProtection="1">
      <alignment horizontal="left"/>
      <protection locked="0"/>
    </xf>
    <xf numFmtId="167" fontId="13" fillId="0" borderId="0" xfId="6" applyNumberFormat="1" applyBorder="1" applyAlignment="1" applyProtection="1">
      <alignment horizontal="center"/>
    </xf>
    <xf numFmtId="167" fontId="7" fillId="3" borderId="0" xfId="3" applyNumberFormat="1" applyFont="1" applyBorder="1" applyAlignment="1">
      <alignment horizontal="center"/>
    </xf>
  </cellXfs>
  <cellStyles count="7">
    <cellStyle name="Accent6" xfId="3" builtinId="49"/>
    <cellStyle name="Comma" xfId="2" builtinId="3"/>
    <cellStyle name="Comma 2" xfId="5"/>
    <cellStyle name="Hyperlink 2" xfId="6"/>
    <cellStyle name="Normal" xfId="0" builtinId="0"/>
    <cellStyle name="Normal 2" xfId="4"/>
    <cellStyle name="Percent" xfId="1" builtinId="5"/>
  </cellStyles>
  <dxfs count="1">
    <dxf>
      <font>
        <b/>
        <i val="0"/>
        <color theme="0"/>
      </font>
      <fill>
        <patternFill>
          <bgColor theme="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Output'!$A$67</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Output'!$D$66:$L$66</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'Screener Output'!$D$67:$L$67</c:f>
              <c:numCache>
                <c:formatCode>_(* #,##0_);_(* \(#,##0\);_(* "-"??_);_(@_)</c:formatCode>
                <c:ptCount val="9"/>
                <c:pt idx="0">
                  <c:v>1534.66</c:v>
                </c:pt>
                <c:pt idx="1">
                  <c:v>1355.29</c:v>
                </c:pt>
                <c:pt idx="2">
                  <c:v>1781.5</c:v>
                </c:pt>
                <c:pt idx="3">
                  <c:v>2110.3999999999996</c:v>
                </c:pt>
                <c:pt idx="4">
                  <c:v>2100.87</c:v>
                </c:pt>
                <c:pt idx="5">
                  <c:v>2294.33</c:v>
                </c:pt>
                <c:pt idx="6">
                  <c:v>2668.45</c:v>
                </c:pt>
                <c:pt idx="7">
                  <c:v>2980.22</c:v>
                </c:pt>
                <c:pt idx="8">
                  <c:v>3480.25</c:v>
                </c:pt>
              </c:numCache>
            </c:numRef>
          </c:val>
        </c:ser>
        <c:dLbls>
          <c:showLegendKey val="0"/>
          <c:showVal val="0"/>
          <c:showCatName val="0"/>
          <c:showSerName val="0"/>
          <c:showPercent val="0"/>
          <c:showBubbleSize val="0"/>
        </c:dLbls>
        <c:gapWidth val="41"/>
        <c:axId val="-339457808"/>
        <c:axId val="-339450736"/>
      </c:barChart>
      <c:lineChart>
        <c:grouping val="standard"/>
        <c:varyColors val="0"/>
        <c:ser>
          <c:idx val="1"/>
          <c:order val="1"/>
          <c:tx>
            <c:strRef>
              <c:f>'Screener Output'!$A$68</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Output'!$D$66:$L$66</c:f>
              <c:numCache>
                <c:formatCode>[$-409]mmm\-yy;@</c:formatCode>
                <c:ptCount val="9"/>
                <c:pt idx="0">
                  <c:v>40268</c:v>
                </c:pt>
                <c:pt idx="1">
                  <c:v>40633</c:v>
                </c:pt>
                <c:pt idx="2">
                  <c:v>40999</c:v>
                </c:pt>
                <c:pt idx="3">
                  <c:v>41364</c:v>
                </c:pt>
                <c:pt idx="4">
                  <c:v>41729</c:v>
                </c:pt>
                <c:pt idx="5">
                  <c:v>42094</c:v>
                </c:pt>
                <c:pt idx="6">
                  <c:v>42460</c:v>
                </c:pt>
                <c:pt idx="7">
                  <c:v>42825</c:v>
                </c:pt>
                <c:pt idx="8">
                  <c:v>43190</c:v>
                </c:pt>
              </c:numCache>
            </c:numRef>
          </c:cat>
          <c:val>
            <c:numRef>
              <c:f>'Screener Output'!$D$68:$L$68</c:f>
              <c:numCache>
                <c:formatCode>0%</c:formatCode>
                <c:ptCount val="9"/>
                <c:pt idx="0">
                  <c:v>0.21448525280343156</c:v>
                </c:pt>
                <c:pt idx="1">
                  <c:v>-0.11687930877197562</c:v>
                </c:pt>
                <c:pt idx="2">
                  <c:v>0.31447882003113731</c:v>
                </c:pt>
                <c:pt idx="3">
                  <c:v>0.18461970249789483</c:v>
                </c:pt>
                <c:pt idx="4">
                  <c:v>-4.5157316148596227E-3</c:v>
                </c:pt>
                <c:pt idx="5">
                  <c:v>9.2085659750484342E-2</c:v>
                </c:pt>
                <c:pt idx="6">
                  <c:v>0.16306285495111858</c:v>
                </c:pt>
                <c:pt idx="7">
                  <c:v>0.11683561618167851</c:v>
                </c:pt>
                <c:pt idx="8">
                  <c:v>0.16778291535524231</c:v>
                </c:pt>
              </c:numCache>
            </c:numRef>
          </c:val>
          <c:smooth val="0"/>
        </c:ser>
        <c:dLbls>
          <c:showLegendKey val="0"/>
          <c:showVal val="0"/>
          <c:showCatName val="0"/>
          <c:showSerName val="0"/>
          <c:showPercent val="0"/>
          <c:showBubbleSize val="0"/>
        </c:dLbls>
        <c:marker val="1"/>
        <c:smooth val="0"/>
        <c:axId val="-339448560"/>
        <c:axId val="-339447472"/>
      </c:lineChart>
      <c:dateAx>
        <c:axId val="-339457808"/>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339450736"/>
        <c:crosses val="autoZero"/>
        <c:auto val="1"/>
        <c:lblOffset val="100"/>
        <c:baseTimeUnit val="years"/>
      </c:dateAx>
      <c:valAx>
        <c:axId val="-339450736"/>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339457808"/>
        <c:crosses val="autoZero"/>
        <c:crossBetween val="between"/>
      </c:valAx>
      <c:valAx>
        <c:axId val="-339447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39448560"/>
        <c:crosses val="max"/>
        <c:crossBetween val="between"/>
      </c:valAx>
      <c:dateAx>
        <c:axId val="-339448560"/>
        <c:scaling>
          <c:orientation val="minMax"/>
        </c:scaling>
        <c:delete val="1"/>
        <c:axPos val="b"/>
        <c:numFmt formatCode="[$-409]mmm\-yy;@" sourceLinked="1"/>
        <c:majorTickMark val="out"/>
        <c:minorTickMark val="none"/>
        <c:tickLblPos val="nextTo"/>
        <c:crossAx val="-339447472"/>
        <c:crosses val="autoZero"/>
        <c:auto val="1"/>
        <c:lblOffset val="100"/>
        <c:baseTimeUnit val="years"/>
        <c:majorUnit val="1"/>
        <c:minorUnit val="1"/>
      </c:dateAx>
      <c:spPr>
        <a:noFill/>
        <a:ln>
          <a:noFill/>
        </a:ln>
        <a:effectLst/>
      </c:spPr>
    </c:plotArea>
    <c:legend>
      <c:legendPos val="b"/>
      <c:layout>
        <c:manualLayout>
          <c:xMode val="edge"/>
          <c:yMode val="edge"/>
          <c:x val="6.0258501841719062E-4"/>
          <c:y val="0.92187445319335082"/>
          <c:w val="0.33254805047327152"/>
          <c:h val="7.81255688899469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1060</xdr:rowOff>
    </xdr:from>
    <xdr:to>
      <xdr:col>7</xdr:col>
      <xdr:colOff>609599</xdr:colOff>
      <xdr:row>16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BB67"/>
  <sheetViews>
    <sheetView showGridLines="0" topLeftCell="AS1" workbookViewId="0">
      <selection activeCell="BB4" sqref="BB4:BB38"/>
    </sheetView>
  </sheetViews>
  <sheetFormatPr defaultRowHeight="12.75" x14ac:dyDescent="0.2"/>
  <cols>
    <col min="1" max="16384" width="9.140625" style="12"/>
  </cols>
  <sheetData>
    <row r="3" spans="2:54" x14ac:dyDescent="0.2">
      <c r="AS3" s="21" t="s">
        <v>103</v>
      </c>
      <c r="BB3" s="21" t="s">
        <v>128</v>
      </c>
    </row>
    <row r="4" spans="2:54" ht="15" x14ac:dyDescent="0.25">
      <c r="B4" s="13" t="s">
        <v>54</v>
      </c>
      <c r="X4" s="12" t="s">
        <v>85</v>
      </c>
      <c r="AS4" s="12" t="s">
        <v>104</v>
      </c>
      <c r="BB4" s="12" t="s">
        <v>129</v>
      </c>
    </row>
    <row r="5" spans="2:54" x14ac:dyDescent="0.2">
      <c r="AS5" s="12" t="s">
        <v>105</v>
      </c>
      <c r="BB5" s="12" t="s">
        <v>130</v>
      </c>
    </row>
    <row r="6" spans="2:54" x14ac:dyDescent="0.2">
      <c r="B6" s="12" t="s">
        <v>55</v>
      </c>
      <c r="X6" s="12" t="s">
        <v>86</v>
      </c>
      <c r="AS6" s="12" t="s">
        <v>106</v>
      </c>
      <c r="BB6" s="12" t="s">
        <v>131</v>
      </c>
    </row>
    <row r="7" spans="2:54" x14ac:dyDescent="0.2">
      <c r="B7" s="12" t="s">
        <v>56</v>
      </c>
      <c r="AS7" s="12" t="s">
        <v>107</v>
      </c>
    </row>
    <row r="8" spans="2:54" x14ac:dyDescent="0.2">
      <c r="B8" s="12" t="s">
        <v>57</v>
      </c>
      <c r="X8" s="12" t="s">
        <v>87</v>
      </c>
      <c r="AS8" s="12" t="s">
        <v>108</v>
      </c>
      <c r="BB8" s="12" t="s">
        <v>132</v>
      </c>
    </row>
    <row r="9" spans="2:54" x14ac:dyDescent="0.2">
      <c r="B9" s="12" t="s">
        <v>58</v>
      </c>
      <c r="BB9" s="12" t="s">
        <v>133</v>
      </c>
    </row>
    <row r="10" spans="2:54" x14ac:dyDescent="0.2">
      <c r="B10" s="12" t="s">
        <v>59</v>
      </c>
      <c r="X10" s="12" t="s">
        <v>88</v>
      </c>
      <c r="BB10" s="12" t="s">
        <v>134</v>
      </c>
    </row>
    <row r="11" spans="2:54" x14ac:dyDescent="0.2">
      <c r="AS11" s="21" t="s">
        <v>110</v>
      </c>
      <c r="AT11" s="21"/>
      <c r="BB11" s="12" t="s">
        <v>135</v>
      </c>
    </row>
    <row r="12" spans="2:54" x14ac:dyDescent="0.2">
      <c r="B12" s="12" t="s">
        <v>60</v>
      </c>
      <c r="X12" s="12" t="s">
        <v>89</v>
      </c>
      <c r="AS12" s="12" t="s">
        <v>111</v>
      </c>
      <c r="BB12" s="12" t="s">
        <v>152</v>
      </c>
    </row>
    <row r="13" spans="2:54" x14ac:dyDescent="0.2">
      <c r="B13" s="12" t="s">
        <v>61</v>
      </c>
      <c r="AS13" s="12" t="s">
        <v>112</v>
      </c>
      <c r="BB13" s="12" t="s">
        <v>136</v>
      </c>
    </row>
    <row r="14" spans="2:54" x14ac:dyDescent="0.2">
      <c r="B14" s="12" t="s">
        <v>81</v>
      </c>
      <c r="X14" s="12" t="s">
        <v>90</v>
      </c>
      <c r="AS14" s="12" t="s">
        <v>115</v>
      </c>
      <c r="BB14" s="12" t="s">
        <v>153</v>
      </c>
    </row>
    <row r="15" spans="2:54" x14ac:dyDescent="0.2">
      <c r="B15" s="12" t="s">
        <v>62</v>
      </c>
      <c r="AS15" s="12" t="s">
        <v>113</v>
      </c>
    </row>
    <row r="16" spans="2:54" x14ac:dyDescent="0.2">
      <c r="B16" s="12" t="s">
        <v>63</v>
      </c>
      <c r="X16" s="12" t="s">
        <v>91</v>
      </c>
      <c r="AS16" s="12" t="s">
        <v>114</v>
      </c>
      <c r="BB16" s="12" t="s">
        <v>137</v>
      </c>
    </row>
    <row r="17" spans="2:54" x14ac:dyDescent="0.2">
      <c r="AS17" s="12" t="s">
        <v>116</v>
      </c>
      <c r="BB17" s="12" t="s">
        <v>138</v>
      </c>
    </row>
    <row r="18" spans="2:54" x14ac:dyDescent="0.2">
      <c r="B18" s="12" t="s">
        <v>64</v>
      </c>
      <c r="X18" s="12" t="s">
        <v>92</v>
      </c>
      <c r="AS18" s="12" t="s">
        <v>117</v>
      </c>
      <c r="BB18" s="12" t="s">
        <v>154</v>
      </c>
    </row>
    <row r="19" spans="2:54" x14ac:dyDescent="0.2">
      <c r="B19" s="12" t="s">
        <v>65</v>
      </c>
      <c r="AS19" s="12" t="s">
        <v>118</v>
      </c>
      <c r="BB19" s="12" t="s">
        <v>155</v>
      </c>
    </row>
    <row r="20" spans="2:54" x14ac:dyDescent="0.2">
      <c r="B20" s="12" t="s">
        <v>66</v>
      </c>
      <c r="X20" s="12" t="s">
        <v>93</v>
      </c>
      <c r="BB20" s="12" t="s">
        <v>156</v>
      </c>
    </row>
    <row r="21" spans="2:54" x14ac:dyDescent="0.2">
      <c r="B21" s="12" t="s">
        <v>82</v>
      </c>
      <c r="BB21" s="12" t="s">
        <v>157</v>
      </c>
    </row>
    <row r="22" spans="2:54" x14ac:dyDescent="0.2">
      <c r="B22" s="12" t="s">
        <v>67</v>
      </c>
      <c r="X22" s="12" t="s">
        <v>94</v>
      </c>
    </row>
    <row r="23" spans="2:54" x14ac:dyDescent="0.2">
      <c r="BB23" s="12" t="s">
        <v>139</v>
      </c>
    </row>
    <row r="24" spans="2:54" x14ac:dyDescent="0.2">
      <c r="B24" s="12" t="s">
        <v>68</v>
      </c>
      <c r="X24" s="12" t="s">
        <v>95</v>
      </c>
      <c r="BB24" s="12" t="s">
        <v>140</v>
      </c>
    </row>
    <row r="25" spans="2:54" x14ac:dyDescent="0.2">
      <c r="B25" s="12" t="s">
        <v>69</v>
      </c>
      <c r="BB25" s="12" t="s">
        <v>141</v>
      </c>
    </row>
    <row r="26" spans="2:54" x14ac:dyDescent="0.2">
      <c r="B26" s="12" t="s">
        <v>70</v>
      </c>
      <c r="X26" s="12" t="s">
        <v>96</v>
      </c>
      <c r="BB26" s="12" t="s">
        <v>142</v>
      </c>
    </row>
    <row r="27" spans="2:54" x14ac:dyDescent="0.2">
      <c r="B27" s="12" t="s">
        <v>71</v>
      </c>
      <c r="BB27" s="12" t="s">
        <v>143</v>
      </c>
    </row>
    <row r="28" spans="2:54" x14ac:dyDescent="0.2">
      <c r="B28" s="12" t="s">
        <v>72</v>
      </c>
      <c r="X28" s="12" t="s">
        <v>97</v>
      </c>
      <c r="BB28" s="12" t="s">
        <v>144</v>
      </c>
    </row>
    <row r="30" spans="2:54" x14ac:dyDescent="0.2">
      <c r="B30" s="12" t="s">
        <v>73</v>
      </c>
      <c r="X30" s="12" t="s">
        <v>98</v>
      </c>
      <c r="BB30" s="12" t="s">
        <v>145</v>
      </c>
    </row>
    <row r="31" spans="2:54" x14ac:dyDescent="0.2">
      <c r="B31" s="12" t="s">
        <v>74</v>
      </c>
      <c r="BB31" s="12" t="s">
        <v>158</v>
      </c>
    </row>
    <row r="32" spans="2:54" x14ac:dyDescent="0.2">
      <c r="B32" s="12" t="s">
        <v>83</v>
      </c>
      <c r="X32" s="12" t="s">
        <v>99</v>
      </c>
      <c r="BB32" s="12" t="s">
        <v>146</v>
      </c>
    </row>
    <row r="33" spans="2:54" x14ac:dyDescent="0.2">
      <c r="B33" s="12" t="s">
        <v>75</v>
      </c>
      <c r="BB33" s="12" t="s">
        <v>147</v>
      </c>
    </row>
    <row r="34" spans="2:54" x14ac:dyDescent="0.2">
      <c r="X34" s="12" t="s">
        <v>100</v>
      </c>
      <c r="BB34" s="12" t="s">
        <v>148</v>
      </c>
    </row>
    <row r="35" spans="2:54" x14ac:dyDescent="0.2">
      <c r="B35" s="12" t="s">
        <v>76</v>
      </c>
    </row>
    <row r="36" spans="2:54" x14ac:dyDescent="0.2">
      <c r="B36" s="12" t="s">
        <v>77</v>
      </c>
      <c r="BB36" s="12" t="s">
        <v>149</v>
      </c>
    </row>
    <row r="37" spans="2:54" x14ac:dyDescent="0.2">
      <c r="B37" s="12" t="s">
        <v>78</v>
      </c>
      <c r="BB37" s="12" t="s">
        <v>150</v>
      </c>
    </row>
    <row r="38" spans="2:54" x14ac:dyDescent="0.2">
      <c r="B38" s="12" t="s">
        <v>79</v>
      </c>
      <c r="BB38" s="12" t="s">
        <v>151</v>
      </c>
    </row>
    <row r="40" spans="2:54" x14ac:dyDescent="0.2">
      <c r="B40" s="12" t="s">
        <v>80</v>
      </c>
    </row>
    <row r="43" spans="2:54" x14ac:dyDescent="0.2">
      <c r="B43" s="59" t="s">
        <v>109</v>
      </c>
      <c r="C43" s="59"/>
      <c r="D43" s="59"/>
      <c r="E43" s="59"/>
      <c r="F43" s="59"/>
      <c r="G43" s="59"/>
      <c r="H43" s="59"/>
      <c r="I43" s="59"/>
      <c r="J43" s="59"/>
      <c r="K43" s="59"/>
      <c r="L43" s="59"/>
      <c r="M43" s="59"/>
      <c r="N43" s="59"/>
      <c r="O43" s="59"/>
      <c r="P43" s="59"/>
      <c r="Q43" s="59"/>
      <c r="R43" s="59"/>
      <c r="S43" s="59"/>
    </row>
    <row r="44" spans="2:54" x14ac:dyDescent="0.2">
      <c r="B44" s="59"/>
      <c r="C44" s="59"/>
      <c r="D44" s="59"/>
      <c r="E44" s="59"/>
      <c r="F44" s="59"/>
      <c r="G44" s="59"/>
      <c r="H44" s="59"/>
      <c r="I44" s="59"/>
      <c r="J44" s="59"/>
      <c r="K44" s="59"/>
      <c r="L44" s="59"/>
      <c r="M44" s="59"/>
      <c r="N44" s="59"/>
      <c r="O44" s="59"/>
      <c r="P44" s="59"/>
      <c r="Q44" s="59"/>
      <c r="R44" s="59"/>
      <c r="S44" s="59"/>
    </row>
    <row r="47" spans="2:54" x14ac:dyDescent="0.2">
      <c r="B47" s="12" t="s">
        <v>119</v>
      </c>
    </row>
    <row r="48" spans="2:54" x14ac:dyDescent="0.2">
      <c r="B48" s="12" t="s">
        <v>120</v>
      </c>
    </row>
    <row r="50" spans="2:17" ht="15.75" x14ac:dyDescent="0.25">
      <c r="B50" s="12" t="s">
        <v>121</v>
      </c>
    </row>
    <row r="51" spans="2:17" x14ac:dyDescent="0.2">
      <c r="B51" s="12" t="s">
        <v>122</v>
      </c>
    </row>
    <row r="53" spans="2:17" ht="15" x14ac:dyDescent="0.25">
      <c r="B53" s="1" t="s">
        <v>123</v>
      </c>
      <c r="C53" s="1"/>
    </row>
    <row r="54" spans="2:17" ht="12.75" customHeight="1" x14ac:dyDescent="0.2">
      <c r="B54" s="59" t="s">
        <v>124</v>
      </c>
      <c r="C54" s="59"/>
      <c r="D54" s="59"/>
      <c r="E54" s="59"/>
      <c r="F54" s="59"/>
      <c r="G54" s="59"/>
      <c r="H54" s="59"/>
      <c r="I54" s="59"/>
      <c r="J54" s="59"/>
      <c r="K54" s="59"/>
      <c r="L54" s="59"/>
      <c r="M54" s="59"/>
      <c r="N54" s="59"/>
      <c r="O54" s="59"/>
      <c r="P54" s="59"/>
      <c r="Q54" s="59"/>
    </row>
    <row r="55" spans="2:17" x14ac:dyDescent="0.2">
      <c r="B55" s="59"/>
      <c r="C55" s="59"/>
      <c r="D55" s="59"/>
      <c r="E55" s="59"/>
      <c r="F55" s="59"/>
      <c r="G55" s="59"/>
      <c r="H55" s="59"/>
      <c r="I55" s="59"/>
      <c r="J55" s="59"/>
      <c r="K55" s="59"/>
      <c r="L55" s="59"/>
      <c r="M55" s="59"/>
      <c r="N55" s="59"/>
      <c r="O55" s="59"/>
      <c r="P55" s="59"/>
      <c r="Q55" s="59"/>
    </row>
    <row r="56" spans="2:17" x14ac:dyDescent="0.2">
      <c r="B56" s="59"/>
      <c r="C56" s="59"/>
      <c r="D56" s="59"/>
      <c r="E56" s="59"/>
      <c r="F56" s="59"/>
      <c r="G56" s="59"/>
      <c r="H56" s="59"/>
      <c r="I56" s="59"/>
      <c r="J56" s="59"/>
      <c r="K56" s="59"/>
      <c r="L56" s="59"/>
      <c r="M56" s="59"/>
      <c r="N56" s="59"/>
      <c r="O56" s="59"/>
      <c r="P56" s="59"/>
      <c r="Q56" s="59"/>
    </row>
    <row r="58" spans="2:17" x14ac:dyDescent="0.2">
      <c r="B58" s="60" t="s">
        <v>125</v>
      </c>
      <c r="C58" s="60"/>
      <c r="D58" s="60"/>
      <c r="E58" s="60"/>
      <c r="F58" s="60"/>
      <c r="G58" s="60"/>
      <c r="H58" s="60"/>
      <c r="I58" s="60"/>
      <c r="J58" s="60"/>
      <c r="K58" s="60"/>
      <c r="L58" s="60"/>
      <c r="M58" s="60"/>
      <c r="N58" s="60"/>
      <c r="O58" s="60"/>
      <c r="P58" s="60"/>
      <c r="Q58" s="60"/>
    </row>
    <row r="59" spans="2:17" x14ac:dyDescent="0.2">
      <c r="B59" s="60"/>
      <c r="C59" s="60"/>
      <c r="D59" s="60"/>
      <c r="E59" s="60"/>
      <c r="F59" s="60"/>
      <c r="G59" s="60"/>
      <c r="H59" s="60"/>
      <c r="I59" s="60"/>
      <c r="J59" s="60"/>
      <c r="K59" s="60"/>
      <c r="L59" s="60"/>
      <c r="M59" s="60"/>
      <c r="N59" s="60"/>
      <c r="O59" s="60"/>
      <c r="P59" s="60"/>
      <c r="Q59" s="60"/>
    </row>
    <row r="60" spans="2:17" x14ac:dyDescent="0.2">
      <c r="B60" s="60"/>
      <c r="C60" s="60"/>
      <c r="D60" s="60"/>
      <c r="E60" s="60"/>
      <c r="F60" s="60"/>
      <c r="G60" s="60"/>
      <c r="H60" s="60"/>
      <c r="I60" s="60"/>
      <c r="J60" s="60"/>
      <c r="K60" s="60"/>
      <c r="L60" s="60"/>
      <c r="M60" s="60"/>
      <c r="N60" s="60"/>
      <c r="O60" s="60"/>
      <c r="P60" s="60"/>
      <c r="Q60" s="60"/>
    </row>
    <row r="61" spans="2:17" x14ac:dyDescent="0.2">
      <c r="B61" s="60" t="s">
        <v>126</v>
      </c>
      <c r="C61" s="60"/>
      <c r="D61" s="60"/>
      <c r="E61" s="60"/>
      <c r="F61" s="60"/>
      <c r="G61" s="60"/>
      <c r="H61" s="60"/>
      <c r="I61" s="60"/>
      <c r="J61" s="60"/>
      <c r="K61" s="60"/>
      <c r="L61" s="60"/>
      <c r="M61" s="60"/>
      <c r="N61" s="60"/>
      <c r="O61" s="60"/>
      <c r="P61" s="60"/>
      <c r="Q61" s="60"/>
    </row>
    <row r="62" spans="2:17" x14ac:dyDescent="0.2">
      <c r="B62" s="60"/>
      <c r="C62" s="60"/>
      <c r="D62" s="60"/>
      <c r="E62" s="60"/>
      <c r="F62" s="60"/>
      <c r="G62" s="60"/>
      <c r="H62" s="60"/>
      <c r="I62" s="60"/>
      <c r="J62" s="60"/>
      <c r="K62" s="60"/>
      <c r="L62" s="60"/>
      <c r="M62" s="60"/>
      <c r="N62" s="60"/>
      <c r="O62" s="60"/>
      <c r="P62" s="60"/>
      <c r="Q62" s="60"/>
    </row>
    <row r="63" spans="2:17" x14ac:dyDescent="0.2">
      <c r="B63" s="60"/>
      <c r="C63" s="60"/>
      <c r="D63" s="60"/>
      <c r="E63" s="60"/>
      <c r="F63" s="60"/>
      <c r="G63" s="60"/>
      <c r="H63" s="60"/>
      <c r="I63" s="60"/>
      <c r="J63" s="60"/>
      <c r="K63" s="60"/>
      <c r="L63" s="60"/>
      <c r="M63" s="60"/>
      <c r="N63" s="60"/>
      <c r="O63" s="60"/>
      <c r="P63" s="60"/>
      <c r="Q63" s="60"/>
    </row>
    <row r="65" spans="2:17" x14ac:dyDescent="0.2">
      <c r="B65" s="60" t="s">
        <v>127</v>
      </c>
      <c r="C65" s="60"/>
      <c r="D65" s="60"/>
      <c r="E65" s="60"/>
      <c r="F65" s="60"/>
      <c r="G65" s="60"/>
      <c r="H65" s="60"/>
      <c r="I65" s="60"/>
      <c r="J65" s="60"/>
      <c r="K65" s="60"/>
      <c r="L65" s="60"/>
      <c r="M65" s="60"/>
      <c r="N65" s="60"/>
      <c r="O65" s="60"/>
      <c r="P65" s="60"/>
      <c r="Q65" s="60"/>
    </row>
    <row r="66" spans="2:17" x14ac:dyDescent="0.2">
      <c r="B66" s="60"/>
      <c r="C66" s="60"/>
      <c r="D66" s="60"/>
      <c r="E66" s="60"/>
      <c r="F66" s="60"/>
      <c r="G66" s="60"/>
      <c r="H66" s="60"/>
      <c r="I66" s="60"/>
      <c r="J66" s="60"/>
      <c r="K66" s="60"/>
      <c r="L66" s="60"/>
      <c r="M66" s="60"/>
      <c r="N66" s="60"/>
      <c r="O66" s="60"/>
      <c r="P66" s="60"/>
      <c r="Q66" s="60"/>
    </row>
    <row r="67" spans="2:17" x14ac:dyDescent="0.2">
      <c r="B67" s="60"/>
      <c r="C67" s="60"/>
      <c r="D67" s="60"/>
      <c r="E67" s="60"/>
      <c r="F67" s="60"/>
      <c r="G67" s="60"/>
      <c r="H67" s="60"/>
      <c r="I67" s="60"/>
      <c r="J67" s="60"/>
      <c r="K67" s="60"/>
      <c r="L67" s="60"/>
      <c r="M67" s="60"/>
      <c r="N67" s="60"/>
      <c r="O67" s="60"/>
      <c r="P67" s="60"/>
      <c r="Q67" s="60"/>
    </row>
  </sheetData>
  <mergeCells count="5">
    <mergeCell ref="B43:S44"/>
    <mergeCell ref="B54:Q56"/>
    <mergeCell ref="B58:Q60"/>
    <mergeCell ref="B61:Q63"/>
    <mergeCell ref="B65:Q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J12" sqref="J12"/>
    </sheetView>
  </sheetViews>
  <sheetFormatPr defaultRowHeight="15" x14ac:dyDescent="0.25"/>
  <sheetData>
    <row r="1" spans="1:8" ht="15.75" x14ac:dyDescent="0.25">
      <c r="A1" s="61" t="s">
        <v>161</v>
      </c>
      <c r="B1" s="61"/>
      <c r="C1" s="61"/>
      <c r="D1" s="61"/>
      <c r="E1" s="61"/>
      <c r="F1" s="61"/>
      <c r="G1" s="61"/>
      <c r="H1" s="61"/>
    </row>
  </sheetData>
  <mergeCells count="1">
    <mergeCell ref="A1:H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4" workbookViewId="0">
      <selection activeCell="A21" sqref="A21"/>
    </sheetView>
  </sheetViews>
  <sheetFormatPr defaultRowHeight="15" x14ac:dyDescent="0.25"/>
  <cols>
    <col min="1" max="1" width="38.42578125" customWidth="1"/>
    <col min="12" max="12" width="14.140625" bestFit="1" customWidth="1"/>
    <col min="14" max="14" width="14.140625" bestFit="1" customWidth="1"/>
  </cols>
  <sheetData>
    <row r="1" spans="1:19" x14ac:dyDescent="0.25">
      <c r="A1" s="13" t="s">
        <v>162</v>
      </c>
      <c r="B1" s="13"/>
      <c r="C1" s="13"/>
      <c r="D1" s="13" t="str">
        <f ca="1">'Screener Output'!A1</f>
        <v>JK LAKSHMI CEMENT LTD</v>
      </c>
    </row>
    <row r="2" spans="1:19" ht="22.5" customHeight="1" x14ac:dyDescent="0.25">
      <c r="A2" t="s">
        <v>163</v>
      </c>
      <c r="B2" s="51">
        <f ca="1">'Screener Output'!C4</f>
        <v>39903</v>
      </c>
      <c r="C2" s="51">
        <f ca="1">'Screener Output'!D4</f>
        <v>40268</v>
      </c>
      <c r="D2" s="51">
        <f ca="1">'Screener Output'!E4</f>
        <v>40633</v>
      </c>
      <c r="E2" s="51">
        <f ca="1">'Screener Output'!F4</f>
        <v>40999</v>
      </c>
      <c r="F2" s="51">
        <f ca="1">'Screener Output'!G4</f>
        <v>41364</v>
      </c>
      <c r="G2" s="51">
        <f ca="1">'Screener Output'!H4</f>
        <v>41729</v>
      </c>
      <c r="H2" s="51">
        <f ca="1">'Screener Output'!I4</f>
        <v>42094</v>
      </c>
      <c r="I2" s="51">
        <f ca="1">'Screener Output'!J4</f>
        <v>42460</v>
      </c>
      <c r="J2" s="51">
        <f ca="1">'Screener Output'!K4</f>
        <v>42825</v>
      </c>
      <c r="K2" s="51">
        <f ca="1">'Screener Output'!L4</f>
        <v>43190</v>
      </c>
      <c r="L2" s="52" t="s">
        <v>164</v>
      </c>
      <c r="N2" t="s">
        <v>165</v>
      </c>
      <c r="O2" t="s">
        <v>166</v>
      </c>
      <c r="P2" t="s">
        <v>167</v>
      </c>
      <c r="Q2" t="s">
        <v>168</v>
      </c>
      <c r="R2" t="s">
        <v>169</v>
      </c>
      <c r="S2" t="s">
        <v>170</v>
      </c>
    </row>
    <row r="3" spans="1:19" x14ac:dyDescent="0.25">
      <c r="A3" t="s">
        <v>13</v>
      </c>
      <c r="B3" s="39">
        <f ca="1">'Screener Output'!C5</f>
        <v>1224.53</v>
      </c>
      <c r="C3" s="39">
        <f ca="1">'Screener Output'!D5</f>
        <v>1490.5</v>
      </c>
      <c r="D3" s="39">
        <f ca="1">'Screener Output'!E5</f>
        <v>1322.24</v>
      </c>
      <c r="E3" s="39">
        <f ca="1">'Screener Output'!F5</f>
        <v>1718.1</v>
      </c>
      <c r="F3" s="39">
        <f ca="1">'Screener Output'!G5</f>
        <v>2054.9499999999998</v>
      </c>
      <c r="G3" s="39">
        <f ca="1">'Screener Output'!H5</f>
        <v>2056.6</v>
      </c>
      <c r="H3" s="39">
        <f ca="1">'Screener Output'!I5</f>
        <v>2307.06</v>
      </c>
      <c r="I3" s="39">
        <f ca="1">'Screener Output'!J5</f>
        <v>2619.85</v>
      </c>
      <c r="J3" s="39">
        <f ca="1">'Screener Output'!K5</f>
        <v>2910.41</v>
      </c>
      <c r="K3" s="39">
        <f ca="1">'Screener Output'!L5</f>
        <v>3412.15</v>
      </c>
      <c r="L3" s="39">
        <f ca="1">'Screener Output'!M5</f>
        <v>3509.2400000000002</v>
      </c>
      <c r="N3" t="s">
        <v>171</v>
      </c>
    </row>
    <row r="4" spans="1:19" x14ac:dyDescent="0.25">
      <c r="A4" t="s">
        <v>8</v>
      </c>
      <c r="B4" s="39">
        <f ca="1">'Screener Output'!C16+'Screener Output'!C15+'Screener Output'!C14-'Screener Output'!C13</f>
        <v>306.2</v>
      </c>
      <c r="C4" s="39">
        <f ca="1">'Screener Output'!D16+'Screener Output'!D15+'Screener Output'!D14-'Screener Output'!D13</f>
        <v>421.72</v>
      </c>
      <c r="D4" s="39">
        <f ca="1">'Screener Output'!E16+'Screener Output'!E15+'Screener Output'!E14-'Screener Output'!E13</f>
        <v>190.82999999999998</v>
      </c>
      <c r="E4" s="39">
        <f ca="1">'Screener Output'!F16+'Screener Output'!F15+'Screener Output'!F14-'Screener Output'!F13</f>
        <v>327.97</v>
      </c>
      <c r="F4" s="39">
        <f ca="1">'Screener Output'!G16+'Screener Output'!G15+'Screener Output'!G14-'Screener Output'!G13</f>
        <v>412.38000000000005</v>
      </c>
      <c r="G4" s="39">
        <f ca="1">'Screener Output'!H16+'Screener Output'!H15+'Screener Output'!H14-'Screener Output'!H13</f>
        <v>283.46000000000004</v>
      </c>
      <c r="H4" s="39">
        <f ca="1">'Screener Output'!I16+'Screener Output'!I15+'Screener Output'!I14-'Screener Output'!I13</f>
        <v>327.14</v>
      </c>
      <c r="I4" s="39">
        <f ca="1">'Screener Output'!J16+'Screener Output'!J15+'Screener Output'!J14-'Screener Output'!J13</f>
        <v>261.28999999999996</v>
      </c>
      <c r="J4" s="39">
        <f ca="1">'Screener Output'!K16+'Screener Output'!K15+'Screener Output'!K14-'Screener Output'!K13</f>
        <v>365.41</v>
      </c>
      <c r="K4" s="39">
        <f ca="1">'Screener Output'!L16+'Screener Output'!L15+'Screener Output'!L14-'Screener Output'!L13</f>
        <v>411.36</v>
      </c>
      <c r="L4" s="39">
        <f ca="1">'Screener Output'!M16+'Screener Output'!M15+'Screener Output'!M14-'Screener Output'!M13</f>
        <v>381.09999999999997</v>
      </c>
      <c r="N4" t="s">
        <v>172</v>
      </c>
    </row>
    <row r="5" spans="1:19" x14ac:dyDescent="0.25">
      <c r="A5" s="13" t="s">
        <v>173</v>
      </c>
      <c r="B5" s="42">
        <f ca="1">B4/B3</f>
        <v>0.25005512319012191</v>
      </c>
      <c r="C5" s="42">
        <f t="shared" ref="C5:L5" ca="1" si="0">C4/C3</f>
        <v>0.28293861120429387</v>
      </c>
      <c r="D5" s="42">
        <f t="shared" ca="1" si="0"/>
        <v>0.14432326960309777</v>
      </c>
      <c r="E5" s="42">
        <f t="shared" ca="1" si="0"/>
        <v>0.19089110063442177</v>
      </c>
      <c r="F5" s="42">
        <f t="shared" ca="1" si="0"/>
        <v>0.20067641548456172</v>
      </c>
      <c r="G5" s="42">
        <f t="shared" ca="1" si="0"/>
        <v>0.13782942720995819</v>
      </c>
      <c r="H5" s="42">
        <f t="shared" ca="1" si="0"/>
        <v>0.14179951973507407</v>
      </c>
      <c r="I5" s="42">
        <f t="shared" ca="1" si="0"/>
        <v>9.973471763650589E-2</v>
      </c>
      <c r="J5" s="42">
        <f t="shared" ca="1" si="0"/>
        <v>0.12555275717167</v>
      </c>
      <c r="K5" s="42">
        <f t="shared" ca="1" si="0"/>
        <v>0.12055741980862505</v>
      </c>
      <c r="L5" s="42">
        <f t="shared" ca="1" si="0"/>
        <v>0.10859901289168024</v>
      </c>
    </row>
    <row r="6" spans="1:19" x14ac:dyDescent="0.25">
      <c r="A6" t="s">
        <v>6</v>
      </c>
      <c r="B6" s="39">
        <f ca="1">'Screener Output'!C13</f>
        <v>39.1</v>
      </c>
      <c r="C6" s="39">
        <f ca="1">'Screener Output'!D13</f>
        <v>44.16</v>
      </c>
      <c r="D6" s="39">
        <f ca="1">'Screener Output'!E13</f>
        <v>33.049999999999997</v>
      </c>
      <c r="E6" s="39">
        <f ca="1">'Screener Output'!F13</f>
        <v>63.4</v>
      </c>
      <c r="F6" s="39">
        <f ca="1">'Screener Output'!G13</f>
        <v>55.45</v>
      </c>
      <c r="G6" s="39">
        <f ca="1">'Screener Output'!H13</f>
        <v>44.27</v>
      </c>
      <c r="H6" s="39">
        <f ca="1">'Screener Output'!I13</f>
        <v>-12.73</v>
      </c>
      <c r="I6" s="39">
        <f ca="1">'Screener Output'!J13</f>
        <v>48.6</v>
      </c>
      <c r="J6" s="39">
        <f ca="1">'Screener Output'!K13</f>
        <v>69.81</v>
      </c>
      <c r="K6" s="39">
        <f ca="1">'Screener Output'!L13</f>
        <v>68.099999999999994</v>
      </c>
      <c r="L6" s="39">
        <f ca="1">'Screener Output'!M13</f>
        <v>66.95</v>
      </c>
    </row>
    <row r="7" spans="1:19" x14ac:dyDescent="0.25">
      <c r="A7" t="s">
        <v>9</v>
      </c>
      <c r="B7" s="39">
        <f ca="1">'Screener Output'!C15</f>
        <v>49.51</v>
      </c>
      <c r="C7" s="39">
        <f ca="1">'Screener Output'!D15</f>
        <v>54.98</v>
      </c>
      <c r="D7" s="39">
        <f ca="1">'Screener Output'!E15</f>
        <v>60.48</v>
      </c>
      <c r="E7" s="39">
        <f ca="1">'Screener Output'!F15</f>
        <v>79.66</v>
      </c>
      <c r="F7" s="39">
        <f ca="1">'Screener Output'!G15</f>
        <v>83.54</v>
      </c>
      <c r="G7" s="39">
        <f ca="1">'Screener Output'!H15</f>
        <v>77.19</v>
      </c>
      <c r="H7" s="39">
        <f ca="1">'Screener Output'!I15</f>
        <v>90.74</v>
      </c>
      <c r="I7" s="39">
        <f ca="1">'Screener Output'!J15</f>
        <v>196.69</v>
      </c>
      <c r="J7" s="39">
        <f ca="1">'Screener Output'!K15</f>
        <v>188.65</v>
      </c>
      <c r="K7" s="39">
        <f ca="1">'Screener Output'!L15</f>
        <v>197.48</v>
      </c>
      <c r="L7" s="39">
        <f ca="1">'Screener Output'!M15</f>
        <v>193.89000000000001</v>
      </c>
    </row>
    <row r="8" spans="1:19" x14ac:dyDescent="0.25">
      <c r="A8" t="s">
        <v>174</v>
      </c>
      <c r="B8" s="39">
        <f ca="1">'Screener Output'!C16</f>
        <v>226.68</v>
      </c>
      <c r="C8" s="39">
        <f ca="1">'Screener Output'!D16</f>
        <v>330.87</v>
      </c>
      <c r="D8" s="39">
        <f ca="1">'Screener Output'!E16</f>
        <v>78.790000000000006</v>
      </c>
      <c r="E8" s="39">
        <f ca="1">'Screener Output'!F16</f>
        <v>142.74</v>
      </c>
      <c r="F8" s="39">
        <f ca="1">'Screener Output'!G16</f>
        <v>235.36</v>
      </c>
      <c r="G8" s="39">
        <f ca="1">'Screener Output'!H16</f>
        <v>115.37</v>
      </c>
      <c r="H8" s="39">
        <f ca="1">'Screener Output'!I16</f>
        <v>111.77</v>
      </c>
      <c r="I8" s="39">
        <f ca="1">'Screener Output'!J16</f>
        <v>-49.68</v>
      </c>
      <c r="J8" s="39">
        <f ca="1">'Screener Output'!K16</f>
        <v>74.2</v>
      </c>
      <c r="K8" s="39">
        <f ca="1">'Screener Output'!L16</f>
        <v>102.71</v>
      </c>
      <c r="L8" s="39">
        <f ca="1">'Screener Output'!M16</f>
        <v>73.73</v>
      </c>
    </row>
    <row r="9" spans="1:19" x14ac:dyDescent="0.25">
      <c r="A9" t="s">
        <v>175</v>
      </c>
      <c r="B9" s="44">
        <f ca="1">'Screener Output'!C17/B8</f>
        <v>0.21214928533615671</v>
      </c>
      <c r="C9" s="44">
        <f ca="1">'Screener Output'!D17/C8</f>
        <v>0.27122434793121164</v>
      </c>
      <c r="D9" s="44">
        <f ca="1">'Screener Output'!E17/D8</f>
        <v>0.24952405127554256</v>
      </c>
      <c r="E9" s="44">
        <f ca="1">'Screener Output'!F17/E8</f>
        <v>0.23791509037410677</v>
      </c>
      <c r="F9" s="44">
        <f ca="1">'Screener Output'!G17/F8</f>
        <v>0.2533140720598232</v>
      </c>
      <c r="G9" s="44">
        <f ca="1">'Screener Output'!H17/G8</f>
        <v>0.19389789373320621</v>
      </c>
      <c r="H9" s="44">
        <f ca="1">'Screener Output'!I17/H8</f>
        <v>0.1446720944797352</v>
      </c>
      <c r="I9" s="44">
        <f ca="1">'Screener Output'!J17/I8</f>
        <v>0.86795491143317227</v>
      </c>
      <c r="J9" s="44">
        <f ca="1">'Screener Output'!K17/J8</f>
        <v>-0.10512129380053908</v>
      </c>
      <c r="K9" s="44">
        <f ca="1">'Screener Output'!L17/K8</f>
        <v>0.18255281861551945</v>
      </c>
      <c r="L9" s="44">
        <f ca="1">'Screener Output'!M17/L8</f>
        <v>0.1321036213210362</v>
      </c>
    </row>
    <row r="10" spans="1:19" x14ac:dyDescent="0.25">
      <c r="A10" t="s">
        <v>176</v>
      </c>
      <c r="B10" s="39">
        <f ca="1">'Screener Output'!C18</f>
        <v>178.59</v>
      </c>
      <c r="C10" s="39">
        <f ca="1">'Screener Output'!D18</f>
        <v>241.13</v>
      </c>
      <c r="D10" s="39">
        <f ca="1">'Screener Output'!E18</f>
        <v>59.13</v>
      </c>
      <c r="E10" s="39">
        <f ca="1">'Screener Output'!F18</f>
        <v>108.78</v>
      </c>
      <c r="F10" s="39">
        <f ca="1">'Screener Output'!G18</f>
        <v>175.74</v>
      </c>
      <c r="G10" s="39">
        <f ca="1">'Screener Output'!H18</f>
        <v>93</v>
      </c>
      <c r="H10" s="39">
        <f ca="1">'Screener Output'!I18</f>
        <v>95.6</v>
      </c>
      <c r="I10" s="39">
        <f ca="1">'Screener Output'!J18</f>
        <v>-6.56</v>
      </c>
      <c r="J10" s="39">
        <f ca="1">'Screener Output'!K18</f>
        <v>82</v>
      </c>
      <c r="K10" s="39">
        <f ca="1">'Screener Output'!L18</f>
        <v>83.96</v>
      </c>
      <c r="L10" s="39">
        <f ca="1">'Screener Output'!M18</f>
        <v>63.990000000000009</v>
      </c>
    </row>
    <row r="11" spans="1:19" x14ac:dyDescent="0.25">
      <c r="A11" s="13" t="s">
        <v>178</v>
      </c>
      <c r="B11" s="42">
        <f ca="1">B10/B3</f>
        <v>0.1458437114648069</v>
      </c>
      <c r="C11" s="42">
        <f ca="1">C10/C3</f>
        <v>0.16177792687017778</v>
      </c>
      <c r="D11" s="42">
        <f t="shared" ref="D11:L11" ca="1" si="1">D10/D3</f>
        <v>4.4719566795740566E-2</v>
      </c>
      <c r="E11" s="42">
        <f t="shared" ca="1" si="1"/>
        <v>6.331412606949538E-2</v>
      </c>
      <c r="F11" s="42">
        <f t="shared" ca="1" si="1"/>
        <v>8.5520328961775235E-2</v>
      </c>
      <c r="G11" s="42">
        <f t="shared" ca="1" si="1"/>
        <v>4.5220266459204517E-2</v>
      </c>
      <c r="H11" s="42">
        <f t="shared" ca="1" si="1"/>
        <v>4.1438020684334172E-2</v>
      </c>
      <c r="I11" s="42">
        <f t="shared" ca="1" si="1"/>
        <v>-2.5039601503902896E-3</v>
      </c>
      <c r="J11" s="42">
        <f t="shared" ca="1" si="1"/>
        <v>2.8174724523348946E-2</v>
      </c>
      <c r="K11" s="42">
        <f t="shared" ca="1" si="1"/>
        <v>2.4606186715120961E-2</v>
      </c>
      <c r="L11" s="42">
        <f t="shared" ca="1" si="1"/>
        <v>1.8234717488687012E-2</v>
      </c>
    </row>
    <row r="12" spans="1:19" x14ac:dyDescent="0.25">
      <c r="A12" s="13" t="s">
        <v>229</v>
      </c>
      <c r="B12" s="42">
        <f ca="1">(B45+B46)/B3</f>
        <v>3.764709725364019E-2</v>
      </c>
      <c r="C12" s="42">
        <f ca="1">(C45+C46)/C3</f>
        <v>-0.15374035558537405</v>
      </c>
      <c r="D12" s="42">
        <f ca="1">(D45+D46)/D3</f>
        <v>-0.10812711761858662</v>
      </c>
      <c r="E12" s="42">
        <f ca="1">(E45+E46)/E3</f>
        <v>1.4126069495372786E-2</v>
      </c>
      <c r="F12" s="42">
        <f ca="1">(F45+F46)/F3</f>
        <v>-7.5958052507360305E-2</v>
      </c>
      <c r="G12" s="42">
        <f ca="1">(G45+G46)/G3</f>
        <v>-7.8313721676553538E-2</v>
      </c>
      <c r="H12" s="42">
        <f ca="1">(H45+H46)/H3</f>
        <v>-2.3688157221745439E-2</v>
      </c>
      <c r="I12" s="42">
        <f ca="1">(I45+I46)/I3</f>
        <v>8.685611771666317E-2</v>
      </c>
      <c r="J12" s="42">
        <f ca="1">(J45+J46)/J3</f>
        <v>-1.810054253524418E-2</v>
      </c>
      <c r="K12" s="42">
        <f ca="1">(K45+K46)/K3</f>
        <v>0.10774731474290404</v>
      </c>
      <c r="L12" s="42"/>
    </row>
    <row r="13" spans="1:19" x14ac:dyDescent="0.25">
      <c r="A13" s="13" t="s">
        <v>230</v>
      </c>
      <c r="B13" s="42">
        <f ca="1">SUM($C$45:C46)/SUM($B$3:B3)</f>
        <v>-0.18713302246576241</v>
      </c>
      <c r="C13" s="42">
        <f ca="1">SUM($C$45:D46)/SUM($B$3:C3)</f>
        <v>-0.1370592590137126</v>
      </c>
      <c r="D13" s="42">
        <f ca="1">SUM($C$45:E46)/SUM($B$3:D3)</f>
        <v>-8.6159706930673499E-2</v>
      </c>
      <c r="E13" s="42">
        <f ca="1">SUM($C$45:F46)/SUM($B$3:E3)</f>
        <v>-8.755996573634714E-2</v>
      </c>
      <c r="F13" s="42">
        <f ca="1">SUM($C$45:G46)/SUM($B$3:F3)</f>
        <v>-8.5143758514375889E-2</v>
      </c>
      <c r="G13" s="42">
        <f ca="1">SUM($C$45:H46)/SUM($B$3:G3)</f>
        <v>-7.2935627328487559E-2</v>
      </c>
      <c r="H13" s="42">
        <f ca="1">SUM($C$45:I46)/SUM($B$3:H3)</f>
        <v>-4.0422277677472807E-2</v>
      </c>
      <c r="I13" s="42">
        <f ca="1">SUM($C$45:J46)/SUM($B$3:I3)</f>
        <v>-3.6824811424762925E-2</v>
      </c>
      <c r="J13" s="42">
        <f ca="1">SUM($C$45:K46)/SUM($B$3:J3)</f>
        <v>-1.0004947967266618E-2</v>
      </c>
      <c r="K13" s="42">
        <f ca="1">SUM($C$45:L46)/SUM($B$3:K3)</f>
        <v>-8.3882709118367465E-3</v>
      </c>
      <c r="L13" s="42"/>
    </row>
    <row r="14" spans="1:19" x14ac:dyDescent="0.25">
      <c r="A14" t="s">
        <v>179</v>
      </c>
      <c r="B14" s="39">
        <f ca="1">'Screener Output'!C54</f>
        <v>311.66000000000003</v>
      </c>
      <c r="C14" s="39">
        <f ca="1">'Screener Output'!D54</f>
        <v>356.59</v>
      </c>
      <c r="D14" s="39">
        <f ca="1">'Screener Output'!E54</f>
        <v>174.49</v>
      </c>
      <c r="E14" s="39">
        <f ca="1">'Screener Output'!F54</f>
        <v>377.82</v>
      </c>
      <c r="F14" s="39">
        <f ca="1">'Screener Output'!G54</f>
        <v>332.27</v>
      </c>
      <c r="G14" s="39">
        <f ca="1">'Screener Output'!H54</f>
        <v>354.54</v>
      </c>
      <c r="H14" s="39">
        <f ca="1">'Screener Output'!I54</f>
        <v>351.52</v>
      </c>
      <c r="I14" s="39">
        <f ca="1">'Screener Output'!J54</f>
        <v>297.55</v>
      </c>
      <c r="J14" s="39">
        <f ca="1">'Screener Output'!K54</f>
        <v>362.93</v>
      </c>
      <c r="K14" s="39">
        <f ca="1">'Screener Output'!L54</f>
        <v>456.47</v>
      </c>
      <c r="L14" s="39"/>
    </row>
    <row r="15" spans="1:19" x14ac:dyDescent="0.25">
      <c r="A15" t="s">
        <v>180</v>
      </c>
      <c r="B15" s="39"/>
      <c r="C15" s="39">
        <f ca="1">'Screener Output'!D75</f>
        <v>214.83999999999995</v>
      </c>
      <c r="D15" s="39">
        <f ca="1">'Screener Output'!E75</f>
        <v>261.61</v>
      </c>
      <c r="E15" s="39">
        <f ca="1">'Screener Output'!F75</f>
        <v>370.40999999999985</v>
      </c>
      <c r="F15" s="39">
        <f ca="1">'Screener Output'!G75</f>
        <v>648.22000000000025</v>
      </c>
      <c r="G15" s="39">
        <f ca="1">'Screener Output'!H75</f>
        <v>492.4</v>
      </c>
      <c r="H15" s="39">
        <f ca="1">'Screener Output'!I75</f>
        <v>575.95999999999992</v>
      </c>
      <c r="I15" s="39">
        <f ca="1">'Screener Output'!J75</f>
        <v>230.82000000000005</v>
      </c>
      <c r="J15" s="39">
        <f ca="1">'Screener Output'!K75</f>
        <v>191.89</v>
      </c>
      <c r="K15" s="39">
        <f ca="1">'Screener Output'!L75</f>
        <v>169.44999999999985</v>
      </c>
    </row>
    <row r="16" spans="1:19" x14ac:dyDescent="0.25">
      <c r="A16" t="s">
        <v>183</v>
      </c>
      <c r="B16" s="39">
        <f ca="1">'Screener Output'!C37</f>
        <v>702.67</v>
      </c>
      <c r="C16" s="39">
        <f ca="1">'Screener Output'!D37</f>
        <v>921.73</v>
      </c>
      <c r="D16" s="39">
        <f ca="1">'Screener Output'!E37</f>
        <v>996.99</v>
      </c>
      <c r="E16" s="39">
        <f ca="1">'Screener Output'!F37</f>
        <v>1069.6300000000001</v>
      </c>
      <c r="F16" s="39">
        <f ca="1">'Screener Output'!G37</f>
        <v>1336.95</v>
      </c>
      <c r="G16" s="39">
        <f ca="1">'Screener Output'!H37</f>
        <v>1631.28</v>
      </c>
      <c r="H16" s="39">
        <f ca="1">'Screener Output'!I37</f>
        <v>1899.21</v>
      </c>
      <c r="I16" s="39">
        <f ca="1">'Screener Output'!J37</f>
        <v>1914.65</v>
      </c>
      <c r="J16" s="39">
        <f ca="1">'Screener Output'!K37</f>
        <v>2170.56</v>
      </c>
      <c r="K16" s="39">
        <f ca="1">'Screener Output'!L37</f>
        <v>2020.43</v>
      </c>
    </row>
    <row r="17" spans="1:11" x14ac:dyDescent="0.25">
      <c r="A17" t="s">
        <v>184</v>
      </c>
      <c r="B17" s="39">
        <f ca="1">'Screener Output'!C42+'Screener Output'!C47</f>
        <v>415.58000000000004</v>
      </c>
      <c r="C17" s="39">
        <f ca="1">'Screener Output'!D42+'Screener Output'!D47</f>
        <v>700.92</v>
      </c>
      <c r="D17" s="39">
        <f ca="1">'Screener Output'!E42+'Screener Output'!E47</f>
        <v>616.51</v>
      </c>
      <c r="E17" s="39">
        <f ca="1">'Screener Output'!F42+'Screener Output'!F47</f>
        <v>542.78</v>
      </c>
      <c r="F17" s="39">
        <f ca="1">'Screener Output'!G42+'Screener Output'!G47</f>
        <v>419.10999999999996</v>
      </c>
      <c r="G17" s="39">
        <f ca="1">'Screener Output'!H42+'Screener Output'!H47</f>
        <v>482.94</v>
      </c>
      <c r="H17" s="39">
        <f ca="1">'Screener Output'!I42+'Screener Output'!I47</f>
        <v>438.09000000000003</v>
      </c>
      <c r="I17" s="39">
        <f ca="1">'Screener Output'!J42+'Screener Output'!J47</f>
        <v>449.37</v>
      </c>
      <c r="J17" s="39">
        <f ca="1">'Screener Output'!K42+'Screener Output'!K47</f>
        <v>818.17000000000007</v>
      </c>
      <c r="K17" s="39">
        <f ca="1">'Screener Output'!L42+'Screener Output'!L47</f>
        <v>805.72</v>
      </c>
    </row>
    <row r="18" spans="1:11" x14ac:dyDescent="0.25">
      <c r="B18" s="39"/>
    </row>
    <row r="19" spans="1:11" x14ac:dyDescent="0.25">
      <c r="A19" s="13" t="s">
        <v>185</v>
      </c>
      <c r="B19" s="13"/>
      <c r="C19" s="13"/>
      <c r="D19" s="41"/>
      <c r="E19" s="41">
        <f ca="1">'Screener Output'!F79</f>
        <v>1.3996304533032411E-3</v>
      </c>
      <c r="F19" s="41">
        <f ca="1">'Screener Output'!G79</f>
        <v>-3.2347689035833266E-2</v>
      </c>
      <c r="G19" s="41">
        <f ca="1">'Screener Output'!H79</f>
        <v>-3.6082948330633025E-2</v>
      </c>
      <c r="H19" s="41">
        <f ca="1">'Screener Output'!I79</f>
        <v>-2.1799391987005416E-2</v>
      </c>
      <c r="I19" s="41">
        <f ca="1">'Screener Output'!J79</f>
        <v>-4.4570420558874231E-2</v>
      </c>
      <c r="J19" s="41">
        <f ca="1">'Screener Output'!K79</f>
        <v>-4.1465996471488964E-2</v>
      </c>
      <c r="K19" s="41">
        <f ca="1">'Screener Output'!L79</f>
        <v>-4.5579607820301925E-2</v>
      </c>
    </row>
    <row r="20" spans="1:11" x14ac:dyDescent="0.25">
      <c r="A20" t="s">
        <v>192</v>
      </c>
      <c r="B20" s="40"/>
      <c r="C20" s="40">
        <f ca="1">'Screener Output'!D16/'Screener Output'!D84</f>
        <v>0.31874494239143003</v>
      </c>
      <c r="D20" s="40">
        <f ca="1">'Screener Output'!E16/'Screener Output'!E84</f>
        <v>6.4475476978596832E-2</v>
      </c>
      <c r="E20" s="40">
        <f ca="1">'Screener Output'!F16/'Screener Output'!F84</f>
        <v>0.10532879274785363</v>
      </c>
      <c r="F20" s="40">
        <f ca="1">'Screener Output'!G16/'Screener Output'!G84</f>
        <v>0.17030760436188921</v>
      </c>
      <c r="G20" s="40">
        <f ca="1">'Screener Output'!H16/'Screener Output'!H84</f>
        <v>7.6755983567020958E-2</v>
      </c>
      <c r="H20" s="40">
        <f ca="1">'Screener Output'!I16/'Screener Output'!I84</f>
        <v>5.3812673927068587E-2</v>
      </c>
      <c r="I20" s="40">
        <f ca="1">'Screener Output'!J16/'Screener Output'!J84</f>
        <v>-1.8707249247360822E-2</v>
      </c>
      <c r="J20" s="40">
        <f ca="1">'Screener Output'!K16/'Screener Output'!K84</f>
        <v>2.6713950118358643E-2</v>
      </c>
      <c r="K20" s="40">
        <f ca="1">'Screener Output'!L16/'Screener Output'!L84</f>
        <v>3.6552511984284303E-2</v>
      </c>
    </row>
    <row r="21" spans="1:11" x14ac:dyDescent="0.25">
      <c r="A21" t="s">
        <v>194</v>
      </c>
      <c r="B21" s="40">
        <f ca="1">'Screener Output'!C18/SUM('Screener Output'!C35:C36)</f>
        <v>0.2276104660795534</v>
      </c>
      <c r="C21" s="40">
        <f ca="1">'Screener Output'!D18/SUM('Screener Output'!D35:D36)</f>
        <v>0.24357057718337743</v>
      </c>
      <c r="D21" s="40">
        <f ca="1">'Screener Output'!E18/SUM('Screener Output'!E35:E36)</f>
        <v>5.7333178195357506E-2</v>
      </c>
      <c r="E21" s="40">
        <f ca="1">'Screener Output'!F18/SUM('Screener Output'!F35:F36)</f>
        <v>9.7771865646824066E-2</v>
      </c>
      <c r="F21" s="40">
        <f ca="1">'Screener Output'!G18/SUM('Screener Output'!G35:G36)</f>
        <v>0.14362302021869536</v>
      </c>
      <c r="G21" s="40">
        <f ca="1">'Screener Output'!H18/SUM('Screener Output'!H35:H36)</f>
        <v>7.2143915475257739E-2</v>
      </c>
      <c r="H21" s="40">
        <f ca="1">'Screener Output'!I18/SUM('Screener Output'!I35:I36)</f>
        <v>7.1841887728263332E-2</v>
      </c>
      <c r="I21" s="40">
        <f ca="1">'Screener Output'!J18/SUM('Screener Output'!J35:J36)</f>
        <v>-5.0303276614344101E-3</v>
      </c>
      <c r="J21" s="40">
        <f ca="1">'Screener Output'!K18/SUM('Screener Output'!K35:K36)</f>
        <v>5.9347610534924627E-2</v>
      </c>
      <c r="K21" s="40">
        <f ca="1">'Screener Output'!L18/SUM('Screener Output'!L35:L36)</f>
        <v>5.7775545172411423E-2</v>
      </c>
    </row>
    <row r="22" spans="1:11" x14ac:dyDescent="0.25">
      <c r="A22" t="s">
        <v>195</v>
      </c>
      <c r="B22" s="40">
        <f ca="1">'Screener Output'!C18/SUM('Screener Output'!C35:C37)</f>
        <v>0.12007664896120486</v>
      </c>
      <c r="C22" s="40">
        <f ca="1">'Screener Output'!D18/SUM('Screener Output'!D35:D37)</f>
        <v>0.12613314781007579</v>
      </c>
      <c r="D22" s="40">
        <f ca="1">'Screener Output'!E18/SUM('Screener Output'!E35:E37)</f>
        <v>2.915206105515375E-2</v>
      </c>
      <c r="E22" s="40">
        <f ca="1">'Screener Output'!F18/SUM('Screener Output'!F35:F37)</f>
        <v>4.9848319601140119E-2</v>
      </c>
      <c r="F22" s="40">
        <f ca="1">'Screener Output'!G18/SUM('Screener Output'!G35:G37)</f>
        <v>6.8633155898881901E-2</v>
      </c>
      <c r="G22" s="40">
        <f ca="1">'Screener Output'!H18/SUM('Screener Output'!H35:H37)</f>
        <v>3.1845279878919455E-2</v>
      </c>
      <c r="H22" s="40">
        <f ca="1">'Screener Output'!I18/SUM('Screener Output'!I35:I37)</f>
        <v>2.959834794158351E-2</v>
      </c>
      <c r="I22" s="40">
        <f ca="1">'Screener Output'!J18/SUM('Screener Output'!J35:J37)</f>
        <v>-2.0380645842783202E-3</v>
      </c>
      <c r="J22" s="40">
        <f ca="1">'Screener Output'!K18/SUM('Screener Output'!K35:K37)</f>
        <v>2.3083960869871207E-2</v>
      </c>
      <c r="K22" s="40">
        <f ca="1">'Screener Output'!L18/SUM('Screener Output'!L35:L37)</f>
        <v>2.4170610656256836E-2</v>
      </c>
    </row>
    <row r="23" spans="1:11" x14ac:dyDescent="0.25">
      <c r="A23" t="s">
        <v>196</v>
      </c>
      <c r="D23" s="40">
        <f ca="1">'Screener Output'!E105</f>
        <v>0.17065521481138296</v>
      </c>
      <c r="E23" s="40">
        <f ca="1">'Screener Output'!F105</f>
        <v>0.13052065949564604</v>
      </c>
      <c r="F23" s="40">
        <f ca="1">'Screener Output'!G105</f>
        <v>0.10204748259120132</v>
      </c>
      <c r="G23" s="40">
        <f ca="1">'Screener Output'!H105</f>
        <v>0.10413483022094722</v>
      </c>
      <c r="H23" s="40">
        <f ca="1">'Screener Output'!I105</f>
        <v>9.479602748600853E-2</v>
      </c>
      <c r="I23" s="40">
        <f ca="1">'Screener Output'!J105</f>
        <v>4.6392856050643749E-2</v>
      </c>
      <c r="J23" s="40">
        <f ca="1">'Screener Output'!K105</f>
        <v>4.2584551647213476E-2</v>
      </c>
      <c r="K23" s="40">
        <f ca="1">'Screener Output'!L105</f>
        <v>3.8511810852406021E-2</v>
      </c>
    </row>
    <row r="24" spans="1:11" x14ac:dyDescent="0.25">
      <c r="A24" t="s">
        <v>228</v>
      </c>
      <c r="B24" s="40">
        <f ca="1">B10/B35</f>
        <v>1.0319799025259491</v>
      </c>
      <c r="C24" s="40">
        <f ca="1">C10/C35</f>
        <v>0.2642502487875743</v>
      </c>
      <c r="D24" s="40">
        <f ca="1">D10/D35</f>
        <v>9.0530748378442161E-2</v>
      </c>
      <c r="E24" s="40">
        <f ca="1">E10/E35</f>
        <v>0.13476556533176837</v>
      </c>
      <c r="F24" s="40">
        <f ca="1">F10/F35</f>
        <v>0.16018640318027577</v>
      </c>
      <c r="G24" s="40">
        <f ca="1">G10/G35</f>
        <v>6.5677742390019431E-2</v>
      </c>
      <c r="H24" s="40">
        <f ca="1">H10/H35</f>
        <v>2.2514805234967215E-2</v>
      </c>
      <c r="I24" s="40">
        <f ca="1">I10/I35</f>
        <v>-1.6047280680003496E-3</v>
      </c>
      <c r="J24" s="40">
        <f ca="1">J10/J35</f>
        <v>1.5064152302611654E-2</v>
      </c>
      <c r="K24" s="40">
        <f ca="1">K10/K35</f>
        <v>1.6804344347525035E-2</v>
      </c>
    </row>
    <row r="26" spans="1:11" x14ac:dyDescent="0.25">
      <c r="A26" t="s">
        <v>197</v>
      </c>
      <c r="B26" s="56">
        <f ca="1">'Screener Output'!C5/'Screener Output'!C40</f>
        <v>1.2087080121213316</v>
      </c>
      <c r="C26" s="56">
        <f ca="1">'Screener Output'!D5/'Screener Output'!D40</f>
        <v>1.402176878427831</v>
      </c>
      <c r="D26" s="56">
        <f ca="1">'Screener Output'!E5/'Screener Output'!E40</f>
        <v>0.95742339106760121</v>
      </c>
      <c r="E26" s="56">
        <f ca="1">'Screener Output'!F5/'Screener Output'!F40</f>
        <v>1.2924555979327932</v>
      </c>
      <c r="F26" s="56">
        <f ca="1">'Screener Output'!G5/'Screener Output'!G40</f>
        <v>1.4324102020758254</v>
      </c>
      <c r="G26" s="56">
        <f ca="1">'Screener Output'!H5/'Screener Output'!H40</f>
        <v>1.3086526591750767</v>
      </c>
      <c r="H26" s="56">
        <f ca="1">'Screener Output'!I5/'Screener Output'!I40</f>
        <v>0.89334365924491765</v>
      </c>
      <c r="I26" s="56">
        <f ca="1">'Screener Output'!J5/'Screener Output'!J40</f>
        <v>0.96007050692426366</v>
      </c>
      <c r="J26" s="56">
        <f ca="1">'Screener Output'!K5/'Screener Output'!K40</f>
        <v>1.0297451828159385</v>
      </c>
      <c r="K26" s="56">
        <f ca="1">'Screener Output'!L5/'Screener Output'!L40</f>
        <v>1.2214517884246399</v>
      </c>
    </row>
    <row r="27" spans="1:11" x14ac:dyDescent="0.25">
      <c r="A27" t="s">
        <v>198</v>
      </c>
      <c r="B27" s="56">
        <f ca="1">'Screener Output'!C45*365/DMS!B3</f>
        <v>6.9510751063673402</v>
      </c>
      <c r="C27" s="56">
        <f ca="1">'Screener Output'!D45*365/DMS!C3</f>
        <v>7.0967460583696749</v>
      </c>
      <c r="D27" s="56">
        <f ca="1">'Screener Output'!E45*365/DMS!D3</f>
        <v>7.7155055058083253</v>
      </c>
      <c r="E27" s="56">
        <f ca="1">'Screener Output'!F45*365/DMS!E3</f>
        <v>8.1238577498399405</v>
      </c>
      <c r="F27" s="56">
        <f ca="1">'Screener Output'!G45*365/DMS!F3</f>
        <v>8.9005328596802862</v>
      </c>
      <c r="G27" s="56">
        <f ca="1">'Screener Output'!H45*365/DMS!G3</f>
        <v>0.14375668579208403</v>
      </c>
      <c r="H27" s="56">
        <f ca="1">'Screener Output'!I45*365/DMS!H3</f>
        <v>11.152224042721038</v>
      </c>
      <c r="I27" s="56">
        <f ca="1">'Screener Output'!J45*365/DMS!I3</f>
        <v>13.443078802221502</v>
      </c>
      <c r="J27" s="56">
        <f ca="1">'Screener Output'!K45*365/DMS!J3</f>
        <v>11.224363577640265</v>
      </c>
      <c r="K27" s="56">
        <f ca="1">'Screener Output'!L45*365/DMS!K3</f>
        <v>10.369737555500198</v>
      </c>
    </row>
    <row r="28" spans="1:11" x14ac:dyDescent="0.25">
      <c r="A28" t="s">
        <v>199</v>
      </c>
      <c r="B28" s="56">
        <f ca="1">'Screener Output'!C46*365/('Screener Output'!C6+'Screener Output'!C7+'Screener Output'!C8+'Screener Output'!C9+'Screener Output'!C10)</f>
        <v>37.751127960897357</v>
      </c>
      <c r="C28" s="56">
        <f ca="1">'Screener Output'!D46*365/('Screener Output'!D6+'Screener Output'!D7+'Screener Output'!D8+'Screener Output'!D9+'Screener Output'!D10)</f>
        <v>38.00611361009372</v>
      </c>
      <c r="D28" s="56">
        <f ca="1">'Screener Output'!E46*365/('Screener Output'!E6+'Screener Output'!E7+'Screener Output'!E8+'Screener Output'!E9+'Screener Output'!E10)</f>
        <v>50.181484666093446</v>
      </c>
      <c r="E28" s="56">
        <f ca="1">'Screener Output'!F46*365/('Screener Output'!F6+'Screener Output'!F7+'Screener Output'!F8+'Screener Output'!F9+'Screener Output'!F10)</f>
        <v>45.223938343444345</v>
      </c>
      <c r="F28" s="56">
        <f ca="1">'Screener Output'!G46*365/('Screener Output'!G6+'Screener Output'!G7+'Screener Output'!G8+'Screener Output'!G9+'Screener Output'!G10)</f>
        <v>38.939301042305331</v>
      </c>
      <c r="G28" s="56">
        <f ca="1">'Screener Output'!H46*365/('Screener Output'!H6+'Screener Output'!H7+'Screener Output'!H8+'Screener Output'!H9+'Screener Output'!H10)</f>
        <v>47.887736699729487</v>
      </c>
      <c r="H28" s="56">
        <f ca="1">'Screener Output'!I46*365/('Screener Output'!I6+'Screener Output'!I7+'Screener Output'!I8+'Screener Output'!I9+'Screener Output'!I10)</f>
        <v>57.416163365291219</v>
      </c>
      <c r="I28" s="56">
        <f ca="1">'Screener Output'!J46*365/('Screener Output'!J6+'Screener Output'!J7+'Screener Output'!J8+'Screener Output'!J9+'Screener Output'!J10)</f>
        <v>55.077534454530053</v>
      </c>
      <c r="J28" s="56">
        <f ca="1">'Screener Output'!K46*365/('Screener Output'!K6+'Screener Output'!K7+'Screener Output'!K8+'Screener Output'!K9+'Screener Output'!K10)</f>
        <v>61.132050431320486</v>
      </c>
      <c r="K28" s="56">
        <f ca="1">'Screener Output'!L46*365/('Screener Output'!L6+'Screener Output'!L7+'Screener Output'!L8+'Screener Output'!L9+'Screener Output'!L10)</f>
        <v>56.064744158103075</v>
      </c>
    </row>
    <row r="29" spans="1:11" x14ac:dyDescent="0.25">
      <c r="A29" t="s">
        <v>200</v>
      </c>
      <c r="B29" s="56">
        <f ca="1">'Screener Output'!C40</f>
        <v>1013.09</v>
      </c>
      <c r="C29" s="56">
        <f ca="1">'Screener Output'!D40</f>
        <v>1062.99</v>
      </c>
      <c r="D29" s="56">
        <f ca="1">'Screener Output'!E40</f>
        <v>1381.04</v>
      </c>
      <c r="E29" s="56">
        <f ca="1">'Screener Output'!F40</f>
        <v>1329.33</v>
      </c>
      <c r="F29" s="56">
        <f ca="1">'Screener Output'!G40</f>
        <v>1434.61</v>
      </c>
      <c r="G29" s="56">
        <f ca="1">'Screener Output'!H40</f>
        <v>1571.54</v>
      </c>
      <c r="H29" s="56">
        <f ca="1">'Screener Output'!I40</f>
        <v>2582.5</v>
      </c>
      <c r="I29" s="56">
        <f ca="1">'Screener Output'!J40</f>
        <v>2728.81</v>
      </c>
      <c r="J29" s="56">
        <f ca="1">'Screener Output'!K40</f>
        <v>2826.34</v>
      </c>
      <c r="K29" s="56">
        <f ca="1">'Screener Output'!L40</f>
        <v>2793.52</v>
      </c>
    </row>
    <row r="30" spans="1:11" x14ac:dyDescent="0.25">
      <c r="A30" t="s">
        <v>201</v>
      </c>
      <c r="B30" s="56">
        <f ca="1">'Screener Output'!C41</f>
        <v>97.04</v>
      </c>
      <c r="C30" s="56">
        <f ca="1">'Screener Output'!D41</f>
        <v>181.95</v>
      </c>
      <c r="D30" s="56">
        <f ca="1">'Screener Output'!E41</f>
        <v>40.9</v>
      </c>
      <c r="E30" s="56">
        <f ca="1">'Screener Output'!F41</f>
        <v>294.05</v>
      </c>
      <c r="F30" s="56">
        <f ca="1">'Screener Output'!G41</f>
        <v>688.06</v>
      </c>
      <c r="G30" s="56">
        <f ca="1">'Screener Output'!H41</f>
        <v>908.36</v>
      </c>
      <c r="H30" s="56">
        <f ca="1">'Screener Output'!I41</f>
        <v>361.46</v>
      </c>
      <c r="I30" s="56">
        <f ca="1">'Screener Output'!J41</f>
        <v>283.08999999999997</v>
      </c>
      <c r="J30" s="56">
        <f ca="1">'Screener Output'!K41</f>
        <v>205.08</v>
      </c>
      <c r="K30" s="56">
        <f ca="1">'Screener Output'!L41</f>
        <v>228.08</v>
      </c>
    </row>
    <row r="31" spans="1:11" x14ac:dyDescent="0.25">
      <c r="A31" t="s">
        <v>202</v>
      </c>
      <c r="B31" s="56">
        <f ca="1">'Screener Output'!C35</f>
        <v>61.19</v>
      </c>
      <c r="C31" s="56">
        <f ca="1">'Screener Output'!D35</f>
        <v>61.19</v>
      </c>
      <c r="D31" s="56">
        <f ca="1">'Screener Output'!E35</f>
        <v>61.19</v>
      </c>
      <c r="E31" s="56">
        <f ca="1">'Screener Output'!F35</f>
        <v>61.19</v>
      </c>
      <c r="F31" s="56">
        <f ca="1">'Screener Output'!G35</f>
        <v>58.85</v>
      </c>
      <c r="G31" s="56">
        <f ca="1">'Screener Output'!H35</f>
        <v>58.85</v>
      </c>
      <c r="H31" s="56">
        <f ca="1">'Screener Output'!I35</f>
        <v>58.85</v>
      </c>
      <c r="I31" s="56">
        <f ca="1">'Screener Output'!J35</f>
        <v>58.85</v>
      </c>
      <c r="J31" s="56">
        <f ca="1">'Screener Output'!K35</f>
        <v>58.85</v>
      </c>
      <c r="K31" s="56">
        <f ca="1">'Screener Output'!L35</f>
        <v>58.85</v>
      </c>
    </row>
    <row r="32" spans="1:11" x14ac:dyDescent="0.25">
      <c r="A32" t="s">
        <v>203</v>
      </c>
      <c r="B32" s="56">
        <f ca="1">'Screener Output'!C19</f>
        <v>24.48</v>
      </c>
      <c r="C32" s="56">
        <f ca="1">'Screener Output'!D19</f>
        <v>30.59</v>
      </c>
      <c r="D32" s="56">
        <f ca="1">'Screener Output'!E19</f>
        <v>15.3</v>
      </c>
      <c r="E32" s="56">
        <f ca="1">'Screener Output'!F19</f>
        <v>24.48</v>
      </c>
      <c r="F32" s="56">
        <f ca="1">'Screener Output'!G19</f>
        <v>29.43</v>
      </c>
      <c r="G32" s="56">
        <f ca="1">'Screener Output'!H19</f>
        <v>23.54</v>
      </c>
      <c r="H32" s="56">
        <f ca="1">'Screener Output'!I19</f>
        <v>23.54</v>
      </c>
      <c r="I32" s="56">
        <f ca="1">'Screener Output'!J19</f>
        <v>2.94</v>
      </c>
      <c r="J32" s="56">
        <f ca="1">'Screener Output'!K19</f>
        <v>8.83</v>
      </c>
      <c r="K32" s="56">
        <f ca="1">'Screener Output'!L19</f>
        <v>8.83</v>
      </c>
    </row>
    <row r="33" spans="1:12" x14ac:dyDescent="0.25">
      <c r="A33" t="s">
        <v>204</v>
      </c>
      <c r="B33" s="40">
        <f ca="1">B32/B10</f>
        <v>0.13707374433058961</v>
      </c>
      <c r="C33" s="40">
        <f ca="1">C32/C10</f>
        <v>0.12686102932028367</v>
      </c>
      <c r="D33" s="40">
        <f ca="1">D32/D10</f>
        <v>0.25875190258751901</v>
      </c>
      <c r="E33" s="40">
        <f ca="1">E32/E10</f>
        <v>0.22504136789851076</v>
      </c>
      <c r="F33" s="40">
        <f ca="1">F32/F10</f>
        <v>0.1674632980539433</v>
      </c>
      <c r="G33" s="40">
        <f ca="1">G32/G10</f>
        <v>0.25311827956989247</v>
      </c>
      <c r="H33" s="40">
        <f ca="1">H32/H10</f>
        <v>0.24623430962343096</v>
      </c>
      <c r="I33" s="40">
        <f ca="1">I32/I10</f>
        <v>-0.44817073170731708</v>
      </c>
      <c r="J33" s="40">
        <f ca="1">J32/J10</f>
        <v>0.10768292682926829</v>
      </c>
      <c r="K33" s="40">
        <f ca="1">K32/K10</f>
        <v>0.10516912815626489</v>
      </c>
    </row>
    <row r="34" spans="1:12" x14ac:dyDescent="0.25">
      <c r="A34" t="s">
        <v>205</v>
      </c>
      <c r="B34" s="56">
        <f ca="1">'Screener Output'!C95/'Screener Output'!C18</f>
        <v>0.96901111887191538</v>
      </c>
      <c r="C34" s="56">
        <f ca="1">'Screener Output'!D95/'Screener Output'!D18</f>
        <v>3.7842916121675283</v>
      </c>
      <c r="D34" s="56">
        <f ca="1">'Screener Output'!E95/'Screener Output'!E18</f>
        <v>11.045970765863316</v>
      </c>
      <c r="E34" s="56">
        <f ca="1">'Screener Output'!F95/'Screener Output'!F18</f>
        <v>7.420293140448611</v>
      </c>
      <c r="F34" s="56">
        <f ca="1">'Screener Output'!G95/'Screener Output'!G18</f>
        <v>6.2427270988448846</v>
      </c>
      <c r="G34" s="56">
        <f ca="1">'Screener Output'!H95/'Screener Output'!H18</f>
        <v>15.225858313789463</v>
      </c>
      <c r="H34" s="56">
        <f ca="1">'Screener Output'!I95/'Screener Output'!I18</f>
        <v>44.41521876666841</v>
      </c>
      <c r="I34" s="56">
        <f ca="1">'Screener Output'!J95/'Screener Output'!J18</f>
        <v>-623.1585400298377</v>
      </c>
      <c r="J34" s="56">
        <f ca="1">'Screener Output'!K95/'Screener Output'!K18</f>
        <v>66.382759541446703</v>
      </c>
      <c r="K34" s="56">
        <f ca="1">'Screener Output'!L95/'Screener Output'!L18</f>
        <v>59.508421115357656</v>
      </c>
      <c r="L34" s="56">
        <f ca="1">'Screener Output'!M95/'Screener Output'!M18</f>
        <v>57.759337396468197</v>
      </c>
    </row>
    <row r="35" spans="1:12" x14ac:dyDescent="0.25">
      <c r="A35" t="s">
        <v>206</v>
      </c>
      <c r="B35" s="56">
        <f ca="1">'Screener Output'!C95</f>
        <v>173.05569571933538</v>
      </c>
      <c r="C35" s="56">
        <f ca="1">'Screener Output'!D95</f>
        <v>912.50623644195605</v>
      </c>
      <c r="D35" s="56">
        <f ca="1">'Screener Output'!E95</f>
        <v>653.14825138549793</v>
      </c>
      <c r="E35" s="56">
        <f ca="1">'Screener Output'!F95</f>
        <v>807.17948781799987</v>
      </c>
      <c r="F35" s="56">
        <f ca="1">'Screener Output'!G95</f>
        <v>1097.096860351</v>
      </c>
      <c r="G35" s="56">
        <f ca="1">'Screener Output'!H95</f>
        <v>1416.0048231824201</v>
      </c>
      <c r="H35" s="56">
        <f ca="1">'Screener Output'!I95</f>
        <v>4246.0949140934999</v>
      </c>
      <c r="I35" s="56">
        <f ca="1">'Screener Output'!J95</f>
        <v>4087.9200225957352</v>
      </c>
      <c r="J35" s="56">
        <f ca="1">'Screener Output'!K95</f>
        <v>5443.3862823986292</v>
      </c>
      <c r="K35" s="56">
        <f ca="1">'Screener Output'!L95</f>
        <v>4996.3270368454287</v>
      </c>
      <c r="L35" s="56">
        <f ca="1">'Screener Output'!M95</f>
        <v>3696.0200000000004</v>
      </c>
    </row>
    <row r="36" spans="1:12" x14ac:dyDescent="0.25">
      <c r="A36" t="s">
        <v>184</v>
      </c>
      <c r="B36" s="56">
        <f ca="1">'Screener Output'!C42+'Screener Output'!C47</f>
        <v>415.58000000000004</v>
      </c>
      <c r="C36" s="56">
        <f ca="1">'Screener Output'!D42+'Screener Output'!D47</f>
        <v>700.92</v>
      </c>
      <c r="D36" s="56">
        <f ca="1">'Screener Output'!E42+'Screener Output'!E47</f>
        <v>616.51</v>
      </c>
      <c r="E36" s="56">
        <f ca="1">'Screener Output'!F42+'Screener Output'!F47</f>
        <v>542.78</v>
      </c>
      <c r="F36" s="56">
        <f ca="1">'Screener Output'!G42+'Screener Output'!G47</f>
        <v>419.10999999999996</v>
      </c>
      <c r="G36" s="56">
        <f ca="1">'Screener Output'!H42+'Screener Output'!H47</f>
        <v>482.94</v>
      </c>
      <c r="H36" s="56">
        <f ca="1">'Screener Output'!I42+'Screener Output'!I47</f>
        <v>438.09000000000003</v>
      </c>
      <c r="I36" s="56">
        <f ca="1">'Screener Output'!J42+'Screener Output'!J47</f>
        <v>449.37</v>
      </c>
      <c r="J36" s="56">
        <f ca="1">'Screener Output'!K42+'Screener Output'!K47</f>
        <v>818.17000000000007</v>
      </c>
      <c r="K36" s="56">
        <f ca="1">'Screener Output'!L42+'Screener Output'!L47</f>
        <v>805.72</v>
      </c>
    </row>
    <row r="38" spans="1:12" x14ac:dyDescent="0.25">
      <c r="A38" t="s">
        <v>183</v>
      </c>
      <c r="B38" s="56">
        <f ca="1">'Screener Output'!C37</f>
        <v>702.67</v>
      </c>
      <c r="C38" s="56">
        <f ca="1">'Screener Output'!D37</f>
        <v>921.73</v>
      </c>
      <c r="D38" s="56">
        <f ca="1">'Screener Output'!E37</f>
        <v>996.99</v>
      </c>
      <c r="E38" s="56">
        <f ca="1">'Screener Output'!F37</f>
        <v>1069.6300000000001</v>
      </c>
      <c r="F38" s="56">
        <f ca="1">'Screener Output'!G37</f>
        <v>1336.95</v>
      </c>
      <c r="G38" s="56">
        <f ca="1">'Screener Output'!H37</f>
        <v>1631.28</v>
      </c>
      <c r="H38" s="56">
        <f ca="1">'Screener Output'!I37</f>
        <v>1899.21</v>
      </c>
      <c r="I38" s="56">
        <f ca="1">'Screener Output'!J37</f>
        <v>1914.65</v>
      </c>
      <c r="J38" s="56">
        <f ca="1">'Screener Output'!K37</f>
        <v>2170.56</v>
      </c>
      <c r="K38" s="56">
        <f ca="1">'Screener Output'!L37</f>
        <v>2020.43</v>
      </c>
    </row>
    <row r="39" spans="1:12" x14ac:dyDescent="0.25">
      <c r="A39" t="s">
        <v>207</v>
      </c>
      <c r="B39" s="56">
        <f ca="1">'Screener Output'!C35+'Screener Output'!C36</f>
        <v>784.63000000000011</v>
      </c>
      <c r="C39" s="56">
        <f ca="1">'Screener Output'!D35+'Screener Output'!D36</f>
        <v>989.98</v>
      </c>
      <c r="D39" s="56">
        <f ca="1">'Screener Output'!E35+'Screener Output'!E36</f>
        <v>1031.3399999999999</v>
      </c>
      <c r="E39" s="56">
        <f ca="1">'Screener Output'!F35+'Screener Output'!F36</f>
        <v>1112.5900000000001</v>
      </c>
      <c r="F39" s="56">
        <f ca="1">'Screener Output'!G35+'Screener Output'!G36</f>
        <v>1223.6199999999999</v>
      </c>
      <c r="G39" s="56">
        <f ca="1">'Screener Output'!H35+'Screener Output'!H36</f>
        <v>1289.0899999999999</v>
      </c>
      <c r="H39" s="56">
        <f ca="1">'Screener Output'!I35+'Screener Output'!I36</f>
        <v>1330.6999999999998</v>
      </c>
      <c r="I39" s="56">
        <f ca="1">'Screener Output'!J35+'Screener Output'!J36</f>
        <v>1304.0899999999999</v>
      </c>
      <c r="J39" s="56">
        <f ca="1">'Screener Output'!K35+'Screener Output'!K36</f>
        <v>1381.6899999999998</v>
      </c>
      <c r="K39" s="56">
        <f ca="1">'Screener Output'!L35+'Screener Output'!L36</f>
        <v>1453.2099999999998</v>
      </c>
    </row>
    <row r="40" spans="1:12" x14ac:dyDescent="0.25">
      <c r="A40" t="s">
        <v>208</v>
      </c>
      <c r="B40" s="40">
        <f ca="1">B38/B39</f>
        <v>0.89554312223595822</v>
      </c>
      <c r="C40" s="40">
        <f t="shared" ref="C40:K40" ca="1" si="2">C38/C39</f>
        <v>0.93105921331744079</v>
      </c>
      <c r="D40" s="40">
        <f t="shared" ca="1" si="2"/>
        <v>0.9666938158124383</v>
      </c>
      <c r="E40" s="40">
        <f t="shared" ca="1" si="2"/>
        <v>0.96138739337941193</v>
      </c>
      <c r="F40" s="40">
        <f t="shared" ca="1" si="2"/>
        <v>1.0926186234288424</v>
      </c>
      <c r="G40" s="40">
        <f t="shared" ca="1" si="2"/>
        <v>1.2654508218976177</v>
      </c>
      <c r="H40" s="40">
        <f t="shared" ca="1" si="2"/>
        <v>1.427226271886977</v>
      </c>
      <c r="I40" s="40">
        <f t="shared" ca="1" si="2"/>
        <v>1.468188545269115</v>
      </c>
      <c r="J40" s="40">
        <f t="shared" ca="1" si="2"/>
        <v>1.5709457258864146</v>
      </c>
      <c r="K40" s="40">
        <f t="shared" ca="1" si="2"/>
        <v>1.3903221144913676</v>
      </c>
    </row>
    <row r="41" spans="1:12" x14ac:dyDescent="0.25">
      <c r="A41" t="s">
        <v>209</v>
      </c>
      <c r="B41" s="58">
        <v>0.125</v>
      </c>
    </row>
    <row r="42" spans="1:12" x14ac:dyDescent="0.25">
      <c r="A42" t="s">
        <v>210</v>
      </c>
      <c r="B42" s="56">
        <f ca="1">'Screener Output'!C15</f>
        <v>49.51</v>
      </c>
      <c r="C42" s="56">
        <f ca="1">'Screener Output'!D15</f>
        <v>54.98</v>
      </c>
      <c r="D42" s="56">
        <f ca="1">'Screener Output'!E15</f>
        <v>60.48</v>
      </c>
      <c r="E42" s="56">
        <f ca="1">'Screener Output'!F15</f>
        <v>79.66</v>
      </c>
      <c r="F42" s="56">
        <f ca="1">'Screener Output'!G15</f>
        <v>83.54</v>
      </c>
      <c r="G42" s="56">
        <f ca="1">'Screener Output'!H15</f>
        <v>77.19</v>
      </c>
      <c r="H42" s="56">
        <f ca="1">'Screener Output'!I15</f>
        <v>90.74</v>
      </c>
      <c r="I42" s="56">
        <f ca="1">'Screener Output'!J15</f>
        <v>196.69</v>
      </c>
      <c r="J42" s="56">
        <f ca="1">'Screener Output'!K15</f>
        <v>188.65</v>
      </c>
      <c r="K42" s="56">
        <f ca="1">'Screener Output'!L15</f>
        <v>197.48</v>
      </c>
    </row>
    <row r="43" spans="1:12" x14ac:dyDescent="0.25">
      <c r="A43" t="s">
        <v>211</v>
      </c>
      <c r="B43" s="56">
        <f ca="1">B10/B42</f>
        <v>3.6071500706927897</v>
      </c>
      <c r="C43" s="56">
        <f ca="1">C10/C42</f>
        <v>4.3857766460531105</v>
      </c>
      <c r="D43" s="56">
        <f ca="1">D10/D42</f>
        <v>0.97767857142857151</v>
      </c>
      <c r="E43" s="56">
        <f ca="1">E10/E42</f>
        <v>1.3655536028119508</v>
      </c>
      <c r="F43" s="56">
        <f ca="1">F10/F42</f>
        <v>2.1036629159683984</v>
      </c>
      <c r="G43" s="56">
        <f ca="1">G10/G42</f>
        <v>1.2048192771084338</v>
      </c>
      <c r="H43" s="56">
        <f ca="1">H10/H42</f>
        <v>1.0535596208948645</v>
      </c>
      <c r="I43" s="56">
        <f ca="1">I10/I42</f>
        <v>-3.3351975189384306E-2</v>
      </c>
      <c r="J43" s="56">
        <f ca="1">J10/J42</f>
        <v>0.43466737344288364</v>
      </c>
      <c r="K43" s="56">
        <f ca="1">K10/K42</f>
        <v>0.42515697792181484</v>
      </c>
    </row>
    <row r="45" spans="1:12" x14ac:dyDescent="0.25">
      <c r="A45" t="s">
        <v>179</v>
      </c>
      <c r="B45" s="56">
        <f ca="1">'Screener Output'!C54</f>
        <v>311.66000000000003</v>
      </c>
      <c r="C45" s="56">
        <f ca="1">'Screener Output'!D54</f>
        <v>356.59</v>
      </c>
      <c r="D45" s="56">
        <f ca="1">'Screener Output'!E54</f>
        <v>174.49</v>
      </c>
      <c r="E45" s="56">
        <f ca="1">'Screener Output'!F54</f>
        <v>377.82</v>
      </c>
      <c r="F45" s="56">
        <f ca="1">'Screener Output'!G54</f>
        <v>332.27</v>
      </c>
      <c r="G45" s="56">
        <f ca="1">'Screener Output'!H54</f>
        <v>354.54</v>
      </c>
      <c r="H45" s="56">
        <f ca="1">'Screener Output'!I54</f>
        <v>351.52</v>
      </c>
      <c r="I45" s="56">
        <f ca="1">'Screener Output'!J54</f>
        <v>297.55</v>
      </c>
      <c r="J45" s="56">
        <f ca="1">'Screener Output'!K54</f>
        <v>362.93</v>
      </c>
      <c r="K45" s="56">
        <f ca="1">'Screener Output'!L54</f>
        <v>456.47</v>
      </c>
    </row>
    <row r="46" spans="1:12" x14ac:dyDescent="0.25">
      <c r="A46" t="s">
        <v>212</v>
      </c>
      <c r="B46" s="56">
        <f ca="1">'Screener Output'!C55</f>
        <v>-265.56</v>
      </c>
      <c r="C46" s="56">
        <f ca="1">'Screener Output'!D55</f>
        <v>-585.74</v>
      </c>
      <c r="D46" s="56">
        <f ca="1">'Screener Output'!E55</f>
        <v>-317.45999999999998</v>
      </c>
      <c r="E46" s="56">
        <f ca="1">'Screener Output'!F55</f>
        <v>-353.55</v>
      </c>
      <c r="F46" s="56">
        <f ca="1">'Screener Output'!G55</f>
        <v>-488.36</v>
      </c>
      <c r="G46" s="56">
        <f ca="1">'Screener Output'!H55</f>
        <v>-515.6</v>
      </c>
      <c r="H46" s="56">
        <f ca="1">'Screener Output'!I55</f>
        <v>-406.17</v>
      </c>
      <c r="I46" s="56">
        <f ca="1">'Screener Output'!J55</f>
        <v>-70</v>
      </c>
      <c r="J46" s="56">
        <f ca="1">'Screener Output'!K55</f>
        <v>-415.61</v>
      </c>
      <c r="K46" s="56">
        <f ca="1">'Screener Output'!L55</f>
        <v>-88.82</v>
      </c>
    </row>
    <row r="47" spans="1:12" x14ac:dyDescent="0.25">
      <c r="A47" t="s">
        <v>213</v>
      </c>
      <c r="B47" s="56">
        <f ca="1">'Screener Output'!C56</f>
        <v>-67.010000000000005</v>
      </c>
      <c r="C47" s="56">
        <f ca="1">'Screener Output'!D56</f>
        <v>122.87</v>
      </c>
      <c r="D47" s="56">
        <f ca="1">'Screener Output'!E56</f>
        <v>13.92</v>
      </c>
      <c r="E47" s="56">
        <f ca="1">'Screener Output'!F56</f>
        <v>-24.76</v>
      </c>
      <c r="F47" s="56">
        <f ca="1">'Screener Output'!G56</f>
        <v>79.099999999999994</v>
      </c>
      <c r="G47" s="56">
        <f ca="1">'Screener Output'!H56</f>
        <v>183.62</v>
      </c>
      <c r="H47" s="56">
        <f ca="1">'Screener Output'!I56</f>
        <v>33.520000000000003</v>
      </c>
      <c r="I47" s="56">
        <f ca="1">'Screener Output'!J56</f>
        <v>-231.08</v>
      </c>
      <c r="J47" s="56">
        <f ca="1">'Screener Output'!K56</f>
        <v>49.9</v>
      </c>
      <c r="K47" s="56">
        <f ca="1">'Screener Output'!L56</f>
        <v>-365.04</v>
      </c>
    </row>
    <row r="48" spans="1:12" x14ac:dyDescent="0.25">
      <c r="A48" t="s">
        <v>214</v>
      </c>
      <c r="B48" s="56">
        <f ca="1">'Screener Output'!C57</f>
        <v>-20.91</v>
      </c>
      <c r="C48" s="56">
        <f ca="1">'Screener Output'!D57</f>
        <v>-106.28</v>
      </c>
      <c r="D48" s="56">
        <f ca="1">'Screener Output'!E57</f>
        <v>-129.05000000000001</v>
      </c>
      <c r="E48" s="56">
        <f ca="1">'Screener Output'!F57</f>
        <v>-0.49</v>
      </c>
      <c r="F48" s="56">
        <f ca="1">'Screener Output'!G57</f>
        <v>-76.989999999999995</v>
      </c>
      <c r="G48" s="56">
        <f ca="1">'Screener Output'!H57</f>
        <v>22.56</v>
      </c>
      <c r="H48" s="56">
        <f ca="1">'Screener Output'!I57</f>
        <v>-21.13</v>
      </c>
      <c r="I48" s="56">
        <f ca="1">'Screener Output'!J57</f>
        <v>-3.53</v>
      </c>
      <c r="J48" s="56">
        <f ca="1">'Screener Output'!K57</f>
        <v>-2.78</v>
      </c>
      <c r="K48" s="56">
        <f ca="1">'Screener Output'!L57</f>
        <v>2.61</v>
      </c>
    </row>
    <row r="50" spans="1:2" x14ac:dyDescent="0.25">
      <c r="A50" t="s">
        <v>215</v>
      </c>
      <c r="B50" s="57">
        <f ca="1">'Screener Output'!L36-'Screener Output'!C36</f>
        <v>670.91999999999985</v>
      </c>
    </row>
    <row r="51" spans="1:2" x14ac:dyDescent="0.25">
      <c r="A51" t="s">
        <v>216</v>
      </c>
      <c r="B51" s="57">
        <f ca="1">'Screener Output'!M95-'Screener Output'!C95</f>
        <v>3522.9643042806651</v>
      </c>
    </row>
    <row r="52" spans="1:2" x14ac:dyDescent="0.25">
      <c r="A52" t="s">
        <v>217</v>
      </c>
      <c r="B52" s="56">
        <f ca="1">B51/B50</f>
        <v>5.2509454246119747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111"/>
  <sheetViews>
    <sheetView tabSelected="1" topLeftCell="A4" workbookViewId="0">
      <pane xSplit="2" ySplit="1" topLeftCell="C80" activePane="bottomRight" state="frozen"/>
      <selection activeCell="A4" sqref="A4"/>
      <selection pane="topRight" activeCell="C4" sqref="C4"/>
      <selection pane="bottomLeft" activeCell="A5" sqref="A5"/>
      <selection pane="bottomRight" activeCell="A101" sqref="A101:XFD101"/>
    </sheetView>
  </sheetViews>
  <sheetFormatPr defaultRowHeight="15" x14ac:dyDescent="0.25"/>
  <cols>
    <col min="1" max="1" width="30" style="28" bestFit="1" customWidth="1"/>
    <col min="2" max="2" width="9.140625" style="25"/>
    <col min="3" max="11" width="11.140625" style="28" customWidth="1"/>
    <col min="12" max="12" width="16.7109375" style="28" customWidth="1"/>
    <col min="13" max="13" width="10" style="28" bestFit="1" customWidth="1"/>
    <col min="14" max="16384" width="9.140625" style="28"/>
  </cols>
  <sheetData>
    <row r="1" spans="1:14" x14ac:dyDescent="0.25">
      <c r="A1" s="26" t="str">
        <f ca="1">INDIRECT(ADDRESS(1,2,,,"Data Sheet"))</f>
        <v>JK LAKSHMI CEMENT LTD</v>
      </c>
      <c r="B1" s="23"/>
      <c r="C1" s="27"/>
      <c r="D1" s="27"/>
      <c r="E1" s="27"/>
      <c r="F1" s="27"/>
      <c r="G1" s="27"/>
      <c r="H1" s="27"/>
      <c r="I1" s="27"/>
      <c r="J1" s="27"/>
      <c r="K1" s="27"/>
      <c r="L1" s="27"/>
      <c r="M1" s="27"/>
      <c r="N1" s="27"/>
    </row>
    <row r="2" spans="1:14" x14ac:dyDescent="0.25">
      <c r="B2" s="23"/>
      <c r="C2" s="27"/>
      <c r="D2" s="27"/>
      <c r="E2" s="27"/>
      <c r="F2" s="27"/>
      <c r="G2" s="27"/>
      <c r="H2" s="27"/>
      <c r="I2" s="27"/>
      <c r="J2" s="27"/>
      <c r="K2" s="27"/>
      <c r="L2" s="27"/>
      <c r="M2" s="27"/>
      <c r="N2" s="27"/>
    </row>
    <row r="3" spans="1:14" s="5" customFormat="1" x14ac:dyDescent="0.25">
      <c r="A3" s="4" t="s">
        <v>28</v>
      </c>
      <c r="B3" s="24">
        <f t="shared" ref="B3" ca="1" si="0">MATCH(A3,INDIRECT("'Data Sheet'!A:A"),0)</f>
        <v>15</v>
      </c>
      <c r="C3" s="31" t="str">
        <f ca="1">"'Data Sheet'!A"&amp;B3&amp;":A999"</f>
        <v>'Data Sheet'!A15:A999</v>
      </c>
    </row>
    <row r="4" spans="1:14" x14ac:dyDescent="0.25">
      <c r="A4" s="3"/>
      <c r="B4" s="22">
        <f ca="1">MATCH("Report Date",INDIRECT(C3),0)+B3-1</f>
        <v>16</v>
      </c>
      <c r="C4" s="11">
        <f t="shared" ref="C4:L4" ca="1" si="1">INDIRECT(ADDRESS($B4,COLUMN()-1,,,"Data Sheet"))</f>
        <v>39903</v>
      </c>
      <c r="D4" s="11">
        <f t="shared" ca="1" si="1"/>
        <v>40268</v>
      </c>
      <c r="E4" s="11">
        <f t="shared" ca="1" si="1"/>
        <v>40633</v>
      </c>
      <c r="F4" s="11">
        <f t="shared" ca="1" si="1"/>
        <v>40999</v>
      </c>
      <c r="G4" s="11">
        <f t="shared" ca="1" si="1"/>
        <v>41364</v>
      </c>
      <c r="H4" s="11">
        <f t="shared" ca="1" si="1"/>
        <v>41729</v>
      </c>
      <c r="I4" s="11">
        <f t="shared" ca="1" si="1"/>
        <v>42094</v>
      </c>
      <c r="J4" s="11">
        <f t="shared" ca="1" si="1"/>
        <v>42460</v>
      </c>
      <c r="K4" s="11">
        <f t="shared" ca="1" si="1"/>
        <v>42825</v>
      </c>
      <c r="L4" s="11">
        <f t="shared" ca="1" si="1"/>
        <v>43190</v>
      </c>
      <c r="M4" s="28" t="s">
        <v>177</v>
      </c>
    </row>
    <row r="5" spans="1:14" s="9" customFormat="1" x14ac:dyDescent="0.25">
      <c r="A5" s="9" t="s">
        <v>13</v>
      </c>
      <c r="B5" s="24">
        <f ca="1">MATCH(A5,INDIRECT($C$3),0)+$B$3-1</f>
        <v>17</v>
      </c>
      <c r="C5" s="29">
        <f t="shared" ref="C5:L19" ca="1" si="2">INDIRECT(ADDRESS($B5,COLUMN()-1,,,"Data Sheet"))</f>
        <v>1224.53</v>
      </c>
      <c r="D5" s="29">
        <f t="shared" ca="1" si="2"/>
        <v>1490.5</v>
      </c>
      <c r="E5" s="29">
        <f t="shared" ca="1" si="2"/>
        <v>1322.24</v>
      </c>
      <c r="F5" s="29">
        <f t="shared" ca="1" si="2"/>
        <v>1718.1</v>
      </c>
      <c r="G5" s="29">
        <f t="shared" ca="1" si="2"/>
        <v>2054.9499999999998</v>
      </c>
      <c r="H5" s="29">
        <f t="shared" ca="1" si="2"/>
        <v>2056.6</v>
      </c>
      <c r="I5" s="29">
        <f t="shared" ca="1" si="2"/>
        <v>2307.06</v>
      </c>
      <c r="J5" s="29">
        <f t="shared" ca="1" si="2"/>
        <v>2619.85</v>
      </c>
      <c r="K5" s="29">
        <f t="shared" ca="1" si="2"/>
        <v>2910.41</v>
      </c>
      <c r="L5" s="29">
        <f t="shared" ca="1" si="2"/>
        <v>3412.15</v>
      </c>
      <c r="M5" s="43">
        <f ca="1">SUM(I23:L23)</f>
        <v>3509.2400000000002</v>
      </c>
    </row>
    <row r="6" spans="1:14" s="9" customFormat="1" x14ac:dyDescent="0.25">
      <c r="A6" s="5" t="s">
        <v>30</v>
      </c>
      <c r="B6" s="24">
        <f t="shared" ref="B6:B19" ca="1" si="3">MATCH(A6,INDIRECT($C$3),0)+$B$3-1</f>
        <v>18</v>
      </c>
      <c r="C6" s="29">
        <f t="shared" ca="1" si="2"/>
        <v>176.35</v>
      </c>
      <c r="D6" s="29">
        <f t="shared" ca="1" si="2"/>
        <v>236.51</v>
      </c>
      <c r="E6" s="29">
        <f t="shared" ca="1" si="2"/>
        <v>291.3</v>
      </c>
      <c r="F6" s="29">
        <f t="shared" ca="1" si="2"/>
        <v>366.93</v>
      </c>
      <c r="G6" s="29">
        <f t="shared" ca="1" si="2"/>
        <v>469.62</v>
      </c>
      <c r="H6" s="29">
        <f t="shared" ca="1" si="2"/>
        <v>548.5</v>
      </c>
      <c r="I6" s="29">
        <f t="shared" ca="1" si="2"/>
        <v>627.55999999999995</v>
      </c>
      <c r="J6" s="29">
        <f t="shared" ca="1" si="2"/>
        <v>710.19</v>
      </c>
      <c r="K6" s="29">
        <f t="shared" ca="1" si="2"/>
        <v>749.2</v>
      </c>
      <c r="L6" s="29">
        <f t="shared" ca="1" si="2"/>
        <v>826.35</v>
      </c>
    </row>
    <row r="7" spans="1:14" s="9" customFormat="1" x14ac:dyDescent="0.25">
      <c r="A7" s="5" t="s">
        <v>31</v>
      </c>
      <c r="B7" s="24">
        <f t="shared" ca="1" si="3"/>
        <v>19</v>
      </c>
      <c r="C7" s="29">
        <f t="shared" ca="1" si="2"/>
        <v>-6.07</v>
      </c>
      <c r="D7" s="29">
        <f t="shared" ca="1" si="2"/>
        <v>2.92</v>
      </c>
      <c r="E7" s="29">
        <f t="shared" ca="1" si="2"/>
        <v>35.06</v>
      </c>
      <c r="F7" s="29">
        <f t="shared" ca="1" si="2"/>
        <v>-0.57999999999999996</v>
      </c>
      <c r="G7" s="29">
        <f t="shared" ca="1" si="2"/>
        <v>-16.829999999999998</v>
      </c>
      <c r="H7" s="29">
        <f t="shared" ca="1" si="2"/>
        <v>-2.69</v>
      </c>
      <c r="I7" s="29">
        <f t="shared" ca="1" si="2"/>
        <v>42.51</v>
      </c>
      <c r="J7" s="29">
        <f t="shared" ca="1" si="2"/>
        <v>17.559999999999999</v>
      </c>
      <c r="K7" s="29">
        <f t="shared" ca="1" si="2"/>
        <v>-12.76</v>
      </c>
      <c r="L7" s="29">
        <f t="shared" ca="1" si="2"/>
        <v>47.97</v>
      </c>
    </row>
    <row r="8" spans="1:14" s="9" customFormat="1" x14ac:dyDescent="0.25">
      <c r="A8" s="5" t="s">
        <v>32</v>
      </c>
      <c r="B8" s="24">
        <f t="shared" ca="1" si="3"/>
        <v>20</v>
      </c>
      <c r="C8" s="29">
        <f t="shared" ca="1" si="2"/>
        <v>306.27</v>
      </c>
      <c r="D8" s="29">
        <f t="shared" ca="1" si="2"/>
        <v>289.95</v>
      </c>
      <c r="E8" s="29">
        <f t="shared" ca="1" si="2"/>
        <v>391.93</v>
      </c>
      <c r="F8" s="29">
        <f t="shared" ca="1" si="2"/>
        <v>413.63</v>
      </c>
      <c r="G8" s="29">
        <f t="shared" ca="1" si="2"/>
        <v>406.19</v>
      </c>
      <c r="H8" s="29">
        <f t="shared" ca="1" si="2"/>
        <v>422.02</v>
      </c>
      <c r="I8" s="29">
        <f t="shared" ca="1" si="2"/>
        <v>494.76</v>
      </c>
      <c r="J8" s="29">
        <f t="shared" ca="1" si="2"/>
        <v>546.74</v>
      </c>
      <c r="K8" s="29">
        <f t="shared" ca="1" si="2"/>
        <v>566.95000000000005</v>
      </c>
      <c r="L8" s="29">
        <f t="shared" ca="1" si="2"/>
        <v>795.87</v>
      </c>
    </row>
    <row r="9" spans="1:14" s="9" customFormat="1" x14ac:dyDescent="0.25">
      <c r="A9" s="5" t="s">
        <v>33</v>
      </c>
      <c r="B9" s="24">
        <f t="shared" ca="1" si="3"/>
        <v>21</v>
      </c>
      <c r="C9" s="29">
        <f t="shared" ca="1" si="2"/>
        <v>108.02</v>
      </c>
      <c r="D9" s="29">
        <f t="shared" ca="1" si="2"/>
        <v>124.33</v>
      </c>
      <c r="E9" s="29">
        <f t="shared" ca="1" si="2"/>
        <v>73.67</v>
      </c>
      <c r="F9" s="29">
        <f t="shared" ca="1" si="2"/>
        <v>90.87</v>
      </c>
      <c r="G9" s="29">
        <f t="shared" ca="1" si="2"/>
        <v>104.26</v>
      </c>
      <c r="H9" s="29">
        <f t="shared" ca="1" si="2"/>
        <v>106.94</v>
      </c>
      <c r="I9" s="29">
        <f t="shared" ca="1" si="2"/>
        <v>109.68</v>
      </c>
      <c r="J9" s="29">
        <f t="shared" ca="1" si="2"/>
        <v>125.27</v>
      </c>
      <c r="K9" s="29">
        <f t="shared" ca="1" si="2"/>
        <v>145.91999999999999</v>
      </c>
      <c r="L9" s="29">
        <f t="shared" ca="1" si="2"/>
        <v>158.83000000000001</v>
      </c>
    </row>
    <row r="10" spans="1:14" s="9" customFormat="1" x14ac:dyDescent="0.25">
      <c r="A10" s="5" t="s">
        <v>7</v>
      </c>
      <c r="B10" s="24">
        <f t="shared" ca="1" si="3"/>
        <v>22</v>
      </c>
      <c r="C10" s="29">
        <f t="shared" ca="1" si="2"/>
        <v>53.75</v>
      </c>
      <c r="D10" s="29">
        <f t="shared" ca="1" si="2"/>
        <v>64.36</v>
      </c>
      <c r="E10" s="29">
        <f t="shared" ca="1" si="2"/>
        <v>80.290000000000006</v>
      </c>
      <c r="F10" s="29">
        <f t="shared" ca="1" si="2"/>
        <v>98.39</v>
      </c>
      <c r="G10" s="29">
        <f t="shared" ca="1" si="2"/>
        <v>113.22</v>
      </c>
      <c r="H10" s="29">
        <f t="shared" ca="1" si="2"/>
        <v>122.95</v>
      </c>
      <c r="I10" s="29">
        <f t="shared" ca="1" si="2"/>
        <v>146.11000000000001</v>
      </c>
      <c r="J10" s="29">
        <f t="shared" ca="1" si="2"/>
        <v>194.37</v>
      </c>
      <c r="K10" s="29">
        <f t="shared" ca="1" si="2"/>
        <v>208.39</v>
      </c>
      <c r="L10" s="29">
        <f t="shared" ca="1" si="2"/>
        <v>234.95</v>
      </c>
    </row>
    <row r="11" spans="1:14" s="9" customFormat="1" x14ac:dyDescent="0.25">
      <c r="A11" s="5" t="s">
        <v>34</v>
      </c>
      <c r="B11" s="24">
        <f t="shared" ca="1" si="3"/>
        <v>23</v>
      </c>
      <c r="C11" s="29">
        <f t="shared" ca="1" si="2"/>
        <v>237.07</v>
      </c>
      <c r="D11" s="29">
        <f t="shared" ca="1" si="2"/>
        <v>314.95</v>
      </c>
      <c r="E11" s="29">
        <f t="shared" ca="1" si="2"/>
        <v>329.17</v>
      </c>
      <c r="F11" s="29">
        <f t="shared" ca="1" si="2"/>
        <v>407.99</v>
      </c>
      <c r="G11" s="29">
        <f t="shared" ca="1" si="2"/>
        <v>516.01</v>
      </c>
      <c r="H11" s="29">
        <f t="shared" ca="1" si="2"/>
        <v>551.34</v>
      </c>
      <c r="I11" s="29">
        <f t="shared" ca="1" si="2"/>
        <v>622</v>
      </c>
      <c r="J11" s="29">
        <f t="shared" ca="1" si="2"/>
        <v>709</v>
      </c>
      <c r="K11" s="29">
        <f t="shared" ca="1" si="2"/>
        <v>861.24</v>
      </c>
      <c r="L11" s="29">
        <f t="shared" ca="1" si="2"/>
        <v>1032.76</v>
      </c>
    </row>
    <row r="12" spans="1:14" s="9" customFormat="1" x14ac:dyDescent="0.25">
      <c r="A12" s="5" t="s">
        <v>35</v>
      </c>
      <c r="B12" s="24">
        <f t="shared" ca="1" si="3"/>
        <v>24</v>
      </c>
      <c r="C12" s="29">
        <f t="shared" ca="1" si="2"/>
        <v>30.8</v>
      </c>
      <c r="D12" s="29">
        <f t="shared" ca="1" si="2"/>
        <v>41.6</v>
      </c>
      <c r="E12" s="29">
        <f t="shared" ca="1" si="2"/>
        <v>0.11</v>
      </c>
      <c r="F12" s="29">
        <f t="shared" ca="1" si="2"/>
        <v>11.74</v>
      </c>
      <c r="G12" s="29">
        <f t="shared" ca="1" si="2"/>
        <v>16.440000000000001</v>
      </c>
      <c r="H12" s="29">
        <f t="shared" ca="1" si="2"/>
        <v>18.7</v>
      </c>
      <c r="I12" s="29">
        <f t="shared" ca="1" si="2"/>
        <v>22.32</v>
      </c>
      <c r="J12" s="29">
        <f t="shared" ca="1" si="2"/>
        <v>90.55</v>
      </c>
      <c r="K12" s="29">
        <f t="shared" ca="1" si="2"/>
        <v>0.54</v>
      </c>
      <c r="L12" s="29">
        <f t="shared" ca="1" si="2"/>
        <v>0</v>
      </c>
      <c r="M12" s="43">
        <f t="shared" ref="M12:M19" ca="1" si="4">SUM(I24:L24)</f>
        <v>3128.14</v>
      </c>
    </row>
    <row r="13" spans="1:14" s="9" customFormat="1" x14ac:dyDescent="0.25">
      <c r="A13" s="9" t="s">
        <v>6</v>
      </c>
      <c r="B13" s="24">
        <f t="shared" ca="1" si="3"/>
        <v>25</v>
      </c>
      <c r="C13" s="29">
        <f t="shared" ca="1" si="2"/>
        <v>39.1</v>
      </c>
      <c r="D13" s="29">
        <f t="shared" ca="1" si="2"/>
        <v>44.16</v>
      </c>
      <c r="E13" s="29">
        <f t="shared" ca="1" si="2"/>
        <v>33.049999999999997</v>
      </c>
      <c r="F13" s="29">
        <f t="shared" ca="1" si="2"/>
        <v>63.4</v>
      </c>
      <c r="G13" s="29">
        <f t="shared" ca="1" si="2"/>
        <v>55.45</v>
      </c>
      <c r="H13" s="29">
        <f t="shared" ca="1" si="2"/>
        <v>44.27</v>
      </c>
      <c r="I13" s="29">
        <f t="shared" ca="1" si="2"/>
        <v>-12.73</v>
      </c>
      <c r="J13" s="29">
        <f t="shared" ca="1" si="2"/>
        <v>48.6</v>
      </c>
      <c r="K13" s="29">
        <f t="shared" ca="1" si="2"/>
        <v>69.81</v>
      </c>
      <c r="L13" s="29">
        <f t="shared" ca="1" si="2"/>
        <v>68.099999999999994</v>
      </c>
      <c r="M13" s="43">
        <f t="shared" ca="1" si="4"/>
        <v>66.95</v>
      </c>
    </row>
    <row r="14" spans="1:14" s="9" customFormat="1" x14ac:dyDescent="0.25">
      <c r="A14" s="9" t="s">
        <v>10</v>
      </c>
      <c r="B14" s="24">
        <f t="shared" ca="1" si="3"/>
        <v>26</v>
      </c>
      <c r="C14" s="29">
        <f t="shared" ca="1" si="2"/>
        <v>69.11</v>
      </c>
      <c r="D14" s="29">
        <f t="shared" ca="1" si="2"/>
        <v>80.03</v>
      </c>
      <c r="E14" s="29">
        <f t="shared" ca="1" si="2"/>
        <v>84.61</v>
      </c>
      <c r="F14" s="29">
        <f t="shared" ca="1" si="2"/>
        <v>168.97</v>
      </c>
      <c r="G14" s="29">
        <f t="shared" ca="1" si="2"/>
        <v>148.93</v>
      </c>
      <c r="H14" s="29">
        <f t="shared" ca="1" si="2"/>
        <v>135.16999999999999</v>
      </c>
      <c r="I14" s="29">
        <f t="shared" ca="1" si="2"/>
        <v>111.9</v>
      </c>
      <c r="J14" s="29">
        <f t="shared" ca="1" si="2"/>
        <v>162.88</v>
      </c>
      <c r="K14" s="29">
        <f t="shared" ca="1" si="2"/>
        <v>172.37</v>
      </c>
      <c r="L14" s="29">
        <f t="shared" ca="1" si="2"/>
        <v>179.27</v>
      </c>
      <c r="M14" s="43">
        <f t="shared" ca="1" si="4"/>
        <v>180.42999999999998</v>
      </c>
    </row>
    <row r="15" spans="1:14" s="9" customFormat="1" x14ac:dyDescent="0.25">
      <c r="A15" s="9" t="s">
        <v>9</v>
      </c>
      <c r="B15" s="24">
        <f t="shared" ca="1" si="3"/>
        <v>27</v>
      </c>
      <c r="C15" s="29">
        <f t="shared" ca="1" si="2"/>
        <v>49.51</v>
      </c>
      <c r="D15" s="29">
        <f t="shared" ca="1" si="2"/>
        <v>54.98</v>
      </c>
      <c r="E15" s="29">
        <f t="shared" ca="1" si="2"/>
        <v>60.48</v>
      </c>
      <c r="F15" s="29">
        <f t="shared" ca="1" si="2"/>
        <v>79.66</v>
      </c>
      <c r="G15" s="29">
        <f t="shared" ca="1" si="2"/>
        <v>83.54</v>
      </c>
      <c r="H15" s="29">
        <f t="shared" ca="1" si="2"/>
        <v>77.19</v>
      </c>
      <c r="I15" s="29">
        <f t="shared" ca="1" si="2"/>
        <v>90.74</v>
      </c>
      <c r="J15" s="29">
        <f t="shared" ca="1" si="2"/>
        <v>196.69</v>
      </c>
      <c r="K15" s="29">
        <f t="shared" ca="1" si="2"/>
        <v>188.65</v>
      </c>
      <c r="L15" s="29">
        <f t="shared" ca="1" si="2"/>
        <v>197.48</v>
      </c>
      <c r="M15" s="43">
        <f t="shared" ca="1" si="4"/>
        <v>193.89000000000001</v>
      </c>
    </row>
    <row r="16" spans="1:14" s="9" customFormat="1" x14ac:dyDescent="0.25">
      <c r="A16" s="9" t="s">
        <v>36</v>
      </c>
      <c r="B16" s="24">
        <f t="shared" ca="1" si="3"/>
        <v>28</v>
      </c>
      <c r="C16" s="29">
        <f t="shared" ca="1" si="2"/>
        <v>226.68</v>
      </c>
      <c r="D16" s="29">
        <f t="shared" ca="1" si="2"/>
        <v>330.87</v>
      </c>
      <c r="E16" s="29">
        <f t="shared" ca="1" si="2"/>
        <v>78.790000000000006</v>
      </c>
      <c r="F16" s="29">
        <f t="shared" ca="1" si="2"/>
        <v>142.74</v>
      </c>
      <c r="G16" s="29">
        <f t="shared" ca="1" si="2"/>
        <v>235.36</v>
      </c>
      <c r="H16" s="29">
        <f t="shared" ca="1" si="2"/>
        <v>115.37</v>
      </c>
      <c r="I16" s="29">
        <f t="shared" ca="1" si="2"/>
        <v>111.77</v>
      </c>
      <c r="J16" s="29">
        <f t="shared" ca="1" si="2"/>
        <v>-49.68</v>
      </c>
      <c r="K16" s="29">
        <f t="shared" ca="1" si="2"/>
        <v>74.2</v>
      </c>
      <c r="L16" s="29">
        <f t="shared" ca="1" si="2"/>
        <v>102.71</v>
      </c>
      <c r="M16" s="43">
        <f t="shared" ca="1" si="4"/>
        <v>73.73</v>
      </c>
    </row>
    <row r="17" spans="1:13" s="9" customFormat="1" x14ac:dyDescent="0.25">
      <c r="A17" s="9" t="s">
        <v>11</v>
      </c>
      <c r="B17" s="24">
        <f t="shared" ca="1" si="3"/>
        <v>29</v>
      </c>
      <c r="C17" s="29">
        <f t="shared" ca="1" si="2"/>
        <v>48.09</v>
      </c>
      <c r="D17" s="29">
        <f t="shared" ca="1" si="2"/>
        <v>89.74</v>
      </c>
      <c r="E17" s="29">
        <f t="shared" ca="1" si="2"/>
        <v>19.66</v>
      </c>
      <c r="F17" s="29">
        <f t="shared" ca="1" si="2"/>
        <v>33.96</v>
      </c>
      <c r="G17" s="29">
        <f t="shared" ca="1" si="2"/>
        <v>59.62</v>
      </c>
      <c r="H17" s="29">
        <f t="shared" ca="1" si="2"/>
        <v>22.37</v>
      </c>
      <c r="I17" s="29">
        <f t="shared" ca="1" si="2"/>
        <v>16.170000000000002</v>
      </c>
      <c r="J17" s="29">
        <f t="shared" ca="1" si="2"/>
        <v>-43.12</v>
      </c>
      <c r="K17" s="29">
        <f t="shared" ca="1" si="2"/>
        <v>-7.8</v>
      </c>
      <c r="L17" s="29">
        <f t="shared" ca="1" si="2"/>
        <v>18.75</v>
      </c>
      <c r="M17" s="43">
        <f t="shared" ca="1" si="4"/>
        <v>9.74</v>
      </c>
    </row>
    <row r="18" spans="1:13" s="9" customFormat="1" x14ac:dyDescent="0.25">
      <c r="A18" s="9" t="s">
        <v>37</v>
      </c>
      <c r="B18" s="24">
        <f t="shared" ca="1" si="3"/>
        <v>30</v>
      </c>
      <c r="C18" s="29">
        <f t="shared" ca="1" si="2"/>
        <v>178.59</v>
      </c>
      <c r="D18" s="29">
        <f t="shared" ca="1" si="2"/>
        <v>241.13</v>
      </c>
      <c r="E18" s="29">
        <f t="shared" ca="1" si="2"/>
        <v>59.13</v>
      </c>
      <c r="F18" s="29">
        <f t="shared" ca="1" si="2"/>
        <v>108.78</v>
      </c>
      <c r="G18" s="29">
        <f t="shared" ca="1" si="2"/>
        <v>175.74</v>
      </c>
      <c r="H18" s="29">
        <f t="shared" ca="1" si="2"/>
        <v>93</v>
      </c>
      <c r="I18" s="29">
        <f t="shared" ca="1" si="2"/>
        <v>95.6</v>
      </c>
      <c r="J18" s="29">
        <f t="shared" ca="1" si="2"/>
        <v>-6.56</v>
      </c>
      <c r="K18" s="29">
        <f t="shared" ca="1" si="2"/>
        <v>82</v>
      </c>
      <c r="L18" s="29">
        <f t="shared" ca="1" si="2"/>
        <v>83.96</v>
      </c>
      <c r="M18" s="43">
        <f t="shared" ca="1" si="4"/>
        <v>63.990000000000009</v>
      </c>
    </row>
    <row r="19" spans="1:13" s="9" customFormat="1" x14ac:dyDescent="0.25">
      <c r="A19" s="9" t="s">
        <v>38</v>
      </c>
      <c r="B19" s="24">
        <f t="shared" ca="1" si="3"/>
        <v>31</v>
      </c>
      <c r="C19" s="29">
        <f t="shared" ca="1" si="2"/>
        <v>24.48</v>
      </c>
      <c r="D19" s="29">
        <f t="shared" ca="1" si="2"/>
        <v>30.59</v>
      </c>
      <c r="E19" s="29">
        <f t="shared" ca="1" si="2"/>
        <v>15.3</v>
      </c>
      <c r="F19" s="29">
        <f t="shared" ca="1" si="2"/>
        <v>24.48</v>
      </c>
      <c r="G19" s="29">
        <f t="shared" ca="1" si="2"/>
        <v>29.43</v>
      </c>
      <c r="H19" s="29">
        <f t="shared" ca="1" si="2"/>
        <v>23.54</v>
      </c>
      <c r="I19" s="29">
        <f t="shared" ca="1" si="2"/>
        <v>23.54</v>
      </c>
      <c r="J19" s="29">
        <f t="shared" ca="1" si="2"/>
        <v>2.94</v>
      </c>
      <c r="K19" s="29">
        <f t="shared" ca="1" si="2"/>
        <v>8.83</v>
      </c>
      <c r="L19" s="29">
        <f t="shared" ca="1" si="2"/>
        <v>8.83</v>
      </c>
      <c r="M19" s="43">
        <f t="shared" ca="1" si="4"/>
        <v>381.1</v>
      </c>
    </row>
    <row r="20" spans="1:13" s="9" customFormat="1" x14ac:dyDescent="0.25"/>
    <row r="21" spans="1:13" x14ac:dyDescent="0.25">
      <c r="A21" s="37" t="s">
        <v>39</v>
      </c>
      <c r="B21" s="24">
        <f t="shared" ref="B21" ca="1" si="5">MATCH(A21,INDIRECT("'Data Sheet'!A:A"),0)</f>
        <v>40</v>
      </c>
      <c r="C21" s="31" t="str">
        <f ca="1">"'Data Sheet'!A"&amp;B21&amp;":A999"</f>
        <v>'Data Sheet'!A40:A999</v>
      </c>
    </row>
    <row r="22" spans="1:13" x14ac:dyDescent="0.25">
      <c r="A22" s="3"/>
      <c r="B22" s="22">
        <f ca="1">MATCH("Report Date",INDIRECT(C21),0)+B21-1</f>
        <v>41</v>
      </c>
      <c r="C22" s="11">
        <f t="shared" ref="C22:L31" ca="1" si="6">INDIRECT(ADDRESS($B22,COLUMN()-1,,,"Data Sheet"))</f>
        <v>42551</v>
      </c>
      <c r="D22" s="11">
        <f t="shared" ca="1" si="6"/>
        <v>42643</v>
      </c>
      <c r="E22" s="11">
        <f t="shared" ca="1" si="6"/>
        <v>42735</v>
      </c>
      <c r="F22" s="11">
        <f t="shared" ca="1" si="6"/>
        <v>42825</v>
      </c>
      <c r="G22" s="11">
        <f t="shared" ca="1" si="6"/>
        <v>42916</v>
      </c>
      <c r="H22" s="11">
        <f t="shared" ca="1" si="6"/>
        <v>43008</v>
      </c>
      <c r="I22" s="11">
        <f t="shared" ca="1" si="6"/>
        <v>43100</v>
      </c>
      <c r="J22" s="11">
        <f t="shared" ca="1" si="6"/>
        <v>43190</v>
      </c>
      <c r="K22" s="11">
        <f t="shared" ca="1" si="6"/>
        <v>43281</v>
      </c>
      <c r="L22" s="11">
        <f t="shared" ca="1" si="6"/>
        <v>43373</v>
      </c>
    </row>
    <row r="23" spans="1:13" x14ac:dyDescent="0.25">
      <c r="A23" s="34" t="s">
        <v>13</v>
      </c>
      <c r="B23" s="35">
        <f t="shared" ref="B23:B31" ca="1" si="7">MATCH(A23,INDIRECT($C$21),0)+$B$21-1</f>
        <v>42</v>
      </c>
      <c r="C23" s="36">
        <f t="shared" ca="1" si="6"/>
        <v>777.23</v>
      </c>
      <c r="D23" s="36">
        <f t="shared" ca="1" si="6"/>
        <v>655.57</v>
      </c>
      <c r="E23" s="36">
        <f t="shared" ca="1" si="6"/>
        <v>670.89</v>
      </c>
      <c r="F23" s="36">
        <f t="shared" ca="1" si="6"/>
        <v>806.72</v>
      </c>
      <c r="G23" s="36">
        <f t="shared" ca="1" si="6"/>
        <v>901.14</v>
      </c>
      <c r="H23" s="36">
        <f t="shared" ca="1" si="6"/>
        <v>776.65</v>
      </c>
      <c r="I23" s="36">
        <f t="shared" ca="1" si="6"/>
        <v>837.41</v>
      </c>
      <c r="J23" s="36">
        <f t="shared" ca="1" si="6"/>
        <v>896.95</v>
      </c>
      <c r="K23" s="36">
        <f t="shared" ca="1" si="6"/>
        <v>923.44</v>
      </c>
      <c r="L23" s="36">
        <f t="shared" ca="1" si="6"/>
        <v>851.44</v>
      </c>
    </row>
    <row r="24" spans="1:13" x14ac:dyDescent="0.25">
      <c r="A24" s="34" t="s">
        <v>40</v>
      </c>
      <c r="B24" s="35">
        <f t="shared" ca="1" si="7"/>
        <v>43</v>
      </c>
      <c r="C24" s="36">
        <f t="shared" ca="1" si="6"/>
        <v>659.72</v>
      </c>
      <c r="D24" s="36">
        <f t="shared" ca="1" si="6"/>
        <v>561.88</v>
      </c>
      <c r="E24" s="36">
        <f t="shared" ca="1" si="6"/>
        <v>588.24</v>
      </c>
      <c r="F24" s="36">
        <f t="shared" ca="1" si="6"/>
        <v>735.16</v>
      </c>
      <c r="G24" s="36">
        <f t="shared" ca="1" si="6"/>
        <v>780.81</v>
      </c>
      <c r="H24" s="36">
        <f t="shared" ca="1" si="6"/>
        <v>681.22</v>
      </c>
      <c r="I24" s="36">
        <f t="shared" ca="1" si="6"/>
        <v>743.08</v>
      </c>
      <c r="J24" s="36">
        <f t="shared" ca="1" si="6"/>
        <v>795.68</v>
      </c>
      <c r="K24" s="36">
        <f t="shared" ca="1" si="6"/>
        <v>829.57</v>
      </c>
      <c r="L24" s="36">
        <f t="shared" ca="1" si="6"/>
        <v>759.81</v>
      </c>
    </row>
    <row r="25" spans="1:13" x14ac:dyDescent="0.25">
      <c r="A25" s="34" t="s">
        <v>6</v>
      </c>
      <c r="B25" s="35">
        <f t="shared" ca="1" si="7"/>
        <v>44</v>
      </c>
      <c r="C25" s="36">
        <f t="shared" ca="1" si="6"/>
        <v>10.41</v>
      </c>
      <c r="D25" s="36">
        <f t="shared" ca="1" si="6"/>
        <v>17.920000000000002</v>
      </c>
      <c r="E25" s="36">
        <f t="shared" ca="1" si="6"/>
        <v>15.19</v>
      </c>
      <c r="F25" s="36">
        <f t="shared" ca="1" si="6"/>
        <v>26.29</v>
      </c>
      <c r="G25" s="36">
        <f t="shared" ca="1" si="6"/>
        <v>10.19</v>
      </c>
      <c r="H25" s="36">
        <f t="shared" ca="1" si="6"/>
        <v>16.920000000000002</v>
      </c>
      <c r="I25" s="36">
        <f t="shared" ca="1" si="6"/>
        <v>14.62</v>
      </c>
      <c r="J25" s="36">
        <f t="shared" ca="1" si="6"/>
        <v>26.37</v>
      </c>
      <c r="K25" s="36">
        <f t="shared" ca="1" si="6"/>
        <v>11</v>
      </c>
      <c r="L25" s="36">
        <f t="shared" ca="1" si="6"/>
        <v>14.96</v>
      </c>
    </row>
    <row r="26" spans="1:13" x14ac:dyDescent="0.25">
      <c r="A26" s="34" t="s">
        <v>10</v>
      </c>
      <c r="B26" s="35">
        <f t="shared" ca="1" si="7"/>
        <v>45</v>
      </c>
      <c r="C26" s="36">
        <f t="shared" ca="1" si="6"/>
        <v>41.19</v>
      </c>
      <c r="D26" s="36">
        <f t="shared" ca="1" si="6"/>
        <v>41.19</v>
      </c>
      <c r="E26" s="36">
        <f t="shared" ca="1" si="6"/>
        <v>44.31</v>
      </c>
      <c r="F26" s="36">
        <f t="shared" ca="1" si="6"/>
        <v>45.68</v>
      </c>
      <c r="G26" s="36">
        <f t="shared" ca="1" si="6"/>
        <v>43.88</v>
      </c>
      <c r="H26" s="36">
        <f t="shared" ca="1" si="6"/>
        <v>44.68</v>
      </c>
      <c r="I26" s="36">
        <f t="shared" ca="1" si="6"/>
        <v>44.8</v>
      </c>
      <c r="J26" s="36">
        <f t="shared" ca="1" si="6"/>
        <v>45.91</v>
      </c>
      <c r="K26" s="36">
        <f t="shared" ca="1" si="6"/>
        <v>44.56</v>
      </c>
      <c r="L26" s="36">
        <f t="shared" ca="1" si="6"/>
        <v>45.16</v>
      </c>
    </row>
    <row r="27" spans="1:13" x14ac:dyDescent="0.25">
      <c r="A27" s="34" t="s">
        <v>9</v>
      </c>
      <c r="B27" s="35">
        <f t="shared" ca="1" si="7"/>
        <v>46</v>
      </c>
      <c r="C27" s="36">
        <f t="shared" ca="1" si="6"/>
        <v>46.32</v>
      </c>
      <c r="D27" s="36">
        <f t="shared" ca="1" si="6"/>
        <v>47.09</v>
      </c>
      <c r="E27" s="36">
        <f t="shared" ca="1" si="6"/>
        <v>48.61</v>
      </c>
      <c r="F27" s="36">
        <f t="shared" ca="1" si="6"/>
        <v>46.63</v>
      </c>
      <c r="G27" s="36">
        <f t="shared" ca="1" si="6"/>
        <v>49.2</v>
      </c>
      <c r="H27" s="36">
        <f t="shared" ca="1" si="6"/>
        <v>48.87</v>
      </c>
      <c r="I27" s="36">
        <f t="shared" ca="1" si="6"/>
        <v>51.43</v>
      </c>
      <c r="J27" s="36">
        <f t="shared" ca="1" si="6"/>
        <v>47.98</v>
      </c>
      <c r="K27" s="36">
        <f t="shared" ca="1" si="6"/>
        <v>45.14</v>
      </c>
      <c r="L27" s="36">
        <f t="shared" ca="1" si="6"/>
        <v>49.34</v>
      </c>
    </row>
    <row r="28" spans="1:13" x14ac:dyDescent="0.25">
      <c r="A28" s="34" t="s">
        <v>36</v>
      </c>
      <c r="B28" s="35">
        <f t="shared" ca="1" si="7"/>
        <v>47</v>
      </c>
      <c r="C28" s="36">
        <f t="shared" ca="1" si="6"/>
        <v>40.409999999999997</v>
      </c>
      <c r="D28" s="36">
        <f t="shared" ca="1" si="6"/>
        <v>23.33</v>
      </c>
      <c r="E28" s="36">
        <f t="shared" ca="1" si="6"/>
        <v>4.92</v>
      </c>
      <c r="F28" s="36">
        <f t="shared" ca="1" si="6"/>
        <v>5.54</v>
      </c>
      <c r="G28" s="36">
        <f t="shared" ca="1" si="6"/>
        <v>37.44</v>
      </c>
      <c r="H28" s="36">
        <f t="shared" ca="1" si="6"/>
        <v>18.8</v>
      </c>
      <c r="I28" s="36">
        <f t="shared" ca="1" si="6"/>
        <v>12.72</v>
      </c>
      <c r="J28" s="36">
        <f t="shared" ca="1" si="6"/>
        <v>33.75</v>
      </c>
      <c r="K28" s="36">
        <f t="shared" ca="1" si="6"/>
        <v>15.17</v>
      </c>
      <c r="L28" s="36">
        <f t="shared" ca="1" si="6"/>
        <v>12.09</v>
      </c>
    </row>
    <row r="29" spans="1:13" x14ac:dyDescent="0.25">
      <c r="A29" s="34" t="s">
        <v>11</v>
      </c>
      <c r="B29" s="35">
        <f t="shared" ca="1" si="7"/>
        <v>48</v>
      </c>
      <c r="C29" s="36">
        <f t="shared" ca="1" si="6"/>
        <v>11.77</v>
      </c>
      <c r="D29" s="36">
        <f t="shared" ca="1" si="6"/>
        <v>-1.58</v>
      </c>
      <c r="E29" s="36">
        <f t="shared" ca="1" si="6"/>
        <v>-2.68</v>
      </c>
      <c r="F29" s="36">
        <f t="shared" ca="1" si="6"/>
        <v>-15.31</v>
      </c>
      <c r="G29" s="36">
        <f t="shared" ca="1" si="6"/>
        <v>9.14</v>
      </c>
      <c r="H29" s="36">
        <f t="shared" ca="1" si="6"/>
        <v>5.57</v>
      </c>
      <c r="I29" s="36">
        <f t="shared" ca="1" si="6"/>
        <v>4.13</v>
      </c>
      <c r="J29" s="36">
        <f t="shared" ca="1" si="6"/>
        <v>-0.09</v>
      </c>
      <c r="K29" s="36">
        <f t="shared" ca="1" si="6"/>
        <v>1.42</v>
      </c>
      <c r="L29" s="36">
        <f t="shared" ca="1" si="6"/>
        <v>4.28</v>
      </c>
    </row>
    <row r="30" spans="1:13" x14ac:dyDescent="0.25">
      <c r="A30" s="34" t="s">
        <v>37</v>
      </c>
      <c r="B30" s="35">
        <f t="shared" ca="1" si="7"/>
        <v>49</v>
      </c>
      <c r="C30" s="36">
        <f t="shared" ca="1" si="6"/>
        <v>28.64</v>
      </c>
      <c r="D30" s="36">
        <f t="shared" ca="1" si="6"/>
        <v>24.91</v>
      </c>
      <c r="E30" s="36">
        <f t="shared" ca="1" si="6"/>
        <v>7.6</v>
      </c>
      <c r="F30" s="36">
        <f t="shared" ca="1" si="6"/>
        <v>20.85</v>
      </c>
      <c r="G30" s="36">
        <f t="shared" ca="1" si="6"/>
        <v>28.3</v>
      </c>
      <c r="H30" s="36">
        <f t="shared" ca="1" si="6"/>
        <v>13.23</v>
      </c>
      <c r="I30" s="36">
        <f t="shared" ca="1" si="6"/>
        <v>8.59</v>
      </c>
      <c r="J30" s="36">
        <f t="shared" ca="1" si="6"/>
        <v>33.840000000000003</v>
      </c>
      <c r="K30" s="36">
        <f t="shared" ca="1" si="6"/>
        <v>13.75</v>
      </c>
      <c r="L30" s="36">
        <f t="shared" ca="1" si="6"/>
        <v>7.81</v>
      </c>
    </row>
    <row r="31" spans="1:13" x14ac:dyDescent="0.25">
      <c r="A31" s="34" t="s">
        <v>8</v>
      </c>
      <c r="B31" s="35">
        <f t="shared" ca="1" si="7"/>
        <v>50</v>
      </c>
      <c r="C31" s="36">
        <f t="shared" ca="1" si="6"/>
        <v>117.51</v>
      </c>
      <c r="D31" s="36">
        <f t="shared" ca="1" si="6"/>
        <v>93.69</v>
      </c>
      <c r="E31" s="36">
        <f t="shared" ca="1" si="6"/>
        <v>82.65</v>
      </c>
      <c r="F31" s="36">
        <f t="shared" ca="1" si="6"/>
        <v>71.56</v>
      </c>
      <c r="G31" s="36">
        <f t="shared" ca="1" si="6"/>
        <v>120.33</v>
      </c>
      <c r="H31" s="36">
        <f t="shared" ca="1" si="6"/>
        <v>95.43</v>
      </c>
      <c r="I31" s="36">
        <f t="shared" ca="1" si="6"/>
        <v>94.33</v>
      </c>
      <c r="J31" s="36">
        <f t="shared" ca="1" si="6"/>
        <v>101.27</v>
      </c>
      <c r="K31" s="36">
        <f t="shared" ca="1" si="6"/>
        <v>93.87</v>
      </c>
      <c r="L31" s="36">
        <f t="shared" ca="1" si="6"/>
        <v>91.63</v>
      </c>
    </row>
    <row r="32" spans="1:13" s="5" customFormat="1" x14ac:dyDescent="0.25">
      <c r="A32" s="9"/>
    </row>
    <row r="33" spans="1:12" s="5" customFormat="1" x14ac:dyDescent="0.25">
      <c r="A33" s="4" t="s">
        <v>41</v>
      </c>
      <c r="B33" s="24">
        <f t="shared" ref="B33:B50" ca="1" si="8">MATCH(A33,INDIRECT("'Data Sheet'!A:A"),0)</f>
        <v>55</v>
      </c>
      <c r="C33" s="31" t="str">
        <f ca="1">"'Data Sheet'!A"&amp;B33&amp;":A999"</f>
        <v>'Data Sheet'!A55:A999</v>
      </c>
    </row>
    <row r="34" spans="1:12" s="8" customFormat="1" x14ac:dyDescent="0.25">
      <c r="A34" s="6" t="s">
        <v>29</v>
      </c>
      <c r="B34" s="22">
        <f ca="1">MATCH("Report Date",INDIRECT(C33),0)+B33-1</f>
        <v>56</v>
      </c>
      <c r="C34" s="11">
        <f ca="1">INDIRECT(ADDRESS($B34,COLUMN()-1,,,"Data Sheet"))</f>
        <v>39903</v>
      </c>
      <c r="D34" s="11">
        <f t="shared" ref="D34:L49" ca="1" si="9">INDIRECT(ADDRESS($B34,COLUMN()-1,,,"Data Sheet"))</f>
        <v>40268</v>
      </c>
      <c r="E34" s="11">
        <f t="shared" ca="1" si="9"/>
        <v>40633</v>
      </c>
      <c r="F34" s="11">
        <f t="shared" ca="1" si="9"/>
        <v>40999</v>
      </c>
      <c r="G34" s="11">
        <f t="shared" ca="1" si="9"/>
        <v>41364</v>
      </c>
      <c r="H34" s="11">
        <f t="shared" ca="1" si="9"/>
        <v>41729</v>
      </c>
      <c r="I34" s="11">
        <f t="shared" ca="1" si="9"/>
        <v>42094</v>
      </c>
      <c r="J34" s="11">
        <f t="shared" ca="1" si="9"/>
        <v>42460</v>
      </c>
      <c r="K34" s="11">
        <f t="shared" ca="1" si="9"/>
        <v>42825</v>
      </c>
      <c r="L34" s="11">
        <f t="shared" ca="1" si="9"/>
        <v>43190</v>
      </c>
    </row>
    <row r="35" spans="1:12" s="5" customFormat="1" x14ac:dyDescent="0.25">
      <c r="A35" s="9" t="s">
        <v>1</v>
      </c>
      <c r="B35" s="24">
        <f t="shared" ca="1" si="8"/>
        <v>57</v>
      </c>
      <c r="C35" s="29">
        <f t="shared" ref="C35:L50" ca="1" si="10">INDIRECT(ADDRESS($B35,COLUMN()-1,,,"Data Sheet"))</f>
        <v>61.19</v>
      </c>
      <c r="D35" s="29">
        <f t="shared" ca="1" si="9"/>
        <v>61.19</v>
      </c>
      <c r="E35" s="29">
        <f t="shared" ca="1" si="9"/>
        <v>61.19</v>
      </c>
      <c r="F35" s="29">
        <f t="shared" ca="1" si="9"/>
        <v>61.19</v>
      </c>
      <c r="G35" s="29">
        <f t="shared" ca="1" si="9"/>
        <v>58.85</v>
      </c>
      <c r="H35" s="29">
        <f t="shared" ca="1" si="9"/>
        <v>58.85</v>
      </c>
      <c r="I35" s="29">
        <f t="shared" ca="1" si="9"/>
        <v>58.85</v>
      </c>
      <c r="J35" s="29">
        <f t="shared" ca="1" si="9"/>
        <v>58.85</v>
      </c>
      <c r="K35" s="29">
        <f t="shared" ca="1" si="9"/>
        <v>58.85</v>
      </c>
      <c r="L35" s="29">
        <f t="shared" ca="1" si="9"/>
        <v>58.85</v>
      </c>
    </row>
    <row r="36" spans="1:12" s="5" customFormat="1" x14ac:dyDescent="0.25">
      <c r="A36" s="9" t="s">
        <v>2</v>
      </c>
      <c r="B36" s="24">
        <f t="shared" ca="1" si="8"/>
        <v>58</v>
      </c>
      <c r="C36" s="29">
        <f t="shared" ca="1" si="10"/>
        <v>723.44</v>
      </c>
      <c r="D36" s="29">
        <f t="shared" ca="1" si="9"/>
        <v>928.79</v>
      </c>
      <c r="E36" s="29">
        <f t="shared" ca="1" si="9"/>
        <v>970.15</v>
      </c>
      <c r="F36" s="29">
        <f t="shared" ca="1" si="9"/>
        <v>1051.4000000000001</v>
      </c>
      <c r="G36" s="29">
        <f t="shared" ca="1" si="9"/>
        <v>1164.77</v>
      </c>
      <c r="H36" s="29">
        <f t="shared" ca="1" si="9"/>
        <v>1230.24</v>
      </c>
      <c r="I36" s="29">
        <f t="shared" ca="1" si="9"/>
        <v>1271.8499999999999</v>
      </c>
      <c r="J36" s="29">
        <f t="shared" ca="1" si="9"/>
        <v>1245.24</v>
      </c>
      <c r="K36" s="29">
        <f t="shared" ca="1" si="9"/>
        <v>1322.84</v>
      </c>
      <c r="L36" s="29">
        <f t="shared" ca="1" si="9"/>
        <v>1394.36</v>
      </c>
    </row>
    <row r="37" spans="1:12" s="5" customFormat="1" x14ac:dyDescent="0.25">
      <c r="A37" s="9" t="s">
        <v>15</v>
      </c>
      <c r="B37" s="24">
        <f t="shared" ca="1" si="8"/>
        <v>59</v>
      </c>
      <c r="C37" s="29">
        <f t="shared" ca="1" si="10"/>
        <v>702.67</v>
      </c>
      <c r="D37" s="29">
        <f t="shared" ca="1" si="9"/>
        <v>921.73</v>
      </c>
      <c r="E37" s="29">
        <f t="shared" ca="1" si="9"/>
        <v>996.99</v>
      </c>
      <c r="F37" s="29">
        <f t="shared" ca="1" si="9"/>
        <v>1069.6300000000001</v>
      </c>
      <c r="G37" s="29">
        <f t="shared" ca="1" si="9"/>
        <v>1336.95</v>
      </c>
      <c r="H37" s="29">
        <f t="shared" ca="1" si="9"/>
        <v>1631.28</v>
      </c>
      <c r="I37" s="29">
        <f t="shared" ca="1" si="9"/>
        <v>1899.21</v>
      </c>
      <c r="J37" s="29">
        <f t="shared" ca="1" si="9"/>
        <v>1914.65</v>
      </c>
      <c r="K37" s="29">
        <f t="shared" ca="1" si="9"/>
        <v>2170.56</v>
      </c>
      <c r="L37" s="29">
        <f t="shared" ca="1" si="9"/>
        <v>2020.43</v>
      </c>
    </row>
    <row r="38" spans="1:12" s="5" customFormat="1" x14ac:dyDescent="0.25">
      <c r="A38" s="9" t="s">
        <v>16</v>
      </c>
      <c r="B38" s="24">
        <f t="shared" ca="1" si="8"/>
        <v>60</v>
      </c>
      <c r="C38" s="29">
        <f t="shared" ca="1" si="10"/>
        <v>419.72</v>
      </c>
      <c r="D38" s="29">
        <f t="shared" ca="1" si="9"/>
        <v>498.41</v>
      </c>
      <c r="E38" s="29">
        <f t="shared" ca="1" si="9"/>
        <v>447.94</v>
      </c>
      <c r="F38" s="29">
        <f t="shared" ca="1" si="9"/>
        <v>631.29</v>
      </c>
      <c r="G38" s="29">
        <f t="shared" ca="1" si="9"/>
        <v>612.79999999999995</v>
      </c>
      <c r="H38" s="29">
        <f t="shared" ca="1" si="9"/>
        <v>683.04</v>
      </c>
      <c r="I38" s="29">
        <f t="shared" ca="1" si="9"/>
        <v>1020.05</v>
      </c>
      <c r="J38" s="29">
        <f t="shared" ca="1" si="9"/>
        <v>1207.6400000000001</v>
      </c>
      <c r="K38" s="29">
        <f t="shared" ca="1" si="9"/>
        <v>1348.89</v>
      </c>
      <c r="L38" s="29">
        <f t="shared" ca="1" si="9"/>
        <v>1405.03</v>
      </c>
    </row>
    <row r="39" spans="1:12" s="4" customFormat="1" x14ac:dyDescent="0.25">
      <c r="A39" s="4" t="s">
        <v>42</v>
      </c>
      <c r="B39" s="24">
        <f t="shared" ca="1" si="8"/>
        <v>61</v>
      </c>
      <c r="C39" s="29">
        <f t="shared" ca="1" si="10"/>
        <v>1907.02</v>
      </c>
      <c r="D39" s="29">
        <f t="shared" ca="1" si="9"/>
        <v>2410.12</v>
      </c>
      <c r="E39" s="29">
        <f t="shared" ca="1" si="9"/>
        <v>2476.27</v>
      </c>
      <c r="F39" s="29">
        <f t="shared" ca="1" si="9"/>
        <v>2813.51</v>
      </c>
      <c r="G39" s="29">
        <f t="shared" ca="1" si="9"/>
        <v>3173.37</v>
      </c>
      <c r="H39" s="29">
        <f t="shared" ca="1" si="9"/>
        <v>3603.41</v>
      </c>
      <c r="I39" s="29">
        <f t="shared" ca="1" si="9"/>
        <v>4249.96</v>
      </c>
      <c r="J39" s="29">
        <f t="shared" ca="1" si="9"/>
        <v>4426.38</v>
      </c>
      <c r="K39" s="29">
        <f t="shared" ca="1" si="9"/>
        <v>4901.1400000000003</v>
      </c>
      <c r="L39" s="29">
        <f t="shared" ca="1" si="9"/>
        <v>4878.67</v>
      </c>
    </row>
    <row r="40" spans="1:12" s="5" customFormat="1" x14ac:dyDescent="0.25">
      <c r="A40" s="9" t="s">
        <v>3</v>
      </c>
      <c r="B40" s="24">
        <f t="shared" ca="1" si="8"/>
        <v>62</v>
      </c>
      <c r="C40" s="29">
        <f t="shared" ca="1" si="10"/>
        <v>1013.09</v>
      </c>
      <c r="D40" s="29">
        <f t="shared" ca="1" si="9"/>
        <v>1062.99</v>
      </c>
      <c r="E40" s="29">
        <f t="shared" ca="1" si="9"/>
        <v>1381.04</v>
      </c>
      <c r="F40" s="29">
        <f t="shared" ca="1" si="9"/>
        <v>1329.33</v>
      </c>
      <c r="G40" s="29">
        <f t="shared" ca="1" si="9"/>
        <v>1434.61</v>
      </c>
      <c r="H40" s="29">
        <f t="shared" ca="1" si="9"/>
        <v>1571.54</v>
      </c>
      <c r="I40" s="29">
        <f t="shared" ca="1" si="9"/>
        <v>2582.5</v>
      </c>
      <c r="J40" s="29">
        <f t="shared" ca="1" si="9"/>
        <v>2728.81</v>
      </c>
      <c r="K40" s="29">
        <f t="shared" ca="1" si="9"/>
        <v>2826.34</v>
      </c>
      <c r="L40" s="29">
        <f t="shared" ca="1" si="9"/>
        <v>2793.52</v>
      </c>
    </row>
    <row r="41" spans="1:12" s="5" customFormat="1" x14ac:dyDescent="0.25">
      <c r="A41" s="9" t="s">
        <v>4</v>
      </c>
      <c r="B41" s="24">
        <f t="shared" ca="1" si="8"/>
        <v>63</v>
      </c>
      <c r="C41" s="29">
        <f t="shared" ca="1" si="10"/>
        <v>97.04</v>
      </c>
      <c r="D41" s="29">
        <f t="shared" ca="1" si="9"/>
        <v>181.95</v>
      </c>
      <c r="E41" s="29">
        <f t="shared" ca="1" si="9"/>
        <v>40.9</v>
      </c>
      <c r="F41" s="29">
        <f t="shared" ca="1" si="9"/>
        <v>294.05</v>
      </c>
      <c r="G41" s="29">
        <f t="shared" ca="1" si="9"/>
        <v>688.06</v>
      </c>
      <c r="H41" s="29">
        <f t="shared" ca="1" si="9"/>
        <v>908.36</v>
      </c>
      <c r="I41" s="29">
        <f t="shared" ca="1" si="9"/>
        <v>361.46</v>
      </c>
      <c r="J41" s="29">
        <f t="shared" ca="1" si="9"/>
        <v>283.08999999999997</v>
      </c>
      <c r="K41" s="29">
        <f t="shared" ca="1" si="9"/>
        <v>205.08</v>
      </c>
      <c r="L41" s="29">
        <f t="shared" ca="1" si="9"/>
        <v>228.08</v>
      </c>
    </row>
    <row r="42" spans="1:12" s="5" customFormat="1" x14ac:dyDescent="0.25">
      <c r="A42" s="9" t="s">
        <v>5</v>
      </c>
      <c r="B42" s="24">
        <f t="shared" ca="1" si="8"/>
        <v>64</v>
      </c>
      <c r="C42" s="29">
        <f t="shared" ca="1" si="10"/>
        <v>88.91</v>
      </c>
      <c r="D42" s="29">
        <f t="shared" ca="1" si="9"/>
        <v>480.53</v>
      </c>
      <c r="E42" s="29">
        <f t="shared" ca="1" si="9"/>
        <v>527.76</v>
      </c>
      <c r="F42" s="29">
        <f t="shared" ca="1" si="9"/>
        <v>453.75</v>
      </c>
      <c r="G42" s="29">
        <f t="shared" ca="1" si="9"/>
        <v>406.46</v>
      </c>
      <c r="H42" s="29">
        <f t="shared" ca="1" si="9"/>
        <v>447.73</v>
      </c>
      <c r="I42" s="29">
        <f t="shared" ca="1" si="9"/>
        <v>422.8</v>
      </c>
      <c r="J42" s="29">
        <f t="shared" ca="1" si="9"/>
        <v>437.61</v>
      </c>
      <c r="K42" s="29">
        <f t="shared" ca="1" si="9"/>
        <v>809.19</v>
      </c>
      <c r="L42" s="29">
        <f t="shared" ca="1" si="9"/>
        <v>794.13</v>
      </c>
    </row>
    <row r="43" spans="1:12" s="5" customFormat="1" x14ac:dyDescent="0.25">
      <c r="A43" s="9" t="s">
        <v>43</v>
      </c>
      <c r="B43" s="24">
        <f t="shared" ca="1" si="8"/>
        <v>65</v>
      </c>
      <c r="C43" s="29">
        <f t="shared" ca="1" si="10"/>
        <v>707.98</v>
      </c>
      <c r="D43" s="29">
        <f t="shared" ca="1" si="9"/>
        <v>684.65</v>
      </c>
      <c r="E43" s="29">
        <f t="shared" ca="1" si="9"/>
        <v>526.57000000000005</v>
      </c>
      <c r="F43" s="29">
        <f t="shared" ca="1" si="9"/>
        <v>736.38</v>
      </c>
      <c r="G43" s="29">
        <f t="shared" ca="1" si="9"/>
        <v>644.24</v>
      </c>
      <c r="H43" s="29">
        <f t="shared" ca="1" si="9"/>
        <v>675.78</v>
      </c>
      <c r="I43" s="29">
        <f t="shared" ca="1" si="9"/>
        <v>883.2</v>
      </c>
      <c r="J43" s="29">
        <f t="shared" ca="1" si="9"/>
        <v>976.87</v>
      </c>
      <c r="K43" s="29">
        <f t="shared" ca="1" si="9"/>
        <v>1060.53</v>
      </c>
      <c r="L43" s="29">
        <f t="shared" ca="1" si="9"/>
        <v>1062.94</v>
      </c>
    </row>
    <row r="44" spans="1:12" s="4" customFormat="1" x14ac:dyDescent="0.25">
      <c r="A44" s="4" t="s">
        <v>42</v>
      </c>
      <c r="B44" s="24">
        <f t="shared" ca="1" si="8"/>
        <v>61</v>
      </c>
      <c r="C44" s="29">
        <f t="shared" ca="1" si="10"/>
        <v>1907.02</v>
      </c>
      <c r="D44" s="29">
        <f t="shared" ca="1" si="9"/>
        <v>2410.12</v>
      </c>
      <c r="E44" s="29">
        <f t="shared" ca="1" si="9"/>
        <v>2476.27</v>
      </c>
      <c r="F44" s="29">
        <f t="shared" ca="1" si="9"/>
        <v>2813.51</v>
      </c>
      <c r="G44" s="29">
        <f t="shared" ca="1" si="9"/>
        <v>3173.37</v>
      </c>
      <c r="H44" s="29">
        <f t="shared" ca="1" si="9"/>
        <v>3603.41</v>
      </c>
      <c r="I44" s="29">
        <f t="shared" ca="1" si="9"/>
        <v>4249.96</v>
      </c>
      <c r="J44" s="29">
        <f t="shared" ca="1" si="9"/>
        <v>4426.38</v>
      </c>
      <c r="K44" s="29">
        <f t="shared" ca="1" si="9"/>
        <v>4901.1400000000003</v>
      </c>
      <c r="L44" s="29">
        <f t="shared" ca="1" si="9"/>
        <v>4878.67</v>
      </c>
    </row>
    <row r="45" spans="1:12" s="9" customFormat="1" x14ac:dyDescent="0.25">
      <c r="A45" s="9" t="s">
        <v>44</v>
      </c>
      <c r="B45" s="24">
        <f t="shared" ca="1" si="8"/>
        <v>67</v>
      </c>
      <c r="C45" s="29">
        <f t="shared" ca="1" si="10"/>
        <v>23.32</v>
      </c>
      <c r="D45" s="29">
        <f t="shared" ca="1" si="9"/>
        <v>28.98</v>
      </c>
      <c r="E45" s="29">
        <f t="shared" ca="1" si="9"/>
        <v>27.95</v>
      </c>
      <c r="F45" s="29">
        <f t="shared" ca="1" si="9"/>
        <v>38.24</v>
      </c>
      <c r="G45" s="29">
        <f t="shared" ca="1" si="9"/>
        <v>50.11</v>
      </c>
      <c r="H45" s="29">
        <f t="shared" ca="1" si="9"/>
        <v>0.81</v>
      </c>
      <c r="I45" s="29">
        <f t="shared" ca="1" si="9"/>
        <v>70.489999999999995</v>
      </c>
      <c r="J45" s="29">
        <f t="shared" ca="1" si="9"/>
        <v>96.49</v>
      </c>
      <c r="K45" s="29">
        <f t="shared" ca="1" si="9"/>
        <v>89.5</v>
      </c>
      <c r="L45" s="29">
        <f t="shared" ca="1" si="9"/>
        <v>96.94</v>
      </c>
    </row>
    <row r="46" spans="1:12" s="5" customFormat="1" x14ac:dyDescent="0.25">
      <c r="A46" s="9" t="s">
        <v>14</v>
      </c>
      <c r="B46" s="24">
        <f t="shared" ca="1" si="8"/>
        <v>68</v>
      </c>
      <c r="C46" s="29">
        <f t="shared" ca="1" si="10"/>
        <v>66.02</v>
      </c>
      <c r="D46" s="29">
        <f t="shared" ca="1" si="9"/>
        <v>74.77</v>
      </c>
      <c r="E46" s="29">
        <f t="shared" ca="1" si="9"/>
        <v>119.92</v>
      </c>
      <c r="F46" s="29">
        <f t="shared" ca="1" si="9"/>
        <v>120.09</v>
      </c>
      <c r="G46" s="29">
        <f t="shared" ca="1" si="9"/>
        <v>114.84</v>
      </c>
      <c r="H46" s="29">
        <f t="shared" ca="1" si="9"/>
        <v>157.13999999999999</v>
      </c>
      <c r="I46" s="29">
        <f t="shared" ca="1" si="9"/>
        <v>223.47</v>
      </c>
      <c r="J46" s="29">
        <f t="shared" ca="1" si="9"/>
        <v>240.55</v>
      </c>
      <c r="K46" s="29">
        <f t="shared" ca="1" si="9"/>
        <v>277.64</v>
      </c>
      <c r="L46" s="29">
        <f t="shared" ca="1" si="9"/>
        <v>317.02999999999997</v>
      </c>
    </row>
    <row r="47" spans="1:12" s="5" customFormat="1" x14ac:dyDescent="0.25">
      <c r="A47" s="5" t="s">
        <v>45</v>
      </c>
      <c r="B47" s="24">
        <f t="shared" ca="1" si="8"/>
        <v>69</v>
      </c>
      <c r="C47" s="29">
        <f t="shared" ca="1" si="10"/>
        <v>326.67</v>
      </c>
      <c r="D47" s="29">
        <f t="shared" ca="1" si="9"/>
        <v>220.39</v>
      </c>
      <c r="E47" s="29">
        <f t="shared" ca="1" si="9"/>
        <v>88.75</v>
      </c>
      <c r="F47" s="29">
        <f t="shared" ca="1" si="9"/>
        <v>89.03</v>
      </c>
      <c r="G47" s="29">
        <f t="shared" ca="1" si="9"/>
        <v>12.65</v>
      </c>
      <c r="H47" s="29">
        <f t="shared" ca="1" si="9"/>
        <v>35.21</v>
      </c>
      <c r="I47" s="29">
        <f t="shared" ca="1" si="9"/>
        <v>15.29</v>
      </c>
      <c r="J47" s="29">
        <f t="shared" ca="1" si="9"/>
        <v>11.76</v>
      </c>
      <c r="K47" s="29">
        <f t="shared" ca="1" si="9"/>
        <v>8.98</v>
      </c>
      <c r="L47" s="29">
        <f t="shared" ca="1" si="9"/>
        <v>11.59</v>
      </c>
    </row>
    <row r="48" spans="1:12" s="5" customFormat="1" x14ac:dyDescent="0.25">
      <c r="A48" s="5" t="s">
        <v>46</v>
      </c>
      <c r="B48" s="24">
        <f t="shared" ca="1" si="8"/>
        <v>70</v>
      </c>
      <c r="C48" s="32">
        <f t="shared" ca="1" si="10"/>
        <v>61190062</v>
      </c>
      <c r="D48" s="32">
        <f t="shared" ca="1" si="9"/>
        <v>122358924</v>
      </c>
      <c r="E48" s="32">
        <f t="shared" ca="1" si="9"/>
        <v>122408924</v>
      </c>
      <c r="F48" s="32">
        <f t="shared" ca="1" si="9"/>
        <v>122401924</v>
      </c>
      <c r="G48" s="32">
        <f t="shared" ca="1" si="9"/>
        <v>117670066</v>
      </c>
      <c r="H48" s="32">
        <f t="shared" ca="1" si="9"/>
        <v>117670100</v>
      </c>
      <c r="I48" s="32">
        <f t="shared" ca="1" si="9"/>
        <v>117670066</v>
      </c>
      <c r="J48" s="32">
        <f t="shared" ca="1" si="9"/>
        <v>117670066</v>
      </c>
      <c r="K48" s="32">
        <f t="shared" ca="1" si="9"/>
        <v>117670066</v>
      </c>
      <c r="L48" s="32">
        <f t="shared" ca="1" si="9"/>
        <v>117670066</v>
      </c>
    </row>
    <row r="49" spans="1:15" s="5" customFormat="1" x14ac:dyDescent="0.25">
      <c r="A49" s="5" t="s">
        <v>47</v>
      </c>
      <c r="B49" s="24">
        <f t="shared" ca="1" si="8"/>
        <v>71</v>
      </c>
      <c r="C49" s="29">
        <f t="shared" ca="1" si="10"/>
        <v>0</v>
      </c>
      <c r="D49" s="29">
        <f t="shared" ca="1" si="9"/>
        <v>0</v>
      </c>
      <c r="E49" s="29">
        <f t="shared" ca="1" si="9"/>
        <v>0</v>
      </c>
      <c r="F49" s="29">
        <f t="shared" ca="1" si="9"/>
        <v>0</v>
      </c>
      <c r="G49" s="29">
        <f t="shared" ca="1" si="9"/>
        <v>0</v>
      </c>
      <c r="H49" s="29">
        <f t="shared" ca="1" si="9"/>
        <v>0</v>
      </c>
      <c r="I49" s="29">
        <f t="shared" ca="1" si="9"/>
        <v>0</v>
      </c>
      <c r="J49" s="29">
        <f t="shared" ca="1" si="9"/>
        <v>0</v>
      </c>
      <c r="K49" s="29">
        <f t="shared" ca="1" si="9"/>
        <v>0</v>
      </c>
      <c r="L49" s="29">
        <f t="shared" ca="1" si="9"/>
        <v>0</v>
      </c>
    </row>
    <row r="50" spans="1:15" s="5" customFormat="1" x14ac:dyDescent="0.25">
      <c r="A50" s="5" t="s">
        <v>0</v>
      </c>
      <c r="B50" s="24">
        <f t="shared" ca="1" si="8"/>
        <v>7</v>
      </c>
      <c r="C50" s="29">
        <f t="shared" ca="1" si="10"/>
        <v>5</v>
      </c>
      <c r="D50" s="29">
        <f t="shared" ca="1" si="10"/>
        <v>0</v>
      </c>
      <c r="E50" s="29">
        <f t="shared" ca="1" si="10"/>
        <v>0</v>
      </c>
      <c r="F50" s="29">
        <f t="shared" ca="1" si="10"/>
        <v>0</v>
      </c>
      <c r="G50" s="29">
        <f t="shared" ca="1" si="10"/>
        <v>0</v>
      </c>
      <c r="H50" s="29">
        <f t="shared" ca="1" si="10"/>
        <v>0</v>
      </c>
      <c r="I50" s="29">
        <f t="shared" ca="1" si="10"/>
        <v>0</v>
      </c>
      <c r="J50" s="29">
        <f t="shared" ca="1" si="10"/>
        <v>0</v>
      </c>
      <c r="K50" s="29">
        <f t="shared" ca="1" si="10"/>
        <v>0</v>
      </c>
      <c r="L50" s="29">
        <f t="shared" ca="1" si="10"/>
        <v>0</v>
      </c>
    </row>
    <row r="51" spans="1:15" s="5" customFormat="1" x14ac:dyDescent="0.25"/>
    <row r="52" spans="1:15" s="5" customFormat="1" x14ac:dyDescent="0.25">
      <c r="A52" s="4" t="s">
        <v>48</v>
      </c>
      <c r="B52" s="24">
        <f t="shared" ref="B52" ca="1" si="11">MATCH(A52,INDIRECT("'Data Sheet'!A:A"),0)</f>
        <v>80</v>
      </c>
      <c r="C52" s="31" t="str">
        <f ca="1">"'Data Sheet'!A"&amp;B52&amp;":A999"</f>
        <v>'Data Sheet'!A80:A999</v>
      </c>
    </row>
    <row r="53" spans="1:15" s="8" customFormat="1" x14ac:dyDescent="0.25">
      <c r="A53" s="6" t="s">
        <v>29</v>
      </c>
      <c r="B53" s="22">
        <f ca="1">MATCH("Report Date",INDIRECT(C52),0)+B52-1</f>
        <v>81</v>
      </c>
      <c r="C53" s="7">
        <v>39903</v>
      </c>
      <c r="D53" s="7">
        <v>40268</v>
      </c>
      <c r="E53" s="7">
        <v>40633</v>
      </c>
      <c r="F53" s="7">
        <v>40999</v>
      </c>
      <c r="G53" s="7">
        <v>41364</v>
      </c>
      <c r="H53" s="7">
        <v>41729</v>
      </c>
      <c r="I53" s="7">
        <v>42094</v>
      </c>
      <c r="J53" s="7">
        <v>42460</v>
      </c>
      <c r="K53" s="7">
        <v>42825</v>
      </c>
      <c r="L53" s="7">
        <v>43190</v>
      </c>
    </row>
    <row r="54" spans="1:15" s="4" customFormat="1" x14ac:dyDescent="0.25">
      <c r="A54" s="9" t="s">
        <v>49</v>
      </c>
      <c r="B54" s="24">
        <f t="shared" ref="B54:B57" ca="1" si="12">MATCH(A54,INDIRECT("'Data Sheet'!A:A"),0)</f>
        <v>82</v>
      </c>
      <c r="C54" s="29">
        <f t="shared" ref="C54:L57" ca="1" si="13">INDIRECT(ADDRESS($B54,COLUMN()-1,,,"Data Sheet"))</f>
        <v>311.66000000000003</v>
      </c>
      <c r="D54" s="29">
        <f t="shared" ca="1" si="13"/>
        <v>356.59</v>
      </c>
      <c r="E54" s="29">
        <f t="shared" ca="1" si="13"/>
        <v>174.49</v>
      </c>
      <c r="F54" s="29">
        <f t="shared" ca="1" si="13"/>
        <v>377.82</v>
      </c>
      <c r="G54" s="29">
        <f t="shared" ca="1" si="13"/>
        <v>332.27</v>
      </c>
      <c r="H54" s="29">
        <f t="shared" ca="1" si="13"/>
        <v>354.54</v>
      </c>
      <c r="I54" s="29">
        <f t="shared" ca="1" si="13"/>
        <v>351.52</v>
      </c>
      <c r="J54" s="29">
        <f t="shared" ca="1" si="13"/>
        <v>297.55</v>
      </c>
      <c r="K54" s="29">
        <f t="shared" ca="1" si="13"/>
        <v>362.93</v>
      </c>
      <c r="L54" s="29">
        <f t="shared" ca="1" si="13"/>
        <v>456.47</v>
      </c>
    </row>
    <row r="55" spans="1:15" s="9" customFormat="1" x14ac:dyDescent="0.25">
      <c r="A55" s="9" t="s">
        <v>17</v>
      </c>
      <c r="B55" s="24">
        <f t="shared" ca="1" si="12"/>
        <v>83</v>
      </c>
      <c r="C55" s="29">
        <f t="shared" ca="1" si="13"/>
        <v>-265.56</v>
      </c>
      <c r="D55" s="29">
        <f t="shared" ca="1" si="13"/>
        <v>-585.74</v>
      </c>
      <c r="E55" s="29">
        <f t="shared" ca="1" si="13"/>
        <v>-317.45999999999998</v>
      </c>
      <c r="F55" s="29">
        <f t="shared" ca="1" si="13"/>
        <v>-353.55</v>
      </c>
      <c r="G55" s="29">
        <f t="shared" ca="1" si="13"/>
        <v>-488.36</v>
      </c>
      <c r="H55" s="29">
        <f t="shared" ca="1" si="13"/>
        <v>-515.6</v>
      </c>
      <c r="I55" s="29">
        <f t="shared" ca="1" si="13"/>
        <v>-406.17</v>
      </c>
      <c r="J55" s="29">
        <f t="shared" ca="1" si="13"/>
        <v>-70</v>
      </c>
      <c r="K55" s="29">
        <f t="shared" ca="1" si="13"/>
        <v>-415.61</v>
      </c>
      <c r="L55" s="29">
        <f t="shared" ca="1" si="13"/>
        <v>-88.82</v>
      </c>
    </row>
    <row r="56" spans="1:15" s="9" customFormat="1" x14ac:dyDescent="0.25">
      <c r="A56" s="9" t="s">
        <v>18</v>
      </c>
      <c r="B56" s="24">
        <f t="shared" ca="1" si="12"/>
        <v>84</v>
      </c>
      <c r="C56" s="29">
        <f t="shared" ca="1" si="13"/>
        <v>-67.010000000000005</v>
      </c>
      <c r="D56" s="29">
        <f t="shared" ca="1" si="13"/>
        <v>122.87</v>
      </c>
      <c r="E56" s="29">
        <f t="shared" ca="1" si="13"/>
        <v>13.92</v>
      </c>
      <c r="F56" s="29">
        <f t="shared" ca="1" si="13"/>
        <v>-24.76</v>
      </c>
      <c r="G56" s="29">
        <f t="shared" ca="1" si="13"/>
        <v>79.099999999999994</v>
      </c>
      <c r="H56" s="29">
        <f t="shared" ca="1" si="13"/>
        <v>183.62</v>
      </c>
      <c r="I56" s="29">
        <f t="shared" ca="1" si="13"/>
        <v>33.520000000000003</v>
      </c>
      <c r="J56" s="29">
        <f t="shared" ca="1" si="13"/>
        <v>-231.08</v>
      </c>
      <c r="K56" s="29">
        <f t="shared" ca="1" si="13"/>
        <v>49.9</v>
      </c>
      <c r="L56" s="29">
        <f t="shared" ca="1" si="13"/>
        <v>-365.04</v>
      </c>
    </row>
    <row r="57" spans="1:15" s="4" customFormat="1" x14ac:dyDescent="0.25">
      <c r="A57" s="9" t="s">
        <v>50</v>
      </c>
      <c r="B57" s="24">
        <f t="shared" ca="1" si="12"/>
        <v>85</v>
      </c>
      <c r="C57" s="29">
        <f t="shared" ca="1" si="13"/>
        <v>-20.91</v>
      </c>
      <c r="D57" s="29">
        <f t="shared" ca="1" si="13"/>
        <v>-106.28</v>
      </c>
      <c r="E57" s="29">
        <f t="shared" ca="1" si="13"/>
        <v>-129.05000000000001</v>
      </c>
      <c r="F57" s="29">
        <f t="shared" ca="1" si="13"/>
        <v>-0.49</v>
      </c>
      <c r="G57" s="29">
        <f t="shared" ca="1" si="13"/>
        <v>-76.989999999999995</v>
      </c>
      <c r="H57" s="29">
        <f t="shared" ca="1" si="13"/>
        <v>22.56</v>
      </c>
      <c r="I57" s="29">
        <f t="shared" ca="1" si="13"/>
        <v>-21.13</v>
      </c>
      <c r="J57" s="29">
        <f t="shared" ca="1" si="13"/>
        <v>-3.53</v>
      </c>
      <c r="K57" s="29">
        <f t="shared" ca="1" si="13"/>
        <v>-2.78</v>
      </c>
      <c r="L57" s="29">
        <f t="shared" ca="1" si="13"/>
        <v>2.61</v>
      </c>
    </row>
    <row r="58" spans="1:15" s="5" customFormat="1" x14ac:dyDescent="0.25">
      <c r="A58" s="9"/>
      <c r="B58" s="9"/>
    </row>
    <row r="59" spans="1:15" s="4" customFormat="1" x14ac:dyDescent="0.25">
      <c r="A59" s="4" t="s">
        <v>51</v>
      </c>
      <c r="B59" s="24">
        <f ca="1">MATCH(A59,INDIRECT("'Data Sheet'!A:A"),0)</f>
        <v>90</v>
      </c>
      <c r="C59" s="29">
        <f t="shared" ref="C59:L59" ca="1" si="14">INDIRECT(ADDRESS($B59,COLUMN()-1,,,"Data Sheet"))</f>
        <v>28.281666999999999</v>
      </c>
      <c r="D59" s="29">
        <f t="shared" ca="1" si="14"/>
        <v>74.576189999999997</v>
      </c>
      <c r="E59" s="29">
        <f t="shared" ca="1" si="14"/>
        <v>53.357894999999999</v>
      </c>
      <c r="F59" s="29">
        <f t="shared" ca="1" si="14"/>
        <v>65.944999999999993</v>
      </c>
      <c r="G59" s="29">
        <f t="shared" ca="1" si="14"/>
        <v>93.234999999999999</v>
      </c>
      <c r="H59" s="29">
        <f t="shared" ca="1" si="14"/>
        <v>120.336842</v>
      </c>
      <c r="I59" s="29">
        <f t="shared" ca="1" si="14"/>
        <v>360.84750000000003</v>
      </c>
      <c r="J59" s="29">
        <f t="shared" ca="1" si="14"/>
        <v>347.40526299999999</v>
      </c>
      <c r="K59" s="29">
        <f t="shared" ca="1" si="14"/>
        <v>462.59736800000002</v>
      </c>
      <c r="L59" s="29">
        <f t="shared" ca="1" si="14"/>
        <v>424.60476199999999</v>
      </c>
    </row>
    <row r="60" spans="1:15" s="5" customFormat="1" x14ac:dyDescent="0.25"/>
    <row r="61" spans="1:15" s="4" customFormat="1" x14ac:dyDescent="0.25">
      <c r="A61" s="4" t="s">
        <v>52</v>
      </c>
    </row>
    <row r="62" spans="1:15" s="5" customFormat="1" x14ac:dyDescent="0.25">
      <c r="A62" s="5" t="s">
        <v>53</v>
      </c>
      <c r="B62" s="24">
        <f ca="1">MATCH(A62,INDIRECT("'Data Sheet'!A:A"),0)</f>
        <v>93</v>
      </c>
      <c r="C62" s="29">
        <f t="shared" ref="C62:L62" ca="1" si="15">INDIRECT(ADDRESS($B62,COLUMN()-1,,,"Data Sheet"))</f>
        <v>12.238012400000001</v>
      </c>
      <c r="D62" s="29">
        <f t="shared" ca="1" si="15"/>
        <v>12.235892399999999</v>
      </c>
      <c r="E62" s="29">
        <f t="shared" ca="1" si="15"/>
        <v>12.2408924</v>
      </c>
      <c r="F62" s="29">
        <f t="shared" ca="1" si="15"/>
        <v>12.2401924</v>
      </c>
      <c r="G62" s="29">
        <f t="shared" ca="1" si="15"/>
        <v>11.7670066</v>
      </c>
      <c r="H62" s="29">
        <f t="shared" ca="1" si="15"/>
        <v>11.767010000000001</v>
      </c>
      <c r="I62" s="29">
        <f t="shared" ca="1" si="15"/>
        <v>11.7670066</v>
      </c>
      <c r="J62" s="29">
        <f t="shared" ca="1" si="15"/>
        <v>11.7670066</v>
      </c>
      <c r="K62" s="29">
        <f t="shared" ca="1" si="15"/>
        <v>11.7670066</v>
      </c>
      <c r="L62" s="29">
        <f t="shared" ca="1" si="15"/>
        <v>11.7670066</v>
      </c>
    </row>
    <row r="63" spans="1:15" s="5" customFormat="1" x14ac:dyDescent="0.25"/>
    <row r="64" spans="1:15" x14ac:dyDescent="0.25">
      <c r="B64" s="28"/>
      <c r="C64" s="23"/>
      <c r="D64" s="27"/>
      <c r="E64" s="27"/>
      <c r="F64" s="27"/>
      <c r="G64" s="27"/>
      <c r="H64" s="27"/>
      <c r="I64" s="27"/>
      <c r="J64" s="27"/>
      <c r="K64" s="27"/>
      <c r="L64" s="27"/>
      <c r="M64" s="27"/>
      <c r="N64" s="27"/>
      <c r="O64" s="27"/>
    </row>
    <row r="65" spans="1:15" x14ac:dyDescent="0.25">
      <c r="A65" s="38" t="s">
        <v>160</v>
      </c>
      <c r="B65" s="28"/>
      <c r="C65" s="23"/>
      <c r="D65" s="27"/>
      <c r="E65" s="27"/>
      <c r="F65" s="27"/>
      <c r="G65" s="27"/>
      <c r="H65" s="27"/>
      <c r="I65" s="27"/>
      <c r="J65" s="27"/>
      <c r="K65" s="27"/>
      <c r="L65" s="27"/>
      <c r="M65" s="27"/>
      <c r="N65" s="27"/>
      <c r="O65" s="27"/>
    </row>
    <row r="66" spans="1:15" customFormat="1" x14ac:dyDescent="0.25">
      <c r="A66" s="14" t="s">
        <v>84</v>
      </c>
      <c r="B66" s="2"/>
      <c r="C66" s="18">
        <f>C53</f>
        <v>39903</v>
      </c>
      <c r="D66" s="18">
        <f t="shared" ref="D66:L66" si="16">D53</f>
        <v>40268</v>
      </c>
      <c r="E66" s="18">
        <f t="shared" si="16"/>
        <v>40633</v>
      </c>
      <c r="F66" s="18">
        <f t="shared" si="16"/>
        <v>40999</v>
      </c>
      <c r="G66" s="18">
        <f t="shared" si="16"/>
        <v>41364</v>
      </c>
      <c r="H66" s="18">
        <f t="shared" si="16"/>
        <v>41729</v>
      </c>
      <c r="I66" s="18">
        <f t="shared" si="16"/>
        <v>42094</v>
      </c>
      <c r="J66" s="18">
        <f t="shared" si="16"/>
        <v>42460</v>
      </c>
      <c r="K66" s="18">
        <f t="shared" si="16"/>
        <v>42825</v>
      </c>
      <c r="L66" s="18">
        <f t="shared" si="16"/>
        <v>43190</v>
      </c>
      <c r="M66" s="18"/>
      <c r="N66" s="18"/>
    </row>
    <row r="67" spans="1:15" customFormat="1" x14ac:dyDescent="0.25">
      <c r="A67" s="15" t="s">
        <v>13</v>
      </c>
      <c r="B67" s="2"/>
      <c r="C67" s="20">
        <f ca="1">C5+C13</f>
        <v>1263.6299999999999</v>
      </c>
      <c r="D67" s="20">
        <f ca="1">D5+D13</f>
        <v>1534.66</v>
      </c>
      <c r="E67" s="20">
        <f t="shared" ref="E67:L67" ca="1" si="17">E5+E13</f>
        <v>1355.29</v>
      </c>
      <c r="F67" s="20">
        <f t="shared" ca="1" si="17"/>
        <v>1781.5</v>
      </c>
      <c r="G67" s="20">
        <f t="shared" ca="1" si="17"/>
        <v>2110.3999999999996</v>
      </c>
      <c r="H67" s="20">
        <f t="shared" ca="1" si="17"/>
        <v>2100.87</v>
      </c>
      <c r="I67" s="20">
        <f t="shared" ca="1" si="17"/>
        <v>2294.33</v>
      </c>
      <c r="J67" s="20">
        <f t="shared" ca="1" si="17"/>
        <v>2668.45</v>
      </c>
      <c r="K67" s="20">
        <f t="shared" ca="1" si="17"/>
        <v>2980.22</v>
      </c>
      <c r="L67" s="20">
        <f t="shared" ca="1" si="17"/>
        <v>3480.25</v>
      </c>
      <c r="M67" s="20"/>
      <c r="N67" s="20"/>
    </row>
    <row r="68" spans="1:15" s="17" customFormat="1" x14ac:dyDescent="0.25">
      <c r="A68" s="15" t="s">
        <v>101</v>
      </c>
      <c r="B68" s="15"/>
      <c r="C68" s="16"/>
      <c r="D68" s="33">
        <f ca="1">(D67-C67)/C67</f>
        <v>0.21448525280343156</v>
      </c>
      <c r="E68" s="33">
        <f t="shared" ref="E68:L68" ca="1" si="18">(E67-D67)/D67</f>
        <v>-0.11687930877197562</v>
      </c>
      <c r="F68" s="33">
        <f t="shared" ca="1" si="18"/>
        <v>0.31447882003113731</v>
      </c>
      <c r="G68" s="33">
        <f t="shared" ca="1" si="18"/>
        <v>0.18461970249789483</v>
      </c>
      <c r="H68" s="33">
        <f t="shared" ca="1" si="18"/>
        <v>-4.5157316148596227E-3</v>
      </c>
      <c r="I68" s="33">
        <f t="shared" ca="1" si="18"/>
        <v>9.2085659750484342E-2</v>
      </c>
      <c r="J68" s="33">
        <f t="shared" ca="1" si="18"/>
        <v>0.16306285495111858</v>
      </c>
      <c r="K68" s="33">
        <f t="shared" ca="1" si="18"/>
        <v>0.11683561618167851</v>
      </c>
      <c r="L68" s="33">
        <f t="shared" ca="1" si="18"/>
        <v>0.16778291535524231</v>
      </c>
      <c r="M68" s="16"/>
      <c r="N68" s="16"/>
    </row>
    <row r="69" spans="1:15" s="17" customFormat="1" x14ac:dyDescent="0.25">
      <c r="A69" s="15" t="s">
        <v>12</v>
      </c>
      <c r="B69" s="15"/>
      <c r="C69" s="19">
        <f ca="1">C18/C62</f>
        <v>14.593055976965671</v>
      </c>
      <c r="D69" s="19">
        <f t="shared" ref="D69:L69" ca="1" si="19">D18/D62</f>
        <v>19.706776761129415</v>
      </c>
      <c r="E69" s="19">
        <f t="shared" ca="1" si="19"/>
        <v>4.8305301662483364</v>
      </c>
      <c r="F69" s="19">
        <f t="shared" ca="1" si="19"/>
        <v>8.8871152058034646</v>
      </c>
      <c r="G69" s="19">
        <f t="shared" ca="1" si="19"/>
        <v>14.934979300513012</v>
      </c>
      <c r="H69" s="19">
        <f t="shared" ca="1" si="19"/>
        <v>7.9034521089044709</v>
      </c>
      <c r="I69" s="19">
        <f t="shared" ca="1" si="19"/>
        <v>8.124411182024831</v>
      </c>
      <c r="J69" s="19">
        <f t="shared" ca="1" si="19"/>
        <v>-0.5574909765071433</v>
      </c>
      <c r="K69" s="19">
        <f t="shared" ca="1" si="19"/>
        <v>6.9686372063392907</v>
      </c>
      <c r="L69" s="19">
        <f t="shared" ca="1" si="19"/>
        <v>7.1352046322469125</v>
      </c>
      <c r="M69" s="19"/>
      <c r="N69" s="19"/>
    </row>
    <row r="70" spans="1:15" s="17" customFormat="1" x14ac:dyDescent="0.25">
      <c r="A70" s="15" t="s">
        <v>102</v>
      </c>
      <c r="B70" s="15"/>
      <c r="C70" s="16"/>
      <c r="D70" s="33">
        <f ca="1">(D69-C69)/C69</f>
        <v>0.35042151501614666</v>
      </c>
      <c r="E70" s="33">
        <f t="shared" ref="E70:L70" ca="1" si="20">(E69-D69)/D69</f>
        <v>-0.75487974391751855</v>
      </c>
      <c r="F70" s="33">
        <f t="shared" ca="1" si="20"/>
        <v>0.83978050026457074</v>
      </c>
      <c r="G70" s="33">
        <f t="shared" ca="1" si="20"/>
        <v>0.68052050127134289</v>
      </c>
      <c r="H70" s="33">
        <f t="shared" ca="1" si="20"/>
        <v>-0.47080930278671429</v>
      </c>
      <c r="I70" s="33">
        <f t="shared" ca="1" si="20"/>
        <v>2.7957286268795793E-2</v>
      </c>
      <c r="J70" s="33">
        <f t="shared" ca="1" si="20"/>
        <v>-1.0686192468619247</v>
      </c>
      <c r="K70" s="33">
        <f t="shared" ca="1" si="20"/>
        <v>-13.499999999999998</v>
      </c>
      <c r="L70" s="33">
        <f t="shared" ca="1" si="20"/>
        <v>2.3902439024390196E-2</v>
      </c>
      <c r="M70" s="16"/>
      <c r="N70" s="16"/>
    </row>
    <row r="71" spans="1:15" x14ac:dyDescent="0.25">
      <c r="B71" s="28"/>
      <c r="C71" s="23"/>
      <c r="D71" s="27"/>
      <c r="E71" s="27"/>
      <c r="F71" s="27"/>
      <c r="G71" s="27"/>
      <c r="H71" s="27"/>
      <c r="I71" s="27"/>
      <c r="J71" s="27"/>
      <c r="K71" s="27"/>
      <c r="L71" s="27"/>
      <c r="M71" s="27"/>
      <c r="N71" s="27"/>
      <c r="O71" s="27"/>
    </row>
    <row r="72" spans="1:15" x14ac:dyDescent="0.25">
      <c r="A72" s="48" t="s">
        <v>181</v>
      </c>
      <c r="B72" s="23"/>
      <c r="C72" s="27"/>
      <c r="D72" s="27"/>
      <c r="E72" s="27"/>
      <c r="F72" s="27"/>
      <c r="G72" s="27"/>
      <c r="H72" s="27"/>
      <c r="I72" s="27"/>
      <c r="J72" s="27"/>
      <c r="K72" s="27"/>
      <c r="L72" s="27"/>
      <c r="M72" s="27"/>
      <c r="N72" s="27"/>
    </row>
    <row r="73" spans="1:15" x14ac:dyDescent="0.25">
      <c r="A73" s="45" t="s">
        <v>10</v>
      </c>
      <c r="B73" s="23"/>
      <c r="C73" s="27"/>
      <c r="D73" s="46">
        <f ca="1">D14</f>
        <v>80.03</v>
      </c>
      <c r="E73" s="46">
        <f t="shared" ref="E73:L73" ca="1" si="21">E14</f>
        <v>84.61</v>
      </c>
      <c r="F73" s="46">
        <f t="shared" ca="1" si="21"/>
        <v>168.97</v>
      </c>
      <c r="G73" s="46">
        <f t="shared" ca="1" si="21"/>
        <v>148.93</v>
      </c>
      <c r="H73" s="46">
        <f t="shared" ca="1" si="21"/>
        <v>135.16999999999999</v>
      </c>
      <c r="I73" s="46">
        <f t="shared" ca="1" si="21"/>
        <v>111.9</v>
      </c>
      <c r="J73" s="46">
        <f t="shared" ca="1" si="21"/>
        <v>162.88</v>
      </c>
      <c r="K73" s="46">
        <f t="shared" ca="1" si="21"/>
        <v>172.37</v>
      </c>
      <c r="L73" s="46">
        <f t="shared" ca="1" si="21"/>
        <v>179.27</v>
      </c>
      <c r="M73" s="27"/>
      <c r="N73" s="27"/>
    </row>
    <row r="74" spans="1:15" x14ac:dyDescent="0.25">
      <c r="A74" s="45" t="s">
        <v>182</v>
      </c>
      <c r="B74" s="23"/>
      <c r="C74" s="27"/>
      <c r="D74" s="47">
        <f ca="1">(D40+D41)-(C40+C41)</f>
        <v>134.80999999999995</v>
      </c>
      <c r="E74" s="47">
        <f t="shared" ref="E74:L74" ca="1" si="22">(E40+E41)-(D40+D41)</f>
        <v>177</v>
      </c>
      <c r="F74" s="47">
        <f t="shared" ca="1" si="22"/>
        <v>201.43999999999983</v>
      </c>
      <c r="G74" s="47">
        <f t="shared" ca="1" si="22"/>
        <v>499.29000000000019</v>
      </c>
      <c r="H74" s="47">
        <f t="shared" ca="1" si="22"/>
        <v>357.23</v>
      </c>
      <c r="I74" s="47">
        <f t="shared" ca="1" si="22"/>
        <v>464.05999999999995</v>
      </c>
      <c r="J74" s="47">
        <f t="shared" ca="1" si="22"/>
        <v>67.940000000000055</v>
      </c>
      <c r="K74" s="47">
        <f t="shared" ca="1" si="22"/>
        <v>19.519999999999982</v>
      </c>
      <c r="L74" s="47">
        <f t="shared" ca="1" si="22"/>
        <v>-9.8200000000001637</v>
      </c>
      <c r="M74" s="27"/>
      <c r="N74" s="27"/>
    </row>
    <row r="75" spans="1:15" x14ac:dyDescent="0.25">
      <c r="B75" s="23"/>
      <c r="C75" s="27"/>
      <c r="D75" s="46">
        <f ca="1">SUM(D73:D74)</f>
        <v>214.83999999999995</v>
      </c>
      <c r="E75" s="46">
        <f t="shared" ref="E75:L75" ca="1" si="23">SUM(E73:E74)</f>
        <v>261.61</v>
      </c>
      <c r="F75" s="46">
        <f t="shared" ca="1" si="23"/>
        <v>370.40999999999985</v>
      </c>
      <c r="G75" s="46">
        <f t="shared" ca="1" si="23"/>
        <v>648.22000000000025</v>
      </c>
      <c r="H75" s="46">
        <f t="shared" ca="1" si="23"/>
        <v>492.4</v>
      </c>
      <c r="I75" s="46">
        <f t="shared" ca="1" si="23"/>
        <v>575.95999999999992</v>
      </c>
      <c r="J75" s="46">
        <f t="shared" ca="1" si="23"/>
        <v>230.82000000000005</v>
      </c>
      <c r="K75" s="46">
        <f t="shared" ca="1" si="23"/>
        <v>191.89</v>
      </c>
      <c r="L75" s="46">
        <f t="shared" ca="1" si="23"/>
        <v>169.44999999999985</v>
      </c>
      <c r="M75" s="27"/>
      <c r="N75" s="27"/>
    </row>
    <row r="76" spans="1:15" x14ac:dyDescent="0.25">
      <c r="B76" s="23"/>
      <c r="C76" s="27"/>
      <c r="D76" s="27"/>
      <c r="E76" s="27"/>
      <c r="F76" s="27"/>
      <c r="G76" s="27"/>
      <c r="H76" s="27"/>
      <c r="I76" s="27"/>
      <c r="J76" s="27"/>
      <c r="K76" s="27"/>
      <c r="L76" s="27"/>
      <c r="M76" s="27"/>
      <c r="N76" s="27"/>
    </row>
    <row r="77" spans="1:15" x14ac:dyDescent="0.25">
      <c r="B77" s="28"/>
      <c r="C77" s="27"/>
      <c r="D77" s="27"/>
      <c r="E77" s="27"/>
      <c r="F77" s="27"/>
      <c r="G77" s="27"/>
      <c r="H77" s="27"/>
      <c r="I77" s="27"/>
      <c r="J77" s="27"/>
      <c r="K77" s="27"/>
      <c r="L77" s="27"/>
      <c r="M77" s="27"/>
      <c r="N77" s="27"/>
    </row>
    <row r="78" spans="1:15" x14ac:dyDescent="0.25">
      <c r="A78" s="48" t="s">
        <v>186</v>
      </c>
      <c r="C78" s="27"/>
      <c r="D78" s="27"/>
      <c r="E78" s="27"/>
      <c r="F78" s="27"/>
      <c r="G78" s="27"/>
      <c r="H78" s="27"/>
      <c r="I78" s="27"/>
      <c r="J78" s="27"/>
      <c r="K78" s="27"/>
      <c r="L78" s="27"/>
      <c r="M78" s="27"/>
      <c r="N78" s="27"/>
    </row>
    <row r="79" spans="1:15" x14ac:dyDescent="0.25">
      <c r="A79" s="48" t="s">
        <v>187</v>
      </c>
      <c r="B79" s="27"/>
      <c r="C79" s="49"/>
      <c r="D79" s="49"/>
      <c r="E79" s="49"/>
      <c r="F79" s="49">
        <f t="shared" ref="F79:L79" ca="1" si="24">(F83*F82*(1-F81))-F80</f>
        <v>1.3996304533032411E-3</v>
      </c>
      <c r="G79" s="49">
        <f t="shared" ca="1" si="24"/>
        <v>-3.2347689035833266E-2</v>
      </c>
      <c r="H79" s="49">
        <f t="shared" ca="1" si="24"/>
        <v>-3.6082948330633025E-2</v>
      </c>
      <c r="I79" s="49">
        <f t="shared" ca="1" si="24"/>
        <v>-2.1799391987005416E-2</v>
      </c>
      <c r="J79" s="49">
        <f t="shared" ca="1" si="24"/>
        <v>-4.4570420558874231E-2</v>
      </c>
      <c r="K79" s="49">
        <f t="shared" ca="1" si="24"/>
        <v>-4.1465996471488964E-2</v>
      </c>
      <c r="L79" s="49">
        <f t="shared" ca="1" si="24"/>
        <v>-4.5579607820301925E-2</v>
      </c>
      <c r="M79" s="27"/>
      <c r="N79" s="27"/>
    </row>
    <row r="80" spans="1:15" x14ac:dyDescent="0.25">
      <c r="A80" s="45" t="s">
        <v>191</v>
      </c>
      <c r="B80" s="27"/>
      <c r="C80" s="49"/>
      <c r="D80" s="49"/>
      <c r="E80" s="49"/>
      <c r="F80" s="49">
        <f t="shared" ref="F80:L80" ca="1" si="25">AVERAGE(D14:F14)/AVERAGE(D84:F84)</f>
        <v>9.2278797534880122E-2</v>
      </c>
      <c r="G80" s="49">
        <f t="shared" ca="1" si="25"/>
        <v>0.10166524801915554</v>
      </c>
      <c r="H80" s="49">
        <f t="shared" ca="1" si="25"/>
        <v>0.10685033594875749</v>
      </c>
      <c r="I80" s="49">
        <f t="shared" ca="1" si="25"/>
        <v>7.9805484208691352E-2</v>
      </c>
      <c r="J80" s="49">
        <f t="shared" ca="1" si="25"/>
        <v>6.5741891512648837E-2</v>
      </c>
      <c r="K80" s="49">
        <f t="shared" ca="1" si="25"/>
        <v>5.9538630538264366E-2</v>
      </c>
      <c r="L80" s="49">
        <f t="shared" ca="1" si="25"/>
        <v>6.2417810645432094E-2</v>
      </c>
      <c r="M80" s="27"/>
      <c r="N80" s="27"/>
    </row>
    <row r="81" spans="1:14" x14ac:dyDescent="0.25">
      <c r="A81" s="45" t="s">
        <v>188</v>
      </c>
      <c r="B81" s="49"/>
      <c r="C81" s="49"/>
      <c r="D81" s="49"/>
      <c r="E81" s="49"/>
      <c r="F81" s="49">
        <f t="shared" ref="F81:L81" ca="1" si="26">SUM(D19:F19)/SUM(D18:F18)</f>
        <v>0.17203696460003914</v>
      </c>
      <c r="G81" s="49">
        <f t="shared" ca="1" si="26"/>
        <v>0.20139676996944569</v>
      </c>
      <c r="H81" s="49">
        <f t="shared" ca="1" si="26"/>
        <v>0.20515469379105741</v>
      </c>
      <c r="I81" s="49">
        <f t="shared" ca="1" si="26"/>
        <v>0.20999615743536254</v>
      </c>
      <c r="J81" s="49">
        <f t="shared" ca="1" si="26"/>
        <v>0.27477477477477474</v>
      </c>
      <c r="K81" s="49">
        <f t="shared" ca="1" si="26"/>
        <v>0.20644293732460245</v>
      </c>
      <c r="L81" s="49">
        <f t="shared" ca="1" si="26"/>
        <v>0.12923462986198248</v>
      </c>
      <c r="M81" s="49"/>
      <c r="N81" s="49"/>
    </row>
    <row r="82" spans="1:14" x14ac:dyDescent="0.25">
      <c r="A82" s="45" t="s">
        <v>190</v>
      </c>
      <c r="B82" s="27"/>
      <c r="C82" s="49"/>
      <c r="D82" s="49"/>
      <c r="E82" s="49"/>
      <c r="F82" s="49">
        <f t="shared" ref="F82:L82" ca="1" si="27">SUM(D18:F18)/SUM(D5:F5)</f>
        <v>9.0279065250593704E-2</v>
      </c>
      <c r="G82" s="49">
        <f t="shared" ca="1" si="27"/>
        <v>6.7444640049928464E-2</v>
      </c>
      <c r="H82" s="49">
        <f t="shared" ca="1" si="27"/>
        <v>6.4758604718979693E-2</v>
      </c>
      <c r="I82" s="49">
        <f t="shared" ca="1" si="27"/>
        <v>5.6763068639471802E-2</v>
      </c>
      <c r="J82" s="49">
        <f t="shared" ca="1" si="27"/>
        <v>2.6067120974982493E-2</v>
      </c>
      <c r="K82" s="49">
        <f t="shared" ca="1" si="27"/>
        <v>2.1823786702597315E-2</v>
      </c>
      <c r="L82" s="49">
        <f t="shared" ca="1" si="27"/>
        <v>1.782517240878018E-2</v>
      </c>
      <c r="M82" s="27"/>
      <c r="N82" s="27"/>
    </row>
    <row r="83" spans="1:14" x14ac:dyDescent="0.25">
      <c r="A83" s="45" t="s">
        <v>189</v>
      </c>
      <c r="B83" s="27"/>
      <c r="C83" s="49"/>
      <c r="D83" s="49"/>
      <c r="E83" s="49"/>
      <c r="F83" s="49">
        <f t="shared" ref="F83:L83" ca="1" si="28">AVERAGE(D5:F5)/AVERAGE(D84:F84)</f>
        <v>1.2532611942775584</v>
      </c>
      <c r="G83" s="49">
        <f t="shared" ca="1" si="28"/>
        <v>1.2869591353743337</v>
      </c>
      <c r="H83" s="49">
        <f t="shared" ca="1" si="28"/>
        <v>1.3748428740893772</v>
      </c>
      <c r="I83" s="49">
        <f t="shared" ca="1" si="28"/>
        <v>1.2935360580725968</v>
      </c>
      <c r="J83" s="49">
        <f t="shared" ca="1" si="28"/>
        <v>1.1199150062141683</v>
      </c>
      <c r="K83" s="49">
        <f t="shared" ca="1" si="28"/>
        <v>1.0435498152524882</v>
      </c>
      <c r="L83" s="49">
        <f t="shared" ca="1" si="28"/>
        <v>1.0848279058031145</v>
      </c>
      <c r="M83" s="27"/>
      <c r="N83" s="27"/>
    </row>
    <row r="84" spans="1:14" x14ac:dyDescent="0.25">
      <c r="A84" s="45" t="s">
        <v>193</v>
      </c>
      <c r="B84" s="27"/>
      <c r="C84" s="49"/>
      <c r="D84" s="50">
        <f t="shared" ref="D84:L84" ca="1" si="29">(D40+C40)/2</f>
        <v>1038.04</v>
      </c>
      <c r="E84" s="50">
        <f t="shared" ca="1" si="29"/>
        <v>1222.0149999999999</v>
      </c>
      <c r="F84" s="50">
        <f t="shared" ca="1" si="29"/>
        <v>1355.1849999999999</v>
      </c>
      <c r="G84" s="50">
        <f t="shared" ca="1" si="29"/>
        <v>1381.9699999999998</v>
      </c>
      <c r="H84" s="50">
        <f t="shared" ca="1" si="29"/>
        <v>1503.0749999999998</v>
      </c>
      <c r="I84" s="50">
        <f t="shared" ca="1" si="29"/>
        <v>2077.02</v>
      </c>
      <c r="J84" s="50">
        <f t="shared" ca="1" si="29"/>
        <v>2655.6549999999997</v>
      </c>
      <c r="K84" s="50">
        <f t="shared" ca="1" si="29"/>
        <v>2777.5749999999998</v>
      </c>
      <c r="L84" s="50">
        <f t="shared" ca="1" si="29"/>
        <v>2809.9300000000003</v>
      </c>
      <c r="M84" s="27"/>
      <c r="N84" s="27"/>
    </row>
    <row r="85" spans="1:14" x14ac:dyDescent="0.25">
      <c r="A85" s="45" t="s">
        <v>218</v>
      </c>
      <c r="B85" s="23"/>
      <c r="C85" s="27"/>
      <c r="D85" s="27">
        <f t="shared" ref="D85:L85" ca="1" si="30">(SUM(D35:D36)+SUM(C35:C36))/2</f>
        <v>887.30500000000006</v>
      </c>
      <c r="E85" s="27">
        <f t="shared" ca="1" si="30"/>
        <v>1010.66</v>
      </c>
      <c r="F85" s="27">
        <f t="shared" ca="1" si="30"/>
        <v>1071.9650000000001</v>
      </c>
      <c r="G85" s="27">
        <f t="shared" ca="1" si="30"/>
        <v>1168.105</v>
      </c>
      <c r="H85" s="27">
        <f t="shared" ca="1" si="30"/>
        <v>1256.355</v>
      </c>
      <c r="I85" s="27">
        <f t="shared" ca="1" si="30"/>
        <v>1309.895</v>
      </c>
      <c r="J85" s="27">
        <f t="shared" ca="1" si="30"/>
        <v>1317.395</v>
      </c>
      <c r="K85" s="27">
        <f t="shared" ca="1" si="30"/>
        <v>1342.8899999999999</v>
      </c>
      <c r="L85" s="27">
        <f t="shared" ca="1" si="30"/>
        <v>1417.4499999999998</v>
      </c>
      <c r="M85" s="27"/>
      <c r="N85" s="27"/>
    </row>
    <row r="86" spans="1:14" x14ac:dyDescent="0.25">
      <c r="A86" s="45" t="s">
        <v>219</v>
      </c>
      <c r="B86" s="23"/>
      <c r="C86" s="27"/>
      <c r="D86" s="49"/>
      <c r="E86" s="49"/>
      <c r="F86" s="49">
        <f t="shared" ref="F86:L86" ca="1" si="31">AVERAGE(D31:F31)/AVERAGE(D85:F85)</f>
        <v>8.3469980773957633E-2</v>
      </c>
      <c r="G86" s="49">
        <f t="shared" ca="1" si="31"/>
        <v>8.4454876289325784E-2</v>
      </c>
      <c r="H86" s="49">
        <f t="shared" ca="1" si="31"/>
        <v>8.2175364836940573E-2</v>
      </c>
      <c r="I86" s="49">
        <f t="shared" ca="1" si="31"/>
        <v>8.3037097437174551E-2</v>
      </c>
      <c r="J86" s="49">
        <f t="shared" ca="1" si="31"/>
        <v>7.493733335564913E-2</v>
      </c>
      <c r="K86" s="49">
        <f t="shared" ca="1" si="31"/>
        <v>7.291105189185379E-2</v>
      </c>
      <c r="L86" s="49">
        <f t="shared" ca="1" si="31"/>
        <v>7.0325805870170566E-2</v>
      </c>
      <c r="M86" s="27"/>
      <c r="N86" s="27"/>
    </row>
    <row r="87" spans="1:14" x14ac:dyDescent="0.25">
      <c r="A87" s="45"/>
      <c r="B87" s="23"/>
      <c r="C87" s="27"/>
      <c r="D87" s="49"/>
      <c r="E87" s="49"/>
      <c r="F87" s="49"/>
      <c r="G87" s="49"/>
      <c r="H87" s="49"/>
      <c r="I87" s="49"/>
      <c r="J87" s="49"/>
      <c r="K87" s="49"/>
      <c r="L87" s="49"/>
      <c r="M87" s="27"/>
      <c r="N87" s="27"/>
    </row>
    <row r="88" spans="1:14" x14ac:dyDescent="0.25">
      <c r="A88" s="45"/>
      <c r="B88" s="23"/>
      <c r="C88" s="27"/>
      <c r="D88" s="49"/>
      <c r="E88" s="49"/>
      <c r="F88" s="49"/>
      <c r="G88" s="49"/>
      <c r="H88" s="49"/>
      <c r="I88" s="49"/>
      <c r="J88" s="49"/>
      <c r="K88" s="49"/>
      <c r="L88" s="49"/>
      <c r="M88" s="27"/>
      <c r="N88" s="27"/>
    </row>
    <row r="89" spans="1:14" x14ac:dyDescent="0.25">
      <c r="A89" s="45"/>
      <c r="B89" s="23"/>
      <c r="C89" s="27"/>
      <c r="D89" s="49"/>
      <c r="E89" s="49"/>
      <c r="F89" s="49"/>
      <c r="G89" s="49"/>
      <c r="H89" s="49"/>
      <c r="I89" s="49"/>
      <c r="J89" s="49"/>
      <c r="K89" s="49"/>
      <c r="L89" s="49"/>
      <c r="M89" s="27"/>
      <c r="N89" s="27"/>
    </row>
    <row r="90" spans="1:14" x14ac:dyDescent="0.25">
      <c r="A90" s="45"/>
      <c r="B90" s="23"/>
      <c r="C90" s="27"/>
      <c r="D90" s="49"/>
      <c r="E90" s="49"/>
      <c r="F90" s="49"/>
      <c r="G90" s="49"/>
      <c r="H90" s="49"/>
      <c r="I90" s="49"/>
      <c r="J90" s="49"/>
      <c r="K90" s="49"/>
      <c r="L90" s="49"/>
      <c r="M90" s="27"/>
      <c r="N90" s="27"/>
    </row>
    <row r="91" spans="1:14" x14ac:dyDescent="0.25">
      <c r="B91" s="23"/>
      <c r="C91" s="27"/>
      <c r="D91" s="27"/>
      <c r="E91" s="27"/>
      <c r="F91" s="27"/>
      <c r="G91" s="27"/>
      <c r="H91" s="27"/>
      <c r="I91" s="27"/>
      <c r="J91" s="27"/>
      <c r="K91" s="27"/>
      <c r="L91" s="27"/>
      <c r="M91" s="27"/>
      <c r="N91" s="27"/>
    </row>
    <row r="92" spans="1:14" x14ac:dyDescent="0.25">
      <c r="A92" s="5" t="s">
        <v>46</v>
      </c>
      <c r="B92" s="24">
        <f ca="1">MATCH(A92,INDIRECT("'Data Sheet'!A:A"),0)</f>
        <v>70</v>
      </c>
      <c r="C92" s="32">
        <f t="shared" ref="C92:K92" ca="1" si="32">INDIRECT(ADDRESS($B92,COLUMN()-1,,,"Data Sheet"))/100</f>
        <v>611900.62</v>
      </c>
      <c r="D92" s="32">
        <f t="shared" ca="1" si="32"/>
        <v>1223589.24</v>
      </c>
      <c r="E92" s="32">
        <f t="shared" ca="1" si="32"/>
        <v>1224089.24</v>
      </c>
      <c r="F92" s="32">
        <f t="shared" ca="1" si="32"/>
        <v>1224019.24</v>
      </c>
      <c r="G92" s="32">
        <f t="shared" ca="1" si="32"/>
        <v>1176700.6599999999</v>
      </c>
      <c r="H92" s="32">
        <f t="shared" ca="1" si="32"/>
        <v>1176701</v>
      </c>
      <c r="I92" s="32">
        <f t="shared" ca="1" si="32"/>
        <v>1176700.6599999999</v>
      </c>
      <c r="J92" s="32">
        <f t="shared" ca="1" si="32"/>
        <v>1176700.6599999999</v>
      </c>
      <c r="K92" s="32">
        <f t="shared" ca="1" si="32"/>
        <v>1176700.6599999999</v>
      </c>
      <c r="L92" s="32">
        <f ca="1">INDIRECT(ADDRESS($B92,COLUMN()-1,,,"Data Sheet"))/100</f>
        <v>1176700.6599999999</v>
      </c>
      <c r="M92" s="27">
        <f ca="1">INDIRECT(ADDRESS(B94-2,2,,,"Data Sheet"))*100000</f>
        <v>1176701.6873607133</v>
      </c>
      <c r="N92" s="27"/>
    </row>
    <row r="93" spans="1:14" x14ac:dyDescent="0.25">
      <c r="A93" s="5" t="s">
        <v>51</v>
      </c>
      <c r="B93" s="24">
        <f ca="1">MATCH(A93,INDIRECT("'Data Sheet'!A:A"),0)</f>
        <v>90</v>
      </c>
      <c r="C93" s="29">
        <f t="shared" ref="C93:L93" ca="1" si="33">INDIRECT(ADDRESS($B93,COLUMN()-1,,,"Data Sheet"))</f>
        <v>28.281666999999999</v>
      </c>
      <c r="D93" s="29">
        <f t="shared" ca="1" si="33"/>
        <v>74.576189999999997</v>
      </c>
      <c r="E93" s="29">
        <f t="shared" ca="1" si="33"/>
        <v>53.357894999999999</v>
      </c>
      <c r="F93" s="29">
        <f t="shared" ca="1" si="33"/>
        <v>65.944999999999993</v>
      </c>
      <c r="G93" s="29">
        <f t="shared" ca="1" si="33"/>
        <v>93.234999999999999</v>
      </c>
      <c r="H93" s="29">
        <f t="shared" ca="1" si="33"/>
        <v>120.336842</v>
      </c>
      <c r="I93" s="29">
        <f t="shared" ca="1" si="33"/>
        <v>360.84750000000003</v>
      </c>
      <c r="J93" s="29">
        <f t="shared" ca="1" si="33"/>
        <v>347.40526299999999</v>
      </c>
      <c r="K93" s="29">
        <f t="shared" ca="1" si="33"/>
        <v>462.59736800000002</v>
      </c>
      <c r="L93" s="29">
        <f t="shared" ca="1" si="33"/>
        <v>424.60476199999999</v>
      </c>
      <c r="M93" s="27"/>
      <c r="N93" s="27"/>
    </row>
    <row r="94" spans="1:14" x14ac:dyDescent="0.25">
      <c r="A94" s="5" t="s">
        <v>26</v>
      </c>
      <c r="B94" s="24">
        <f ca="1">MATCH(A94,INDIRECT("'Data Sheet'!A:A"),0)</f>
        <v>8</v>
      </c>
      <c r="C94" s="53"/>
      <c r="D94" s="53"/>
      <c r="E94" s="53"/>
      <c r="F94" s="53"/>
      <c r="G94" s="53"/>
      <c r="H94" s="53"/>
      <c r="I94" s="53"/>
      <c r="J94" s="53"/>
      <c r="K94" s="53"/>
      <c r="L94" s="53"/>
      <c r="M94" s="27">
        <f ca="1">INDIRECT(ADDRESS(B94,2,,,"Data Sheet"))</f>
        <v>314.10000000000002</v>
      </c>
      <c r="N94" s="27"/>
    </row>
    <row r="95" spans="1:14" x14ac:dyDescent="0.25">
      <c r="A95" s="28" t="s">
        <v>220</v>
      </c>
      <c r="B95" s="24"/>
      <c r="C95" s="27">
        <f t="shared" ref="C95:K95" ca="1" si="34">C92*(C94+C93)/100000</f>
        <v>173.05569571933538</v>
      </c>
      <c r="D95" s="27">
        <f t="shared" ca="1" si="34"/>
        <v>912.50623644195605</v>
      </c>
      <c r="E95" s="27">
        <f t="shared" ca="1" si="34"/>
        <v>653.14825138549793</v>
      </c>
      <c r="F95" s="27">
        <f t="shared" ca="1" si="34"/>
        <v>807.17948781799987</v>
      </c>
      <c r="G95" s="27">
        <f t="shared" ca="1" si="34"/>
        <v>1097.096860351</v>
      </c>
      <c r="H95" s="27">
        <f t="shared" ca="1" si="34"/>
        <v>1416.0048231824201</v>
      </c>
      <c r="I95" s="27">
        <f t="shared" ca="1" si="34"/>
        <v>4246.0949140934999</v>
      </c>
      <c r="J95" s="27">
        <f t="shared" ca="1" si="34"/>
        <v>4087.9200225957352</v>
      </c>
      <c r="K95" s="27">
        <f t="shared" ca="1" si="34"/>
        <v>5443.3862823986292</v>
      </c>
      <c r="L95" s="27">
        <f ca="1">L92*(L94+L93)/100000</f>
        <v>4996.3270368454287</v>
      </c>
      <c r="M95" s="27">
        <f ca="1">M92*(M94+M93)/100000</f>
        <v>3696.0200000000004</v>
      </c>
      <c r="N95" s="27"/>
    </row>
    <row r="96" spans="1:14" x14ac:dyDescent="0.25">
      <c r="A96" s="54" t="s">
        <v>202</v>
      </c>
      <c r="B96" s="23"/>
      <c r="C96" s="46">
        <f t="shared" ref="C96:L96" ca="1" si="35">C35+C36</f>
        <v>784.63000000000011</v>
      </c>
      <c r="D96" s="46">
        <f t="shared" ca="1" si="35"/>
        <v>989.98</v>
      </c>
      <c r="E96" s="46">
        <f t="shared" ca="1" si="35"/>
        <v>1031.3399999999999</v>
      </c>
      <c r="F96" s="46">
        <f t="shared" ca="1" si="35"/>
        <v>1112.5900000000001</v>
      </c>
      <c r="G96" s="46">
        <f t="shared" ca="1" si="35"/>
        <v>1223.6199999999999</v>
      </c>
      <c r="H96" s="46">
        <f t="shared" ca="1" si="35"/>
        <v>1289.0899999999999</v>
      </c>
      <c r="I96" s="46">
        <f t="shared" ca="1" si="35"/>
        <v>1330.6999999999998</v>
      </c>
      <c r="J96" s="46">
        <f t="shared" ca="1" si="35"/>
        <v>1304.0899999999999</v>
      </c>
      <c r="K96" s="46">
        <f t="shared" ca="1" si="35"/>
        <v>1381.6899999999998</v>
      </c>
      <c r="L96" s="46">
        <f t="shared" ca="1" si="35"/>
        <v>1453.2099999999998</v>
      </c>
      <c r="M96" s="46">
        <f ca="1">L96</f>
        <v>1453.2099999999998</v>
      </c>
      <c r="N96" s="27"/>
    </row>
    <row r="97" spans="1:14" x14ac:dyDescent="0.25">
      <c r="A97" s="54" t="s">
        <v>221</v>
      </c>
      <c r="B97" s="23"/>
      <c r="C97" s="46">
        <f t="shared" ref="C97:L97" ca="1" si="36">C37</f>
        <v>702.67</v>
      </c>
      <c r="D97" s="46">
        <f t="shared" ca="1" si="36"/>
        <v>921.73</v>
      </c>
      <c r="E97" s="46">
        <f t="shared" ca="1" si="36"/>
        <v>996.99</v>
      </c>
      <c r="F97" s="46">
        <f t="shared" ca="1" si="36"/>
        <v>1069.6300000000001</v>
      </c>
      <c r="G97" s="46">
        <f t="shared" ca="1" si="36"/>
        <v>1336.95</v>
      </c>
      <c r="H97" s="46">
        <f t="shared" ca="1" si="36"/>
        <v>1631.28</v>
      </c>
      <c r="I97" s="46">
        <f t="shared" ca="1" si="36"/>
        <v>1899.21</v>
      </c>
      <c r="J97" s="46">
        <f t="shared" ca="1" si="36"/>
        <v>1914.65</v>
      </c>
      <c r="K97" s="46">
        <f t="shared" ca="1" si="36"/>
        <v>2170.56</v>
      </c>
      <c r="L97" s="46">
        <f t="shared" ca="1" si="36"/>
        <v>2020.43</v>
      </c>
      <c r="M97" s="46">
        <f ca="1">L97</f>
        <v>2020.43</v>
      </c>
      <c r="N97" s="27"/>
    </row>
    <row r="98" spans="1:14" x14ac:dyDescent="0.25">
      <c r="A98" s="54" t="s">
        <v>222</v>
      </c>
      <c r="B98" s="23"/>
      <c r="C98" s="46">
        <f t="shared" ref="C98:M98" ca="1" si="37">C18</f>
        <v>178.59</v>
      </c>
      <c r="D98" s="46">
        <f t="shared" ca="1" si="37"/>
        <v>241.13</v>
      </c>
      <c r="E98" s="46">
        <f t="shared" ca="1" si="37"/>
        <v>59.13</v>
      </c>
      <c r="F98" s="46">
        <f t="shared" ca="1" si="37"/>
        <v>108.78</v>
      </c>
      <c r="G98" s="46">
        <f t="shared" ca="1" si="37"/>
        <v>175.74</v>
      </c>
      <c r="H98" s="46">
        <f t="shared" ca="1" si="37"/>
        <v>93</v>
      </c>
      <c r="I98" s="46">
        <f t="shared" ca="1" si="37"/>
        <v>95.6</v>
      </c>
      <c r="J98" s="46">
        <f t="shared" ca="1" si="37"/>
        <v>-6.56</v>
      </c>
      <c r="K98" s="46">
        <f t="shared" ca="1" si="37"/>
        <v>82</v>
      </c>
      <c r="L98" s="46">
        <f t="shared" ca="1" si="37"/>
        <v>83.96</v>
      </c>
      <c r="M98" s="46">
        <f t="shared" ca="1" si="37"/>
        <v>63.990000000000009</v>
      </c>
      <c r="N98" s="27"/>
    </row>
    <row r="99" spans="1:14" x14ac:dyDescent="0.25">
      <c r="A99" s="54" t="s">
        <v>223</v>
      </c>
      <c r="B99" s="23"/>
      <c r="C99" s="46">
        <f t="shared" ref="C99:M99" ca="1" si="38">C95+C97</f>
        <v>875.72569571933536</v>
      </c>
      <c r="D99" s="46">
        <f t="shared" ca="1" si="38"/>
        <v>1834.236236441956</v>
      </c>
      <c r="E99" s="46">
        <f t="shared" ca="1" si="38"/>
        <v>1650.1382513854978</v>
      </c>
      <c r="F99" s="46">
        <f t="shared" ca="1" si="38"/>
        <v>1876.809487818</v>
      </c>
      <c r="G99" s="46">
        <f t="shared" ca="1" si="38"/>
        <v>2434.0468603509999</v>
      </c>
      <c r="H99" s="46">
        <f t="shared" ca="1" si="38"/>
        <v>3047.28482318242</v>
      </c>
      <c r="I99" s="46">
        <f t="shared" ca="1" si="38"/>
        <v>6145.3049140935</v>
      </c>
      <c r="J99" s="46">
        <f t="shared" ca="1" si="38"/>
        <v>6002.5700225957353</v>
      </c>
      <c r="K99" s="46">
        <f t="shared" ca="1" si="38"/>
        <v>7613.9462823986287</v>
      </c>
      <c r="L99" s="46">
        <f t="shared" ca="1" si="38"/>
        <v>7016.757036845429</v>
      </c>
      <c r="M99" s="46">
        <f t="shared" ca="1" si="38"/>
        <v>5716.4500000000007</v>
      </c>
      <c r="N99" s="27"/>
    </row>
    <row r="100" spans="1:14" x14ac:dyDescent="0.25">
      <c r="A100" s="54" t="s">
        <v>224</v>
      </c>
      <c r="B100" s="23"/>
      <c r="C100" s="46">
        <f t="shared" ref="C100:M100" ca="1" si="39">C96</f>
        <v>784.63000000000011</v>
      </c>
      <c r="D100" s="46">
        <f t="shared" ca="1" si="39"/>
        <v>989.98</v>
      </c>
      <c r="E100" s="46">
        <f t="shared" ca="1" si="39"/>
        <v>1031.3399999999999</v>
      </c>
      <c r="F100" s="46">
        <f t="shared" ca="1" si="39"/>
        <v>1112.5900000000001</v>
      </c>
      <c r="G100" s="46">
        <f t="shared" ca="1" si="39"/>
        <v>1223.6199999999999</v>
      </c>
      <c r="H100" s="46">
        <f t="shared" ca="1" si="39"/>
        <v>1289.0899999999999</v>
      </c>
      <c r="I100" s="46">
        <f t="shared" ca="1" si="39"/>
        <v>1330.6999999999998</v>
      </c>
      <c r="J100" s="46">
        <f t="shared" ca="1" si="39"/>
        <v>1304.0899999999999</v>
      </c>
      <c r="K100" s="46">
        <f t="shared" ca="1" si="39"/>
        <v>1381.6899999999998</v>
      </c>
      <c r="L100" s="46">
        <f t="shared" ca="1" si="39"/>
        <v>1453.2099999999998</v>
      </c>
      <c r="M100" s="46">
        <f t="shared" ca="1" si="39"/>
        <v>1453.2099999999998</v>
      </c>
      <c r="N100" s="27"/>
    </row>
    <row r="101" spans="1:14" x14ac:dyDescent="0.25">
      <c r="B101" s="23"/>
      <c r="C101" s="27"/>
      <c r="D101" s="27"/>
      <c r="E101" s="27"/>
      <c r="F101" s="27"/>
      <c r="G101" s="27"/>
      <c r="H101" s="27"/>
      <c r="I101" s="27"/>
      <c r="J101" s="27"/>
      <c r="K101" s="27"/>
      <c r="L101" s="27"/>
      <c r="M101" s="27"/>
      <c r="N101" s="27"/>
    </row>
    <row r="102" spans="1:14" x14ac:dyDescent="0.25">
      <c r="A102" s="54" t="s">
        <v>225</v>
      </c>
      <c r="B102" s="23"/>
      <c r="C102" s="27"/>
      <c r="D102" s="27"/>
      <c r="E102" s="27"/>
      <c r="F102" s="27"/>
      <c r="G102" s="27"/>
      <c r="H102" s="27"/>
      <c r="I102" s="27"/>
      <c r="J102" s="27"/>
      <c r="K102" s="27"/>
      <c r="L102" s="27"/>
      <c r="M102" s="27"/>
      <c r="N102" s="27"/>
    </row>
    <row r="103" spans="1:14" x14ac:dyDescent="0.25">
      <c r="A103" s="54" t="s">
        <v>226</v>
      </c>
      <c r="B103" s="23"/>
      <c r="C103" s="27"/>
      <c r="D103" s="27"/>
      <c r="E103" s="46">
        <f ca="1">SUM(C18:E18)/3</f>
        <v>159.61666666666667</v>
      </c>
      <c r="F103" s="46">
        <f ca="1">SUM(D18:F18)/3</f>
        <v>136.34666666666666</v>
      </c>
      <c r="G103" s="46">
        <f ca="1">SUM(E18:G18)/3</f>
        <v>114.55</v>
      </c>
      <c r="H103" s="46">
        <f ca="1">SUM(F18:H18)/3</f>
        <v>125.83999999999999</v>
      </c>
      <c r="I103" s="46">
        <f ca="1">SUM(G18:I18)/3</f>
        <v>121.44666666666667</v>
      </c>
      <c r="J103" s="46">
        <f ca="1">SUM(H18:J18)/3</f>
        <v>60.68</v>
      </c>
      <c r="K103" s="46">
        <f ca="1">SUM(I18:K18)/3</f>
        <v>57.013333333333328</v>
      </c>
      <c r="L103" s="46">
        <f ca="1">SUM(J18:L18)/3</f>
        <v>53.133333333333326</v>
      </c>
      <c r="M103" s="27"/>
      <c r="N103" s="27"/>
    </row>
    <row r="104" spans="1:14" x14ac:dyDescent="0.25">
      <c r="A104" s="54" t="s">
        <v>227</v>
      </c>
      <c r="B104" s="23"/>
      <c r="C104" s="27"/>
      <c r="D104" s="27"/>
      <c r="E104" s="55">
        <f ca="1">SUM(C35:E36)/3</f>
        <v>935.31666666666661</v>
      </c>
      <c r="F104" s="55">
        <f ca="1">SUM(D35:F36)/3</f>
        <v>1044.6366666666665</v>
      </c>
      <c r="G104" s="55">
        <f ca="1">SUM(E35:G36)/3</f>
        <v>1122.5166666666667</v>
      </c>
      <c r="H104" s="55">
        <f ca="1">SUM(F35:H36)/3</f>
        <v>1208.4333333333334</v>
      </c>
      <c r="I104" s="55">
        <f ca="1">SUM(G35:I36)/3</f>
        <v>1281.1366666666665</v>
      </c>
      <c r="J104" s="55">
        <f ca="1">SUM(H35:J36)/3</f>
        <v>1307.96</v>
      </c>
      <c r="K104" s="55">
        <f ca="1">SUM(I35:K36)/3</f>
        <v>1338.8266666666666</v>
      </c>
      <c r="L104" s="55">
        <f ca="1">SUM(J35:L36)/3</f>
        <v>1379.6633333333332</v>
      </c>
      <c r="M104" s="27"/>
      <c r="N104" s="27"/>
    </row>
    <row r="105" spans="1:14" x14ac:dyDescent="0.25">
      <c r="B105" s="23"/>
      <c r="C105" s="27"/>
      <c r="D105" s="27"/>
      <c r="E105" s="27">
        <f ca="1">E103/E104</f>
        <v>0.17065521481138296</v>
      </c>
      <c r="F105" s="27">
        <f t="shared" ref="F105:L105" ca="1" si="40">F103/F104</f>
        <v>0.13052065949564604</v>
      </c>
      <c r="G105" s="27">
        <f t="shared" ca="1" si="40"/>
        <v>0.10204748259120132</v>
      </c>
      <c r="H105" s="27">
        <f t="shared" ca="1" si="40"/>
        <v>0.10413483022094722</v>
      </c>
      <c r="I105" s="27">
        <f t="shared" ca="1" si="40"/>
        <v>9.479602748600853E-2</v>
      </c>
      <c r="J105" s="27">
        <f t="shared" ca="1" si="40"/>
        <v>4.6392856050643749E-2</v>
      </c>
      <c r="K105" s="27">
        <f t="shared" ca="1" si="40"/>
        <v>4.2584551647213476E-2</v>
      </c>
      <c r="L105" s="27">
        <f t="shared" ca="1" si="40"/>
        <v>3.8511810852406021E-2</v>
      </c>
      <c r="M105" s="27"/>
      <c r="N105" s="27"/>
    </row>
    <row r="106" spans="1:14" x14ac:dyDescent="0.25">
      <c r="B106" s="23"/>
      <c r="C106" s="27"/>
      <c r="D106" s="27"/>
      <c r="E106" s="27"/>
      <c r="F106" s="27"/>
      <c r="G106" s="27"/>
      <c r="H106" s="27"/>
      <c r="I106" s="27"/>
      <c r="J106" s="27"/>
      <c r="K106" s="27"/>
      <c r="L106" s="27"/>
      <c r="M106" s="27"/>
      <c r="N106" s="27"/>
    </row>
    <row r="107" spans="1:14" x14ac:dyDescent="0.25">
      <c r="B107" s="23"/>
      <c r="C107" s="27"/>
      <c r="D107" s="27"/>
      <c r="E107" s="27"/>
      <c r="F107" s="27"/>
      <c r="G107" s="27"/>
      <c r="H107" s="27"/>
      <c r="I107" s="27"/>
      <c r="J107" s="27"/>
      <c r="K107" s="27"/>
      <c r="L107" s="27"/>
      <c r="M107" s="27"/>
      <c r="N107" s="27"/>
    </row>
    <row r="108" spans="1:14" x14ac:dyDescent="0.25">
      <c r="B108" s="23"/>
      <c r="C108" s="27"/>
      <c r="D108" s="27"/>
      <c r="E108" s="27"/>
      <c r="F108" s="27"/>
      <c r="G108" s="27"/>
      <c r="H108" s="27"/>
      <c r="I108" s="27"/>
      <c r="J108" s="27"/>
      <c r="K108" s="27"/>
      <c r="L108" s="27"/>
      <c r="M108" s="27"/>
      <c r="N108" s="27"/>
    </row>
    <row r="109" spans="1:14" x14ac:dyDescent="0.25">
      <c r="B109" s="23"/>
      <c r="C109" s="27"/>
      <c r="D109" s="27"/>
      <c r="E109" s="27"/>
      <c r="F109" s="27"/>
      <c r="G109" s="27"/>
      <c r="H109" s="27"/>
      <c r="I109" s="27"/>
      <c r="J109" s="27"/>
      <c r="K109" s="27"/>
      <c r="L109" s="27"/>
      <c r="M109" s="27"/>
      <c r="N109" s="27"/>
    </row>
    <row r="110" spans="1:14" x14ac:dyDescent="0.25">
      <c r="B110" s="23"/>
      <c r="C110" s="27"/>
      <c r="D110" s="27"/>
      <c r="E110" s="27"/>
      <c r="F110" s="27"/>
      <c r="G110" s="27"/>
      <c r="H110" s="27"/>
      <c r="I110" s="27"/>
      <c r="J110" s="27"/>
      <c r="K110" s="27"/>
      <c r="L110" s="27"/>
      <c r="M110" s="27"/>
      <c r="N110" s="27"/>
    </row>
    <row r="111" spans="1:14" x14ac:dyDescent="0.25">
      <c r="A111"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A8" sqref="A8"/>
    </sheetView>
  </sheetViews>
  <sheetFormatPr defaultRowHeight="15" x14ac:dyDescent="0.25"/>
  <cols>
    <col min="1" max="1" width="27.7109375" style="5" bestFit="1" customWidth="1"/>
    <col min="2" max="11" width="13.5703125" style="5" bestFit="1" customWidth="1"/>
    <col min="12" max="16384" width="9.140625" style="5"/>
  </cols>
  <sheetData>
    <row r="1" spans="1:11" s="4" customFormat="1" x14ac:dyDescent="0.25">
      <c r="A1" s="4" t="s">
        <v>19</v>
      </c>
      <c r="B1" s="4" t="s">
        <v>159</v>
      </c>
      <c r="E1" s="62" t="str">
        <f>IF(B2&lt;&gt;B3, "A NEW VERSION OF THE WORKSHEET IS AVAILABLE", "")</f>
        <v/>
      </c>
      <c r="F1" s="62"/>
      <c r="G1" s="62"/>
      <c r="H1" s="62"/>
      <c r="I1" s="62"/>
      <c r="J1" s="62"/>
      <c r="K1" s="62"/>
    </row>
    <row r="2" spans="1:11" x14ac:dyDescent="0.25">
      <c r="A2" s="4" t="s">
        <v>20</v>
      </c>
      <c r="B2" s="5">
        <v>2.1</v>
      </c>
      <c r="E2" s="63" t="s">
        <v>21</v>
      </c>
      <c r="F2" s="63"/>
      <c r="G2" s="63"/>
      <c r="H2" s="63"/>
      <c r="I2" s="63"/>
      <c r="J2" s="63"/>
      <c r="K2" s="63"/>
    </row>
    <row r="3" spans="1:11" x14ac:dyDescent="0.25">
      <c r="A3" s="4" t="s">
        <v>22</v>
      </c>
      <c r="B3" s="5">
        <v>2.1</v>
      </c>
    </row>
    <row r="4" spans="1:11" x14ac:dyDescent="0.25">
      <c r="A4" s="4"/>
    </row>
    <row r="5" spans="1:11" x14ac:dyDescent="0.25">
      <c r="A5" s="4" t="s">
        <v>23</v>
      </c>
    </row>
    <row r="6" spans="1:11" x14ac:dyDescent="0.25">
      <c r="A6" s="5" t="s">
        <v>24</v>
      </c>
      <c r="B6" s="5">
        <f>IF(B9&gt;0, B9/B8, 0)</f>
        <v>11.767016873607131</v>
      </c>
    </row>
    <row r="7" spans="1:11" x14ac:dyDescent="0.25">
      <c r="A7" s="5" t="s">
        <v>25</v>
      </c>
      <c r="B7">
        <v>5</v>
      </c>
    </row>
    <row r="8" spans="1:11" x14ac:dyDescent="0.25">
      <c r="A8" s="5" t="s">
        <v>26</v>
      </c>
      <c r="B8">
        <v>314.10000000000002</v>
      </c>
    </row>
    <row r="9" spans="1:11" x14ac:dyDescent="0.25">
      <c r="A9" s="5" t="s">
        <v>27</v>
      </c>
      <c r="B9">
        <v>3696.02</v>
      </c>
    </row>
    <row r="15" spans="1:11" x14ac:dyDescent="0.25">
      <c r="A15" s="4" t="s">
        <v>28</v>
      </c>
    </row>
    <row r="16" spans="1:11" s="8" customFormat="1" x14ac:dyDescent="0.25">
      <c r="A16" s="6" t="s">
        <v>29</v>
      </c>
      <c r="B16" s="7">
        <v>39903</v>
      </c>
      <c r="C16" s="7">
        <v>40268</v>
      </c>
      <c r="D16" s="7">
        <v>40633</v>
      </c>
      <c r="E16" s="7">
        <v>40999</v>
      </c>
      <c r="F16" s="7">
        <v>41364</v>
      </c>
      <c r="G16" s="7">
        <v>41729</v>
      </c>
      <c r="H16" s="7">
        <v>42094</v>
      </c>
      <c r="I16" s="7">
        <v>42460</v>
      </c>
      <c r="J16" s="7">
        <v>42825</v>
      </c>
      <c r="K16" s="7">
        <v>43190</v>
      </c>
    </row>
    <row r="17" spans="1:11" s="9" customFormat="1" x14ac:dyDescent="0.25">
      <c r="A17" s="9" t="s">
        <v>13</v>
      </c>
      <c r="B17">
        <v>1224.53</v>
      </c>
      <c r="C17">
        <v>1490.5</v>
      </c>
      <c r="D17">
        <v>1322.24</v>
      </c>
      <c r="E17">
        <v>1718.1</v>
      </c>
      <c r="F17">
        <v>2054.9499999999998</v>
      </c>
      <c r="G17">
        <v>2056.6</v>
      </c>
      <c r="H17">
        <v>2307.06</v>
      </c>
      <c r="I17">
        <v>2619.85</v>
      </c>
      <c r="J17">
        <v>2910.41</v>
      </c>
      <c r="K17">
        <v>3412.15</v>
      </c>
    </row>
    <row r="18" spans="1:11" s="9" customFormat="1" x14ac:dyDescent="0.25">
      <c r="A18" s="5" t="s">
        <v>30</v>
      </c>
      <c r="B18">
        <v>176.35</v>
      </c>
      <c r="C18">
        <v>236.51</v>
      </c>
      <c r="D18">
        <v>291.3</v>
      </c>
      <c r="E18">
        <v>366.93</v>
      </c>
      <c r="F18">
        <v>469.62</v>
      </c>
      <c r="G18">
        <v>548.5</v>
      </c>
      <c r="H18">
        <v>627.55999999999995</v>
      </c>
      <c r="I18">
        <v>710.19</v>
      </c>
      <c r="J18">
        <v>749.2</v>
      </c>
      <c r="K18">
        <v>826.35</v>
      </c>
    </row>
    <row r="19" spans="1:11" s="9" customFormat="1" x14ac:dyDescent="0.25">
      <c r="A19" s="5" t="s">
        <v>31</v>
      </c>
      <c r="B19">
        <v>-6.07</v>
      </c>
      <c r="C19">
        <v>2.92</v>
      </c>
      <c r="D19">
        <v>35.06</v>
      </c>
      <c r="E19">
        <v>-0.57999999999999996</v>
      </c>
      <c r="F19">
        <v>-16.829999999999998</v>
      </c>
      <c r="G19">
        <v>-2.69</v>
      </c>
      <c r="H19">
        <v>42.51</v>
      </c>
      <c r="I19">
        <v>17.559999999999999</v>
      </c>
      <c r="J19">
        <v>-12.76</v>
      </c>
      <c r="K19">
        <v>47.97</v>
      </c>
    </row>
    <row r="20" spans="1:11" s="9" customFormat="1" x14ac:dyDescent="0.25">
      <c r="A20" s="5" t="s">
        <v>32</v>
      </c>
      <c r="B20">
        <v>306.27</v>
      </c>
      <c r="C20">
        <v>289.95</v>
      </c>
      <c r="D20">
        <v>391.93</v>
      </c>
      <c r="E20">
        <v>413.63</v>
      </c>
      <c r="F20">
        <v>406.19</v>
      </c>
      <c r="G20">
        <v>422.02</v>
      </c>
      <c r="H20">
        <v>494.76</v>
      </c>
      <c r="I20">
        <v>546.74</v>
      </c>
      <c r="J20">
        <v>566.95000000000005</v>
      </c>
      <c r="K20">
        <v>795.87</v>
      </c>
    </row>
    <row r="21" spans="1:11" s="9" customFormat="1" x14ac:dyDescent="0.25">
      <c r="A21" s="5" t="s">
        <v>33</v>
      </c>
      <c r="B21">
        <v>108.02</v>
      </c>
      <c r="C21">
        <v>124.33</v>
      </c>
      <c r="D21">
        <v>73.67</v>
      </c>
      <c r="E21">
        <v>90.87</v>
      </c>
      <c r="F21">
        <v>104.26</v>
      </c>
      <c r="G21">
        <v>106.94</v>
      </c>
      <c r="H21">
        <v>109.68</v>
      </c>
      <c r="I21">
        <v>125.27</v>
      </c>
      <c r="J21">
        <v>145.91999999999999</v>
      </c>
      <c r="K21">
        <v>158.83000000000001</v>
      </c>
    </row>
    <row r="22" spans="1:11" s="9" customFormat="1" x14ac:dyDescent="0.25">
      <c r="A22" s="5" t="s">
        <v>7</v>
      </c>
      <c r="B22">
        <v>53.75</v>
      </c>
      <c r="C22">
        <v>64.36</v>
      </c>
      <c r="D22">
        <v>80.290000000000006</v>
      </c>
      <c r="E22">
        <v>98.39</v>
      </c>
      <c r="F22">
        <v>113.22</v>
      </c>
      <c r="G22">
        <v>122.95</v>
      </c>
      <c r="H22">
        <v>146.11000000000001</v>
      </c>
      <c r="I22">
        <v>194.37</v>
      </c>
      <c r="J22">
        <v>208.39</v>
      </c>
      <c r="K22">
        <v>234.95</v>
      </c>
    </row>
    <row r="23" spans="1:11" s="9" customFormat="1" x14ac:dyDescent="0.25">
      <c r="A23" s="5" t="s">
        <v>34</v>
      </c>
      <c r="B23">
        <v>237.07</v>
      </c>
      <c r="C23">
        <v>314.95</v>
      </c>
      <c r="D23">
        <v>329.17</v>
      </c>
      <c r="E23">
        <v>407.99</v>
      </c>
      <c r="F23">
        <v>516.01</v>
      </c>
      <c r="G23">
        <v>551.34</v>
      </c>
      <c r="H23">
        <v>622</v>
      </c>
      <c r="I23">
        <v>709</v>
      </c>
      <c r="J23">
        <v>861.24</v>
      </c>
      <c r="K23">
        <v>1032.76</v>
      </c>
    </row>
    <row r="24" spans="1:11" s="9" customFormat="1" x14ac:dyDescent="0.25">
      <c r="A24" s="5" t="s">
        <v>35</v>
      </c>
      <c r="B24">
        <v>30.8</v>
      </c>
      <c r="C24">
        <v>41.6</v>
      </c>
      <c r="D24">
        <v>0.11</v>
      </c>
      <c r="E24">
        <v>11.74</v>
      </c>
      <c r="F24">
        <v>16.440000000000001</v>
      </c>
      <c r="G24">
        <v>18.7</v>
      </c>
      <c r="H24">
        <v>22.32</v>
      </c>
      <c r="I24">
        <v>90.55</v>
      </c>
      <c r="J24">
        <v>0.54</v>
      </c>
      <c r="K24"/>
    </row>
    <row r="25" spans="1:11" s="9" customFormat="1" x14ac:dyDescent="0.25">
      <c r="A25" s="9" t="s">
        <v>6</v>
      </c>
      <c r="B25">
        <v>39.1</v>
      </c>
      <c r="C25">
        <v>44.16</v>
      </c>
      <c r="D25">
        <v>33.049999999999997</v>
      </c>
      <c r="E25">
        <v>63.4</v>
      </c>
      <c r="F25">
        <v>55.45</v>
      </c>
      <c r="G25">
        <v>44.27</v>
      </c>
      <c r="H25">
        <v>-12.73</v>
      </c>
      <c r="I25">
        <v>48.6</v>
      </c>
      <c r="J25">
        <v>69.81</v>
      </c>
      <c r="K25">
        <v>68.099999999999994</v>
      </c>
    </row>
    <row r="26" spans="1:11" s="9" customFormat="1" x14ac:dyDescent="0.25">
      <c r="A26" s="9" t="s">
        <v>10</v>
      </c>
      <c r="B26">
        <v>69.11</v>
      </c>
      <c r="C26">
        <v>80.03</v>
      </c>
      <c r="D26">
        <v>84.61</v>
      </c>
      <c r="E26">
        <v>168.97</v>
      </c>
      <c r="F26">
        <v>148.93</v>
      </c>
      <c r="G26">
        <v>135.16999999999999</v>
      </c>
      <c r="H26">
        <v>111.9</v>
      </c>
      <c r="I26">
        <v>162.88</v>
      </c>
      <c r="J26">
        <v>172.37</v>
      </c>
      <c r="K26">
        <v>179.27</v>
      </c>
    </row>
    <row r="27" spans="1:11" s="9" customFormat="1" x14ac:dyDescent="0.25">
      <c r="A27" s="9" t="s">
        <v>9</v>
      </c>
      <c r="B27">
        <v>49.51</v>
      </c>
      <c r="C27">
        <v>54.98</v>
      </c>
      <c r="D27">
        <v>60.48</v>
      </c>
      <c r="E27">
        <v>79.66</v>
      </c>
      <c r="F27">
        <v>83.54</v>
      </c>
      <c r="G27">
        <v>77.19</v>
      </c>
      <c r="H27">
        <v>90.74</v>
      </c>
      <c r="I27">
        <v>196.69</v>
      </c>
      <c r="J27">
        <v>188.65</v>
      </c>
      <c r="K27">
        <v>197.48</v>
      </c>
    </row>
    <row r="28" spans="1:11" s="9" customFormat="1" x14ac:dyDescent="0.25">
      <c r="A28" s="9" t="s">
        <v>36</v>
      </c>
      <c r="B28">
        <v>226.68</v>
      </c>
      <c r="C28">
        <v>330.87</v>
      </c>
      <c r="D28">
        <v>78.790000000000006</v>
      </c>
      <c r="E28">
        <v>142.74</v>
      </c>
      <c r="F28">
        <v>235.36</v>
      </c>
      <c r="G28">
        <v>115.37</v>
      </c>
      <c r="H28">
        <v>111.77</v>
      </c>
      <c r="I28">
        <v>-49.68</v>
      </c>
      <c r="J28">
        <v>74.2</v>
      </c>
      <c r="K28">
        <v>102.71</v>
      </c>
    </row>
    <row r="29" spans="1:11" s="9" customFormat="1" x14ac:dyDescent="0.25">
      <c r="A29" s="9" t="s">
        <v>11</v>
      </c>
      <c r="B29">
        <v>48.09</v>
      </c>
      <c r="C29">
        <v>89.74</v>
      </c>
      <c r="D29">
        <v>19.66</v>
      </c>
      <c r="E29">
        <v>33.96</v>
      </c>
      <c r="F29">
        <v>59.62</v>
      </c>
      <c r="G29">
        <v>22.37</v>
      </c>
      <c r="H29">
        <v>16.170000000000002</v>
      </c>
      <c r="I29">
        <v>-43.12</v>
      </c>
      <c r="J29">
        <v>-7.8</v>
      </c>
      <c r="K29">
        <v>18.75</v>
      </c>
    </row>
    <row r="30" spans="1:11" s="9" customFormat="1" x14ac:dyDescent="0.25">
      <c r="A30" s="9" t="s">
        <v>37</v>
      </c>
      <c r="B30">
        <v>178.59</v>
      </c>
      <c r="C30">
        <v>241.13</v>
      </c>
      <c r="D30">
        <v>59.13</v>
      </c>
      <c r="E30">
        <v>108.78</v>
      </c>
      <c r="F30">
        <v>175.74</v>
      </c>
      <c r="G30">
        <v>93</v>
      </c>
      <c r="H30">
        <v>95.6</v>
      </c>
      <c r="I30">
        <v>-6.56</v>
      </c>
      <c r="J30">
        <v>82</v>
      </c>
      <c r="K30">
        <v>83.96</v>
      </c>
    </row>
    <row r="31" spans="1:11" s="9" customFormat="1" x14ac:dyDescent="0.25">
      <c r="A31" s="9" t="s">
        <v>38</v>
      </c>
      <c r="B31">
        <v>24.48</v>
      </c>
      <c r="C31">
        <v>30.59</v>
      </c>
      <c r="D31">
        <v>15.3</v>
      </c>
      <c r="E31">
        <v>24.48</v>
      </c>
      <c r="F31">
        <v>29.43</v>
      </c>
      <c r="G31">
        <v>23.54</v>
      </c>
      <c r="H31">
        <v>23.54</v>
      </c>
      <c r="I31">
        <v>2.94</v>
      </c>
      <c r="J31">
        <v>8.83</v>
      </c>
      <c r="K31">
        <v>8.83</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4" t="s">
        <v>39</v>
      </c>
    </row>
    <row r="41" spans="1:11" s="8" customFormat="1" x14ac:dyDescent="0.25">
      <c r="A41" s="6" t="s">
        <v>29</v>
      </c>
      <c r="B41" s="7">
        <v>42551</v>
      </c>
      <c r="C41" s="7">
        <v>42643</v>
      </c>
      <c r="D41" s="7">
        <v>42735</v>
      </c>
      <c r="E41" s="7">
        <v>42825</v>
      </c>
      <c r="F41" s="7">
        <v>42916</v>
      </c>
      <c r="G41" s="7">
        <v>43008</v>
      </c>
      <c r="H41" s="7">
        <v>43100</v>
      </c>
      <c r="I41" s="7">
        <v>43190</v>
      </c>
      <c r="J41" s="7">
        <v>43281</v>
      </c>
      <c r="K41" s="7">
        <v>43373</v>
      </c>
    </row>
    <row r="42" spans="1:11" s="9" customFormat="1" x14ac:dyDescent="0.25">
      <c r="A42" s="9" t="s">
        <v>13</v>
      </c>
      <c r="B42">
        <v>777.23</v>
      </c>
      <c r="C42">
        <v>655.57</v>
      </c>
      <c r="D42">
        <v>670.89</v>
      </c>
      <c r="E42">
        <v>806.72</v>
      </c>
      <c r="F42">
        <v>901.14</v>
      </c>
      <c r="G42">
        <v>776.65</v>
      </c>
      <c r="H42">
        <v>837.41</v>
      </c>
      <c r="I42">
        <v>896.95</v>
      </c>
      <c r="J42">
        <v>923.44</v>
      </c>
      <c r="K42">
        <v>851.44</v>
      </c>
    </row>
    <row r="43" spans="1:11" s="9" customFormat="1" x14ac:dyDescent="0.25">
      <c r="A43" s="9" t="s">
        <v>40</v>
      </c>
      <c r="B43">
        <v>659.72</v>
      </c>
      <c r="C43">
        <v>561.88</v>
      </c>
      <c r="D43">
        <v>588.24</v>
      </c>
      <c r="E43">
        <v>735.16</v>
      </c>
      <c r="F43">
        <v>780.81</v>
      </c>
      <c r="G43">
        <v>681.22</v>
      </c>
      <c r="H43">
        <v>743.08</v>
      </c>
      <c r="I43">
        <v>795.68</v>
      </c>
      <c r="J43">
        <v>829.57</v>
      </c>
      <c r="K43">
        <v>759.81</v>
      </c>
    </row>
    <row r="44" spans="1:11" s="9" customFormat="1" x14ac:dyDescent="0.25">
      <c r="A44" s="9" t="s">
        <v>6</v>
      </c>
      <c r="B44">
        <v>10.41</v>
      </c>
      <c r="C44">
        <v>17.920000000000002</v>
      </c>
      <c r="D44">
        <v>15.19</v>
      </c>
      <c r="E44">
        <v>26.29</v>
      </c>
      <c r="F44">
        <v>10.19</v>
      </c>
      <c r="G44">
        <v>16.920000000000002</v>
      </c>
      <c r="H44">
        <v>14.62</v>
      </c>
      <c r="I44">
        <v>26.37</v>
      </c>
      <c r="J44">
        <v>11</v>
      </c>
      <c r="K44">
        <v>14.96</v>
      </c>
    </row>
    <row r="45" spans="1:11" s="9" customFormat="1" x14ac:dyDescent="0.25">
      <c r="A45" s="9" t="s">
        <v>10</v>
      </c>
      <c r="B45">
        <v>41.19</v>
      </c>
      <c r="C45">
        <v>41.19</v>
      </c>
      <c r="D45">
        <v>44.31</v>
      </c>
      <c r="E45">
        <v>45.68</v>
      </c>
      <c r="F45">
        <v>43.88</v>
      </c>
      <c r="G45">
        <v>44.68</v>
      </c>
      <c r="H45">
        <v>44.8</v>
      </c>
      <c r="I45">
        <v>45.91</v>
      </c>
      <c r="J45">
        <v>44.56</v>
      </c>
      <c r="K45">
        <v>45.16</v>
      </c>
    </row>
    <row r="46" spans="1:11" s="9" customFormat="1" x14ac:dyDescent="0.25">
      <c r="A46" s="9" t="s">
        <v>9</v>
      </c>
      <c r="B46">
        <v>46.32</v>
      </c>
      <c r="C46">
        <v>47.09</v>
      </c>
      <c r="D46">
        <v>48.61</v>
      </c>
      <c r="E46">
        <v>46.63</v>
      </c>
      <c r="F46">
        <v>49.2</v>
      </c>
      <c r="G46">
        <v>48.87</v>
      </c>
      <c r="H46">
        <v>51.43</v>
      </c>
      <c r="I46">
        <v>47.98</v>
      </c>
      <c r="J46">
        <v>45.14</v>
      </c>
      <c r="K46">
        <v>49.34</v>
      </c>
    </row>
    <row r="47" spans="1:11" s="9" customFormat="1" x14ac:dyDescent="0.25">
      <c r="A47" s="9" t="s">
        <v>36</v>
      </c>
      <c r="B47">
        <v>40.409999999999997</v>
      </c>
      <c r="C47">
        <v>23.33</v>
      </c>
      <c r="D47">
        <v>4.92</v>
      </c>
      <c r="E47">
        <v>5.54</v>
      </c>
      <c r="F47">
        <v>37.44</v>
      </c>
      <c r="G47">
        <v>18.8</v>
      </c>
      <c r="H47">
        <v>12.72</v>
      </c>
      <c r="I47">
        <v>33.75</v>
      </c>
      <c r="J47">
        <v>15.17</v>
      </c>
      <c r="K47">
        <v>12.09</v>
      </c>
    </row>
    <row r="48" spans="1:11" s="9" customFormat="1" x14ac:dyDescent="0.25">
      <c r="A48" s="9" t="s">
        <v>11</v>
      </c>
      <c r="B48">
        <v>11.77</v>
      </c>
      <c r="C48">
        <v>-1.58</v>
      </c>
      <c r="D48">
        <v>-2.68</v>
      </c>
      <c r="E48">
        <v>-15.31</v>
      </c>
      <c r="F48">
        <v>9.14</v>
      </c>
      <c r="G48">
        <v>5.57</v>
      </c>
      <c r="H48">
        <v>4.13</v>
      </c>
      <c r="I48">
        <v>-0.09</v>
      </c>
      <c r="J48">
        <v>1.42</v>
      </c>
      <c r="K48">
        <v>4.28</v>
      </c>
    </row>
    <row r="49" spans="1:11" s="9" customFormat="1" x14ac:dyDescent="0.25">
      <c r="A49" s="9" t="s">
        <v>37</v>
      </c>
      <c r="B49">
        <v>28.64</v>
      </c>
      <c r="C49">
        <v>24.91</v>
      </c>
      <c r="D49">
        <v>7.6</v>
      </c>
      <c r="E49">
        <v>20.85</v>
      </c>
      <c r="F49">
        <v>28.3</v>
      </c>
      <c r="G49">
        <v>13.23</v>
      </c>
      <c r="H49">
        <v>8.59</v>
      </c>
      <c r="I49">
        <v>33.840000000000003</v>
      </c>
      <c r="J49">
        <v>13.75</v>
      </c>
      <c r="K49">
        <v>7.81</v>
      </c>
    </row>
    <row r="50" spans="1:11" x14ac:dyDescent="0.25">
      <c r="A50" s="9" t="s">
        <v>8</v>
      </c>
      <c r="B50">
        <v>117.51</v>
      </c>
      <c r="C50">
        <v>93.69</v>
      </c>
      <c r="D50">
        <v>82.65</v>
      </c>
      <c r="E50">
        <v>71.56</v>
      </c>
      <c r="F50">
        <v>120.33</v>
      </c>
      <c r="G50">
        <v>95.43</v>
      </c>
      <c r="H50">
        <v>94.33</v>
      </c>
      <c r="I50">
        <v>101.27</v>
      </c>
      <c r="J50">
        <v>93.87</v>
      </c>
      <c r="K50">
        <v>91.63</v>
      </c>
    </row>
    <row r="51" spans="1:11" x14ac:dyDescent="0.25">
      <c r="A51" s="9"/>
    </row>
    <row r="52" spans="1:11" x14ac:dyDescent="0.25">
      <c r="A52" s="9"/>
    </row>
    <row r="53" spans="1:11" x14ac:dyDescent="0.25">
      <c r="A53" s="9"/>
    </row>
    <row r="54" spans="1:11" x14ac:dyDescent="0.25">
      <c r="A54" s="9"/>
    </row>
    <row r="55" spans="1:11" x14ac:dyDescent="0.25">
      <c r="A55" s="4" t="s">
        <v>41</v>
      </c>
    </row>
    <row r="56" spans="1:11" s="8" customFormat="1" x14ac:dyDescent="0.25">
      <c r="A56" s="6" t="s">
        <v>29</v>
      </c>
      <c r="B56" s="7">
        <v>39903</v>
      </c>
      <c r="C56" s="7">
        <v>40268</v>
      </c>
      <c r="D56" s="7">
        <v>40633</v>
      </c>
      <c r="E56" s="7">
        <v>40999</v>
      </c>
      <c r="F56" s="7">
        <v>41364</v>
      </c>
      <c r="G56" s="7">
        <v>41729</v>
      </c>
      <c r="H56" s="7">
        <v>42094</v>
      </c>
      <c r="I56" s="7">
        <v>42460</v>
      </c>
      <c r="J56" s="7">
        <v>42825</v>
      </c>
      <c r="K56" s="7">
        <v>43190</v>
      </c>
    </row>
    <row r="57" spans="1:11" x14ac:dyDescent="0.25">
      <c r="A57" s="9" t="s">
        <v>1</v>
      </c>
      <c r="B57">
        <v>61.19</v>
      </c>
      <c r="C57">
        <v>61.19</v>
      </c>
      <c r="D57">
        <v>61.19</v>
      </c>
      <c r="E57">
        <v>61.19</v>
      </c>
      <c r="F57">
        <v>58.85</v>
      </c>
      <c r="G57">
        <v>58.85</v>
      </c>
      <c r="H57">
        <v>58.85</v>
      </c>
      <c r="I57">
        <v>58.85</v>
      </c>
      <c r="J57">
        <v>58.85</v>
      </c>
      <c r="K57">
        <v>58.85</v>
      </c>
    </row>
    <row r="58" spans="1:11" x14ac:dyDescent="0.25">
      <c r="A58" s="9" t="s">
        <v>2</v>
      </c>
      <c r="B58">
        <v>723.44</v>
      </c>
      <c r="C58">
        <v>928.79</v>
      </c>
      <c r="D58">
        <v>970.15</v>
      </c>
      <c r="E58">
        <v>1051.4000000000001</v>
      </c>
      <c r="F58">
        <v>1164.77</v>
      </c>
      <c r="G58">
        <v>1230.24</v>
      </c>
      <c r="H58">
        <v>1271.8499999999999</v>
      </c>
      <c r="I58">
        <v>1245.24</v>
      </c>
      <c r="J58">
        <v>1322.84</v>
      </c>
      <c r="K58">
        <v>1394.36</v>
      </c>
    </row>
    <row r="59" spans="1:11" x14ac:dyDescent="0.25">
      <c r="A59" s="9" t="s">
        <v>15</v>
      </c>
      <c r="B59">
        <v>702.67</v>
      </c>
      <c r="C59">
        <v>921.73</v>
      </c>
      <c r="D59">
        <v>996.99</v>
      </c>
      <c r="E59">
        <v>1069.6300000000001</v>
      </c>
      <c r="F59">
        <v>1336.95</v>
      </c>
      <c r="G59">
        <v>1631.28</v>
      </c>
      <c r="H59">
        <v>1899.21</v>
      </c>
      <c r="I59">
        <v>1914.65</v>
      </c>
      <c r="J59">
        <v>2170.56</v>
      </c>
      <c r="K59">
        <v>2020.43</v>
      </c>
    </row>
    <row r="60" spans="1:11" x14ac:dyDescent="0.25">
      <c r="A60" s="9" t="s">
        <v>16</v>
      </c>
      <c r="B60">
        <v>419.72</v>
      </c>
      <c r="C60">
        <v>498.41</v>
      </c>
      <c r="D60">
        <v>447.94</v>
      </c>
      <c r="E60">
        <v>631.29</v>
      </c>
      <c r="F60">
        <v>612.79999999999995</v>
      </c>
      <c r="G60">
        <v>683.04</v>
      </c>
      <c r="H60">
        <v>1020.05</v>
      </c>
      <c r="I60">
        <v>1207.6400000000001</v>
      </c>
      <c r="J60">
        <v>1348.89</v>
      </c>
      <c r="K60">
        <v>1405.03</v>
      </c>
    </row>
    <row r="61" spans="1:11" s="4" customFormat="1" x14ac:dyDescent="0.25">
      <c r="A61" s="4" t="s">
        <v>42</v>
      </c>
      <c r="B61">
        <v>1907.02</v>
      </c>
      <c r="C61">
        <v>2410.12</v>
      </c>
      <c r="D61">
        <v>2476.27</v>
      </c>
      <c r="E61">
        <v>2813.51</v>
      </c>
      <c r="F61">
        <v>3173.37</v>
      </c>
      <c r="G61">
        <v>3603.41</v>
      </c>
      <c r="H61">
        <v>4249.96</v>
      </c>
      <c r="I61">
        <v>4426.38</v>
      </c>
      <c r="J61">
        <v>4901.1400000000003</v>
      </c>
      <c r="K61">
        <v>4878.67</v>
      </c>
    </row>
    <row r="62" spans="1:11" x14ac:dyDescent="0.25">
      <c r="A62" s="9" t="s">
        <v>3</v>
      </c>
      <c r="B62">
        <v>1013.09</v>
      </c>
      <c r="C62">
        <v>1062.99</v>
      </c>
      <c r="D62">
        <v>1381.04</v>
      </c>
      <c r="E62">
        <v>1329.33</v>
      </c>
      <c r="F62">
        <v>1434.61</v>
      </c>
      <c r="G62">
        <v>1571.54</v>
      </c>
      <c r="H62">
        <v>2582.5</v>
      </c>
      <c r="I62">
        <v>2728.81</v>
      </c>
      <c r="J62">
        <v>2826.34</v>
      </c>
      <c r="K62">
        <v>2793.52</v>
      </c>
    </row>
    <row r="63" spans="1:11" x14ac:dyDescent="0.25">
      <c r="A63" s="9" t="s">
        <v>4</v>
      </c>
      <c r="B63">
        <v>97.04</v>
      </c>
      <c r="C63">
        <v>181.95</v>
      </c>
      <c r="D63">
        <v>40.9</v>
      </c>
      <c r="E63">
        <v>294.05</v>
      </c>
      <c r="F63">
        <v>688.06</v>
      </c>
      <c r="G63">
        <v>908.36</v>
      </c>
      <c r="H63">
        <v>361.46</v>
      </c>
      <c r="I63">
        <v>283.08999999999997</v>
      </c>
      <c r="J63">
        <v>205.08</v>
      </c>
      <c r="K63">
        <v>228.08</v>
      </c>
    </row>
    <row r="64" spans="1:11" x14ac:dyDescent="0.25">
      <c r="A64" s="9" t="s">
        <v>5</v>
      </c>
      <c r="B64">
        <v>88.91</v>
      </c>
      <c r="C64">
        <v>480.53</v>
      </c>
      <c r="D64">
        <v>527.76</v>
      </c>
      <c r="E64">
        <v>453.75</v>
      </c>
      <c r="F64">
        <v>406.46</v>
      </c>
      <c r="G64">
        <v>447.73</v>
      </c>
      <c r="H64">
        <v>422.8</v>
      </c>
      <c r="I64">
        <v>437.61</v>
      </c>
      <c r="J64">
        <v>809.19</v>
      </c>
      <c r="K64">
        <v>794.13</v>
      </c>
    </row>
    <row r="65" spans="1:11" x14ac:dyDescent="0.25">
      <c r="A65" s="9" t="s">
        <v>43</v>
      </c>
      <c r="B65">
        <v>707.98</v>
      </c>
      <c r="C65">
        <v>684.65</v>
      </c>
      <c r="D65">
        <v>526.57000000000005</v>
      </c>
      <c r="E65">
        <v>736.38</v>
      </c>
      <c r="F65">
        <v>644.24</v>
      </c>
      <c r="G65">
        <v>675.78</v>
      </c>
      <c r="H65">
        <v>883.2</v>
      </c>
      <c r="I65">
        <v>976.87</v>
      </c>
      <c r="J65">
        <v>1060.53</v>
      </c>
      <c r="K65">
        <v>1062.94</v>
      </c>
    </row>
    <row r="66" spans="1:11" s="4" customFormat="1" x14ac:dyDescent="0.25">
      <c r="A66" s="4" t="s">
        <v>42</v>
      </c>
      <c r="B66">
        <v>1907.02</v>
      </c>
      <c r="C66">
        <v>2410.12</v>
      </c>
      <c r="D66">
        <v>2476.27</v>
      </c>
      <c r="E66">
        <v>2813.51</v>
      </c>
      <c r="F66">
        <v>3173.37</v>
      </c>
      <c r="G66">
        <v>3603.41</v>
      </c>
      <c r="H66">
        <v>4249.96</v>
      </c>
      <c r="I66">
        <v>4426.38</v>
      </c>
      <c r="J66">
        <v>4901.1400000000003</v>
      </c>
      <c r="K66">
        <v>4878.67</v>
      </c>
    </row>
    <row r="67" spans="1:11" s="9" customFormat="1" x14ac:dyDescent="0.25">
      <c r="A67" s="9" t="s">
        <v>44</v>
      </c>
      <c r="B67">
        <v>23.32</v>
      </c>
      <c r="C67">
        <v>28.98</v>
      </c>
      <c r="D67">
        <v>27.95</v>
      </c>
      <c r="E67">
        <v>38.24</v>
      </c>
      <c r="F67">
        <v>50.11</v>
      </c>
      <c r="G67">
        <v>0.81</v>
      </c>
      <c r="H67">
        <v>70.489999999999995</v>
      </c>
      <c r="I67">
        <v>96.49</v>
      </c>
      <c r="J67">
        <v>89.5</v>
      </c>
      <c r="K67">
        <v>96.94</v>
      </c>
    </row>
    <row r="68" spans="1:11" x14ac:dyDescent="0.25">
      <c r="A68" s="9" t="s">
        <v>14</v>
      </c>
      <c r="B68">
        <v>66.02</v>
      </c>
      <c r="C68">
        <v>74.77</v>
      </c>
      <c r="D68">
        <v>119.92</v>
      </c>
      <c r="E68">
        <v>120.09</v>
      </c>
      <c r="F68">
        <v>114.84</v>
      </c>
      <c r="G68">
        <v>157.13999999999999</v>
      </c>
      <c r="H68">
        <v>223.47</v>
      </c>
      <c r="I68">
        <v>240.55</v>
      </c>
      <c r="J68">
        <v>277.64</v>
      </c>
      <c r="K68">
        <v>317.02999999999997</v>
      </c>
    </row>
    <row r="69" spans="1:11" x14ac:dyDescent="0.25">
      <c r="A69" s="5" t="s">
        <v>45</v>
      </c>
      <c r="B69">
        <v>326.67</v>
      </c>
      <c r="C69">
        <v>220.39</v>
      </c>
      <c r="D69">
        <v>88.75</v>
      </c>
      <c r="E69">
        <v>89.03</v>
      </c>
      <c r="F69">
        <v>12.65</v>
      </c>
      <c r="G69">
        <v>35.21</v>
      </c>
      <c r="H69">
        <v>15.29</v>
      </c>
      <c r="I69">
        <v>11.76</v>
      </c>
      <c r="J69">
        <v>8.98</v>
      </c>
      <c r="K69">
        <v>11.59</v>
      </c>
    </row>
    <row r="70" spans="1:11" x14ac:dyDescent="0.25">
      <c r="A70" s="5" t="s">
        <v>46</v>
      </c>
      <c r="B70">
        <v>61190062</v>
      </c>
      <c r="C70">
        <v>122358924</v>
      </c>
      <c r="D70">
        <v>122408924</v>
      </c>
      <c r="E70">
        <v>122401924</v>
      </c>
      <c r="F70">
        <v>117670066</v>
      </c>
      <c r="G70">
        <v>117670100</v>
      </c>
      <c r="H70">
        <v>117670066</v>
      </c>
      <c r="I70">
        <v>117670066</v>
      </c>
      <c r="J70">
        <v>117670066</v>
      </c>
      <c r="K70">
        <v>117670066</v>
      </c>
    </row>
    <row r="71" spans="1:11" x14ac:dyDescent="0.25">
      <c r="A71" s="5" t="s">
        <v>47</v>
      </c>
    </row>
    <row r="72" spans="1:11" x14ac:dyDescent="0.25">
      <c r="A72" s="5" t="s">
        <v>0</v>
      </c>
      <c r="B72">
        <v>10</v>
      </c>
      <c r="C72">
        <v>5</v>
      </c>
      <c r="D72">
        <v>5</v>
      </c>
      <c r="E72">
        <v>5</v>
      </c>
      <c r="F72">
        <v>5</v>
      </c>
      <c r="G72">
        <v>5</v>
      </c>
      <c r="H72">
        <v>5</v>
      </c>
      <c r="I72">
        <v>5</v>
      </c>
      <c r="J72">
        <v>5</v>
      </c>
      <c r="K72">
        <v>5</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4" t="s">
        <v>48</v>
      </c>
    </row>
    <row r="81" spans="1:11" s="8" customFormat="1" x14ac:dyDescent="0.25">
      <c r="A81" s="6" t="s">
        <v>29</v>
      </c>
      <c r="B81" s="7">
        <v>39903</v>
      </c>
      <c r="C81" s="7">
        <v>40268</v>
      </c>
      <c r="D81" s="7">
        <v>40633</v>
      </c>
      <c r="E81" s="7">
        <v>40999</v>
      </c>
      <c r="F81" s="7">
        <v>41364</v>
      </c>
      <c r="G81" s="7">
        <v>41729</v>
      </c>
      <c r="H81" s="7">
        <v>42094</v>
      </c>
      <c r="I81" s="7">
        <v>42460</v>
      </c>
      <c r="J81" s="7">
        <v>42825</v>
      </c>
      <c r="K81" s="7">
        <v>43190</v>
      </c>
    </row>
    <row r="82" spans="1:11" s="4" customFormat="1" x14ac:dyDescent="0.25">
      <c r="A82" s="9" t="s">
        <v>49</v>
      </c>
      <c r="B82">
        <v>311.66000000000003</v>
      </c>
      <c r="C82">
        <v>356.59</v>
      </c>
      <c r="D82">
        <v>174.49</v>
      </c>
      <c r="E82">
        <v>377.82</v>
      </c>
      <c r="F82">
        <v>332.27</v>
      </c>
      <c r="G82">
        <v>354.54</v>
      </c>
      <c r="H82">
        <v>351.52</v>
      </c>
      <c r="I82">
        <v>297.55</v>
      </c>
      <c r="J82">
        <v>362.93</v>
      </c>
      <c r="K82">
        <v>456.47</v>
      </c>
    </row>
    <row r="83" spans="1:11" s="9" customFormat="1" x14ac:dyDescent="0.25">
      <c r="A83" s="9" t="s">
        <v>17</v>
      </c>
      <c r="B83">
        <v>-265.56</v>
      </c>
      <c r="C83">
        <v>-585.74</v>
      </c>
      <c r="D83">
        <v>-317.45999999999998</v>
      </c>
      <c r="E83">
        <v>-353.55</v>
      </c>
      <c r="F83">
        <v>-488.36</v>
      </c>
      <c r="G83">
        <v>-515.6</v>
      </c>
      <c r="H83">
        <v>-406.17</v>
      </c>
      <c r="I83">
        <v>-70</v>
      </c>
      <c r="J83">
        <v>-415.61</v>
      </c>
      <c r="K83">
        <v>-88.82</v>
      </c>
    </row>
    <row r="84" spans="1:11" s="9" customFormat="1" x14ac:dyDescent="0.25">
      <c r="A84" s="9" t="s">
        <v>18</v>
      </c>
      <c r="B84">
        <v>-67.010000000000005</v>
      </c>
      <c r="C84">
        <v>122.87</v>
      </c>
      <c r="D84">
        <v>13.92</v>
      </c>
      <c r="E84">
        <v>-24.76</v>
      </c>
      <c r="F84">
        <v>79.099999999999994</v>
      </c>
      <c r="G84">
        <v>183.62</v>
      </c>
      <c r="H84">
        <v>33.520000000000003</v>
      </c>
      <c r="I84">
        <v>-231.08</v>
      </c>
      <c r="J84">
        <v>49.9</v>
      </c>
      <c r="K84">
        <v>-365.04</v>
      </c>
    </row>
    <row r="85" spans="1:11" s="4" customFormat="1" x14ac:dyDescent="0.25">
      <c r="A85" s="9" t="s">
        <v>50</v>
      </c>
      <c r="B85">
        <v>-20.91</v>
      </c>
      <c r="C85">
        <v>-106.28</v>
      </c>
      <c r="D85">
        <v>-129.05000000000001</v>
      </c>
      <c r="E85">
        <v>-0.49</v>
      </c>
      <c r="F85">
        <v>-76.989999999999995</v>
      </c>
      <c r="G85">
        <v>22.56</v>
      </c>
      <c r="H85">
        <v>-21.13</v>
      </c>
      <c r="I85">
        <v>-3.53</v>
      </c>
      <c r="J85">
        <v>-2.78</v>
      </c>
      <c r="K85">
        <v>2.61</v>
      </c>
    </row>
    <row r="86" spans="1:11" x14ac:dyDescent="0.25">
      <c r="A86" s="9"/>
    </row>
    <row r="87" spans="1:11" x14ac:dyDescent="0.25">
      <c r="A87" s="9"/>
    </row>
    <row r="88" spans="1:11" x14ac:dyDescent="0.25">
      <c r="A88" s="9"/>
    </row>
    <row r="89" spans="1:11" x14ac:dyDescent="0.25">
      <c r="A89" s="9"/>
    </row>
    <row r="90" spans="1:11" s="4" customFormat="1" x14ac:dyDescent="0.25">
      <c r="A90" s="4" t="s">
        <v>51</v>
      </c>
      <c r="B90">
        <v>28.281666999999999</v>
      </c>
      <c r="C90">
        <v>74.576189999999997</v>
      </c>
      <c r="D90">
        <v>53.357894999999999</v>
      </c>
      <c r="E90">
        <v>65.944999999999993</v>
      </c>
      <c r="F90">
        <v>93.234999999999999</v>
      </c>
      <c r="G90">
        <v>120.336842</v>
      </c>
      <c r="H90">
        <v>360.84750000000003</v>
      </c>
      <c r="I90">
        <v>347.40526299999999</v>
      </c>
      <c r="J90">
        <v>462.59736800000002</v>
      </c>
      <c r="K90">
        <v>424.60476199999999</v>
      </c>
    </row>
    <row r="92" spans="1:11" s="4" customFormat="1" x14ac:dyDescent="0.25">
      <c r="A92" s="4" t="s">
        <v>52</v>
      </c>
    </row>
    <row r="93" spans="1:11" x14ac:dyDescent="0.25">
      <c r="A93" s="5" t="s">
        <v>53</v>
      </c>
      <c r="B93" s="10">
        <f>IF($B7&gt;0,(B70*B72/$B7)+SUM(C71:$K71),0)/10000000</f>
        <v>12.238012400000001</v>
      </c>
      <c r="C93" s="10">
        <f>IF($B7&gt;0,(C70*C72/$B7)+SUM(D71:$K71),0)/10000000</f>
        <v>12.235892399999999</v>
      </c>
      <c r="D93" s="10">
        <f>IF($B7&gt;0,(D70*D72/$B7)+SUM(E71:$K71),0)/10000000</f>
        <v>12.2408924</v>
      </c>
      <c r="E93" s="10">
        <f>IF($B7&gt;0,(E70*E72/$B7)+SUM(F71:$K71),0)/10000000</f>
        <v>12.2401924</v>
      </c>
      <c r="F93" s="10">
        <f>IF($B7&gt;0,(F70*F72/$B7)+SUM(G71:$K71),0)/10000000</f>
        <v>11.7670066</v>
      </c>
      <c r="G93" s="10">
        <f>IF($B7&gt;0,(G70*G72/$B7)+SUM(H71:$K71),0)/10000000</f>
        <v>11.767010000000001</v>
      </c>
      <c r="H93" s="10">
        <f>IF($B7&gt;0,(H70*H72/$B7)+SUM(I71:$K71),0)/10000000</f>
        <v>11.7670066</v>
      </c>
      <c r="I93" s="10">
        <f>IF($B7&gt;0,(I70*I72/$B7)+SUM(J71:$K71),0)/10000000</f>
        <v>11.7670066</v>
      </c>
      <c r="J93" s="10">
        <f>IF($B7&gt;0,(J70*J72/$B7)+SUM(K71:$K71),0)/10000000</f>
        <v>11.7670066</v>
      </c>
      <c r="K93" s="10">
        <f>IF($B7&gt;0,(K70*K72/$B7),0)/10000000</f>
        <v>11.7670066</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Phil Fisher</vt:lpstr>
      <vt:lpstr>Revenue</vt:lpstr>
      <vt:lpstr>DMS</vt:lpstr>
      <vt:lpstr>Screener Output</vt:lpstr>
      <vt:lpstr>Data Sheet</vt:lpstr>
      <vt:lpstr>'Data Sheet'!UPDATE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Edward Lobo</cp:lastModifiedBy>
  <cp:lastPrinted>2015-03-07T00:34:42Z</cp:lastPrinted>
  <dcterms:created xsi:type="dcterms:W3CDTF">2014-03-30T00:53:10Z</dcterms:created>
  <dcterms:modified xsi:type="dcterms:W3CDTF">2019-01-07T14:55:46Z</dcterms:modified>
</cp:coreProperties>
</file>