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adip Beriwal\Desktop\Create life you love\Reserach @ 2016\Polished\FMCG &amp; Durables\"/>
    </mc:Choice>
  </mc:AlternateContent>
  <bookViews>
    <workbookView xWindow="0" yWindow="0" windowWidth="15360" windowHeight="7650" tabRatio="877" activeTab="10"/>
  </bookViews>
  <sheets>
    <sheet name="Valuation_Chart" sheetId="1" r:id="rId1"/>
    <sheet name="Valuation_Table" sheetId="11" r:id="rId2"/>
    <sheet name="|" sheetId="33" r:id="rId3"/>
    <sheet name="Scorecard" sheetId="18" r:id="rId4"/>
    <sheet name="Revenue" sheetId="27" r:id="rId5"/>
    <sheet name="Profit" sheetId="28" r:id="rId6"/>
    <sheet name="Dupont" sheetId="16" r:id="rId7"/>
    <sheet name="Efficiency" sheetId="29" r:id="rId8"/>
    <sheet name="Others" sheetId="30" r:id="rId9"/>
    <sheet name="Piotroski" sheetId="14" r:id="rId10"/>
    <sheet name="Altman" sheetId="15" r:id="rId11"/>
    <sheet name="||" sheetId="32" r:id="rId12"/>
    <sheet name="Analysis" sheetId="19" r:id="rId13"/>
    <sheet name="MICAP" sheetId="17" state="hidden" r:id="rId14"/>
    <sheet name="Screener Output.v0" sheetId="20" r:id="rId15"/>
    <sheet name="Screener Input" sheetId="21" r:id="rId16"/>
    <sheet name="Shareholding input" sheetId="31" r:id="rId17"/>
    <sheet name="Annual Report input" sheetId="24" r:id="rId18"/>
    <sheet name="Phil Fisher" sheetId="25" r:id="rId19"/>
  </sheets>
  <externalReferences>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ividend">'Screener Output.v0'!$H$76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'Screener Input'!$E$1</definedName>
  </definedNames>
  <calcPr calcId="152511"/>
</workbook>
</file>

<file path=xl/calcChain.xml><?xml version="1.0" encoding="utf-8"?>
<calcChain xmlns="http://schemas.openxmlformats.org/spreadsheetml/2006/main">
  <c r="K93" i="21" l="1"/>
  <c r="J93" i="21"/>
  <c r="I93" i="21"/>
  <c r="H93" i="21"/>
  <c r="G93" i="21"/>
  <c r="F93" i="21"/>
  <c r="E93" i="21"/>
  <c r="D93" i="21"/>
  <c r="C93" i="21"/>
  <c r="B93" i="21"/>
  <c r="B6" i="21"/>
  <c r="E1" i="21"/>
  <c r="B53" i="11" l="1"/>
  <c r="B54" i="11" l="1"/>
  <c r="B55" i="11"/>
  <c r="E5" i="31" l="1"/>
  <c r="F5" i="31" s="1"/>
  <c r="G5" i="31" s="1"/>
  <c r="H5" i="31" s="1"/>
  <c r="D13" i="31"/>
  <c r="E13" i="31"/>
  <c r="F13" i="31"/>
  <c r="G13" i="31"/>
  <c r="H13" i="31"/>
  <c r="N35" i="20" l="1"/>
  <c r="D5" i="24" l="1"/>
  <c r="H26" i="31"/>
  <c r="G26" i="31"/>
  <c r="F26" i="31"/>
  <c r="E26" i="31"/>
  <c r="D26" i="31"/>
  <c r="C26" i="31"/>
  <c r="H17" i="31"/>
  <c r="G17" i="31"/>
  <c r="D17" i="31"/>
  <c r="F17" i="31"/>
  <c r="E17" i="31"/>
  <c r="C13" i="31"/>
  <c r="C17" i="31" s="1"/>
  <c r="M29" i="20" l="1"/>
  <c r="M34" i="20"/>
  <c r="M132" i="20" s="1"/>
  <c r="M32" i="20"/>
  <c r="M131" i="20" s="1"/>
  <c r="M30" i="20"/>
  <c r="M130" i="20" s="1"/>
  <c r="N29" i="20"/>
  <c r="N25" i="20"/>
  <c r="M25" i="20"/>
  <c r="B41" i="11" s="1"/>
  <c r="M31" i="20" l="1"/>
  <c r="B8" i="1"/>
  <c r="I26" i="18"/>
  <c r="L26" i="18" s="1"/>
  <c r="I25" i="18"/>
  <c r="F4" i="30"/>
  <c r="E4" i="30"/>
  <c r="L16" i="18"/>
  <c r="L17" i="18"/>
  <c r="L18" i="18"/>
  <c r="L19" i="18"/>
  <c r="L21" i="18"/>
  <c r="L22" i="18"/>
  <c r="L23" i="18"/>
  <c r="L24" i="18"/>
  <c r="N26" i="20"/>
  <c r="M26" i="20"/>
  <c r="M126" i="20" l="1"/>
  <c r="C192" i="20"/>
  <c r="C190" i="20"/>
  <c r="K8" i="18" l="1"/>
  <c r="I14" i="18" l="1"/>
  <c r="I13" i="18"/>
  <c r="L4" i="30" l="1"/>
  <c r="L13" i="18" s="1"/>
  <c r="M4" i="30"/>
  <c r="L14" i="18" s="1"/>
  <c r="M35" i="20"/>
  <c r="N74" i="20"/>
  <c r="D196" i="20"/>
  <c r="E196" i="20"/>
  <c r="F196" i="20"/>
  <c r="G196" i="20"/>
  <c r="H196" i="20"/>
  <c r="I196" i="20"/>
  <c r="J196" i="20"/>
  <c r="K196" i="20"/>
  <c r="L196" i="20"/>
  <c r="D197" i="20"/>
  <c r="E197" i="20"/>
  <c r="F197" i="20"/>
  <c r="G197" i="20"/>
  <c r="H197" i="20"/>
  <c r="I197" i="20"/>
  <c r="J197" i="20"/>
  <c r="K197" i="20"/>
  <c r="L197" i="20"/>
  <c r="D198" i="20"/>
  <c r="E198" i="20"/>
  <c r="F198" i="20"/>
  <c r="G198" i="20"/>
  <c r="H198" i="20"/>
  <c r="I198" i="20"/>
  <c r="J198" i="20"/>
  <c r="K198" i="20"/>
  <c r="L198" i="20"/>
  <c r="D199" i="20"/>
  <c r="E199" i="20"/>
  <c r="F199" i="20"/>
  <c r="G199" i="20"/>
  <c r="H199" i="20"/>
  <c r="I199" i="20"/>
  <c r="J199" i="20"/>
  <c r="K199" i="20"/>
  <c r="L199" i="20"/>
  <c r="C199" i="20"/>
  <c r="C198" i="20"/>
  <c r="C197" i="20"/>
  <c r="C196" i="20"/>
  <c r="D179" i="20"/>
  <c r="E179" i="20"/>
  <c r="F179" i="20"/>
  <c r="G179" i="20"/>
  <c r="H179" i="20"/>
  <c r="I179" i="20"/>
  <c r="J179" i="20"/>
  <c r="K179" i="20"/>
  <c r="L179" i="20"/>
  <c r="C179" i="20"/>
  <c r="D178" i="20"/>
  <c r="E178" i="20"/>
  <c r="F178" i="20"/>
  <c r="G178" i="20"/>
  <c r="H178" i="20"/>
  <c r="I178" i="20"/>
  <c r="J178" i="20"/>
  <c r="K178" i="20"/>
  <c r="L178" i="20"/>
  <c r="C178" i="20"/>
  <c r="D177" i="20"/>
  <c r="E177" i="20"/>
  <c r="F177" i="20"/>
  <c r="G177" i="20"/>
  <c r="H177" i="20"/>
  <c r="I177" i="20"/>
  <c r="J177" i="20"/>
  <c r="K177" i="20"/>
  <c r="L177" i="20"/>
  <c r="C177" i="20"/>
  <c r="D176" i="20"/>
  <c r="E176" i="20"/>
  <c r="F176" i="20"/>
  <c r="G176" i="20"/>
  <c r="H176" i="20"/>
  <c r="I176" i="20"/>
  <c r="J176" i="20"/>
  <c r="K176" i="20"/>
  <c r="L176" i="20"/>
  <c r="C176" i="20"/>
  <c r="D175" i="20"/>
  <c r="E175" i="20"/>
  <c r="F175" i="20"/>
  <c r="G175" i="20"/>
  <c r="H175" i="20"/>
  <c r="I175" i="20"/>
  <c r="J175" i="20"/>
  <c r="K175" i="20"/>
  <c r="L175" i="20"/>
  <c r="C175" i="20"/>
  <c r="D174" i="20"/>
  <c r="E174" i="20"/>
  <c r="F174" i="20"/>
  <c r="G174" i="20"/>
  <c r="H174" i="20"/>
  <c r="I174" i="20"/>
  <c r="J174" i="20"/>
  <c r="K174" i="20"/>
  <c r="L174" i="20"/>
  <c r="C174" i="20"/>
  <c r="D173" i="20"/>
  <c r="E173" i="20"/>
  <c r="F173" i="20"/>
  <c r="G173" i="20"/>
  <c r="H173" i="20"/>
  <c r="I173" i="20"/>
  <c r="J173" i="20"/>
  <c r="K173" i="20"/>
  <c r="L173" i="20"/>
  <c r="C173" i="20"/>
  <c r="D172" i="20"/>
  <c r="E172" i="20"/>
  <c r="F172" i="20"/>
  <c r="G172" i="20"/>
  <c r="H172" i="20"/>
  <c r="I172" i="20"/>
  <c r="J172" i="20"/>
  <c r="K172" i="20"/>
  <c r="L172" i="20"/>
  <c r="C172" i="20"/>
  <c r="D171" i="20"/>
  <c r="E171" i="20"/>
  <c r="F171" i="20"/>
  <c r="G171" i="20"/>
  <c r="H171" i="20"/>
  <c r="I171" i="20"/>
  <c r="J171" i="20"/>
  <c r="K171" i="20"/>
  <c r="L171" i="20"/>
  <c r="C171" i="20"/>
  <c r="D4" i="20"/>
  <c r="E4" i="20"/>
  <c r="F4" i="20"/>
  <c r="G4" i="20"/>
  <c r="H4" i="20"/>
  <c r="I4" i="20"/>
  <c r="J4" i="20"/>
  <c r="K4" i="20"/>
  <c r="L4" i="20"/>
  <c r="C4" i="20"/>
  <c r="H6" i="28" l="1"/>
  <c r="M127" i="20"/>
  <c r="F4" i="19"/>
  <c r="M133" i="20"/>
  <c r="M134" i="20" s="1"/>
  <c r="H7" i="16"/>
  <c r="C99" i="20"/>
  <c r="C94" i="20"/>
  <c r="E99" i="20"/>
  <c r="E94" i="20"/>
  <c r="L99" i="20"/>
  <c r="L94" i="20"/>
  <c r="D99" i="20"/>
  <c r="D94" i="20"/>
  <c r="K99" i="20"/>
  <c r="K94" i="20"/>
  <c r="G99" i="20"/>
  <c r="G94" i="20"/>
  <c r="I99" i="20"/>
  <c r="I94" i="20"/>
  <c r="H99" i="20"/>
  <c r="H94" i="20"/>
  <c r="J99" i="20"/>
  <c r="J94" i="20"/>
  <c r="F99" i="20"/>
  <c r="F94" i="20"/>
  <c r="I111" i="20"/>
  <c r="I105" i="20"/>
  <c r="D111" i="20"/>
  <c r="D105" i="20"/>
  <c r="K111" i="20"/>
  <c r="K105" i="20"/>
  <c r="G111" i="20"/>
  <c r="G105" i="20"/>
  <c r="C111" i="20"/>
  <c r="E111" i="20"/>
  <c r="E105" i="20"/>
  <c r="L111" i="20"/>
  <c r="L105" i="20"/>
  <c r="H111" i="20"/>
  <c r="H105" i="20"/>
  <c r="J111" i="20"/>
  <c r="J105" i="20"/>
  <c r="F111" i="20"/>
  <c r="F105" i="20"/>
  <c r="I137" i="20"/>
  <c r="I116" i="20"/>
  <c r="D137" i="20"/>
  <c r="D116" i="20"/>
  <c r="K137" i="20"/>
  <c r="K116" i="20"/>
  <c r="G137" i="20"/>
  <c r="G116" i="20"/>
  <c r="E137" i="20"/>
  <c r="E116" i="20"/>
  <c r="L137" i="20"/>
  <c r="L116" i="20"/>
  <c r="H137" i="20"/>
  <c r="H116" i="20"/>
  <c r="J137" i="20"/>
  <c r="J116" i="20"/>
  <c r="F137" i="20"/>
  <c r="F116" i="20"/>
  <c r="C137" i="20"/>
  <c r="C116" i="20"/>
  <c r="J125" i="20"/>
  <c r="J129" i="20" s="1"/>
  <c r="G125" i="20"/>
  <c r="G129" i="20" s="1"/>
  <c r="K125" i="20"/>
  <c r="K129" i="20" s="1"/>
  <c r="F125" i="20"/>
  <c r="F129" i="20" s="1"/>
  <c r="C125" i="20"/>
  <c r="C129" i="20" s="1"/>
  <c r="I125" i="20"/>
  <c r="I129" i="20" s="1"/>
  <c r="E125" i="20"/>
  <c r="E129" i="20" s="1"/>
  <c r="L125" i="20"/>
  <c r="L129" i="20" s="1"/>
  <c r="H125" i="20"/>
  <c r="H129" i="20" s="1"/>
  <c r="D125" i="20"/>
  <c r="D129" i="20" s="1"/>
  <c r="C180" i="20"/>
  <c r="I180" i="20"/>
  <c r="E180" i="20"/>
  <c r="K180" i="20"/>
  <c r="G180" i="20"/>
  <c r="C200" i="20"/>
  <c r="J200" i="20"/>
  <c r="F200" i="20"/>
  <c r="K200" i="20"/>
  <c r="G200" i="20"/>
  <c r="J180" i="20"/>
  <c r="F180" i="20"/>
  <c r="L180" i="20"/>
  <c r="H180" i="20"/>
  <c r="D180" i="20"/>
  <c r="E5" i="27"/>
  <c r="L200" i="20"/>
  <c r="H200" i="20"/>
  <c r="D200" i="20"/>
  <c r="I200" i="20"/>
  <c r="E200" i="20"/>
  <c r="B42" i="11" l="1"/>
  <c r="E186" i="20"/>
  <c r="F186" i="20"/>
  <c r="G186" i="20"/>
  <c r="H186" i="20"/>
  <c r="I186" i="20"/>
  <c r="J186" i="20"/>
  <c r="K186" i="20"/>
  <c r="L186" i="20"/>
  <c r="D186" i="20"/>
  <c r="E187" i="20"/>
  <c r="F187" i="20"/>
  <c r="G187" i="20"/>
  <c r="H187" i="20"/>
  <c r="I187" i="20"/>
  <c r="J187" i="20"/>
  <c r="K187" i="20"/>
  <c r="L187" i="20"/>
  <c r="D187" i="20"/>
  <c r="E184" i="20"/>
  <c r="F184" i="20"/>
  <c r="G184" i="20"/>
  <c r="H184" i="20"/>
  <c r="I184" i="20"/>
  <c r="J184" i="20"/>
  <c r="K184" i="20"/>
  <c r="L184" i="20"/>
  <c r="D184" i="20"/>
  <c r="E192" i="20"/>
  <c r="F192" i="20"/>
  <c r="G192" i="20"/>
  <c r="G193" i="20" s="1"/>
  <c r="H192" i="20"/>
  <c r="I192" i="20"/>
  <c r="I193" i="20" s="1"/>
  <c r="J192" i="20"/>
  <c r="J193" i="20" s="1"/>
  <c r="K192" i="20"/>
  <c r="K193" i="20" s="1"/>
  <c r="L192" i="20"/>
  <c r="L193" i="20" s="1"/>
  <c r="S5" i="28" s="1"/>
  <c r="D192" i="20"/>
  <c r="E190" i="20"/>
  <c r="F190" i="20"/>
  <c r="G190" i="20"/>
  <c r="G191" i="20" s="1"/>
  <c r="H190" i="20"/>
  <c r="I190" i="20"/>
  <c r="I191" i="20" s="1"/>
  <c r="J190" i="20"/>
  <c r="J191" i="20" s="1"/>
  <c r="K190" i="20"/>
  <c r="K191" i="20" s="1"/>
  <c r="L190" i="20"/>
  <c r="L191" i="20" s="1"/>
  <c r="F5" i="27" s="1"/>
  <c r="D190" i="20"/>
  <c r="E52" i="11" l="1"/>
  <c r="C52" i="11"/>
  <c r="B43" i="11"/>
  <c r="H191" i="20"/>
  <c r="H193" i="20"/>
  <c r="D189" i="20"/>
  <c r="E189" i="20"/>
  <c r="F189" i="20"/>
  <c r="G189" i="20"/>
  <c r="H189" i="20"/>
  <c r="I189" i="20"/>
  <c r="J189" i="20"/>
  <c r="K189" i="20"/>
  <c r="L189" i="20"/>
  <c r="C189" i="20"/>
  <c r="D52" i="11" l="1"/>
  <c r="K43" i="11"/>
  <c r="E185" i="20"/>
  <c r="F185" i="20"/>
  <c r="G185" i="20"/>
  <c r="H185" i="20"/>
  <c r="I185" i="20"/>
  <c r="J185" i="20"/>
  <c r="K185" i="20"/>
  <c r="L185" i="20"/>
  <c r="D185" i="20"/>
  <c r="D195" i="20" l="1"/>
  <c r="E195" i="20"/>
  <c r="F195" i="20"/>
  <c r="G195" i="20"/>
  <c r="H195" i="20"/>
  <c r="I195" i="20"/>
  <c r="J195" i="20"/>
  <c r="K195" i="20"/>
  <c r="L195" i="20"/>
  <c r="C195" i="20"/>
  <c r="B10" i="11" l="1"/>
  <c r="D165" i="20"/>
  <c r="D166" i="20" s="1"/>
  <c r="E165" i="20"/>
  <c r="E166" i="20" s="1"/>
  <c r="F165" i="20"/>
  <c r="F166" i="20" s="1"/>
  <c r="G165" i="20"/>
  <c r="G166" i="20" s="1"/>
  <c r="H165" i="20"/>
  <c r="H166" i="20" s="1"/>
  <c r="I165" i="20"/>
  <c r="I166" i="20" s="1"/>
  <c r="J165" i="20"/>
  <c r="J166" i="20" s="1"/>
  <c r="K165" i="20"/>
  <c r="K166" i="20" s="1"/>
  <c r="L165" i="20"/>
  <c r="L166" i="20" s="1"/>
  <c r="C165" i="20"/>
  <c r="C166" i="20" s="1"/>
  <c r="D162" i="20"/>
  <c r="E162" i="20"/>
  <c r="F162" i="20"/>
  <c r="G162" i="20"/>
  <c r="H162" i="20"/>
  <c r="I162" i="20"/>
  <c r="J162" i="20"/>
  <c r="K162" i="20"/>
  <c r="L162" i="20"/>
  <c r="C162" i="20"/>
  <c r="D161" i="20"/>
  <c r="E161" i="20"/>
  <c r="F161" i="20"/>
  <c r="G161" i="20"/>
  <c r="H161" i="20"/>
  <c r="I161" i="20"/>
  <c r="J161" i="20"/>
  <c r="K161" i="20"/>
  <c r="L161" i="20"/>
  <c r="C161" i="20"/>
  <c r="D160" i="20"/>
  <c r="E160" i="20"/>
  <c r="F160" i="20"/>
  <c r="G160" i="20"/>
  <c r="H160" i="20"/>
  <c r="I160" i="20"/>
  <c r="J160" i="20"/>
  <c r="K160" i="20"/>
  <c r="L160" i="20"/>
  <c r="C160" i="20"/>
  <c r="D159" i="20"/>
  <c r="E159" i="20"/>
  <c r="F159" i="20"/>
  <c r="G159" i="20"/>
  <c r="H159" i="20"/>
  <c r="I159" i="20"/>
  <c r="J159" i="20"/>
  <c r="K159" i="20"/>
  <c r="L159" i="20"/>
  <c r="C159" i="20"/>
  <c r="D156" i="20"/>
  <c r="E156" i="20"/>
  <c r="F156" i="20"/>
  <c r="G156" i="20"/>
  <c r="H156" i="20"/>
  <c r="I156" i="20"/>
  <c r="J156" i="20"/>
  <c r="K156" i="20"/>
  <c r="L156" i="20"/>
  <c r="C156" i="20"/>
  <c r="D158" i="20"/>
  <c r="E158" i="20"/>
  <c r="F158" i="20"/>
  <c r="G158" i="20"/>
  <c r="H158" i="20"/>
  <c r="I158" i="20"/>
  <c r="J158" i="20"/>
  <c r="K158" i="20"/>
  <c r="L158" i="20"/>
  <c r="C158" i="20"/>
  <c r="D157" i="20"/>
  <c r="E157" i="20"/>
  <c r="F157" i="20"/>
  <c r="G157" i="20"/>
  <c r="H157" i="20"/>
  <c r="I157" i="20"/>
  <c r="J157" i="20"/>
  <c r="K157" i="20"/>
  <c r="L157" i="20"/>
  <c r="C157" i="20"/>
  <c r="C181" i="20" l="1"/>
  <c r="I181" i="20"/>
  <c r="K181" i="20"/>
  <c r="L181" i="20"/>
  <c r="D181" i="20"/>
  <c r="F181" i="20"/>
  <c r="E181" i="20"/>
  <c r="G181" i="20"/>
  <c r="H181" i="20"/>
  <c r="J181" i="20"/>
  <c r="M74" i="20" l="1"/>
  <c r="B9" i="11" l="1"/>
  <c r="H5" i="28"/>
  <c r="B8" i="11"/>
  <c r="B46" i="11" l="1"/>
  <c r="E21" i="11"/>
  <c r="B13" i="11"/>
  <c r="B5" i="1"/>
  <c r="A1" i="20"/>
  <c r="B11" i="1"/>
  <c r="B4" i="1"/>
  <c r="B3" i="1"/>
  <c r="L33" i="18"/>
  <c r="L29" i="18"/>
  <c r="L30" i="18"/>
  <c r="L31" i="18"/>
  <c r="L28" i="18"/>
  <c r="B24" i="11"/>
  <c r="L27" i="18" l="1"/>
  <c r="K27" i="18"/>
  <c r="D72" i="20" l="1"/>
  <c r="E72" i="20"/>
  <c r="F72" i="20"/>
  <c r="G72" i="20"/>
  <c r="H72" i="20"/>
  <c r="I72" i="20"/>
  <c r="J72" i="20"/>
  <c r="K72" i="20"/>
  <c r="L72" i="20"/>
  <c r="C72" i="20"/>
  <c r="C25" i="20"/>
  <c r="E12" i="19" s="1"/>
  <c r="D25" i="20"/>
  <c r="E25" i="20"/>
  <c r="F25" i="20"/>
  <c r="G25" i="20"/>
  <c r="H25" i="20"/>
  <c r="G41" i="11" s="1"/>
  <c r="I25" i="20"/>
  <c r="F41" i="11" s="1"/>
  <c r="J25" i="20"/>
  <c r="E41" i="11" s="1"/>
  <c r="K25" i="20"/>
  <c r="D41" i="11" s="1"/>
  <c r="L25" i="20"/>
  <c r="C41" i="11" s="1"/>
  <c r="L73" i="20"/>
  <c r="K73" i="20"/>
  <c r="F12" i="11" s="1"/>
  <c r="J73" i="20"/>
  <c r="G12" i="11" s="1"/>
  <c r="I75" i="20"/>
  <c r="H10" i="11" s="1"/>
  <c r="H73" i="20"/>
  <c r="I12" i="11" s="1"/>
  <c r="G73" i="20"/>
  <c r="J12" i="11" s="1"/>
  <c r="F73" i="20"/>
  <c r="E75" i="20"/>
  <c r="D73" i="20"/>
  <c r="C75" i="20"/>
  <c r="H76" i="20"/>
  <c r="D76" i="20"/>
  <c r="H74" i="20"/>
  <c r="I9" i="11" s="1"/>
  <c r="D74" i="20"/>
  <c r="L65" i="20"/>
  <c r="K65" i="20"/>
  <c r="J65" i="20"/>
  <c r="I65" i="20"/>
  <c r="H65" i="20"/>
  <c r="G65" i="20"/>
  <c r="F65" i="20"/>
  <c r="E65" i="20"/>
  <c r="D65" i="20"/>
  <c r="C65" i="20"/>
  <c r="L64" i="20"/>
  <c r="K64" i="20"/>
  <c r="J64" i="20"/>
  <c r="I64" i="20"/>
  <c r="H64" i="20"/>
  <c r="G64" i="20"/>
  <c r="F64" i="20"/>
  <c r="E64" i="20"/>
  <c r="D64" i="20"/>
  <c r="C64" i="20"/>
  <c r="K62" i="20"/>
  <c r="J62" i="20"/>
  <c r="I62" i="20"/>
  <c r="H62" i="20"/>
  <c r="G62" i="20"/>
  <c r="F62" i="20"/>
  <c r="E62" i="20"/>
  <c r="D62" i="20"/>
  <c r="C62" i="20"/>
  <c r="L60" i="20"/>
  <c r="K60" i="20"/>
  <c r="J60" i="20"/>
  <c r="I60" i="20"/>
  <c r="H60" i="20"/>
  <c r="G60" i="20"/>
  <c r="F60" i="20"/>
  <c r="E60" i="20"/>
  <c r="D60" i="20"/>
  <c r="C60" i="20"/>
  <c r="L59" i="20"/>
  <c r="K59" i="20"/>
  <c r="J59" i="20"/>
  <c r="I59" i="20"/>
  <c r="H59" i="20"/>
  <c r="G59" i="20"/>
  <c r="F59" i="20"/>
  <c r="E59" i="20"/>
  <c r="D59" i="20"/>
  <c r="C59" i="20"/>
  <c r="L55" i="20"/>
  <c r="L8" i="20" s="1"/>
  <c r="C22" i="20" s="1"/>
  <c r="K55" i="20"/>
  <c r="K8" i="20" s="1"/>
  <c r="J55" i="20"/>
  <c r="J8" i="20" s="1"/>
  <c r="I55" i="20"/>
  <c r="I8" i="20" s="1"/>
  <c r="H55" i="20"/>
  <c r="G55" i="20"/>
  <c r="G8" i="20" s="1"/>
  <c r="F55" i="20"/>
  <c r="F8" i="20" s="1"/>
  <c r="E55" i="20"/>
  <c r="E8" i="20" s="1"/>
  <c r="D55" i="20"/>
  <c r="D8" i="20" s="1"/>
  <c r="C55" i="20"/>
  <c r="C8" i="20" s="1"/>
  <c r="L54" i="20"/>
  <c r="L6" i="20" s="1"/>
  <c r="K54" i="20"/>
  <c r="K6" i="20" s="1"/>
  <c r="J54" i="20"/>
  <c r="J6" i="20" s="1"/>
  <c r="I54" i="20"/>
  <c r="I6" i="20" s="1"/>
  <c r="H54" i="20"/>
  <c r="H6" i="20" s="1"/>
  <c r="G54" i="20"/>
  <c r="G6" i="20" s="1"/>
  <c r="F54" i="20"/>
  <c r="F6" i="20" s="1"/>
  <c r="E54" i="20"/>
  <c r="E6" i="20" s="1"/>
  <c r="D54" i="20"/>
  <c r="D6" i="20" s="1"/>
  <c r="C54" i="20"/>
  <c r="C6" i="20" s="1"/>
  <c r="L53" i="20"/>
  <c r="L7" i="20" s="1"/>
  <c r="K53" i="20"/>
  <c r="K7" i="20" s="1"/>
  <c r="J53" i="20"/>
  <c r="J7" i="20" s="1"/>
  <c r="I53" i="20"/>
  <c r="I7" i="20" s="1"/>
  <c r="H53" i="20"/>
  <c r="H7" i="20" s="1"/>
  <c r="G53" i="20"/>
  <c r="G7" i="20" s="1"/>
  <c r="F53" i="20"/>
  <c r="F7" i="20" s="1"/>
  <c r="E53" i="20"/>
  <c r="E7" i="20" s="1"/>
  <c r="D53" i="20"/>
  <c r="D7" i="20" s="1"/>
  <c r="C53" i="20"/>
  <c r="C7" i="20" s="1"/>
  <c r="L52" i="20"/>
  <c r="C5" i="15" s="1"/>
  <c r="K52" i="20"/>
  <c r="J52" i="20"/>
  <c r="I52" i="20"/>
  <c r="H52" i="20"/>
  <c r="G52" i="20"/>
  <c r="F52" i="20"/>
  <c r="E52" i="20"/>
  <c r="D52" i="20"/>
  <c r="C52" i="20"/>
  <c r="L51" i="20"/>
  <c r="K51" i="20"/>
  <c r="J51" i="20"/>
  <c r="I51" i="20"/>
  <c r="H51" i="20"/>
  <c r="G51" i="20"/>
  <c r="F51" i="20"/>
  <c r="E51" i="20"/>
  <c r="D51" i="20"/>
  <c r="C51" i="20"/>
  <c r="L50" i="20"/>
  <c r="K50" i="20"/>
  <c r="J50" i="20"/>
  <c r="I50" i="20"/>
  <c r="H50" i="20"/>
  <c r="G50" i="20"/>
  <c r="F50" i="20"/>
  <c r="E50" i="20"/>
  <c r="D50" i="20"/>
  <c r="C50" i="20"/>
  <c r="L49" i="20"/>
  <c r="K49" i="20"/>
  <c r="J49" i="20"/>
  <c r="I49" i="20"/>
  <c r="H49" i="20"/>
  <c r="G49" i="20"/>
  <c r="F49" i="20"/>
  <c r="E49" i="20"/>
  <c r="D49" i="20"/>
  <c r="C49" i="20"/>
  <c r="L48" i="20"/>
  <c r="L10" i="20" s="1"/>
  <c r="K48" i="20"/>
  <c r="K10" i="20" s="1"/>
  <c r="J48" i="20"/>
  <c r="J10" i="20" s="1"/>
  <c r="I48" i="20"/>
  <c r="I10" i="20" s="1"/>
  <c r="H48" i="20"/>
  <c r="H10" i="20" s="1"/>
  <c r="G48" i="20"/>
  <c r="G10" i="20" s="1"/>
  <c r="F48" i="20"/>
  <c r="F10" i="20" s="1"/>
  <c r="E48" i="20"/>
  <c r="E10" i="20" s="1"/>
  <c r="D48" i="20"/>
  <c r="D10" i="20" s="1"/>
  <c r="C48" i="20"/>
  <c r="C10" i="20" s="1"/>
  <c r="L47" i="20"/>
  <c r="L9" i="20" s="1"/>
  <c r="K47" i="20"/>
  <c r="K9" i="20" s="1"/>
  <c r="J47" i="20"/>
  <c r="J9" i="20" s="1"/>
  <c r="I47" i="20"/>
  <c r="I9" i="20" s="1"/>
  <c r="H47" i="20"/>
  <c r="H9" i="20" s="1"/>
  <c r="G47" i="20"/>
  <c r="G9" i="20" s="1"/>
  <c r="F47" i="20"/>
  <c r="F9" i="20" s="1"/>
  <c r="E47" i="20"/>
  <c r="E9" i="20" s="1"/>
  <c r="D47" i="20"/>
  <c r="D9" i="20" s="1"/>
  <c r="C47" i="20"/>
  <c r="C9" i="20" s="1"/>
  <c r="L46" i="20"/>
  <c r="K46" i="20"/>
  <c r="J46" i="20"/>
  <c r="I46" i="20"/>
  <c r="H46" i="20"/>
  <c r="G46" i="20"/>
  <c r="F46" i="20"/>
  <c r="E46" i="20"/>
  <c r="D46" i="20"/>
  <c r="C46" i="20"/>
  <c r="L45" i="20"/>
  <c r="K45" i="20"/>
  <c r="J45" i="20"/>
  <c r="I45" i="20"/>
  <c r="H45" i="20"/>
  <c r="G45" i="20"/>
  <c r="F45" i="20"/>
  <c r="E45" i="20"/>
  <c r="D45" i="20"/>
  <c r="C45" i="20"/>
  <c r="L41" i="20"/>
  <c r="C8" i="15" s="1"/>
  <c r="K41" i="20"/>
  <c r="J41" i="20"/>
  <c r="I41" i="20"/>
  <c r="H41" i="20"/>
  <c r="G41" i="20"/>
  <c r="F41" i="20"/>
  <c r="E41" i="20"/>
  <c r="D41" i="20"/>
  <c r="C41" i="20"/>
  <c r="L40" i="20"/>
  <c r="K40" i="20"/>
  <c r="D10" i="14" s="1"/>
  <c r="J40" i="20"/>
  <c r="E10" i="14" s="1"/>
  <c r="I40" i="20"/>
  <c r="F10" i="14" s="1"/>
  <c r="H40" i="20"/>
  <c r="G10" i="14" s="1"/>
  <c r="G40" i="20"/>
  <c r="F40" i="20"/>
  <c r="E40" i="20"/>
  <c r="D40" i="20"/>
  <c r="C40" i="20"/>
  <c r="B38" i="20"/>
  <c r="L37" i="20"/>
  <c r="H37" i="20"/>
  <c r="D37" i="20"/>
  <c r="L36" i="20"/>
  <c r="K36" i="20"/>
  <c r="J36" i="20"/>
  <c r="I36" i="20"/>
  <c r="H36" i="20"/>
  <c r="G36" i="20"/>
  <c r="F36" i="20"/>
  <c r="E36" i="20"/>
  <c r="D36" i="20"/>
  <c r="C36" i="20"/>
  <c r="L34" i="20"/>
  <c r="K34" i="20"/>
  <c r="J34" i="20"/>
  <c r="I34" i="20"/>
  <c r="H34" i="20"/>
  <c r="G34" i="20"/>
  <c r="F34" i="20"/>
  <c r="E34" i="20"/>
  <c r="D34" i="20"/>
  <c r="C34" i="20"/>
  <c r="L32" i="20"/>
  <c r="K32" i="20"/>
  <c r="J32" i="20"/>
  <c r="I32" i="20"/>
  <c r="H32" i="20"/>
  <c r="G32" i="20"/>
  <c r="F32" i="20"/>
  <c r="E32" i="20"/>
  <c r="D32" i="20"/>
  <c r="C32" i="20"/>
  <c r="L30" i="20"/>
  <c r="K30" i="20"/>
  <c r="J30" i="20"/>
  <c r="I30" i="20"/>
  <c r="H30" i="20"/>
  <c r="G30" i="20"/>
  <c r="F30" i="20"/>
  <c r="E30" i="20"/>
  <c r="D30" i="20"/>
  <c r="C30" i="20"/>
  <c r="L29" i="20"/>
  <c r="K29" i="20"/>
  <c r="J29" i="20"/>
  <c r="I29" i="20"/>
  <c r="H29" i="20"/>
  <c r="G29" i="20"/>
  <c r="F29" i="20"/>
  <c r="E29" i="20"/>
  <c r="D29" i="20"/>
  <c r="C29" i="20"/>
  <c r="A27" i="20"/>
  <c r="L26" i="20"/>
  <c r="K26" i="20"/>
  <c r="J26" i="20"/>
  <c r="J95" i="20" s="1"/>
  <c r="J96" i="20" s="1"/>
  <c r="I26" i="20"/>
  <c r="H26" i="20"/>
  <c r="G26" i="20"/>
  <c r="F26" i="20"/>
  <c r="F95" i="20" s="1"/>
  <c r="F96" i="20" s="1"/>
  <c r="E26" i="20"/>
  <c r="D26" i="20"/>
  <c r="C26" i="20"/>
  <c r="A24" i="20"/>
  <c r="L21" i="20"/>
  <c r="K21" i="20"/>
  <c r="J21" i="20"/>
  <c r="I21" i="20"/>
  <c r="H21" i="20"/>
  <c r="G21" i="20"/>
  <c r="F21" i="20"/>
  <c r="E21" i="20"/>
  <c r="D21" i="20"/>
  <c r="C21" i="20"/>
  <c r="L20" i="20"/>
  <c r="K20" i="20"/>
  <c r="J20" i="20"/>
  <c r="I20" i="20"/>
  <c r="H20" i="20"/>
  <c r="G20" i="20"/>
  <c r="F20" i="20"/>
  <c r="E20" i="20"/>
  <c r="D20" i="20"/>
  <c r="C20" i="20"/>
  <c r="L17" i="20"/>
  <c r="K17" i="20"/>
  <c r="J17" i="20"/>
  <c r="I17" i="20"/>
  <c r="H17" i="20"/>
  <c r="G17" i="20"/>
  <c r="F17" i="20"/>
  <c r="E17" i="20"/>
  <c r="D17" i="20"/>
  <c r="C17" i="20"/>
  <c r="L16" i="20"/>
  <c r="K16" i="20"/>
  <c r="J16" i="20"/>
  <c r="I16" i="20"/>
  <c r="H16" i="20"/>
  <c r="G16" i="20"/>
  <c r="F16" i="20"/>
  <c r="E16" i="20"/>
  <c r="D16" i="20"/>
  <c r="C16" i="20"/>
  <c r="L15" i="20"/>
  <c r="L27" i="20" s="1"/>
  <c r="L113" i="20" s="1"/>
  <c r="K15" i="20"/>
  <c r="K27" i="20" s="1"/>
  <c r="J15" i="20"/>
  <c r="J27" i="20" s="1"/>
  <c r="I15" i="20"/>
  <c r="I27" i="20" s="1"/>
  <c r="H15" i="20"/>
  <c r="H27" i="20" s="1"/>
  <c r="H113" i="20" s="1"/>
  <c r="G15" i="20"/>
  <c r="G27" i="20" s="1"/>
  <c r="F15" i="20"/>
  <c r="F27" i="20" s="1"/>
  <c r="E15" i="20"/>
  <c r="E27" i="20" s="1"/>
  <c r="D15" i="20"/>
  <c r="D27" i="20" s="1"/>
  <c r="D113" i="20" s="1"/>
  <c r="C15" i="20"/>
  <c r="C27" i="20" s="1"/>
  <c r="L183" i="20"/>
  <c r="K183" i="20"/>
  <c r="J183" i="20"/>
  <c r="I183" i="20"/>
  <c r="H183" i="20"/>
  <c r="G183" i="20"/>
  <c r="F183" i="20"/>
  <c r="E183" i="20"/>
  <c r="D183" i="20"/>
  <c r="C183" i="20"/>
  <c r="A4" i="20"/>
  <c r="K4" i="19"/>
  <c r="K3" i="19"/>
  <c r="L32" i="18"/>
  <c r="C9" i="18" s="1"/>
  <c r="K32" i="18"/>
  <c r="K20" i="18"/>
  <c r="L15" i="18"/>
  <c r="C6" i="18" s="1"/>
  <c r="K15" i="18"/>
  <c r="C8" i="18"/>
  <c r="K3" i="18"/>
  <c r="B5" i="18" s="1"/>
  <c r="D130" i="20" l="1"/>
  <c r="H130" i="20"/>
  <c r="L130" i="20"/>
  <c r="D132" i="20"/>
  <c r="H132" i="20"/>
  <c r="L132" i="20"/>
  <c r="F114" i="20"/>
  <c r="J114" i="20"/>
  <c r="H8" i="16"/>
  <c r="M93" i="20"/>
  <c r="H11" i="16" s="1"/>
  <c r="E113" i="20"/>
  <c r="E13" i="19"/>
  <c r="H41" i="11"/>
  <c r="I113" i="20"/>
  <c r="C95" i="20"/>
  <c r="C96" i="20" s="1"/>
  <c r="K95" i="20"/>
  <c r="K96" i="20" s="1"/>
  <c r="G95" i="20"/>
  <c r="G96" i="20" s="1"/>
  <c r="K8" i="16"/>
  <c r="F131" i="20"/>
  <c r="E130" i="20"/>
  <c r="I130" i="20"/>
  <c r="C131" i="20"/>
  <c r="G131" i="20"/>
  <c r="K131" i="20"/>
  <c r="E132" i="20"/>
  <c r="I132" i="20"/>
  <c r="C114" i="20"/>
  <c r="G114" i="20"/>
  <c r="K114" i="20"/>
  <c r="J131" i="20"/>
  <c r="F130" i="20"/>
  <c r="J130" i="20"/>
  <c r="D131" i="20"/>
  <c r="H131" i="20"/>
  <c r="L131" i="20"/>
  <c r="F132" i="20"/>
  <c r="J132" i="20"/>
  <c r="L4" i="19"/>
  <c r="C5" i="29"/>
  <c r="C130" i="20"/>
  <c r="G130" i="20"/>
  <c r="K130" i="20"/>
  <c r="E131" i="20"/>
  <c r="I131" i="20"/>
  <c r="C132" i="20"/>
  <c r="G132" i="20"/>
  <c r="K132" i="20"/>
  <c r="D114" i="20"/>
  <c r="H114" i="20"/>
  <c r="L114" i="20"/>
  <c r="E114" i="20"/>
  <c r="I114" i="20"/>
  <c r="L25" i="18"/>
  <c r="L20" i="18" s="1"/>
  <c r="C7" i="18" s="1"/>
  <c r="I120" i="20"/>
  <c r="I95" i="20"/>
  <c r="I96" i="20" s="1"/>
  <c r="E120" i="20"/>
  <c r="E95" i="20"/>
  <c r="E96" i="20" s="1"/>
  <c r="D95" i="20"/>
  <c r="D96" i="20" s="1"/>
  <c r="H95" i="20"/>
  <c r="H96" i="20" s="1"/>
  <c r="L95" i="20"/>
  <c r="L96" i="20" s="1"/>
  <c r="C126" i="20"/>
  <c r="F126" i="20"/>
  <c r="J126" i="20"/>
  <c r="F121" i="20"/>
  <c r="J121" i="20"/>
  <c r="G126" i="20"/>
  <c r="K126" i="20"/>
  <c r="D126" i="20"/>
  <c r="H126" i="20"/>
  <c r="L126" i="20"/>
  <c r="E126" i="20"/>
  <c r="I126" i="20"/>
  <c r="D112" i="20"/>
  <c r="H112" i="20"/>
  <c r="L112" i="20"/>
  <c r="C121" i="20"/>
  <c r="G121" i="20"/>
  <c r="K121" i="20"/>
  <c r="D121" i="20"/>
  <c r="H121" i="20"/>
  <c r="L121" i="20"/>
  <c r="D5" i="29"/>
  <c r="E121" i="20"/>
  <c r="I121" i="20"/>
  <c r="E112" i="20"/>
  <c r="I112" i="20"/>
  <c r="F113" i="20"/>
  <c r="J113" i="20"/>
  <c r="F112" i="20"/>
  <c r="J112" i="20"/>
  <c r="C113" i="20"/>
  <c r="G113" i="20"/>
  <c r="K113" i="20"/>
  <c r="C112" i="20"/>
  <c r="G112" i="20"/>
  <c r="K112" i="20"/>
  <c r="F120" i="20"/>
  <c r="C120" i="20"/>
  <c r="G120" i="20"/>
  <c r="K120" i="20"/>
  <c r="E9" i="14"/>
  <c r="J120" i="20"/>
  <c r="D120" i="20"/>
  <c r="H120" i="20"/>
  <c r="L120" i="20"/>
  <c r="F9" i="14"/>
  <c r="G5" i="14"/>
  <c r="C5" i="14"/>
  <c r="F5" i="14"/>
  <c r="E5" i="14"/>
  <c r="D5" i="14"/>
  <c r="E138" i="20"/>
  <c r="I138" i="20"/>
  <c r="D141" i="20"/>
  <c r="H141" i="20"/>
  <c r="I141" i="20"/>
  <c r="L141" i="20"/>
  <c r="E141" i="20"/>
  <c r="D5" i="27"/>
  <c r="I41" i="11" s="1"/>
  <c r="C5" i="27"/>
  <c r="J41" i="11" s="1"/>
  <c r="F141" i="20"/>
  <c r="J141" i="20"/>
  <c r="C141" i="20"/>
  <c r="G141" i="20"/>
  <c r="K141" i="20"/>
  <c r="F138" i="20"/>
  <c r="C138" i="20"/>
  <c r="G138" i="20"/>
  <c r="K138" i="20"/>
  <c r="J138" i="20"/>
  <c r="D138" i="20"/>
  <c r="H138" i="20"/>
  <c r="L138" i="20"/>
  <c r="K10" i="16"/>
  <c r="G14" i="20"/>
  <c r="G24" i="20" s="1"/>
  <c r="G170" i="20"/>
  <c r="G164" i="20"/>
  <c r="G155" i="20"/>
  <c r="D14" i="20"/>
  <c r="D24" i="20" s="1"/>
  <c r="D170" i="20"/>
  <c r="D155" i="20"/>
  <c r="D164" i="20"/>
  <c r="L14" i="20"/>
  <c r="L24" i="20" s="1"/>
  <c r="L170" i="20"/>
  <c r="L155" i="20"/>
  <c r="L164" i="20"/>
  <c r="E14" i="20"/>
  <c r="E24" i="20" s="1"/>
  <c r="E170" i="20"/>
  <c r="E155" i="20"/>
  <c r="E164" i="20"/>
  <c r="I14" i="20"/>
  <c r="I24" i="20" s="1"/>
  <c r="I164" i="20"/>
  <c r="I170" i="20"/>
  <c r="I155" i="20"/>
  <c r="C14" i="20"/>
  <c r="C24" i="20" s="1"/>
  <c r="C170" i="20"/>
  <c r="C155" i="20"/>
  <c r="C164" i="20"/>
  <c r="K14" i="20"/>
  <c r="K24" i="20" s="1"/>
  <c r="K155" i="20"/>
  <c r="K164" i="20"/>
  <c r="K170" i="20"/>
  <c r="H14" i="20"/>
  <c r="H24" i="20" s="1"/>
  <c r="H170" i="20"/>
  <c r="H155" i="20"/>
  <c r="H164" i="20"/>
  <c r="F14" i="20"/>
  <c r="F24" i="20" s="1"/>
  <c r="F164" i="20"/>
  <c r="F170" i="20"/>
  <c r="F155" i="20"/>
  <c r="J14" i="20"/>
  <c r="J24" i="20" s="1"/>
  <c r="J164" i="20"/>
  <c r="J170" i="20"/>
  <c r="J155" i="20"/>
  <c r="C6" i="15"/>
  <c r="K9" i="16"/>
  <c r="B7" i="1"/>
  <c r="F7" i="15"/>
  <c r="C10" i="15"/>
  <c r="E90" i="20"/>
  <c r="I90" i="20"/>
  <c r="D58" i="20"/>
  <c r="C6" i="14"/>
  <c r="D90" i="20"/>
  <c r="H90" i="20"/>
  <c r="G76" i="20"/>
  <c r="G77" i="20" s="1"/>
  <c r="F8" i="16"/>
  <c r="C9" i="16"/>
  <c r="F90" i="20"/>
  <c r="J90" i="20"/>
  <c r="C8" i="16"/>
  <c r="C37" i="20"/>
  <c r="C83" i="20" s="1"/>
  <c r="K37" i="20"/>
  <c r="K82" i="20" s="1"/>
  <c r="D6" i="14"/>
  <c r="D9" i="16"/>
  <c r="C74" i="20"/>
  <c r="K74" i="20"/>
  <c r="F9" i="11" s="1"/>
  <c r="G9" i="16"/>
  <c r="H10" i="16" s="1"/>
  <c r="G6" i="14"/>
  <c r="E9" i="16"/>
  <c r="C76" i="20"/>
  <c r="K76" i="20"/>
  <c r="K77" i="20" s="1"/>
  <c r="H75" i="20"/>
  <c r="I10" i="11" s="1"/>
  <c r="E11" i="14"/>
  <c r="C7" i="15"/>
  <c r="G8" i="16"/>
  <c r="G37" i="20"/>
  <c r="G81" i="20" s="1"/>
  <c r="F9" i="16"/>
  <c r="G74" i="20"/>
  <c r="I13" i="19" s="1"/>
  <c r="D77" i="20"/>
  <c r="D8" i="16"/>
  <c r="F11" i="14"/>
  <c r="B6" i="1"/>
  <c r="F6" i="14"/>
  <c r="E6" i="14"/>
  <c r="J23" i="20"/>
  <c r="J63" i="20" s="1"/>
  <c r="C10" i="14"/>
  <c r="C20" i="14" s="1"/>
  <c r="G21" i="16"/>
  <c r="E8" i="16"/>
  <c r="E74" i="20"/>
  <c r="I37" i="20"/>
  <c r="I83" i="20" s="1"/>
  <c r="E37" i="20"/>
  <c r="E83" i="20" s="1"/>
  <c r="I76" i="20"/>
  <c r="I77" i="20" s="1"/>
  <c r="I74" i="20"/>
  <c r="H9" i="11" s="1"/>
  <c r="E76" i="20"/>
  <c r="E77" i="20" s="1"/>
  <c r="D75" i="20"/>
  <c r="C73" i="20"/>
  <c r="J12" i="19" s="1"/>
  <c r="F37" i="20"/>
  <c r="F83" i="20" s="1"/>
  <c r="J37" i="20"/>
  <c r="J81" i="20" s="1"/>
  <c r="F74" i="20"/>
  <c r="J74" i="20"/>
  <c r="G9" i="11" s="1"/>
  <c r="I73" i="20"/>
  <c r="H12" i="11" s="1"/>
  <c r="L75" i="20"/>
  <c r="E73" i="20"/>
  <c r="E12" i="11"/>
  <c r="K12" i="11" s="1"/>
  <c r="J13" i="19"/>
  <c r="F76" i="20"/>
  <c r="F77" i="20" s="1"/>
  <c r="J76" i="20"/>
  <c r="K75" i="20"/>
  <c r="F10" i="11" s="1"/>
  <c r="G75" i="20"/>
  <c r="J10" i="11" s="1"/>
  <c r="J75" i="20"/>
  <c r="G10" i="11" s="1"/>
  <c r="F75" i="20"/>
  <c r="H77" i="20"/>
  <c r="I8" i="11"/>
  <c r="B4" i="18"/>
  <c r="G7" i="14"/>
  <c r="C7" i="14"/>
  <c r="B11" i="11"/>
  <c r="B16" i="11" s="1"/>
  <c r="G11" i="14"/>
  <c r="F23" i="20"/>
  <c r="F63" i="20" s="1"/>
  <c r="C11" i="14"/>
  <c r="E42" i="20"/>
  <c r="I42" i="20"/>
  <c r="I100" i="20" s="1"/>
  <c r="F58" i="20"/>
  <c r="J58" i="20"/>
  <c r="D11" i="14"/>
  <c r="H4" i="19"/>
  <c r="G13" i="19"/>
  <c r="E4" i="19"/>
  <c r="I31" i="20"/>
  <c r="D86" i="20"/>
  <c r="C11" i="15"/>
  <c r="G4" i="19"/>
  <c r="F31" i="20"/>
  <c r="J31" i="20"/>
  <c r="D89" i="20"/>
  <c r="H89" i="20"/>
  <c r="L89" i="20"/>
  <c r="D11" i="20"/>
  <c r="L11" i="20"/>
  <c r="E11" i="20"/>
  <c r="D23" i="20"/>
  <c r="D63" i="20" s="1"/>
  <c r="D80" i="20" s="1"/>
  <c r="H23" i="20"/>
  <c r="H63" i="20" s="1"/>
  <c r="L23" i="20"/>
  <c r="E23" i="20"/>
  <c r="E63" i="20" s="1"/>
  <c r="I23" i="20"/>
  <c r="I63" i="20" s="1"/>
  <c r="E86" i="20"/>
  <c r="I86" i="20"/>
  <c r="H3" i="19"/>
  <c r="I3" i="19"/>
  <c r="C9" i="15"/>
  <c r="E31" i="20"/>
  <c r="H86" i="20"/>
  <c r="D7" i="14"/>
  <c r="H11" i="20"/>
  <c r="J3" i="19"/>
  <c r="F13" i="19"/>
  <c r="E3" i="19"/>
  <c r="G12" i="19"/>
  <c r="C11" i="20"/>
  <c r="G11" i="20"/>
  <c r="K11" i="20"/>
  <c r="F42" i="20"/>
  <c r="F102" i="20" s="1"/>
  <c r="J42" i="20"/>
  <c r="J101" i="20" s="1"/>
  <c r="C58" i="20"/>
  <c r="G58" i="20"/>
  <c r="K58" i="20"/>
  <c r="F12" i="19"/>
  <c r="G3" i="19"/>
  <c r="H58" i="20"/>
  <c r="E7" i="14"/>
  <c r="I11" i="20"/>
  <c r="F7" i="14"/>
  <c r="I4" i="19"/>
  <c r="H8" i="20"/>
  <c r="H82" i="20" s="1"/>
  <c r="G23" i="20"/>
  <c r="G63" i="20" s="1"/>
  <c r="K23" i="20"/>
  <c r="K63" i="20" s="1"/>
  <c r="C28" i="20"/>
  <c r="G28" i="20"/>
  <c r="K28" i="20"/>
  <c r="C31" i="20"/>
  <c r="G31" i="20"/>
  <c r="K31" i="20"/>
  <c r="F86" i="20"/>
  <c r="J86" i="20"/>
  <c r="J4" i="19"/>
  <c r="F11" i="20"/>
  <c r="J11" i="20"/>
  <c r="J106" i="20" s="1"/>
  <c r="D31" i="20"/>
  <c r="H31" i="20"/>
  <c r="L31" i="20"/>
  <c r="D83" i="20"/>
  <c r="H83" i="20"/>
  <c r="L83" i="20"/>
  <c r="C42" i="20"/>
  <c r="C101" i="20" s="1"/>
  <c r="G42" i="20"/>
  <c r="K42" i="20"/>
  <c r="L58" i="20"/>
  <c r="C86" i="20"/>
  <c r="G86" i="20"/>
  <c r="K86" i="20"/>
  <c r="G9" i="14"/>
  <c r="D42" i="20"/>
  <c r="D101" i="20" s="1"/>
  <c r="H42" i="20"/>
  <c r="H101" i="20" s="1"/>
  <c r="L42" i="20"/>
  <c r="E58" i="20"/>
  <c r="I58" i="20"/>
  <c r="D9" i="14"/>
  <c r="L28" i="20"/>
  <c r="L76" i="20"/>
  <c r="L74" i="20"/>
  <c r="E9" i="11" s="1"/>
  <c r="D28" i="20"/>
  <c r="H28" i="20"/>
  <c r="D69" i="20"/>
  <c r="H69" i="20"/>
  <c r="L69" i="20"/>
  <c r="D79" i="20"/>
  <c r="H79" i="20"/>
  <c r="D81" i="20"/>
  <c r="H81" i="20"/>
  <c r="L81" i="20"/>
  <c r="C90" i="20"/>
  <c r="G90" i="20"/>
  <c r="K90" i="20"/>
  <c r="L62" i="20"/>
  <c r="E28" i="20"/>
  <c r="I28" i="20"/>
  <c r="F28" i="20"/>
  <c r="J28" i="20"/>
  <c r="D82" i="20"/>
  <c r="L82" i="20"/>
  <c r="D84" i="20"/>
  <c r="L84" i="20"/>
  <c r="M41" i="11" l="1"/>
  <c r="F88" i="20"/>
  <c r="F93" i="20"/>
  <c r="D33" i="20"/>
  <c r="D66" i="20" s="1"/>
  <c r="D67" i="20" s="1"/>
  <c r="D93" i="20"/>
  <c r="C88" i="20"/>
  <c r="C93" i="20"/>
  <c r="H88" i="20"/>
  <c r="H93" i="20"/>
  <c r="C11" i="16" s="1"/>
  <c r="G33" i="20"/>
  <c r="G35" i="20" s="1"/>
  <c r="G93" i="20"/>
  <c r="I88" i="20"/>
  <c r="I93" i="20"/>
  <c r="D11" i="16" s="1"/>
  <c r="E88" i="20"/>
  <c r="E93" i="20"/>
  <c r="L33" i="20"/>
  <c r="L35" i="20" s="1"/>
  <c r="L133" i="20" s="1"/>
  <c r="L134" i="20" s="1"/>
  <c r="L93" i="20"/>
  <c r="G11" i="16" s="1"/>
  <c r="K33" i="20"/>
  <c r="K35" i="20" s="1"/>
  <c r="K133" i="20" s="1"/>
  <c r="K93" i="20"/>
  <c r="F11" i="16" s="1"/>
  <c r="J33" i="20"/>
  <c r="J35" i="20" s="1"/>
  <c r="J133" i="20" s="1"/>
  <c r="J134" i="20" s="1"/>
  <c r="J93" i="20"/>
  <c r="E11" i="16" s="1"/>
  <c r="G6" i="28"/>
  <c r="K7" i="16"/>
  <c r="K134" i="20"/>
  <c r="M4" i="19"/>
  <c r="F5" i="28"/>
  <c r="L5" i="28" s="1"/>
  <c r="L5" i="18" s="1"/>
  <c r="I12" i="19"/>
  <c r="G133" i="20"/>
  <c r="G134" i="20" s="1"/>
  <c r="H13" i="19"/>
  <c r="I18" i="18" s="1"/>
  <c r="I101" i="20"/>
  <c r="C102" i="20"/>
  <c r="F101" i="20"/>
  <c r="I102" i="20"/>
  <c r="L57" i="20"/>
  <c r="L100" i="20"/>
  <c r="K57" i="20"/>
  <c r="K100" i="20"/>
  <c r="H57" i="20"/>
  <c r="H100" i="20"/>
  <c r="L101" i="20"/>
  <c r="K102" i="20"/>
  <c r="J102" i="20"/>
  <c r="L102" i="20"/>
  <c r="E57" i="20"/>
  <c r="E100" i="20"/>
  <c r="E102" i="20"/>
  <c r="G57" i="20"/>
  <c r="G100" i="20"/>
  <c r="J57" i="20"/>
  <c r="J100" i="20"/>
  <c r="E101" i="20"/>
  <c r="D57" i="20"/>
  <c r="D100" i="20"/>
  <c r="C57" i="20"/>
  <c r="C100" i="20"/>
  <c r="F57" i="20"/>
  <c r="F100" i="20"/>
  <c r="G102" i="20"/>
  <c r="G101" i="20"/>
  <c r="D102" i="20"/>
  <c r="K101" i="20"/>
  <c r="H102" i="20"/>
  <c r="K106" i="20"/>
  <c r="L5" i="29"/>
  <c r="L12" i="18" s="1"/>
  <c r="I12" i="18"/>
  <c r="G118" i="20"/>
  <c r="H107" i="20"/>
  <c r="L5" i="27"/>
  <c r="L4" i="18" s="1"/>
  <c r="I4" i="18"/>
  <c r="K118" i="20"/>
  <c r="L107" i="20"/>
  <c r="F106" i="20"/>
  <c r="H106" i="20"/>
  <c r="D106" i="20"/>
  <c r="G106" i="20"/>
  <c r="E106" i="20"/>
  <c r="I106" i="20"/>
  <c r="L106" i="20"/>
  <c r="K119" i="20"/>
  <c r="C9" i="14"/>
  <c r="F5" i="29"/>
  <c r="C18" i="14"/>
  <c r="G119" i="20"/>
  <c r="K117" i="20"/>
  <c r="J119" i="20"/>
  <c r="G117" i="20"/>
  <c r="J9" i="11"/>
  <c r="G5" i="28"/>
  <c r="G139" i="20"/>
  <c r="G127" i="20"/>
  <c r="K139" i="20"/>
  <c r="K127" i="20"/>
  <c r="D42" i="11" s="1"/>
  <c r="K140" i="20"/>
  <c r="K80" i="20"/>
  <c r="G140" i="20"/>
  <c r="E10" i="11"/>
  <c r="K10" i="11" s="1"/>
  <c r="B15" i="11"/>
  <c r="G70" i="20"/>
  <c r="G87" i="20" s="1"/>
  <c r="G92" i="20"/>
  <c r="F7" i="16"/>
  <c r="K92" i="20"/>
  <c r="C82" i="20"/>
  <c r="G80" i="20"/>
  <c r="G84" i="20"/>
  <c r="C79" i="20"/>
  <c r="G82" i="20"/>
  <c r="C81" i="20"/>
  <c r="E69" i="20"/>
  <c r="C19" i="14"/>
  <c r="F33" i="20"/>
  <c r="F35" i="20" s="1"/>
  <c r="F133" i="20" s="1"/>
  <c r="F134" i="20" s="1"/>
  <c r="K84" i="20"/>
  <c r="I79" i="20"/>
  <c r="L78" i="20"/>
  <c r="E11" i="11" s="1"/>
  <c r="E82" i="20"/>
  <c r="E81" i="20"/>
  <c r="G88" i="20"/>
  <c r="H84" i="20"/>
  <c r="E33" i="20"/>
  <c r="E35" i="20" s="1"/>
  <c r="E133" i="20" s="1"/>
  <c r="E134" i="20" s="1"/>
  <c r="E84" i="20"/>
  <c r="E78" i="20"/>
  <c r="E79" i="20"/>
  <c r="E89" i="20"/>
  <c r="E80" i="20"/>
  <c r="K89" i="20"/>
  <c r="K79" i="20"/>
  <c r="K69" i="20"/>
  <c r="G89" i="20"/>
  <c r="C84" i="20"/>
  <c r="K81" i="20"/>
  <c r="G83" i="20"/>
  <c r="K83" i="20"/>
  <c r="G79" i="20"/>
  <c r="G69" i="20"/>
  <c r="C89" i="20"/>
  <c r="F8" i="11"/>
  <c r="J84" i="20"/>
  <c r="I84" i="20"/>
  <c r="I80" i="20"/>
  <c r="J83" i="20"/>
  <c r="H33" i="20"/>
  <c r="H35" i="20" s="1"/>
  <c r="I81" i="20"/>
  <c r="I69" i="20"/>
  <c r="I89" i="20"/>
  <c r="I82" i="20"/>
  <c r="J89" i="20"/>
  <c r="B5" i="19"/>
  <c r="C33" i="20"/>
  <c r="C35" i="20" s="1"/>
  <c r="F6" i="28" s="1"/>
  <c r="I78" i="20"/>
  <c r="H11" i="11" s="1"/>
  <c r="F69" i="20"/>
  <c r="F80" i="20"/>
  <c r="H80" i="20"/>
  <c r="F82" i="20"/>
  <c r="H8" i="11"/>
  <c r="F78" i="20"/>
  <c r="F79" i="20"/>
  <c r="F89" i="20"/>
  <c r="F84" i="20"/>
  <c r="F81" i="20"/>
  <c r="J69" i="20"/>
  <c r="J82" i="20"/>
  <c r="J80" i="20"/>
  <c r="B3" i="19"/>
  <c r="J79" i="20"/>
  <c r="E8" i="11"/>
  <c r="B4" i="19"/>
  <c r="J77" i="20"/>
  <c r="G8" i="11"/>
  <c r="C21" i="14"/>
  <c r="K78" i="20"/>
  <c r="F11" i="11" s="1"/>
  <c r="J88" i="20"/>
  <c r="C22" i="14"/>
  <c r="I57" i="20"/>
  <c r="H78" i="20"/>
  <c r="D78" i="20"/>
  <c r="I33" i="20"/>
  <c r="I35" i="20" s="1"/>
  <c r="I133" i="20" s="1"/>
  <c r="I134" i="20" s="1"/>
  <c r="K88" i="20"/>
  <c r="J78" i="20"/>
  <c r="G11" i="11" s="1"/>
  <c r="G78" i="20"/>
  <c r="M12" i="19"/>
  <c r="K70" i="20"/>
  <c r="K87" i="20" s="1"/>
  <c r="D8" i="14"/>
  <c r="D4" i="14"/>
  <c r="M13" i="19"/>
  <c r="D35" i="20"/>
  <c r="D133" i="20" s="1"/>
  <c r="D134" i="20" s="1"/>
  <c r="L77" i="20"/>
  <c r="D88" i="20"/>
  <c r="C78" i="20"/>
  <c r="K13" i="19"/>
  <c r="L63" i="20"/>
  <c r="M9" i="19" s="1"/>
  <c r="K12" i="19"/>
  <c r="J9" i="19"/>
  <c r="F9" i="19"/>
  <c r="L8" i="19"/>
  <c r="K9" i="19"/>
  <c r="G9" i="19"/>
  <c r="E8" i="19"/>
  <c r="I9" i="19"/>
  <c r="E9" i="19"/>
  <c r="K8" i="19"/>
  <c r="G8" i="19"/>
  <c r="I8" i="19"/>
  <c r="L9" i="19"/>
  <c r="J8" i="19"/>
  <c r="F8" i="19"/>
  <c r="K66" i="20"/>
  <c r="K67" i="20" s="1"/>
  <c r="B12" i="11"/>
  <c r="L79" i="20"/>
  <c r="G66" i="20"/>
  <c r="G67" i="20" s="1"/>
  <c r="E4" i="14" l="1"/>
  <c r="C4" i="14"/>
  <c r="J139" i="20"/>
  <c r="L142" i="20" s="1"/>
  <c r="G5" i="27" s="1"/>
  <c r="J92" i="20"/>
  <c r="L139" i="20"/>
  <c r="J117" i="20"/>
  <c r="O4" i="19"/>
  <c r="E8" i="14"/>
  <c r="L66" i="20"/>
  <c r="L67" i="20" s="1"/>
  <c r="E7" i="16"/>
  <c r="L140" i="20"/>
  <c r="H42" i="11"/>
  <c r="I42" i="11"/>
  <c r="L127" i="20"/>
  <c r="C42" i="11" s="1"/>
  <c r="K107" i="20"/>
  <c r="N4" i="19"/>
  <c r="J70" i="20"/>
  <c r="J87" i="20" s="1"/>
  <c r="B21" i="11"/>
  <c r="I44" i="11"/>
  <c r="K44" i="11" s="1"/>
  <c r="J140" i="20"/>
  <c r="L117" i="20"/>
  <c r="L119" i="20"/>
  <c r="L118" i="20"/>
  <c r="J118" i="20"/>
  <c r="J66" i="20"/>
  <c r="J67" i="20" s="1"/>
  <c r="L70" i="20"/>
  <c r="H9" i="19"/>
  <c r="C8" i="14"/>
  <c r="C14" i="14" s="1"/>
  <c r="G7" i="16"/>
  <c r="L92" i="20"/>
  <c r="L38" i="20"/>
  <c r="J127" i="20"/>
  <c r="E42" i="11" s="1"/>
  <c r="B22" i="11"/>
  <c r="I5" i="18"/>
  <c r="F3" i="19"/>
  <c r="H133" i="20"/>
  <c r="H134" i="20" s="1"/>
  <c r="C133" i="20"/>
  <c r="C134" i="20" s="1"/>
  <c r="H12" i="19"/>
  <c r="I118" i="20"/>
  <c r="J107" i="20"/>
  <c r="H118" i="20"/>
  <c r="I107" i="20"/>
  <c r="E118" i="20"/>
  <c r="F107" i="20"/>
  <c r="F118" i="20"/>
  <c r="G107" i="20"/>
  <c r="M5" i="28"/>
  <c r="L6" i="18" s="1"/>
  <c r="I6" i="18"/>
  <c r="D118" i="20"/>
  <c r="E107" i="20"/>
  <c r="C118" i="20"/>
  <c r="D107" i="20"/>
  <c r="G5" i="29"/>
  <c r="N5" i="29"/>
  <c r="L11" i="18" s="1"/>
  <c r="I11" i="18"/>
  <c r="K5" i="29"/>
  <c r="L9" i="18" s="1"/>
  <c r="I9" i="18"/>
  <c r="E5" i="29"/>
  <c r="I119" i="20"/>
  <c r="I117" i="20"/>
  <c r="H119" i="20"/>
  <c r="H117" i="20"/>
  <c r="E119" i="20"/>
  <c r="E117" i="20"/>
  <c r="F119" i="20"/>
  <c r="F117" i="20"/>
  <c r="D119" i="20"/>
  <c r="D117" i="20"/>
  <c r="C119" i="20"/>
  <c r="C117" i="20"/>
  <c r="I127" i="20"/>
  <c r="F42" i="11" s="1"/>
  <c r="H127" i="20"/>
  <c r="G42" i="11" s="1"/>
  <c r="C5" i="28"/>
  <c r="P5" i="28" s="1"/>
  <c r="D127" i="20"/>
  <c r="C127" i="20"/>
  <c r="J42" i="11" s="1"/>
  <c r="E127" i="20"/>
  <c r="F127" i="20"/>
  <c r="D139" i="20"/>
  <c r="D140" i="20"/>
  <c r="I139" i="20"/>
  <c r="I140" i="20"/>
  <c r="G4" i="14"/>
  <c r="H139" i="20"/>
  <c r="H140" i="20"/>
  <c r="C139" i="20"/>
  <c r="C140" i="20"/>
  <c r="E139" i="20"/>
  <c r="E140" i="20"/>
  <c r="F139" i="20"/>
  <c r="F140" i="20"/>
  <c r="H70" i="20"/>
  <c r="H87" i="20" s="1"/>
  <c r="C7" i="16"/>
  <c r="H92" i="20"/>
  <c r="C70" i="20"/>
  <c r="C87" i="20" s="1"/>
  <c r="C92" i="20"/>
  <c r="D70" i="20"/>
  <c r="D87" i="20" s="1"/>
  <c r="D92" i="20"/>
  <c r="D7" i="16"/>
  <c r="I92" i="20"/>
  <c r="E70" i="20"/>
  <c r="E87" i="20" s="1"/>
  <c r="E92" i="20"/>
  <c r="F70" i="20"/>
  <c r="F87" i="20" s="1"/>
  <c r="F92" i="20"/>
  <c r="C4" i="19"/>
  <c r="H66" i="20"/>
  <c r="H67" i="20" s="1"/>
  <c r="I70" i="20"/>
  <c r="I87" i="20" s="1"/>
  <c r="G8" i="14"/>
  <c r="M3" i="19"/>
  <c r="G19" i="16"/>
  <c r="F66" i="20"/>
  <c r="F67" i="20" s="1"/>
  <c r="L3" i="19"/>
  <c r="E66" i="20"/>
  <c r="E67" i="20" s="1"/>
  <c r="H8" i="19"/>
  <c r="I66" i="20"/>
  <c r="I67" i="20" s="1"/>
  <c r="N3" i="19"/>
  <c r="O3" i="19"/>
  <c r="F8" i="14"/>
  <c r="C66" i="20"/>
  <c r="C67" i="20" s="1"/>
  <c r="M8" i="19"/>
  <c r="I33" i="18" s="1"/>
  <c r="C16" i="14"/>
  <c r="F4" i="14"/>
  <c r="I11" i="11"/>
  <c r="C5" i="19"/>
  <c r="C3" i="19"/>
  <c r="K9" i="11"/>
  <c r="L12" i="19"/>
  <c r="L13" i="19"/>
  <c r="N9" i="19"/>
  <c r="N8" i="19"/>
  <c r="L80" i="20"/>
  <c r="C17" i="14" l="1"/>
  <c r="M42" i="11"/>
  <c r="M43" i="11" s="1"/>
  <c r="J17" i="11"/>
  <c r="E20" i="11" s="1"/>
  <c r="E23" i="11" s="1"/>
  <c r="M45" i="11"/>
  <c r="E53" i="11"/>
  <c r="D54" i="11"/>
  <c r="D55" i="11"/>
  <c r="E54" i="11"/>
  <c r="D53" i="11"/>
  <c r="C54" i="11"/>
  <c r="C53" i="11"/>
  <c r="K8" i="1" s="1"/>
  <c r="C55" i="11"/>
  <c r="E55" i="11"/>
  <c r="L8" i="1" s="1"/>
  <c r="L7" i="18"/>
  <c r="I7" i="18"/>
  <c r="M5" i="29"/>
  <c r="L10" i="18" s="1"/>
  <c r="I10" i="18"/>
  <c r="G142" i="20"/>
  <c r="K142" i="20"/>
  <c r="J142" i="20"/>
  <c r="I142" i="20"/>
  <c r="F142" i="20"/>
  <c r="H142" i="20"/>
  <c r="E142" i="20"/>
  <c r="B25" i="11"/>
  <c r="B17" i="11"/>
  <c r="N7" i="1" s="1"/>
  <c r="B19" i="11"/>
  <c r="C15" i="14"/>
  <c r="C23" i="14" s="1"/>
  <c r="J19" i="16"/>
  <c r="M47" i="11" l="1"/>
  <c r="M46" i="11"/>
  <c r="K6" i="1"/>
  <c r="B16" i="17"/>
  <c r="B15" i="17"/>
  <c r="B17" i="17" l="1"/>
  <c r="B18" i="17" s="1"/>
  <c r="B4" i="17" l="1"/>
  <c r="U7" i="17" l="1"/>
  <c r="E2" i="17"/>
  <c r="F2" i="17" s="1"/>
  <c r="G2" i="17" s="1"/>
  <c r="H2" i="17" s="1"/>
  <c r="I2" i="17" s="1"/>
  <c r="J2" i="17" s="1"/>
  <c r="D4" i="17"/>
  <c r="E4" i="17" s="1"/>
  <c r="F4" i="17" s="1"/>
  <c r="G4" i="17" s="1"/>
  <c r="H4" i="17" s="1"/>
  <c r="I4" i="17" s="1"/>
  <c r="J4" i="17" s="1"/>
  <c r="K4" i="17" s="1"/>
  <c r="L4" i="17" s="1"/>
  <c r="M4" i="17" s="1"/>
  <c r="N4" i="17" s="1"/>
  <c r="O4" i="17" s="1"/>
  <c r="P4" i="17" s="1"/>
  <c r="Q4" i="17" s="1"/>
  <c r="R4" i="17" s="1"/>
  <c r="S4" i="17" s="1"/>
  <c r="T4" i="17" s="1"/>
  <c r="U4" i="17" s="1"/>
  <c r="V4" i="17" s="1"/>
  <c r="W4" i="17" s="1"/>
  <c r="X4" i="17" s="1"/>
  <c r="G7" i="17" l="1"/>
  <c r="K7" i="17"/>
  <c r="O7" i="17"/>
  <c r="S7" i="17"/>
  <c r="W7" i="17"/>
  <c r="F7" i="17"/>
  <c r="J7" i="17"/>
  <c r="N7" i="17"/>
  <c r="R7" i="17"/>
  <c r="V7" i="17"/>
  <c r="D7" i="17"/>
  <c r="H7" i="17"/>
  <c r="L7" i="17"/>
  <c r="P7" i="17"/>
  <c r="T7" i="17"/>
  <c r="X7" i="17"/>
  <c r="D3" i="17"/>
  <c r="D5" i="17" s="1"/>
  <c r="D6" i="17" s="1"/>
  <c r="E7" i="17"/>
  <c r="I7" i="17"/>
  <c r="M7" i="17"/>
  <c r="Q7" i="17"/>
  <c r="K2" i="17"/>
  <c r="L2" i="17" s="1"/>
  <c r="M2" i="17" s="1"/>
  <c r="N2" i="17" s="1"/>
  <c r="D8" i="17" l="1"/>
  <c r="D9" i="17" s="1"/>
  <c r="E3" i="17"/>
  <c r="E5" i="17" s="1"/>
  <c r="O2" i="17"/>
  <c r="P2" i="17" s="1"/>
  <c r="Q2" i="17" s="1"/>
  <c r="R2" i="17" s="1"/>
  <c r="S2" i="17" s="1"/>
  <c r="T2" i="17" s="1"/>
  <c r="U2" i="17" s="1"/>
  <c r="V2" i="17" s="1"/>
  <c r="W2" i="17" s="1"/>
  <c r="X2" i="17" s="1"/>
  <c r="E10" i="16"/>
  <c r="C10" i="16"/>
  <c r="D10" i="16"/>
  <c r="G10" i="16"/>
  <c r="D4" i="16" s="1"/>
  <c r="F10" i="16"/>
  <c r="I8" i="18" l="1"/>
  <c r="K4" i="16"/>
  <c r="L8" i="18" s="1"/>
  <c r="L3" i="18" s="1"/>
  <c r="C5" i="18" s="1"/>
  <c r="C4" i="18" s="1"/>
  <c r="F3" i="17"/>
  <c r="G3" i="17" s="1"/>
  <c r="E6" i="17"/>
  <c r="E8" i="17" s="1"/>
  <c r="E9" i="17" s="1"/>
  <c r="F5" i="17" l="1"/>
  <c r="F6" i="17" s="1"/>
  <c r="F8" i="17" s="1"/>
  <c r="F9" i="17" s="1"/>
  <c r="G5" i="17"/>
  <c r="H3" i="17"/>
  <c r="H5" i="17" l="1"/>
  <c r="H6" i="17" s="1"/>
  <c r="H8" i="17" s="1"/>
  <c r="H9" i="17" s="1"/>
  <c r="I3" i="17"/>
  <c r="G6" i="17"/>
  <c r="G8" i="17" s="1"/>
  <c r="G9" i="17" s="1"/>
  <c r="J3" i="17" l="1"/>
  <c r="I5" i="17"/>
  <c r="I6" i="17" s="1"/>
  <c r="I8" i="17" s="1"/>
  <c r="I9" i="17" s="1"/>
  <c r="J5" i="17" l="1"/>
  <c r="K3" i="17"/>
  <c r="L3" i="17" l="1"/>
  <c r="K5" i="17"/>
  <c r="K6" i="17" s="1"/>
  <c r="K8" i="17" s="1"/>
  <c r="K9" i="17" s="1"/>
  <c r="J6" i="17"/>
  <c r="J8" i="17" s="1"/>
  <c r="J9" i="17" s="1"/>
  <c r="G10" i="15"/>
  <c r="L5" i="17" l="1"/>
  <c r="L6" i="17" s="1"/>
  <c r="L8" i="17" s="1"/>
  <c r="L9" i="17" s="1"/>
  <c r="M3" i="17"/>
  <c r="B12" i="17"/>
  <c r="M5" i="17" l="1"/>
  <c r="M6" i="17" s="1"/>
  <c r="M8" i="17" s="1"/>
  <c r="M9" i="17" s="1"/>
  <c r="N3" i="17"/>
  <c r="O3" i="17" l="1"/>
  <c r="N5" i="17"/>
  <c r="N6" i="17" s="1"/>
  <c r="N8" i="17" s="1"/>
  <c r="N9" i="17" s="1"/>
  <c r="F8" i="15"/>
  <c r="F5" i="15"/>
  <c r="F6" i="15"/>
  <c r="F4" i="15"/>
  <c r="C14" i="15" l="1"/>
  <c r="P3" i="17"/>
  <c r="O5" i="17"/>
  <c r="O6" i="17" s="1"/>
  <c r="O8" i="17" s="1"/>
  <c r="O9" i="17" s="1"/>
  <c r="K12" i="14"/>
  <c r="K14" i="14" s="1"/>
  <c r="F14" i="11"/>
  <c r="E14" i="11"/>
  <c r="B14" i="11"/>
  <c r="H14" i="11"/>
  <c r="I14" i="11"/>
  <c r="P5" i="17" l="1"/>
  <c r="P6" i="17" s="1"/>
  <c r="P8" i="17" s="1"/>
  <c r="P9" i="17" s="1"/>
  <c r="Q3" i="17"/>
  <c r="E27" i="11"/>
  <c r="E28" i="11" s="1"/>
  <c r="G14" i="11"/>
  <c r="B20" i="11" s="1"/>
  <c r="E22" i="11" s="1"/>
  <c r="E24" i="11" s="1"/>
  <c r="K7" i="1" s="1"/>
  <c r="E29" i="11" l="1"/>
  <c r="Q5" i="17"/>
  <c r="Q6" i="17" s="1"/>
  <c r="Q8" i="17" s="1"/>
  <c r="Q9" i="17" s="1"/>
  <c r="R3" i="17"/>
  <c r="R5" i="17" l="1"/>
  <c r="R6" i="17" s="1"/>
  <c r="R8" i="17" s="1"/>
  <c r="R9" i="17" s="1"/>
  <c r="S3" i="17"/>
  <c r="F27" i="11"/>
  <c r="F28" i="11" s="1"/>
  <c r="F29" i="11" l="1"/>
  <c r="S5" i="17"/>
  <c r="S6" i="17" s="1"/>
  <c r="S8" i="17" s="1"/>
  <c r="S9" i="17" s="1"/>
  <c r="T3" i="17"/>
  <c r="G27" i="11" l="1"/>
  <c r="G28" i="11" s="1"/>
  <c r="T5" i="17"/>
  <c r="T6" i="17" s="1"/>
  <c r="T8" i="17" s="1"/>
  <c r="T9" i="17" s="1"/>
  <c r="U3" i="17"/>
  <c r="G29" i="11" l="1"/>
  <c r="U5" i="17"/>
  <c r="U6" i="17" s="1"/>
  <c r="U8" i="17" s="1"/>
  <c r="U9" i="17" s="1"/>
  <c r="V3" i="17"/>
  <c r="H27" i="11" l="1"/>
  <c r="V5" i="17"/>
  <c r="V6" i="17" s="1"/>
  <c r="V8" i="17" s="1"/>
  <c r="V9" i="17" s="1"/>
  <c r="W3" i="17"/>
  <c r="B26" i="11" l="1"/>
  <c r="H28" i="11"/>
  <c r="H29" i="11" s="1"/>
  <c r="X3" i="17"/>
  <c r="X5" i="17" s="1"/>
  <c r="W5" i="17"/>
  <c r="W6" i="17" s="1"/>
  <c r="W8" i="17" s="1"/>
  <c r="W9" i="17" s="1"/>
  <c r="I27" i="11" l="1"/>
  <c r="I28" i="11" s="1"/>
  <c r="I29" i="11" s="1"/>
  <c r="X6" i="17"/>
  <c r="X8" i="17" s="1"/>
  <c r="X9" i="17" s="1"/>
  <c r="B6" i="17" s="1"/>
  <c r="J27" i="11" l="1"/>
  <c r="J28" i="11" s="1"/>
  <c r="J29" i="11" l="1"/>
  <c r="E31" i="11" s="1"/>
  <c r="E30" i="11" l="1"/>
  <c r="E32" i="11" s="1"/>
  <c r="B27" i="11" s="1"/>
  <c r="E33" i="11" l="1"/>
  <c r="J5" i="15"/>
  <c r="J7" i="15" s="1"/>
</calcChain>
</file>

<file path=xl/comments1.xml><?xml version="1.0" encoding="utf-8"?>
<comments xmlns="http://schemas.openxmlformats.org/spreadsheetml/2006/main">
  <authors>
    <author>HP</author>
  </authors>
  <commentList>
    <comment ref="I6" authorId="0" shapeId="0">
      <text>
        <r>
          <rPr>
            <sz val="9"/>
            <color indexed="81"/>
            <rFont val="Tahoma"/>
            <family val="2"/>
          </rPr>
          <t xml:space="preserve">How much CMP higher than P E/B Valuation
</t>
        </r>
      </text>
    </comment>
    <comment ref="I7" authorId="0" shapeId="0">
      <text>
        <r>
          <rPr>
            <sz val="9"/>
            <color indexed="81"/>
            <rFont val="Tahoma"/>
            <family val="2"/>
          </rPr>
          <t xml:space="preserve">If next yr EPS to grow same as how it grew from last yr to current yr, what will be the share price on historical PE/PB
</t>
        </r>
      </text>
    </comment>
    <comment ref="I8" authorId="0" shapeId="0">
      <text>
        <r>
          <rPr>
            <sz val="9"/>
            <color indexed="81"/>
            <rFont val="Tahoma"/>
            <family val="2"/>
          </rPr>
          <t xml:space="preserve">CAGR b/n CMP and future price based on historical valuation
</t>
        </r>
      </text>
    </comment>
  </commentList>
</comments>
</file>

<file path=xl/comments2.xml><?xml version="1.0" encoding="utf-8"?>
<comments xmlns="http://schemas.openxmlformats.org/spreadsheetml/2006/main">
  <authors>
    <author>HP</author>
  </authors>
  <commentList>
    <comment ref="L41" authorId="0" shapeId="0">
      <text>
        <r>
          <rPr>
            <sz val="9"/>
            <color indexed="81"/>
            <rFont val="Tahoma"/>
            <family val="2"/>
          </rPr>
          <t xml:space="preserve">Sales growth capped at 25%
</t>
        </r>
      </text>
    </comment>
    <comment ref="M41" authorId="0" shapeId="0">
      <text>
        <r>
          <rPr>
            <sz val="9"/>
            <color indexed="81"/>
            <rFont val="Tahoma"/>
            <family val="2"/>
          </rPr>
          <t xml:space="preserve">Sales growth capped at 25%
</t>
        </r>
      </text>
    </comment>
    <comment ref="I42" authorId="0" shapeId="0">
      <text>
        <r>
          <rPr>
            <sz val="9"/>
            <color indexed="81"/>
            <rFont val="Tahoma"/>
            <family val="2"/>
          </rPr>
          <t xml:space="preserve">Lower Cap at 0%
</t>
        </r>
      </text>
    </comment>
    <comment ref="J42" authorId="0" shapeId="0">
      <text>
        <r>
          <rPr>
            <b/>
            <sz val="9"/>
            <color indexed="81"/>
            <rFont val="Tahoma"/>
            <family val="2"/>
          </rPr>
          <t>Lower Cap at 0%</t>
        </r>
      </text>
    </comment>
    <comment ref="L42" authorId="0" shapeId="0">
      <text>
        <r>
          <rPr>
            <sz val="9"/>
            <color indexed="81"/>
            <rFont val="Tahoma"/>
            <family val="2"/>
          </rPr>
          <t xml:space="preserve">Capped at 15%
</t>
        </r>
      </text>
    </comment>
    <comment ref="M42" authorId="0" shapeId="0">
      <text>
        <r>
          <rPr>
            <sz val="9"/>
            <color indexed="81"/>
            <rFont val="Tahoma"/>
            <family val="2"/>
          </rPr>
          <t xml:space="preserve">Capped at 15%
</t>
        </r>
      </text>
    </comment>
  </commentList>
</comments>
</file>

<file path=xl/comments3.xml><?xml version="1.0" encoding="utf-8"?>
<comments xmlns="http://schemas.openxmlformats.org/spreadsheetml/2006/main">
  <authors>
    <author>HP</author>
  </authors>
  <commentList>
    <comment ref="E2" authorId="0" shapeId="0">
      <text>
        <r>
          <rPr>
            <sz val="9"/>
            <color indexed="81"/>
            <rFont val="Tahoma"/>
            <family val="2"/>
          </rPr>
          <t xml:space="preserve">Gross margins suggest pricing power. Higher = Better, but also invites competition. So watch out for consistency.
</t>
        </r>
      </text>
    </comment>
    <comment ref="I7" authorId="0" shapeId="0">
      <text>
        <r>
          <rPr>
            <sz val="9"/>
            <color indexed="81"/>
            <rFont val="Tahoma"/>
            <family val="2"/>
          </rPr>
          <t xml:space="preserve">Accruals method of accounting -
Revenue is booked when sales transaction takes place, not when the actual cash is collected.
Low number would mean that company is able to report higher revenue without realizing the cash benefit from the transactions.
Fluctuating trend reflects operational weakness
</t>
        </r>
      </text>
    </comment>
    <comment ref="J7" authorId="0" shapeId="0">
      <text>
        <r>
          <rPr>
            <sz val="9"/>
            <color indexed="81"/>
            <rFont val="Tahoma"/>
            <family val="2"/>
          </rPr>
          <t xml:space="preserve">How efficiently company's assets are used
</t>
        </r>
      </text>
    </comment>
    <comment ref="K7" authorId="0" shapeId="0">
      <text>
        <r>
          <rPr>
            <sz val="9"/>
            <color indexed="81"/>
            <rFont val="Tahoma"/>
            <family val="2"/>
          </rPr>
          <t xml:space="preserve">Abilty to pay short term loan
</t>
        </r>
      </text>
    </comment>
    <comment ref="L7" authorId="0" shapeId="0">
      <text>
        <r>
          <rPr>
            <sz val="9"/>
            <color indexed="81"/>
            <rFont val="Tahoma"/>
            <family val="2"/>
          </rPr>
          <t xml:space="preserve">Abilty to pay borrowings
</t>
        </r>
      </text>
    </comment>
  </commentList>
</comments>
</file>

<file path=xl/comments4.xml><?xml version="1.0" encoding="utf-8"?>
<comments xmlns="http://schemas.openxmlformats.org/spreadsheetml/2006/main">
  <authors>
    <author>Kumar Saurabh</author>
    <author>HP</author>
  </authors>
  <commentList>
    <comment ref="A53" authorId="0" shapeId="0">
      <text>
        <r>
          <rPr>
            <b/>
            <sz val="9"/>
            <color indexed="81"/>
            <rFont val="Tahoma"/>
            <family val="2"/>
          </rPr>
          <t>Kumar Saurabh:</t>
        </r>
        <r>
          <rPr>
            <sz val="9"/>
            <color indexed="81"/>
            <rFont val="Tahoma"/>
            <family val="2"/>
          </rPr>
          <t xml:space="preserve">
Trades Receiavbles</t>
        </r>
      </text>
    </comment>
    <comment ref="A58"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 ref="A93" authorId="1" shapeId="0">
      <text>
        <r>
          <rPr>
            <sz val="9"/>
            <color indexed="81"/>
            <rFont val="Tahoma"/>
            <family val="2"/>
          </rPr>
          <t xml:space="preserve">EBIT/(total assets less current liabilities)
</t>
        </r>
      </text>
    </comment>
  </commentList>
</comments>
</file>

<file path=xl/comments5.xml><?xml version="1.0" encoding="utf-8"?>
<comments xmlns="http://schemas.openxmlformats.org/spreadsheetml/2006/main">
  <authors>
    <author>HP</author>
  </authors>
  <commentList>
    <comment ref="B21" authorId="0" shapeId="0">
      <text>
        <r>
          <rPr>
            <sz val="9"/>
            <color indexed="81"/>
            <rFont val="Tahoma"/>
            <family val="2"/>
          </rPr>
          <t xml:space="preserve">Shareholding pattern reorganized in Mar18
</t>
        </r>
      </text>
    </comment>
  </commentList>
</comments>
</file>

<file path=xl/sharedStrings.xml><?xml version="1.0" encoding="utf-8"?>
<sst xmlns="http://schemas.openxmlformats.org/spreadsheetml/2006/main" count="779" uniqueCount="562">
  <si>
    <t>Company</t>
  </si>
  <si>
    <t>Sector</t>
  </si>
  <si>
    <t>No of shares outstanding</t>
  </si>
  <si>
    <t>Market Cap</t>
  </si>
  <si>
    <t>Promoter Shareholding</t>
  </si>
  <si>
    <t>Business Summary</t>
  </si>
  <si>
    <t>Networth</t>
  </si>
  <si>
    <t>Secured Loans</t>
  </si>
  <si>
    <t>Unsecured Loans</t>
  </si>
  <si>
    <t>Total Liabilities</t>
  </si>
  <si>
    <t>Capital Work in Progress</t>
  </si>
  <si>
    <t>Current Liabilities</t>
  </si>
  <si>
    <t>Total Assets</t>
  </si>
  <si>
    <t>Net Sales</t>
  </si>
  <si>
    <t>Total Income</t>
  </si>
  <si>
    <t>Raw Materials</t>
  </si>
  <si>
    <t>Employee Cost</t>
  </si>
  <si>
    <t>Interest</t>
  </si>
  <si>
    <t>Depreciation</t>
  </si>
  <si>
    <t>Tax</t>
  </si>
  <si>
    <t>Current Assets</t>
  </si>
  <si>
    <t>Year</t>
  </si>
  <si>
    <t>Free Cash Flow</t>
  </si>
  <si>
    <t>Shares Outstanding</t>
  </si>
  <si>
    <t>CAGR</t>
  </si>
  <si>
    <t>FCF</t>
  </si>
  <si>
    <t>DPS</t>
  </si>
  <si>
    <t>Input</t>
  </si>
  <si>
    <t>EPS</t>
  </si>
  <si>
    <t>CMP</t>
  </si>
  <si>
    <t>BVPS</t>
  </si>
  <si>
    <t>P/E</t>
  </si>
  <si>
    <t>Earnings Yeild</t>
  </si>
  <si>
    <t>Dividend Yeild</t>
  </si>
  <si>
    <t>Discount rate</t>
  </si>
  <si>
    <t>ROE</t>
  </si>
  <si>
    <t>Payout Ratio</t>
  </si>
  <si>
    <t>Current Data</t>
  </si>
  <si>
    <t>Average Data</t>
  </si>
  <si>
    <t>Payout</t>
  </si>
  <si>
    <t>Projections Historical</t>
  </si>
  <si>
    <t>Earnings after 5 years</t>
  </si>
  <si>
    <t>Sum Of dividend paid</t>
  </si>
  <si>
    <t>Projected Price</t>
  </si>
  <si>
    <t>Total Gain</t>
  </si>
  <si>
    <t>Projections Growth</t>
  </si>
  <si>
    <t>Historical Earnings Growth</t>
  </si>
  <si>
    <t>Sustainable Earnings Growth</t>
  </si>
  <si>
    <t>Year Ending</t>
  </si>
  <si>
    <t>Piotroski F Score</t>
  </si>
  <si>
    <t>ROA</t>
  </si>
  <si>
    <t>Current Ratio</t>
  </si>
  <si>
    <t>Gross Margin</t>
  </si>
  <si>
    <t>Net Income</t>
  </si>
  <si>
    <t>Operating Cash Flow</t>
  </si>
  <si>
    <t>Asset Turnover</t>
  </si>
  <si>
    <t>Working Capital</t>
  </si>
  <si>
    <t>EBITDA</t>
  </si>
  <si>
    <t>Market Value of Equity</t>
  </si>
  <si>
    <t>Score</t>
  </si>
  <si>
    <t>T1 = Working Capital/Total Assets</t>
  </si>
  <si>
    <t>T3 = EBITDA/Total Assets</t>
  </si>
  <si>
    <t>T5 = Net Sales/Total Assets</t>
  </si>
  <si>
    <r>
      <t>Stock Price</t>
    </r>
    <r>
      <rPr>
        <sz val="10"/>
        <color theme="0"/>
        <rFont val="Arial"/>
        <family val="2"/>
      </rPr>
      <t>#</t>
    </r>
  </si>
  <si>
    <t>Snapshot</t>
  </si>
  <si>
    <t>Value</t>
  </si>
  <si>
    <t>Altman Zscore = 1.2T1 + 1.4T2 + 3.3T3 + 0.6T4 + 0.999T5.</t>
  </si>
  <si>
    <t>Value of stock based on</t>
  </si>
  <si>
    <t>Value of Stock</t>
  </si>
  <si>
    <t>Year 0</t>
  </si>
  <si>
    <t>Start</t>
  </si>
  <si>
    <t>Intial</t>
  </si>
  <si>
    <t>Middle</t>
  </si>
  <si>
    <t>End</t>
  </si>
  <si>
    <t>Max</t>
  </si>
  <si>
    <t>Pointer</t>
  </si>
  <si>
    <t>Altman Score</t>
  </si>
  <si>
    <t>0 to 1.8</t>
  </si>
  <si>
    <t>1.8 to 3</t>
  </si>
  <si>
    <t>Less Chances of Bankruptcy</t>
  </si>
  <si>
    <t>3+</t>
  </si>
  <si>
    <t>How to read score</t>
  </si>
  <si>
    <t>Not likely to be Bankrupt</t>
  </si>
  <si>
    <t>Likely to be Bankrupt</t>
  </si>
  <si>
    <t>Piotroski F Score data</t>
  </si>
  <si>
    <t>Weak</t>
  </si>
  <si>
    <t>Stable</t>
  </si>
  <si>
    <t>Strong</t>
  </si>
  <si>
    <t>Piotrosoki Score</t>
  </si>
  <si>
    <t>Altman Zscore</t>
  </si>
  <si>
    <t>CY</t>
  </si>
  <si>
    <t>CY-1</t>
  </si>
  <si>
    <t>CY-2</t>
  </si>
  <si>
    <t>CY-3</t>
  </si>
  <si>
    <t>CY-4</t>
  </si>
  <si>
    <t>CFO</t>
  </si>
  <si>
    <t>NPM</t>
  </si>
  <si>
    <t>Equity Multiplier</t>
  </si>
  <si>
    <t>DU Pont Analysis</t>
  </si>
  <si>
    <t>DuPont analysis is an extended analysis of a company's return on equity. It concludes that a company can earn a high return on equity if:</t>
  </si>
  <si>
    <t>3. It has a high financial leverage</t>
  </si>
  <si>
    <r>
      <t>2. It uses its assets effectively to generate more sales; and/or -</t>
    </r>
    <r>
      <rPr>
        <b/>
        <sz val="11"/>
        <color rgb="FF00B050"/>
        <rFont val="Calibri"/>
        <family val="2"/>
        <scheme val="minor"/>
      </rPr>
      <t xml:space="preserve"> Preferred</t>
    </r>
  </si>
  <si>
    <r>
      <t xml:space="preserve">1. It earns a high net profit margin - </t>
    </r>
    <r>
      <rPr>
        <b/>
        <sz val="11"/>
        <color rgb="FF00B050"/>
        <rFont val="Calibri"/>
        <family val="2"/>
        <scheme val="minor"/>
      </rPr>
      <t>Preferred</t>
    </r>
  </si>
  <si>
    <t>Multiple</t>
  </si>
  <si>
    <t>PV</t>
  </si>
  <si>
    <t>MICAP</t>
  </si>
  <si>
    <t>Cumulative FCF Sum of PV</t>
  </si>
  <si>
    <t>PV of Terminal Value</t>
  </si>
  <si>
    <t>Discounted Value Today</t>
  </si>
  <si>
    <t xml:space="preserve">FCF growth </t>
  </si>
  <si>
    <t>FCF (per Share)</t>
  </si>
  <si>
    <t>* The module will pick FCF / Share, You can change Input cells</t>
  </si>
  <si>
    <t>Model FCF / Share</t>
  </si>
  <si>
    <t>Capex</t>
  </si>
  <si>
    <t>Owner's Earnings</t>
  </si>
  <si>
    <r>
      <rPr>
        <sz val="11"/>
        <color rgb="FF00B050"/>
        <rFont val="Calibri"/>
        <family val="2"/>
        <scheme val="minor"/>
      </rPr>
      <t>Add</t>
    </r>
    <r>
      <rPr>
        <sz val="11"/>
        <color theme="1"/>
        <rFont val="Calibri"/>
        <family val="2"/>
        <scheme val="minor"/>
      </rPr>
      <t xml:space="preserve"> Depreciation</t>
    </r>
  </si>
  <si>
    <r>
      <rPr>
        <sz val="11"/>
        <color rgb="FFFF0000"/>
        <rFont val="Calibri"/>
        <family val="2"/>
        <scheme val="minor"/>
      </rPr>
      <t>Minus</t>
    </r>
    <r>
      <rPr>
        <sz val="11"/>
        <color theme="1"/>
        <rFont val="Calibri"/>
        <family val="2"/>
        <scheme val="minor"/>
      </rPr>
      <t xml:space="preserve"> Average Capex</t>
    </r>
  </si>
  <si>
    <t>Note - If MICAP is more than twenty it will shown as Zero</t>
  </si>
  <si>
    <t>Owner's Earnings (in INR Cr)</t>
  </si>
  <si>
    <t>This is based on whatever you have input on FCF sheet</t>
  </si>
  <si>
    <t>꓿</t>
  </si>
  <si>
    <r>
      <t>NP</t>
    </r>
    <r>
      <rPr>
        <vertAlign val="subscript"/>
        <sz val="11"/>
        <color theme="1"/>
        <rFont val="Calibri"/>
        <family val="2"/>
        <scheme val="minor"/>
      </rPr>
      <t>CY</t>
    </r>
    <r>
      <rPr>
        <sz val="11"/>
        <color theme="1"/>
        <rFont val="Calibri"/>
        <family val="2"/>
        <scheme val="minor"/>
      </rPr>
      <t xml:space="preserve"> - NP</t>
    </r>
    <r>
      <rPr>
        <vertAlign val="subscript"/>
        <sz val="11"/>
        <color theme="1"/>
        <rFont val="Calibri"/>
        <family val="2"/>
        <scheme val="minor"/>
      </rPr>
      <t>CY-4</t>
    </r>
  </si>
  <si>
    <r>
      <t>NW</t>
    </r>
    <r>
      <rPr>
        <vertAlign val="subscript"/>
        <sz val="11"/>
        <color theme="1"/>
        <rFont val="Calibri"/>
        <family val="2"/>
        <scheme val="minor"/>
      </rPr>
      <t>CY</t>
    </r>
    <r>
      <rPr>
        <sz val="11"/>
        <color theme="1"/>
        <rFont val="Calibri"/>
        <family val="2"/>
        <scheme val="minor"/>
      </rPr>
      <t xml:space="preserve"> - NW</t>
    </r>
    <r>
      <rPr>
        <vertAlign val="subscript"/>
        <sz val="11"/>
        <color theme="1"/>
        <rFont val="Calibri"/>
        <family val="2"/>
        <scheme val="minor"/>
      </rPr>
      <t>CY-4</t>
    </r>
  </si>
  <si>
    <t>Piotroski 2: Operating Cash Flow &gt;0</t>
  </si>
  <si>
    <t>Piotroski 3: Return on Assets higher than last Yr.</t>
  </si>
  <si>
    <t>Piotroski 7: Shares Outstanding not higher than last Yr.</t>
  </si>
  <si>
    <t>Piotroski 8: Gross Margin higher than last Yr.</t>
  </si>
  <si>
    <t>Piotroski 9: Total Income/Total Assets higher than last Yr.</t>
  </si>
  <si>
    <t>Discount Rate</t>
  </si>
  <si>
    <t>RESEARCH FRAMEWORK</t>
  </si>
  <si>
    <t>S.No</t>
  </si>
  <si>
    <t>Criteria</t>
  </si>
  <si>
    <t>Goal</t>
  </si>
  <si>
    <t>Actual</t>
  </si>
  <si>
    <t>Description</t>
  </si>
  <si>
    <t>Weight</t>
  </si>
  <si>
    <t>PARAMETER</t>
  </si>
  <si>
    <t>Max WEIGHT</t>
  </si>
  <si>
    <t>Actual Weight</t>
  </si>
  <si>
    <t>FINANCIAL ANALYSIS</t>
  </si>
  <si>
    <t>TOTAL</t>
  </si>
  <si>
    <t>Financial Anlaysis</t>
  </si>
  <si>
    <t>ROE/ROA 5 Yr.</t>
  </si>
  <si>
    <t>Industry Analysis</t>
  </si>
  <si>
    <t>EPS growth 5 Yr.</t>
  </si>
  <si>
    <t>&gt;20%</t>
  </si>
  <si>
    <t>Management Analysis</t>
  </si>
  <si>
    <t>Promoter Pledged Holding</t>
  </si>
  <si>
    <t>Other Parameters</t>
  </si>
  <si>
    <t>EPS growth 10 Yr.</t>
  </si>
  <si>
    <t>Margin of Safety</t>
  </si>
  <si>
    <t>Growth should be consistent year on year. Ignore companies where a sudden spurt of sales in one year is confounding the 10 years performance.
Very high growth rates of &gt;50% are unsustainable.</t>
  </si>
  <si>
    <t>Avg. NP margin 5 Yr.</t>
  </si>
  <si>
    <t>Look for companies with sustained operating &amp; net profit margins over the years - See more at: http://www.drvijaymalik.com/2015/01/selecting-top-stocks-to-buy-part-10.html#sthash.swZnrKBv.dpuf</t>
  </si>
  <si>
    <t>CFO/PAT 5 Yr.</t>
  </si>
  <si>
    <t>&gt;1</t>
  </si>
  <si>
    <t>Cumulative PAT and CFO are similar for last 10 years</t>
  </si>
  <si>
    <t>Promoter Holding 5 Yr.</t>
  </si>
  <si>
    <t>Debt/Net Profit</t>
  </si>
  <si>
    <t>&lt;=5</t>
  </si>
  <si>
    <t>&gt;1.25</t>
  </si>
  <si>
    <t>Current Cash flow</t>
  </si>
  <si>
    <t>CFO &gt; 0</t>
  </si>
  <si>
    <t>Positive CFO is necessary. It’s great if CFO meets the outflow for CFI and CFF</t>
  </si>
  <si>
    <t>BUSINESS &amp; INDUSTRY ANALYSIS</t>
  </si>
  <si>
    <t>Comparison with industry peers</t>
  </si>
  <si>
    <t>Sales growth &gt; peers</t>
  </si>
  <si>
    <t>The Company must show sales growth higher than peers. If its sales growth is similar to peers, then there is no Moat</t>
  </si>
  <si>
    <t>Increase in production capacity and sales volume</t>
  </si>
  <si>
    <t>Production capacity &amp; sales volume CAGR ~ Sales CAGR</t>
  </si>
  <si>
    <t>Company must have shown increased market penetration by selling higher volumes of its product/service</t>
  </si>
  <si>
    <t>Conversion of sales growth into profits</t>
  </si>
  <si>
    <t>Profit CAGR 5 Yr.~ Sales CAGR 5 Yr.</t>
  </si>
  <si>
    <t>A Moat would result in increasing profits with increasing sales. Otherwise, sales growth is only a result of unnecessary expansion or aggressive marketing push, which would erode value in long term.</t>
  </si>
  <si>
    <t>Creation of value for shareholders from the profits retained</t>
  </si>
  <si>
    <t>The increase in MCap in last 10 yrs. &gt; Retained profits in last 10 yrs.</t>
  </si>
  <si>
    <t>Otherwise, company is destroying wealth of shareholders</t>
  </si>
  <si>
    <t>MANAGEMENT ANALYSIS</t>
  </si>
  <si>
    <t>Background check of promoters &amp; directors</t>
  </si>
  <si>
    <t>Web Search</t>
  </si>
  <si>
    <t>There should not be any information questioning the integrity of promoters &amp; directors</t>
  </si>
  <si>
    <t>Management succession plans</t>
  </si>
  <si>
    <t>Good succession plan should be in place</t>
  </si>
  <si>
    <t>Salary being paid to potential successors should be in line with their experience</t>
  </si>
  <si>
    <t>Salary of promoters vs. net profits</t>
  </si>
  <si>
    <t>No salary increase with declining profits/losses</t>
  </si>
  <si>
    <t>promoter should not have a history of seeking increase in remuneration when the profits of the company declined in past</t>
  </si>
  <si>
    <t>Project execution skills</t>
  </si>
  <si>
    <t>Green/brownfield project execution</t>
  </si>
  <si>
    <t>The company should have shown good project execution skills with cost and time overruns.Exclude capacity increase by mergers &amp; acquisitions.</t>
  </si>
  <si>
    <t>Promoter shareholding</t>
  </si>
  <si>
    <t>&gt; 51%</t>
  </si>
  <si>
    <t>Higher the better</t>
  </si>
  <si>
    <t>FII shareholding</t>
  </si>
  <si>
    <t>the lower the better</t>
  </si>
  <si>
    <t>OTHER BUSINESS PARAMETERS</t>
  </si>
  <si>
    <t>Product diversification</t>
  </si>
  <si>
    <t>Pure play</t>
  </si>
  <si>
    <t>The company should be either a pure play (only one business segment) or related products. Pure play model ensures that the management is specialized in what they are doing. Entirely different unrelated products/services are a strict NO. An investor should rather buy stocks of different companies if she wants such diversification.</t>
  </si>
  <si>
    <t>Govt. influence</t>
  </si>
  <si>
    <t>No govt. interference in profit making</t>
  </si>
  <si>
    <t>No cap on profit returns or pricing of the product.No compulsion to supply to certain clients.</t>
  </si>
  <si>
    <t>Labor Problems</t>
  </si>
  <si>
    <t>Free Cash Flow (FCF)</t>
  </si>
  <si>
    <t>FCF/CFO &gt;&gt; 0</t>
  </si>
  <si>
    <t>CASH FLOW</t>
  </si>
  <si>
    <t xml:space="preserve"> CFF/CFO</t>
  </si>
  <si>
    <t>Capex/CFO</t>
  </si>
  <si>
    <t>CFO/PAT</t>
  </si>
  <si>
    <t>CFO/Sales</t>
  </si>
  <si>
    <t>CFO/Assets</t>
  </si>
  <si>
    <t>CFO/Current Liabilty</t>
  </si>
  <si>
    <t>CFO/Total Debt</t>
  </si>
  <si>
    <t>CAPEX/FCF</t>
  </si>
  <si>
    <t>5 Yr. Average</t>
  </si>
  <si>
    <t>Current</t>
  </si>
  <si>
    <t>OTHERS</t>
  </si>
  <si>
    <t>Gross Profit Margin</t>
  </si>
  <si>
    <t>Net Profit Margin</t>
  </si>
  <si>
    <t>Inventory/Sales</t>
  </si>
  <si>
    <t>Current Cash/Assets</t>
  </si>
  <si>
    <t>Current Assets/Current Liabilities</t>
  </si>
  <si>
    <t>Leverage</t>
  </si>
  <si>
    <t>ROCE</t>
  </si>
  <si>
    <t>GROWTH</t>
  </si>
  <si>
    <t>Sales</t>
  </si>
  <si>
    <t xml:space="preserve">Inventory </t>
  </si>
  <si>
    <t xml:space="preserve">Receivables </t>
  </si>
  <si>
    <t>PAT</t>
  </si>
  <si>
    <t>10 YR CAGR</t>
  </si>
  <si>
    <t>5 YR CAGR</t>
  </si>
  <si>
    <t>COPY PASTE DATA FROM ANY FINANCIAL WEBSITE: ONLY FOR THE FIELDS MARKED GREEN BELOW</t>
  </si>
  <si>
    <t>CONSOLIDATED</t>
  </si>
  <si>
    <t>Inventory</t>
  </si>
  <si>
    <t>Debtors</t>
  </si>
  <si>
    <t>Working Capital (check)</t>
  </si>
  <si>
    <t>COPY PASTE DATA FROM ANNUAL REPORTS: ONLY FOR THE FIELDS MARKED ORANGE BELOW</t>
  </si>
  <si>
    <t>Operating Expenses/Capex</t>
  </si>
  <si>
    <t>Employee cost</t>
  </si>
  <si>
    <t>Advertising and sales promotion</t>
  </si>
  <si>
    <t>Freight, transport and distribution</t>
  </si>
  <si>
    <t>Royalty</t>
  </si>
  <si>
    <t>Power and fuel</t>
  </si>
  <si>
    <t>Miscellaneous expenses</t>
  </si>
  <si>
    <t>R&amp;D Cost</t>
  </si>
  <si>
    <t>Gross Profit</t>
  </si>
  <si>
    <t>Depreciation &amp; Amortisation</t>
  </si>
  <si>
    <t>EBIT</t>
  </si>
  <si>
    <t>PBT</t>
  </si>
  <si>
    <t>Dividends</t>
  </si>
  <si>
    <t>Current Market Cap</t>
  </si>
  <si>
    <t>Equity</t>
  </si>
  <si>
    <t>Reserves &amp; Surplus</t>
  </si>
  <si>
    <t>Borrowings</t>
  </si>
  <si>
    <t>Other Liabilities</t>
  </si>
  <si>
    <t>Current Asset</t>
  </si>
  <si>
    <t>Net Fixed Assets</t>
  </si>
  <si>
    <t>Cash</t>
  </si>
  <si>
    <t>Net Other Assets</t>
  </si>
  <si>
    <t>Invested Capital</t>
  </si>
  <si>
    <t>Capital Employed</t>
  </si>
  <si>
    <t>Total Liability</t>
  </si>
  <si>
    <t>Cash from Investing Activity</t>
  </si>
  <si>
    <t>Cash from Financing Activity</t>
  </si>
  <si>
    <t>Tax Rate</t>
  </si>
  <si>
    <t>NOPAT</t>
  </si>
  <si>
    <t>MktCap+Dividend</t>
  </si>
  <si>
    <t>Retained Profit</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</si>
  <si>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</si>
  <si>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</si>
  <si>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</si>
  <si>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</si>
  <si>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</si>
  <si>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</si>
  <si>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</si>
  <si>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</si>
  <si>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</si>
  <si>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</si>
  <si>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</si>
  <si>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</si>
  <si>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</si>
  <si>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</si>
  <si>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Current Price</t>
  </si>
  <si>
    <t>Power and Fuel</t>
  </si>
  <si>
    <t>Other Mfr. Exp</t>
  </si>
  <si>
    <t>Selling and admin</t>
  </si>
  <si>
    <t>Other Expenses</t>
  </si>
  <si>
    <t>Net profit</t>
  </si>
  <si>
    <t>Expenses</t>
  </si>
  <si>
    <t>Piotroski 1: PAT &gt;0</t>
  </si>
  <si>
    <t>Piotroski 4: Operating Cash Flow higher than PAT</t>
  </si>
  <si>
    <t>T2 = Reserves &amp; Surplus/Total Assets</t>
  </si>
  <si>
    <t>Borrowings / Total Assets</t>
  </si>
  <si>
    <t>Piotroski 5: Borrowings/Assets lower than last Yr.</t>
  </si>
  <si>
    <t>Piotroski 6: Current Ratio than last Yr.</t>
  </si>
  <si>
    <t>T4 = Market Value of Equity/Total Assets</t>
  </si>
  <si>
    <t>Price</t>
  </si>
  <si>
    <t>CY-5</t>
  </si>
  <si>
    <t>P E/B Valuation</t>
  </si>
  <si>
    <t>Avg P/E Ratio</t>
  </si>
  <si>
    <t>Avg P/B Ratio</t>
  </si>
  <si>
    <t xml:space="preserve">EPS/BV </t>
  </si>
  <si>
    <t>5 Yr. Max</t>
  </si>
  <si>
    <t xml:space="preserve"> </t>
  </si>
  <si>
    <t>Receivables/
Sales</t>
  </si>
  <si>
    <t>PE</t>
  </si>
  <si>
    <t>PB</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</si>
  <si>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</si>
  <si>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FCF/CFO</t>
  </si>
  <si>
    <t>Pricing Power</t>
  </si>
  <si>
    <t>That's what is called "pricing power". Companies with moat (as seen from other screening metrics as suggested above (like high ROE, high grow margins, low debt etc.) are able to adjust prices to inflation without the risk of losing significant volume sales.</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</si>
  <si>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</si>
  <si>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</si>
  <si>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</si>
  <si>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Current Ratio measures the liquidity of a company, or its ability to pay short-term obligations. 
Current Ratio = Current Assets / Current Liabilities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</si>
  <si>
    <t>Seek companies where earnings have risen as retained earnings (earnings after paying dividends) have been employed profitably. A great way to screen for such companies is by looking at those that have had consistent earnings and strong return on equity in the past.
  What counts in the long run is the increase in "per share value", not overall growth or size of a business.</t>
  </si>
  <si>
    <t>ROE = Efficiency in allocating capital, which is a CEO's #1 job. Higher = Better. Look for consistency. 
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</si>
  <si>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Final Price</t>
  </si>
  <si>
    <t>Conservative furture growth in EPS/BVPS</t>
  </si>
  <si>
    <t>ROE 5 Yr.</t>
  </si>
  <si>
    <t>Assumptions</t>
  </si>
  <si>
    <t>PE Ratio</t>
  </si>
  <si>
    <t>PB Ratio</t>
  </si>
  <si>
    <t>Bank Interest 1 Yr</t>
  </si>
  <si>
    <t>Current EPS</t>
  </si>
  <si>
    <t>&gt;=-3%</t>
  </si>
  <si>
    <t>Debt/PAT</t>
  </si>
  <si>
    <t>Distance Covered</t>
  </si>
  <si>
    <t>Assets</t>
  </si>
  <si>
    <t xml:space="preserve">Shareholder funds </t>
  </si>
  <si>
    <t>List of mistakes made in the market made over and over again -</t>
  </si>
  <si>
    <t>Do not be taken in by the new highs. Once the past peak of the index has been crossed, every new level is a new high &amp; there is nothing extraordinary about it.</t>
  </si>
  <si>
    <t>These are journeys of an index which will go up as the market prices of stocks go up. They are not urgent reminders that tell you about loss opportunities.</t>
  </si>
  <si>
    <t>Do not treat them like immediate calls for actions. Do not check the index everyday, and do not make generalizations based on the index.</t>
  </si>
  <si>
    <t xml:space="preserve">Explanations about why the market is up or down is equally useless. Discount them. How you will do is a function of what you are buying, holding and selling. </t>
  </si>
  <si>
    <t>Stay focussed on that micro reality, not on the macro nartatives floating around.</t>
  </si>
  <si>
    <t>Do not sacrifice quality for anything. The rising tide allows lightweights to also soar. Do not use price as an indicator of how good the stock is.</t>
  </si>
  <si>
    <t>What you see as the rise in the price of the stock in the past is history. What will matter to you is how the stock stock will behave in the future.</t>
  </si>
  <si>
    <t>Make sure your holdings are worth your hard earned money. Do not take chances with unknown stocks and overhyped IPO when there are enough of others with well established track record &amp; performance numbers</t>
  </si>
  <si>
    <t>Your money deserves better</t>
  </si>
  <si>
    <t>Do not benchmark your returns with what you may have gained in the short-term by participating in the equity markets. It is a good feeling to see the value of investments go up.</t>
  </si>
  <si>
    <t xml:space="preserve">A bull market attracts investors as their confidence moves up when what they have invested in begins to do well, or exceed their expectations </t>
  </si>
  <si>
    <t>Investors who see a 10% return as fantastic will begin to believe that a 40% return is to be normally expected.</t>
  </si>
  <si>
    <t>It does not matter when that would happen, not is it necessary to predict the next fall. Returns will eventually average out overtime and these abnormal gains will bufer you again.</t>
  </si>
  <si>
    <t>Do not quit in great haste. The desire to be right about timing the market is very high with investors. Coming off from a flat into a boom creates anxities.</t>
  </si>
  <si>
    <t xml:space="preserve">Stories about how someone did not make all the money because of not getting out at the right time remain in memory. </t>
  </si>
  <si>
    <t>Tentativeness about how far the markets will run up will increase as naysayers point to the end of the bull market with every rise.</t>
  </si>
  <si>
    <t>Remember that a bull market is not defined by its highs, but by its lows. No one knows how far your stock will run and you may regret quitting too soon.</t>
  </si>
  <si>
    <t>Allow your gains to run. What you have to be hawk-eyed is the loss.</t>
  </si>
  <si>
    <t>Do not hesitate to throw out the bad apples. There is no way you will get each one of the stock picks right - even if you did the best research and analysis.</t>
  </si>
  <si>
    <t>There are too many unknowns and a stock you picked might end up doing worse that you expected. Your portfolio will do well if you focus on selling off what is losing money for you, rather than selling what is making money.</t>
  </si>
  <si>
    <t>If you are unable to see at a loss and move on, you may still not be ready for equity investing.If you do not cut your loss, your profits may get wiped off.</t>
  </si>
  <si>
    <t>Do not indulge in day trading if you not mastered the art of managing your capital. Trading is very different from investing &amp; calls for a different set of skills.</t>
  </si>
  <si>
    <t>Riding the momentum in a stock and booking some quick gains can make you mistakenly believe that it is all easy. Its just that you got lukcy in a gamble ans you may not be able to replicate your gains.</t>
  </si>
  <si>
    <t>Traders are tested when the bets move against them and a good one will bow out and take the loss on the chin. The amateur will hold the position &amp; wish for the markets to oblige &amp; get caught up in steep loss.</t>
  </si>
  <si>
    <t>Trading is about moving the capital quickly across positions, evaluating them as you go along. If you merely buy &amp; sell without that agility it is your broker who will make the money, not you.</t>
  </si>
  <si>
    <t>Particpate in the market with the power of information and preparedness. There are sensible approaches for discerning investor to participate in the value that businesses create</t>
  </si>
  <si>
    <t>RoE</t>
  </si>
  <si>
    <t>NP</t>
  </si>
  <si>
    <t>Tangible assets (Non-current)</t>
  </si>
  <si>
    <t>Investments (Current)</t>
  </si>
  <si>
    <t>Rest</t>
  </si>
  <si>
    <t>Raw Mat + Invt change</t>
  </si>
  <si>
    <t>Inventories (Current)</t>
  </si>
  <si>
    <t>Receivables (Current)</t>
  </si>
  <si>
    <t>Cash (Current)</t>
  </si>
  <si>
    <t>Liabilities</t>
  </si>
  <si>
    <t>Shareholder Funds</t>
  </si>
  <si>
    <r>
      <t>EPS</t>
    </r>
    <r>
      <rPr>
        <vertAlign val="subscript"/>
        <sz val="10"/>
        <color theme="1"/>
        <rFont val="Arial"/>
        <family val="2"/>
      </rPr>
      <t>i</t>
    </r>
  </si>
  <si>
    <r>
      <t>EPS</t>
    </r>
    <r>
      <rPr>
        <vertAlign val="subscript"/>
        <sz val="10"/>
        <color theme="1"/>
        <rFont val="Arial"/>
        <family val="2"/>
      </rPr>
      <t>i-1</t>
    </r>
  </si>
  <si>
    <t>P/L - Annual</t>
  </si>
  <si>
    <t>P/L - Quaterly</t>
  </si>
  <si>
    <t>While it is not possible to predict the future with any degee of certainity, you need to have an investment thesis or a basic set of reasons why you bought the stock. Write down your reasons.</t>
  </si>
  <si>
    <t>Do not be taken in by recent  experiences of appreciation in the value of your investments. Learn to see these as the buffer for the inevitable correction that will come in the future.</t>
  </si>
  <si>
    <t xml:space="preserve">Do not hope to recover your loss from the stock you wrongly picked. You can make it in a another stock.By letting your losses to persist, you are allowing your capital to bleed. </t>
  </si>
  <si>
    <t>http://www.bseindia.com/corporates/Sharehold_Searchnew.aspx?expandable=3</t>
  </si>
  <si>
    <t>P/L - Annual - YoY change</t>
  </si>
  <si>
    <t>Philip Fisher on What to Buy</t>
  </si>
  <si>
    <t>1.Does the company have products or services with sufficient market potential to make possible a sizeable increase in sales for atleast several years</t>
  </si>
  <si>
    <t>2.Does the management has determination to continue to develop products or processes that will further increase total sales potential when the growth potential of currently attractive product lines have largely been exploited</t>
  </si>
  <si>
    <t>3.How effective are the company's research and development efforts in relation to its size</t>
  </si>
  <si>
    <t>4.Does the company have an above average sales organization</t>
  </si>
  <si>
    <t>5.Does the company have a worthwhile profit margin</t>
  </si>
  <si>
    <t>6.What is the company doing to maintain or improve its profit margin</t>
  </si>
  <si>
    <t>7.Does the company have outstanding labor and personel relations</t>
  </si>
  <si>
    <t>8.Does the company have outstanding executive relations</t>
  </si>
  <si>
    <t>9.Does the company have depth to its management</t>
  </si>
  <si>
    <t>10.How good are the company's cost analysis and accounting controls</t>
  </si>
  <si>
    <t>11.Are there other aspects of the business, somewhat peculiar to the industry involved, which will give the investor important clues as to how outstanding the company maybe in relation to its competitors</t>
  </si>
  <si>
    <t>12.Does the company have a short-range or a long-range outlook in regard to its profits</t>
  </si>
  <si>
    <t>13.In the foreseeable future will the growth of the company require sufficient equity financing so that the large number of shares then outstanding will largely cancel the existing share holder's benefit from this anticipated growth</t>
  </si>
  <si>
    <t>14.Does the management talk freely to investors about its affairs when things are going well but calm up when trouble and disappointments happen</t>
  </si>
  <si>
    <t>15. Dies the company has management of unquestionable integrity</t>
  </si>
  <si>
    <t>P/L - QoQ - change</t>
  </si>
  <si>
    <t xml:space="preserve">Sales </t>
  </si>
  <si>
    <t>Sales QoQ</t>
  </si>
  <si>
    <t>NP QoQ</t>
  </si>
  <si>
    <t>Sales YoY</t>
  </si>
  <si>
    <t>EPS YoY</t>
  </si>
  <si>
    <r>
      <t xml:space="preserve">EPS - </t>
    </r>
    <r>
      <rPr>
        <b/>
        <i/>
        <sz val="10"/>
        <color theme="1"/>
        <rFont val="Arial"/>
        <family val="2"/>
      </rPr>
      <t>Annl</t>
    </r>
  </si>
  <si>
    <r>
      <t xml:space="preserve">Total Income - </t>
    </r>
    <r>
      <rPr>
        <b/>
        <i/>
        <sz val="12"/>
        <color theme="1"/>
        <rFont val="Calibri"/>
        <family val="2"/>
        <scheme val="minor"/>
      </rPr>
      <t>Annl</t>
    </r>
  </si>
  <si>
    <r>
      <t xml:space="preserve">Income Dist - </t>
    </r>
    <r>
      <rPr>
        <b/>
        <i/>
        <sz val="10"/>
        <color theme="1"/>
        <rFont val="Arial"/>
        <family val="2"/>
      </rPr>
      <t>Annl</t>
    </r>
  </si>
  <si>
    <r>
      <t xml:space="preserve">Income Dist - </t>
    </r>
    <r>
      <rPr>
        <b/>
        <i/>
        <sz val="10"/>
        <color theme="1"/>
        <rFont val="Arial"/>
        <family val="2"/>
      </rPr>
      <t>Qtrly</t>
    </r>
  </si>
  <si>
    <r>
      <t xml:space="preserve">Total Income - </t>
    </r>
    <r>
      <rPr>
        <b/>
        <i/>
        <sz val="12"/>
        <color theme="1"/>
        <rFont val="Calibri"/>
        <family val="2"/>
        <scheme val="minor"/>
      </rPr>
      <t>Qtrly</t>
    </r>
  </si>
  <si>
    <t>YOY</t>
  </si>
  <si>
    <r>
      <t>TTM</t>
    </r>
    <r>
      <rPr>
        <b/>
        <vertAlign val="subscript"/>
        <sz val="11"/>
        <color indexed="9"/>
        <rFont val="Calibri"/>
        <family val="2"/>
      </rPr>
      <t>I</t>
    </r>
  </si>
  <si>
    <r>
      <t>TTM</t>
    </r>
    <r>
      <rPr>
        <b/>
        <vertAlign val="subscript"/>
        <sz val="11"/>
        <color indexed="9"/>
        <rFont val="Calibri"/>
        <family val="2"/>
      </rPr>
      <t>I-1</t>
    </r>
  </si>
  <si>
    <t>Expected Gth</t>
  </si>
  <si>
    <t>Actual Gth</t>
  </si>
  <si>
    <t>Revenue</t>
  </si>
  <si>
    <t>Expected Score</t>
  </si>
  <si>
    <t>Actual Score</t>
  </si>
  <si>
    <t>SSGR</t>
  </si>
  <si>
    <t>Net fixed asset turnover (Sales/average net fixed assets over the year)</t>
  </si>
  <si>
    <t>Net profit margin as % of sales</t>
  </si>
  <si>
    <t>Dividend paid as % of net profit after tax</t>
  </si>
  <si>
    <t>Depreciation rate as a % of net fixed assets</t>
  </si>
  <si>
    <t>Net Profit - Qtr</t>
  </si>
  <si>
    <t>NP Margin</t>
  </si>
  <si>
    <t>Taxes</t>
  </si>
  <si>
    <t>Net Profit</t>
  </si>
  <si>
    <t>Profit Margin</t>
  </si>
  <si>
    <t>5 YR NP 
margin</t>
  </si>
  <si>
    <t>Expected</t>
  </si>
  <si>
    <t>PAT/WC</t>
  </si>
  <si>
    <t>Sales/NFAT</t>
  </si>
  <si>
    <t>Expected Value</t>
  </si>
  <si>
    <t>Actual Value</t>
  </si>
  <si>
    <t>Debt/NP</t>
  </si>
  <si>
    <t>&gt;=1</t>
  </si>
  <si>
    <t xml:space="preserve">5 Yr. CFO/PAT </t>
  </si>
  <si>
    <t>&gt;20%  / &gt;2%</t>
  </si>
  <si>
    <t>&gt;0</t>
  </si>
  <si>
    <t>&gt;=1.25</t>
  </si>
  <si>
    <t>Receivable Days</t>
  </si>
  <si>
    <t>Inventory Turnover ratio</t>
  </si>
  <si>
    <t>SSGR and FCF determine the margin of safety</t>
  </si>
  <si>
    <t>Indicator of asset light business model</t>
  </si>
  <si>
    <t>Accounts receivable days is the number of days that a customer invoice is outstanding before it is collected - indicator of credit terms offered by the company to its customers and subsequent collection practices</t>
  </si>
  <si>
    <t>How effectively inventory is managed by comparing cost of goods sold with average inventory for a period. This measures how many times average inventory is “turned” or sold during a period</t>
  </si>
  <si>
    <r>
      <rPr>
        <sz val="10"/>
        <rFont val="Calibri"/>
        <family val="2"/>
      </rPr>
      <t>∆</t>
    </r>
    <r>
      <rPr>
        <sz val="10"/>
        <rFont val="Calibri"/>
        <family val="2"/>
        <charset val="1"/>
      </rPr>
      <t xml:space="preserve"> WC</t>
    </r>
  </si>
  <si>
    <t>C Liability/C Asset</t>
  </si>
  <si>
    <t>CFO to be higher than PAT. Excess CFO helps to fund its business expansion attempts over and above the SSGR levels.</t>
  </si>
  <si>
    <t>C Liabilty/ C Asset</t>
  </si>
  <si>
    <t>Revenue growth 5 Yr.</t>
  </si>
  <si>
    <t>Profit</t>
  </si>
  <si>
    <t>Efficiency</t>
  </si>
  <si>
    <t>Promoter</t>
  </si>
  <si>
    <t>RoE/RoA</t>
  </si>
  <si>
    <t>C Liabillity/ C Asset</t>
  </si>
  <si>
    <t>Change WC and NP</t>
  </si>
  <si>
    <t xml:space="preserve">Receivable Days
</t>
  </si>
  <si>
    <t xml:space="preserve">Inventory Days
</t>
  </si>
  <si>
    <t>Shareholding Dist.</t>
  </si>
  <si>
    <t>WC if managed well growth funded by profit allows the company to have SSGR &gt;= Sales gth rate. If sales is debt funded then SSGR &lt; Sales gth rate</t>
  </si>
  <si>
    <t>QoQ</t>
  </si>
  <si>
    <t>QoQ NP</t>
  </si>
  <si>
    <t>Fluctuations in Operating Profit margin indicative of lack of pricing power - company not able to pass in higher raw material price to the customer</t>
  </si>
  <si>
    <t>OP Margin</t>
  </si>
  <si>
    <t>5 YR cFCF</t>
  </si>
  <si>
    <t>Are current liabilties able to fund the current asset. Current Liabilities is also called Float (other people's money)</t>
  </si>
  <si>
    <t>Float</t>
  </si>
  <si>
    <t>Debt</t>
  </si>
  <si>
    <t xml:space="preserve">Asset Dist. </t>
  </si>
  <si>
    <t>Liabilty Dist.</t>
  </si>
  <si>
    <t>Liability Dist.</t>
  </si>
  <si>
    <t xml:space="preserve">Indicator in internal accruals are getting tied to WC and that is causing company to borrow money for capex. </t>
  </si>
  <si>
    <t>Source of Cash</t>
  </si>
  <si>
    <t>TTM</t>
  </si>
  <si>
    <t>Cash Sales</t>
  </si>
  <si>
    <t>Credit Sales</t>
  </si>
  <si>
    <t>Sales Type</t>
  </si>
  <si>
    <t>Sales in Cash/Credit</t>
  </si>
  <si>
    <t xml:space="preserve">Inventory/Sales
</t>
  </si>
  <si>
    <t>Qualitative Scorecard</t>
  </si>
  <si>
    <t>&gt;5%</t>
  </si>
  <si>
    <t>Operating Profit Components</t>
  </si>
  <si>
    <t>CY0</t>
  </si>
  <si>
    <t>CY+1</t>
  </si>
  <si>
    <t>COMPANY NAME</t>
  </si>
  <si>
    <t>KAJARIA CERAMICS LTD</t>
  </si>
  <si>
    <t>LATEST VERSION</t>
  </si>
  <si>
    <t>PLEASE DO NOT MAKE ANY CHANGES TO THIS SHEET</t>
  </si>
  <si>
    <t>CURRENT VERSION</t>
  </si>
  <si>
    <t>META</t>
  </si>
  <si>
    <t>Number of shares</t>
  </si>
  <si>
    <t>Face Value</t>
  </si>
  <si>
    <t>Market Capitalization</t>
  </si>
  <si>
    <t>PROFIT &amp; LOSS</t>
  </si>
  <si>
    <t>Report Date</t>
  </si>
  <si>
    <t>Raw Material Cost</t>
  </si>
  <si>
    <t>Change in Inventory</t>
  </si>
  <si>
    <t>Other Income</t>
  </si>
  <si>
    <t>Profit before tax</t>
  </si>
  <si>
    <t>Dividend Amount</t>
  </si>
  <si>
    <t>Quarters</t>
  </si>
  <si>
    <t>Operating Profit</t>
  </si>
  <si>
    <t>BALANCE SHEET</t>
  </si>
  <si>
    <t>Equity Share Capital</t>
  </si>
  <si>
    <t>Reserves</t>
  </si>
  <si>
    <t>Total</t>
  </si>
  <si>
    <t>Net Block</t>
  </si>
  <si>
    <t>Investments</t>
  </si>
  <si>
    <t>Other Assets</t>
  </si>
  <si>
    <t>Receivables</t>
  </si>
  <si>
    <t>Cash &amp; Bank</t>
  </si>
  <si>
    <t>No. of Equity Shares</t>
  </si>
  <si>
    <t>New Bonus Shares</t>
  </si>
  <si>
    <t>Face value</t>
  </si>
  <si>
    <t>CASH FLOW:</t>
  </si>
  <si>
    <t>Cash from Operating Activity</t>
  </si>
  <si>
    <t>Net Cash Flow</t>
  </si>
  <si>
    <t>PRICE:</t>
  </si>
  <si>
    <t>DERIVED:</t>
  </si>
  <si>
    <t>Adjusted Equity Shares in Cr</t>
  </si>
  <si>
    <t>Promoter unpledged</t>
  </si>
  <si>
    <t>Promoter pledged</t>
  </si>
  <si>
    <t>FII</t>
  </si>
  <si>
    <t>Mutual funds</t>
  </si>
  <si>
    <t>Bodies corporate</t>
  </si>
  <si>
    <t>Individuals &lt;= 2 lakh</t>
  </si>
  <si>
    <t>Individuals &gt; 2 lakh</t>
  </si>
  <si>
    <t>Others</t>
  </si>
  <si>
    <t>Promoters</t>
  </si>
  <si>
    <t>Ashok Kajaria jointly with Rishi Kajaria (in their capacity as joint trustees of Versha Kajaria Family Private Trust)</t>
  </si>
  <si>
    <t>Professional Home Solutions Private Limited (in its capacity as sole trustee of Chetan Kajaria Family Private Trust)</t>
  </si>
  <si>
    <t>Versha Kajaria jointly with Chetan Kajaria (in their capacity as joint trustees of Rishi Kajaria Family Private Trust)</t>
  </si>
  <si>
    <t>Kajaria Ceramic</t>
  </si>
  <si>
    <t>FMCG</t>
  </si>
  <si>
    <t xml:space="preserve"> &gt;10%</t>
  </si>
  <si>
    <t>EPS Expected Gth</t>
  </si>
  <si>
    <t>EPS Actual Gth</t>
  </si>
  <si>
    <t>PAT Actual Gth</t>
  </si>
  <si>
    <t>EPS Expected Score</t>
  </si>
  <si>
    <t>EPS Actual Score</t>
  </si>
  <si>
    <t>Fundo Prof Concept</t>
  </si>
  <si>
    <t>Future in 10 Yrs</t>
  </si>
  <si>
    <t>Volume/share</t>
  </si>
  <si>
    <t>Avg. Realization</t>
  </si>
  <si>
    <t>Sales/share</t>
  </si>
  <si>
    <t>Net Profit margin</t>
  </si>
  <si>
    <t>Net Profit/share (EPS)</t>
  </si>
  <si>
    <t>Exit PE</t>
  </si>
  <si>
    <t>Price/share</t>
  </si>
  <si>
    <t>Price/revenue</t>
  </si>
  <si>
    <t>Wealth compounding</t>
  </si>
  <si>
    <t>My Concept</t>
  </si>
  <si>
    <t>10 Yr estimate</t>
  </si>
  <si>
    <t>TTM+1%</t>
  </si>
  <si>
    <t>TTM+1.5%</t>
  </si>
  <si>
    <t>Revenue Growth</t>
  </si>
  <si>
    <t>Conservative</t>
  </si>
  <si>
    <t>Conservative +2%</t>
  </si>
  <si>
    <t>Conservative +3%</t>
  </si>
  <si>
    <t>Conservative 10 Yr</t>
  </si>
  <si>
    <t>EPS/BV  after 10 years</t>
  </si>
  <si>
    <t>Dividend after 10 Yrs</t>
  </si>
  <si>
    <t>Distance Left (Fundoo)</t>
  </si>
  <si>
    <t>Distance Left (Mine)</t>
  </si>
  <si>
    <t>1Q FY19 - Pricing pressure (tiles), high power &amp; fuel cost (due to higher gas prices) and employee expenses resulted in 7.2% YoY decline in EBITDA and 187bps YoY contraction in EBITDA margins.</t>
  </si>
  <si>
    <t>RoCE</t>
  </si>
  <si>
    <t xml:space="preserve">Numbers look good. Can be considered on dips. Valuation formulas manually adjusted.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</si>
</sst>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gt;9999999]##\,##\,##\,##0.00;[&gt;99999]##\,##\,##0.00;##,##0.00"/>
    <numFmt numFmtId="165" formatCode="_ &quot;₹&quot;\ * #,##0_ ;_ &quot;₹&quot;\ * \-#,##0_ ;_ &quot;₹&quot;\ * &quot;-&quot;??_ ;_ @_ "/>
    <numFmt numFmtId="166" formatCode="_(* #,##0_);_(* \(#,##0\);_(* &quot;-&quot;??_);_(@_)"/>
    <numFmt numFmtId="167" formatCode="0.0"/>
    <numFmt numFmtId="168" formatCode="0.0%"/>
    <numFmt numFmtId="169" formatCode="_(* #,##0.0_);_(* \(#,##0.0\);_(* &quot;-&quot;??_);_(@_)"/>
    <numFmt numFmtId="170" formatCode="_ * #,##0.00_ ;_ * \-#,##0.00_ ;_ * &quot;-&quot;??_ ;_ @_ "/>
    <numFmt numFmtId="171" formatCode="[$-409]mmm\-yy;@"/>
  </numFmts>
  <fonts count="7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1"/>
      <name val="Arial"/>
      <family val="2"/>
    </font>
    <font>
      <sz val="11"/>
      <color rgb="FF3F3F76"/>
      <name val="Calibri"/>
      <family val="2"/>
      <scheme val="minor"/>
    </font>
    <font>
      <sz val="11"/>
      <color rgb="FFFF0000"/>
      <name val="Calibri"/>
      <family val="2"/>
      <scheme val="minor"/>
    </font>
    <font>
      <sz val="10"/>
      <name val="Arial"/>
      <family val="2"/>
    </font>
    <font>
      <sz val="11"/>
      <color theme="1"/>
      <name val="Calibri"/>
      <family val="2"/>
      <scheme val="minor"/>
    </font>
    <font>
      <b/>
      <sz val="11"/>
      <color rgb="FF7030A0"/>
      <name val="Calibri"/>
      <family val="2"/>
      <scheme val="minor"/>
    </font>
    <font>
      <b/>
      <sz val="11"/>
      <color rgb="FF00B050"/>
      <name val="Calibri"/>
      <family val="2"/>
      <scheme val="minor"/>
    </font>
    <font>
      <sz val="9"/>
      <color theme="1"/>
      <name val="Arial"/>
      <family val="2"/>
    </font>
    <font>
      <sz val="9"/>
      <color rgb="FF3F3F76"/>
      <name val="Calibri"/>
      <family val="2"/>
      <scheme val="minor"/>
    </font>
    <font>
      <b/>
      <sz val="11"/>
      <color theme="0"/>
      <name val="Calibri"/>
      <family val="2"/>
      <scheme val="minor"/>
    </font>
    <font>
      <b/>
      <sz val="11"/>
      <color rgb="FFFF0000"/>
      <name val="Calibri"/>
      <family val="2"/>
      <scheme val="minor"/>
    </font>
    <font>
      <sz val="11"/>
      <color rgb="FF00B050"/>
      <name val="Calibri"/>
      <family val="2"/>
      <scheme val="minor"/>
    </font>
    <font>
      <u/>
      <sz val="11"/>
      <color rgb="FF555555"/>
      <name val="Inherit"/>
    </font>
    <font>
      <sz val="26"/>
      <color theme="1"/>
      <name val="Calibri"/>
      <family val="2"/>
    </font>
    <font>
      <vertAlign val="subscript"/>
      <sz val="11"/>
      <color theme="1"/>
      <name val="Calibri"/>
      <family val="2"/>
      <scheme val="minor"/>
    </font>
    <font>
      <sz val="9"/>
      <color theme="1"/>
      <name val="Cambria"/>
      <family val="1"/>
      <scheme val="major"/>
    </font>
    <font>
      <b/>
      <sz val="9"/>
      <color theme="1"/>
      <name val="Cambria"/>
      <family val="1"/>
      <scheme val="major"/>
    </font>
    <font>
      <sz val="9"/>
      <color rgb="FF444444"/>
      <name val="Cambria"/>
      <family val="1"/>
      <scheme val="major"/>
    </font>
    <font>
      <b/>
      <sz val="9"/>
      <color rgb="FF444444"/>
      <name val="Cambria"/>
      <family val="1"/>
      <scheme val="major"/>
    </font>
    <font>
      <b/>
      <sz val="9"/>
      <color theme="1"/>
      <name val="Calibri"/>
      <family val="2"/>
    </font>
    <font>
      <sz val="9"/>
      <color theme="1"/>
      <name val="Calibri"/>
      <family val="2"/>
      <charset val="1"/>
    </font>
    <font>
      <sz val="11"/>
      <color theme="1"/>
      <name val="Calibri"/>
      <family val="2"/>
      <charset val="1"/>
    </font>
    <font>
      <sz val="9"/>
      <color indexed="81"/>
      <name val="Tahoma"/>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u/>
      <sz val="11"/>
      <color theme="10"/>
      <name val="Calibri"/>
      <family val="2"/>
    </font>
    <font>
      <sz val="8"/>
      <color theme="1"/>
      <name val="Arial"/>
      <family val="2"/>
    </font>
    <font>
      <sz val="10"/>
      <color theme="1"/>
      <name val="Calibri"/>
      <family val="2"/>
      <scheme val="minor"/>
    </font>
    <font>
      <sz val="9"/>
      <color theme="1"/>
      <name val="Calibri"/>
      <family val="2"/>
      <scheme val="minor"/>
    </font>
    <font>
      <sz val="8"/>
      <color rgb="FF000000"/>
      <name val="Segoe UI"/>
      <family val="2"/>
    </font>
    <font>
      <vertAlign val="subscript"/>
      <sz val="10"/>
      <color theme="1"/>
      <name val="Arial"/>
      <family val="2"/>
    </font>
    <font>
      <b/>
      <i/>
      <sz val="10"/>
      <color theme="1"/>
      <name val="Arial"/>
      <family val="2"/>
    </font>
    <font>
      <b/>
      <sz val="12"/>
      <color theme="1"/>
      <name val="Calibri"/>
      <family val="2"/>
      <scheme val="minor"/>
    </font>
    <font>
      <b/>
      <i/>
      <sz val="12"/>
      <color theme="1"/>
      <name val="Calibri"/>
      <family val="2"/>
      <scheme val="minor"/>
    </font>
    <font>
      <b/>
      <vertAlign val="subscript"/>
      <sz val="11"/>
      <color indexed="9"/>
      <name val="Calibri"/>
      <family val="2"/>
    </font>
    <font>
      <b/>
      <sz val="10"/>
      <name val="Calibri"/>
      <family val="2"/>
    </font>
    <font>
      <sz val="10"/>
      <color rgb="FF000000"/>
      <name val="Arial"/>
      <family val="2"/>
    </font>
    <font>
      <b/>
      <sz val="10"/>
      <color theme="1"/>
      <name val="Calibri"/>
      <family val="2"/>
    </font>
    <font>
      <sz val="8"/>
      <color theme="1"/>
      <name val="Calibri"/>
      <family val="2"/>
      <scheme val="minor"/>
    </font>
    <font>
      <b/>
      <sz val="8"/>
      <color theme="1"/>
      <name val="Calibri"/>
      <family val="2"/>
      <scheme val="minor"/>
    </font>
    <font>
      <sz val="10"/>
      <name val="Calibri"/>
      <family val="2"/>
    </font>
    <font>
      <b/>
      <sz val="10"/>
      <color rgb="FF7030A0"/>
      <name val="Calibri"/>
      <family val="2"/>
      <scheme val="minor"/>
    </font>
    <font>
      <sz val="8"/>
      <color rgb="FF444444"/>
      <name val="Cambria"/>
      <family val="1"/>
      <scheme val="major"/>
    </font>
    <font>
      <b/>
      <sz val="10"/>
      <color theme="1"/>
      <name val="Calibri"/>
      <family val="2"/>
      <scheme val="minor"/>
    </font>
    <font>
      <i/>
      <sz val="9"/>
      <color theme="1"/>
      <name val="Calibri"/>
      <family val="2"/>
      <scheme val="minor"/>
    </font>
    <font>
      <i/>
      <sz val="9"/>
      <color rgb="FF444444"/>
      <name val="Calibri"/>
      <family val="2"/>
      <scheme val="minor"/>
    </font>
    <font>
      <i/>
      <sz val="11"/>
      <color theme="1"/>
      <name val="Calibri"/>
      <family val="2"/>
      <scheme val="minor"/>
    </font>
    <font>
      <sz val="10"/>
      <color theme="0" tint="-0.499984740745262"/>
      <name val="Arial"/>
      <family val="2"/>
    </font>
  </fonts>
  <fills count="31">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patternFill>
    </fill>
    <fill>
      <patternFill patternType="solid">
        <fgColor theme="3" tint="0.79998168889431442"/>
        <bgColor indexed="64"/>
      </patternFill>
    </fill>
    <fill>
      <patternFill patternType="solid">
        <fgColor theme="5"/>
        <bgColor indexed="64"/>
      </patternFill>
    </fill>
    <fill>
      <patternFill patternType="solid">
        <fgColor rgb="FF92D050"/>
        <bgColor indexed="64"/>
      </patternFill>
    </fill>
    <fill>
      <patternFill patternType="solid">
        <fgColor theme="7"/>
        <bgColor indexed="64"/>
      </patternFill>
    </fill>
    <fill>
      <patternFill patternType="solid">
        <fgColor rgb="FFFFCC99"/>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249977111117893"/>
        <bgColor indexed="64"/>
      </patternFill>
    </fill>
    <fill>
      <patternFill patternType="solid">
        <fgColor theme="9"/>
      </patternFill>
    </fill>
    <fill>
      <patternFill patternType="solid">
        <fgColor theme="0" tint="-4.9989318521683403E-2"/>
        <bgColor indexed="64"/>
      </patternFill>
    </fill>
    <fill>
      <patternFill patternType="solid">
        <fgColor rgb="FFC7E6A4"/>
        <bgColor indexed="64"/>
      </patternFill>
    </fill>
    <fill>
      <patternFill patternType="solid">
        <fgColor rgb="FFF2F2F2"/>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0275D8"/>
        <bgColor indexed="64"/>
      </patternFill>
    </fill>
    <fill>
      <patternFill patternType="solid">
        <fgColor theme="0" tint="-0.34998626667073579"/>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style="thin">
        <color rgb="FF7F7F7F"/>
      </top>
      <bottom/>
      <diagonal/>
    </border>
    <border>
      <left/>
      <right style="thin">
        <color indexed="64"/>
      </right>
      <top style="thin">
        <color rgb="FF7F7F7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64"/>
      </left>
      <right/>
      <top style="thin">
        <color indexed="64"/>
      </top>
      <bottom/>
      <diagonal/>
    </border>
    <border>
      <left/>
      <right/>
      <top style="double">
        <color theme="0" tint="-0.499984740745262"/>
      </top>
      <bottom/>
      <diagonal/>
    </border>
    <border>
      <left/>
      <right/>
      <top/>
      <bottom style="double">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s>
  <cellStyleXfs count="12">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2" fillId="7" borderId="0" applyNumberFormat="0" applyBorder="0" applyAlignment="0" applyProtection="0"/>
    <xf numFmtId="0" fontId="17" fillId="12" borderId="8" applyNumberFormat="0" applyAlignment="0" applyProtection="0"/>
    <xf numFmtId="9" fontId="20" fillId="0" borderId="0" applyFont="0" applyFill="0" applyBorder="0" applyAlignment="0" applyProtection="0"/>
    <xf numFmtId="43" fontId="20" fillId="0" borderId="0" applyFont="0" applyFill="0" applyBorder="0" applyAlignment="0" applyProtection="0"/>
    <xf numFmtId="0" fontId="2" fillId="18" borderId="0" applyNumberFormat="0" applyBorder="0" applyAlignment="0" applyProtection="0"/>
    <xf numFmtId="0" fontId="19" fillId="0" borderId="0"/>
    <xf numFmtId="170" fontId="20" fillId="0" borderId="0" applyFont="0" applyFill="0" applyBorder="0" applyAlignment="0" applyProtection="0"/>
    <xf numFmtId="0" fontId="48" fillId="0" borderId="0" applyNumberFormat="0" applyFill="0" applyBorder="0" applyAlignment="0" applyProtection="0">
      <alignment vertical="top"/>
      <protection locked="0"/>
    </xf>
  </cellStyleXfs>
  <cellXfs count="441">
    <xf numFmtId="0" fontId="0" fillId="0" borderId="0" xfId="0"/>
    <xf numFmtId="164" fontId="7" fillId="2" borderId="1" xfId="1" applyNumberFormat="1" applyFont="1" applyBorder="1" applyAlignment="1" applyProtection="1">
      <alignment horizontal="center" vertical="center" wrapText="1"/>
      <protection hidden="1"/>
    </xf>
    <xf numFmtId="0" fontId="0" fillId="0" borderId="0" xfId="0" applyProtection="1">
      <protection locked="0"/>
    </xf>
    <xf numFmtId="0" fontId="7" fillId="2" borderId="1" xfId="1" applyFont="1" applyBorder="1" applyAlignment="1" applyProtection="1">
      <alignment horizontal="center" vertical="center"/>
      <protection locked="0"/>
    </xf>
    <xf numFmtId="0" fontId="7" fillId="9" borderId="0" xfId="0" applyFont="1" applyFill="1" applyProtection="1">
      <protection locked="0"/>
    </xf>
    <xf numFmtId="0" fontId="0" fillId="0" borderId="0" xfId="0" applyAlignment="1" applyProtection="1">
      <alignment wrapText="1"/>
      <protection locked="0"/>
    </xf>
    <xf numFmtId="0" fontId="16" fillId="10" borderId="0" xfId="0" applyFont="1" applyFill="1" applyProtection="1">
      <protection locked="0"/>
    </xf>
    <xf numFmtId="0" fontId="7" fillId="11" borderId="0" xfId="0" applyFont="1" applyFill="1" applyProtection="1">
      <protection locked="0"/>
    </xf>
    <xf numFmtId="0" fontId="12" fillId="0" borderId="0" xfId="0" applyFont="1" applyProtection="1">
      <protection hidden="1"/>
    </xf>
    <xf numFmtId="0" fontId="12" fillId="0" borderId="1" xfId="0" applyFont="1" applyBorder="1" applyProtection="1">
      <protection hidden="1"/>
    </xf>
    <xf numFmtId="2" fontId="12" fillId="0" borderId="1" xfId="0" applyNumberFormat="1" applyFont="1" applyBorder="1" applyProtection="1">
      <protection hidden="1"/>
    </xf>
    <xf numFmtId="10" fontId="12" fillId="0" borderId="1" xfId="0" applyNumberFormat="1" applyFont="1" applyBorder="1" applyProtection="1">
      <protection hidden="1"/>
    </xf>
    <xf numFmtId="0" fontId="12" fillId="0" borderId="2" xfId="0" applyFont="1" applyBorder="1" applyProtection="1">
      <protection hidden="1"/>
    </xf>
    <xf numFmtId="0" fontId="12" fillId="0" borderId="0" xfId="0" applyFont="1" applyBorder="1" applyProtection="1">
      <protection hidden="1"/>
    </xf>
    <xf numFmtId="10" fontId="12" fillId="6" borderId="2" xfId="0" applyNumberFormat="1" applyFont="1" applyFill="1" applyBorder="1" applyProtection="1">
      <protection hidden="1"/>
    </xf>
    <xf numFmtId="1" fontId="12" fillId="0" borderId="1" xfId="0" applyNumberFormat="1" applyFont="1" applyBorder="1" applyAlignment="1" applyProtection="1">
      <alignment horizontal="right"/>
      <protection hidden="1"/>
    </xf>
    <xf numFmtId="2" fontId="12" fillId="0" borderId="2" xfId="0" applyNumberFormat="1" applyFont="1" applyBorder="1" applyProtection="1">
      <protection hidden="1"/>
    </xf>
    <xf numFmtId="0" fontId="17" fillId="12" borderId="8" xfId="5" applyAlignment="1" applyProtection="1">
      <alignment horizontal="center" vertical="center" wrapText="1"/>
      <protection locked="0"/>
    </xf>
    <xf numFmtId="10" fontId="17" fillId="12" borderId="8" xfId="5" applyNumberFormat="1" applyAlignment="1" applyProtection="1">
      <alignment horizontal="center" vertical="center" wrapText="1"/>
      <protection locked="0"/>
    </xf>
    <xf numFmtId="0" fontId="17" fillId="12" borderId="8" xfId="5" applyAlignment="1" applyProtection="1">
      <alignment horizontal="left" vertical="center" wrapText="1"/>
      <protection locked="0"/>
    </xf>
    <xf numFmtId="0" fontId="15" fillId="7" borderId="1" xfId="4" applyFont="1" applyBorder="1" applyProtection="1">
      <protection hidden="1"/>
    </xf>
    <xf numFmtId="14" fontId="15" fillId="7" borderId="1" xfId="4" applyNumberFormat="1" applyFont="1" applyBorder="1" applyAlignment="1" applyProtection="1">
      <alignment horizontal="right" vertical="center" wrapText="1"/>
      <protection hidden="1"/>
    </xf>
    <xf numFmtId="0" fontId="6" fillId="0" borderId="1" xfId="0" applyFont="1" applyBorder="1" applyProtection="1">
      <protection hidden="1"/>
    </xf>
    <xf numFmtId="2" fontId="6" fillId="0" borderId="1" xfId="0" applyNumberFormat="1" applyFont="1" applyBorder="1" applyProtection="1">
      <protection hidden="1"/>
    </xf>
    <xf numFmtId="0" fontId="6" fillId="0" borderId="1" xfId="0" applyFont="1" applyFill="1" applyBorder="1" applyProtection="1">
      <protection hidden="1"/>
    </xf>
    <xf numFmtId="10" fontId="6" fillId="0" borderId="1" xfId="0" applyNumberFormat="1" applyFont="1" applyBorder="1" applyProtection="1">
      <protection hidden="1"/>
    </xf>
    <xf numFmtId="0" fontId="6" fillId="6" borderId="1" xfId="0" applyFont="1" applyFill="1" applyBorder="1" applyProtection="1">
      <protection hidden="1"/>
    </xf>
    <xf numFmtId="3" fontId="6" fillId="0" borderId="1" xfId="0" applyNumberFormat="1" applyFont="1" applyBorder="1" applyProtection="1">
      <protection hidden="1"/>
    </xf>
    <xf numFmtId="0" fontId="6" fillId="0" borderId="0" xfId="0" applyFont="1" applyBorder="1" applyProtection="1">
      <protection hidden="1"/>
    </xf>
    <xf numFmtId="0" fontId="6" fillId="0" borderId="0" xfId="0" applyFont="1" applyProtection="1">
      <protection hidden="1"/>
    </xf>
    <xf numFmtId="0" fontId="7" fillId="7" borderId="1" xfId="4" applyFont="1" applyBorder="1" applyProtection="1">
      <protection hidden="1"/>
    </xf>
    <xf numFmtId="14" fontId="7" fillId="7" borderId="1" xfId="4" applyNumberFormat="1" applyFont="1" applyBorder="1" applyAlignment="1" applyProtection="1">
      <alignment horizontal="center" vertical="center" wrapText="1"/>
      <protection hidden="1"/>
    </xf>
    <xf numFmtId="0" fontId="7" fillId="0" borderId="0" xfId="0" applyFont="1" applyProtection="1">
      <protection hidden="1"/>
    </xf>
    <xf numFmtId="0" fontId="6" fillId="0" borderId="2" xfId="0" applyFont="1" applyBorder="1" applyProtection="1">
      <protection hidden="1"/>
    </xf>
    <xf numFmtId="1" fontId="7" fillId="0" borderId="0" xfId="0" applyNumberFormat="1" applyFont="1" applyProtection="1">
      <protection hidden="1"/>
    </xf>
    <xf numFmtId="0" fontId="6" fillId="0" borderId="1"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6" fillId="0" borderId="1" xfId="0" applyNumberFormat="1" applyFont="1" applyBorder="1" applyAlignment="1" applyProtection="1">
      <alignment horizontal="right"/>
      <protection hidden="1"/>
    </xf>
    <xf numFmtId="0" fontId="6" fillId="0" borderId="0" xfId="0" applyNumberFormat="1" applyFont="1" applyBorder="1" applyAlignment="1" applyProtection="1">
      <alignment horizontal="right"/>
      <protection hidden="1"/>
    </xf>
    <xf numFmtId="0" fontId="5" fillId="6" borderId="1" xfId="0" applyFont="1" applyFill="1" applyBorder="1" applyAlignment="1" applyProtection="1">
      <alignment wrapText="1"/>
      <protection hidden="1"/>
    </xf>
    <xf numFmtId="0" fontId="5" fillId="6" borderId="1" xfId="0" applyNumberFormat="1" applyFont="1" applyFill="1" applyBorder="1" applyAlignment="1" applyProtection="1">
      <alignment horizontal="right"/>
      <protection hidden="1"/>
    </xf>
    <xf numFmtId="0" fontId="5" fillId="0" borderId="0" xfId="0" applyNumberFormat="1" applyFont="1" applyBorder="1" applyAlignment="1" applyProtection="1">
      <alignment horizontal="right"/>
      <protection hidden="1"/>
    </xf>
    <xf numFmtId="0" fontId="5" fillId="0" borderId="1" xfId="0" applyFont="1" applyBorder="1" applyAlignment="1" applyProtection="1">
      <alignment horizontal="center"/>
      <protection hidden="1"/>
    </xf>
    <xf numFmtId="0" fontId="16" fillId="0" borderId="0" xfId="0" applyFont="1" applyProtection="1">
      <protection hidden="1"/>
    </xf>
    <xf numFmtId="2" fontId="6" fillId="6" borderId="1" xfId="0" applyNumberFormat="1" applyFont="1" applyFill="1" applyBorder="1" applyProtection="1">
      <protection hidden="1"/>
    </xf>
    <xf numFmtId="0" fontId="2" fillId="7" borderId="0" xfId="4" applyProtection="1">
      <protection hidden="1"/>
    </xf>
    <xf numFmtId="0" fontId="0" fillId="0" borderId="0" xfId="0" applyAlignment="1">
      <alignment horizontal="left" vertical="center" indent="1"/>
    </xf>
    <xf numFmtId="0" fontId="0" fillId="13" borderId="1" xfId="0" applyFill="1" applyBorder="1" applyAlignment="1" applyProtection="1">
      <alignment horizontal="center"/>
      <protection hidden="1"/>
    </xf>
    <xf numFmtId="0" fontId="1" fillId="13" borderId="1" xfId="0" applyFont="1" applyFill="1" applyBorder="1" applyAlignment="1" applyProtection="1">
      <alignment horizontal="center" vertical="center" wrapText="1"/>
      <protection hidden="1"/>
    </xf>
    <xf numFmtId="0" fontId="0" fillId="14" borderId="1" xfId="0" applyFill="1" applyBorder="1" applyAlignment="1" applyProtection="1">
      <alignment horizontal="center"/>
      <protection hidden="1"/>
    </xf>
    <xf numFmtId="9" fontId="0" fillId="14" borderId="1" xfId="6" applyFont="1" applyFill="1" applyBorder="1" applyAlignment="1" applyProtection="1">
      <alignment horizontal="center"/>
      <protection hidden="1"/>
    </xf>
    <xf numFmtId="2" fontId="0" fillId="14" borderId="1" xfId="0" applyNumberFormat="1" applyFill="1" applyBorder="1" applyAlignment="1" applyProtection="1">
      <alignment horizontal="center"/>
      <protection hidden="1"/>
    </xf>
    <xf numFmtId="0" fontId="1" fillId="14" borderId="1" xfId="0" applyFont="1" applyFill="1" applyBorder="1" applyAlignment="1" applyProtection="1">
      <alignment horizontal="center"/>
      <protection hidden="1"/>
    </xf>
    <xf numFmtId="9" fontId="1" fillId="14" borderId="1" xfId="6" applyFont="1" applyFill="1" applyBorder="1" applyAlignment="1" applyProtection="1">
      <alignment horizontal="center"/>
      <protection hidden="1"/>
    </xf>
    <xf numFmtId="165" fontId="0" fillId="0" borderId="0" xfId="0" applyNumberFormat="1"/>
    <xf numFmtId="0" fontId="2" fillId="3" borderId="0" xfId="2" applyAlignment="1">
      <alignment wrapText="1"/>
    </xf>
    <xf numFmtId="0" fontId="24" fillId="12" borderId="8" xfId="5" applyFont="1" applyAlignment="1">
      <alignment wrapText="1"/>
    </xf>
    <xf numFmtId="0" fontId="23" fillId="0" borderId="1" xfId="0" applyFont="1" applyBorder="1" applyAlignment="1" applyProtection="1">
      <alignment wrapText="1"/>
      <protection hidden="1"/>
    </xf>
    <xf numFmtId="1" fontId="23" fillId="0" borderId="1" xfId="0" applyNumberFormat="1" applyFont="1" applyBorder="1" applyAlignment="1" applyProtection="1">
      <alignment wrapText="1"/>
      <protection hidden="1"/>
    </xf>
    <xf numFmtId="2" fontId="23" fillId="0" borderId="1" xfId="0" applyNumberFormat="1" applyFont="1" applyBorder="1" applyAlignment="1" applyProtection="1">
      <alignment wrapText="1"/>
      <protection hidden="1"/>
    </xf>
    <xf numFmtId="0" fontId="23" fillId="0" borderId="1" xfId="0" applyFont="1" applyBorder="1" applyProtection="1">
      <protection hidden="1"/>
    </xf>
    <xf numFmtId="0" fontId="23" fillId="0" borderId="6" xfId="0" applyFont="1" applyBorder="1" applyAlignment="1">
      <alignment wrapText="1"/>
    </xf>
    <xf numFmtId="0" fontId="23" fillId="0" borderId="7" xfId="0" applyFont="1" applyBorder="1" applyAlignment="1">
      <alignment wrapText="1"/>
    </xf>
    <xf numFmtId="0" fontId="24" fillId="15" borderId="8" xfId="5" applyFont="1" applyFill="1" applyAlignment="1" applyProtection="1">
      <alignment wrapText="1"/>
      <protection hidden="1"/>
    </xf>
    <xf numFmtId="0" fontId="17" fillId="15" borderId="8" xfId="5" applyFill="1" applyAlignment="1" applyProtection="1">
      <alignment wrapText="1"/>
      <protection hidden="1"/>
    </xf>
    <xf numFmtId="9" fontId="17" fillId="12" borderId="8" xfId="5" applyNumberFormat="1" applyAlignment="1" applyProtection="1">
      <alignment wrapText="1"/>
      <protection locked="0"/>
    </xf>
    <xf numFmtId="0" fontId="0" fillId="16" borderId="0" xfId="0" applyFill="1"/>
    <xf numFmtId="1" fontId="17" fillId="12" borderId="8" xfId="5" applyNumberFormat="1" applyAlignment="1" applyProtection="1">
      <alignment wrapText="1"/>
      <protection locked="0"/>
    </xf>
    <xf numFmtId="1" fontId="0" fillId="16" borderId="0" xfId="0" applyNumberFormat="1" applyFill="1" applyProtection="1">
      <protection hidden="1"/>
    </xf>
    <xf numFmtId="3" fontId="17" fillId="12" borderId="8" xfId="5" applyNumberFormat="1" applyAlignment="1" applyProtection="1">
      <alignment horizontal="center" vertical="center" wrapText="1"/>
      <protection locked="0"/>
    </xf>
    <xf numFmtId="0" fontId="26" fillId="0" borderId="0" xfId="0" applyFont="1"/>
    <xf numFmtId="0" fontId="0" fillId="0" borderId="0" xfId="0" applyBorder="1"/>
    <xf numFmtId="0" fontId="0" fillId="0" borderId="15" xfId="0" applyBorder="1"/>
    <xf numFmtId="0" fontId="0" fillId="0" borderId="16" xfId="0" applyBorder="1"/>
    <xf numFmtId="0" fontId="0" fillId="0" borderId="17" xfId="0" applyBorder="1"/>
    <xf numFmtId="1" fontId="24" fillId="15" borderId="8" xfId="5" applyNumberFormat="1" applyFont="1" applyFill="1" applyAlignment="1" applyProtection="1">
      <alignment wrapText="1"/>
      <protection hidden="1"/>
    </xf>
    <xf numFmtId="0" fontId="28" fillId="0" borderId="0" xfId="0" applyFont="1"/>
    <xf numFmtId="0" fontId="3" fillId="0" borderId="0" xfId="1" applyFont="1" applyFill="1" applyBorder="1" applyAlignment="1" applyProtection="1">
      <alignment horizontal="left" vertical="top"/>
      <protection locked="0"/>
    </xf>
    <xf numFmtId="0" fontId="15" fillId="3" borderId="2" xfId="2" applyFont="1" applyBorder="1" applyAlignment="1" applyProtection="1">
      <alignment horizontal="center"/>
      <protection hidden="1"/>
    </xf>
    <xf numFmtId="0" fontId="31" fillId="0" borderId="0" xfId="0" applyFont="1" applyAlignment="1">
      <alignment wrapText="1"/>
    </xf>
    <xf numFmtId="0" fontId="31" fillId="0" borderId="0" xfId="0" applyFont="1" applyAlignment="1">
      <alignment horizontal="center" wrapText="1"/>
    </xf>
    <xf numFmtId="0" fontId="33" fillId="15" borderId="1" xfId="0" applyFont="1" applyFill="1" applyBorder="1" applyAlignment="1">
      <alignment horizontal="center"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3" fillId="6" borderId="1" xfId="0" applyFont="1" applyFill="1" applyBorder="1" applyAlignment="1">
      <alignment horizontal="center" wrapText="1"/>
    </xf>
    <xf numFmtId="0" fontId="33" fillId="5" borderId="1" xfId="0" applyFont="1" applyFill="1" applyBorder="1" applyAlignment="1">
      <alignment horizontal="center" wrapText="1"/>
    </xf>
    <xf numFmtId="0" fontId="32" fillId="20" borderId="1" xfId="0" applyFont="1" applyFill="1" applyBorder="1" applyAlignment="1">
      <alignment horizontal="left"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vertical="center" wrapText="1"/>
    </xf>
    <xf numFmtId="9" fontId="33" fillId="5" borderId="1" xfId="6" applyFont="1" applyFill="1" applyBorder="1" applyAlignment="1">
      <alignment horizontal="center" vertical="center" wrapText="1"/>
    </xf>
    <xf numFmtId="0" fontId="33" fillId="5" borderId="1" xfId="0" applyFont="1" applyFill="1" applyBorder="1" applyAlignment="1">
      <alignment horizontal="left" vertical="center" wrapText="1"/>
    </xf>
    <xf numFmtId="9" fontId="33" fillId="5" borderId="1" xfId="0" applyNumberFormat="1" applyFont="1" applyFill="1" applyBorder="1" applyAlignment="1">
      <alignment horizontal="center" vertical="center" wrapText="1"/>
    </xf>
    <xf numFmtId="167" fontId="33" fillId="5" borderId="1" xfId="6" applyNumberFormat="1" applyFont="1" applyFill="1" applyBorder="1" applyAlignment="1">
      <alignment horizontal="center" vertical="center" wrapText="1"/>
    </xf>
    <xf numFmtId="2" fontId="33" fillId="5" borderId="1" xfId="0" applyNumberFormat="1" applyFont="1" applyFill="1" applyBorder="1" applyAlignment="1">
      <alignment horizontal="center" vertical="center" wrapText="1"/>
    </xf>
    <xf numFmtId="1" fontId="33" fillId="5" borderId="1" xfId="0" applyNumberFormat="1" applyFont="1" applyFill="1" applyBorder="1" applyAlignment="1">
      <alignment horizontal="center" vertical="center" wrapText="1"/>
    </xf>
    <xf numFmtId="9" fontId="33"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167"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top" wrapText="1"/>
    </xf>
    <xf numFmtId="0" fontId="35" fillId="6" borderId="23" xfId="9" applyFont="1" applyFill="1" applyBorder="1" applyAlignment="1">
      <alignment horizontal="center" vertical="center" wrapText="1"/>
    </xf>
    <xf numFmtId="0" fontId="35" fillId="21" borderId="23" xfId="9" applyFont="1" applyFill="1" applyBorder="1" applyAlignment="1">
      <alignment horizontal="center" vertical="center" wrapText="1"/>
    </xf>
    <xf numFmtId="0" fontId="36" fillId="0" borderId="0" xfId="9" applyFont="1" applyFill="1" applyBorder="1" applyAlignment="1">
      <alignment horizontal="center" vertical="center" wrapText="1"/>
    </xf>
    <xf numFmtId="167" fontId="36" fillId="0" borderId="23" xfId="9" applyNumberFormat="1" applyFont="1" applyFill="1" applyBorder="1" applyAlignment="1">
      <alignment horizontal="center" vertical="center" wrapText="1"/>
    </xf>
    <xf numFmtId="9" fontId="36" fillId="0" borderId="23" xfId="6" applyFont="1" applyFill="1" applyBorder="1" applyAlignment="1">
      <alignment horizontal="center" vertical="center" wrapText="1"/>
    </xf>
    <xf numFmtId="9" fontId="36" fillId="0" borderId="23" xfId="9" applyNumberFormat="1" applyFont="1" applyFill="1" applyBorder="1" applyAlignment="1">
      <alignment horizontal="center" vertical="center" wrapText="1"/>
    </xf>
    <xf numFmtId="10" fontId="36" fillId="0" borderId="23" xfId="9" applyNumberFormat="1" applyFont="1" applyFill="1" applyBorder="1" applyAlignment="1">
      <alignment horizontal="center" vertical="center" wrapText="1"/>
    </xf>
    <xf numFmtId="168" fontId="36" fillId="0" borderId="23" xfId="9" applyNumberFormat="1" applyFont="1" applyFill="1" applyBorder="1" applyAlignment="1">
      <alignment horizontal="center" vertical="center" wrapText="1"/>
    </xf>
    <xf numFmtId="168" fontId="35" fillId="0" borderId="23" xfId="9" applyNumberFormat="1" applyFont="1" applyFill="1" applyBorder="1" applyAlignment="1">
      <alignment horizontal="center" vertical="center" wrapText="1"/>
    </xf>
    <xf numFmtId="168" fontId="36" fillId="0" borderId="23" xfId="6" applyNumberFormat="1" applyFont="1" applyFill="1" applyBorder="1" applyAlignment="1">
      <alignment horizontal="center" vertical="center" wrapText="1"/>
    </xf>
    <xf numFmtId="9" fontId="35" fillId="0" borderId="23" xfId="6" applyFont="1" applyFill="1" applyBorder="1" applyAlignment="1">
      <alignment horizontal="center" vertical="center" wrapText="1"/>
    </xf>
    <xf numFmtId="0" fontId="35" fillId="0" borderId="0" xfId="9" applyFont="1" applyFill="1" applyBorder="1" applyAlignment="1">
      <alignment horizontal="center" vertical="center" wrapText="1"/>
    </xf>
    <xf numFmtId="167" fontId="36" fillId="0" borderId="0" xfId="9" applyNumberFormat="1" applyFont="1" applyFill="1" applyBorder="1" applyAlignment="1">
      <alignment horizontal="center" vertical="center" wrapText="1"/>
    </xf>
    <xf numFmtId="9" fontId="36" fillId="0" borderId="0" xfId="6" applyFont="1" applyFill="1" applyBorder="1" applyAlignment="1">
      <alignment horizontal="center" vertical="center" wrapText="1"/>
    </xf>
    <xf numFmtId="168" fontId="36" fillId="0" borderId="0" xfId="6" applyNumberFormat="1" applyFont="1" applyFill="1" applyBorder="1" applyAlignment="1">
      <alignment horizontal="center" vertical="center" wrapText="1"/>
    </xf>
    <xf numFmtId="0" fontId="36" fillId="0" borderId="0" xfId="9" applyFont="1" applyFill="1" applyBorder="1" applyAlignment="1">
      <alignment horizontal="center" vertical="center" wrapText="1"/>
    </xf>
    <xf numFmtId="9" fontId="31" fillId="0" borderId="23" xfId="6" applyFont="1" applyFill="1" applyBorder="1" applyAlignment="1">
      <alignment horizontal="center" vertical="center" wrapText="1"/>
    </xf>
    <xf numFmtId="168" fontId="36" fillId="0" borderId="0" xfId="9" applyNumberFormat="1" applyFont="1" applyFill="1" applyBorder="1" applyAlignment="1">
      <alignment horizontal="center" vertical="center" wrapText="1"/>
    </xf>
    <xf numFmtId="10" fontId="36" fillId="0" borderId="0" xfId="9" applyNumberFormat="1" applyFont="1" applyFill="1" applyBorder="1" applyAlignment="1">
      <alignment horizontal="center" vertical="center" wrapText="1"/>
    </xf>
    <xf numFmtId="9" fontId="36" fillId="0" borderId="0" xfId="9" applyNumberFormat="1" applyFont="1" applyFill="1" applyBorder="1" applyAlignment="1">
      <alignment horizontal="center" vertical="center" wrapText="1"/>
    </xf>
    <xf numFmtId="2" fontId="36" fillId="0" borderId="0" xfId="9" applyNumberFormat="1" applyFont="1" applyFill="1" applyBorder="1" applyAlignment="1">
      <alignment horizontal="center" vertical="center" wrapText="1"/>
    </xf>
    <xf numFmtId="168" fontId="37" fillId="0" borderId="23" xfId="6" applyNumberFormat="1" applyFont="1" applyFill="1" applyBorder="1" applyAlignment="1">
      <alignment horizontal="center" vertical="center"/>
    </xf>
    <xf numFmtId="168" fontId="31" fillId="0" borderId="23" xfId="6" applyNumberFormat="1" applyFont="1" applyFill="1" applyBorder="1" applyAlignment="1">
      <alignment horizontal="center" vertical="center" wrapText="1"/>
    </xf>
    <xf numFmtId="0" fontId="39" fillId="0" borderId="0" xfId="0" applyFont="1" applyBorder="1"/>
    <xf numFmtId="0" fontId="40" fillId="0" borderId="0" xfId="0" applyFont="1" applyBorder="1"/>
    <xf numFmtId="0" fontId="42" fillId="23" borderId="0" xfId="0" applyFont="1" applyFill="1"/>
    <xf numFmtId="0" fontId="42" fillId="0" borderId="0" xfId="0" applyFont="1"/>
    <xf numFmtId="0" fontId="41" fillId="24" borderId="24" xfId="0" applyFont="1" applyFill="1" applyBorder="1" applyAlignment="1">
      <alignment horizontal="center"/>
    </xf>
    <xf numFmtId="0" fontId="43" fillId="0" borderId="24" xfId="0" applyFont="1" applyBorder="1"/>
    <xf numFmtId="0" fontId="42" fillId="0" borderId="24" xfId="0" applyFont="1" applyBorder="1"/>
    <xf numFmtId="0" fontId="42" fillId="0" borderId="24" xfId="0" applyFont="1" applyFill="1" applyBorder="1" applyAlignment="1">
      <alignment horizontal="left" wrapText="1"/>
    </xf>
    <xf numFmtId="4" fontId="44" fillId="0" borderId="1" xfId="0" applyNumberFormat="1" applyFont="1" applyFill="1" applyBorder="1" applyAlignment="1">
      <alignment horizontal="right" vertical="center" wrapText="1"/>
    </xf>
    <xf numFmtId="0" fontId="45" fillId="26" borderId="25" xfId="0" applyFont="1" applyFill="1" applyBorder="1" applyAlignment="1">
      <alignment horizontal="right" vertical="center" wrapText="1"/>
    </xf>
    <xf numFmtId="0" fontId="41" fillId="27" borderId="25" xfId="0" applyFont="1" applyFill="1" applyBorder="1"/>
    <xf numFmtId="0" fontId="42" fillId="0" borderId="25" xfId="0" applyFont="1" applyFill="1" applyBorder="1"/>
    <xf numFmtId="2" fontId="42" fillId="0" borderId="25" xfId="0" applyNumberFormat="1" applyFont="1" applyFill="1" applyBorder="1"/>
    <xf numFmtId="2" fontId="42" fillId="0" borderId="25" xfId="0" applyNumberFormat="1" applyFont="1" applyFill="1" applyBorder="1" applyAlignment="1">
      <alignment horizontal="right"/>
    </xf>
    <xf numFmtId="10" fontId="42" fillId="0" borderId="0" xfId="0" applyNumberFormat="1" applyFont="1" applyFill="1"/>
    <xf numFmtId="0" fontId="42" fillId="13" borderId="25" xfId="0" applyFont="1" applyFill="1" applyBorder="1"/>
    <xf numFmtId="0" fontId="41" fillId="24" borderId="26" xfId="0" applyFont="1" applyFill="1" applyBorder="1" applyAlignment="1">
      <alignment horizontal="center"/>
    </xf>
    <xf numFmtId="0" fontId="42" fillId="0" borderId="1" xfId="0" applyFont="1" applyBorder="1"/>
    <xf numFmtId="0" fontId="42" fillId="23" borderId="27" xfId="0" applyFont="1" applyFill="1" applyBorder="1"/>
    <xf numFmtId="0" fontId="42" fillId="0" borderId="1" xfId="0" applyFont="1" applyFill="1" applyBorder="1"/>
    <xf numFmtId="2" fontId="42" fillId="0" borderId="1" xfId="0" applyNumberFormat="1" applyFont="1" applyBorder="1"/>
    <xf numFmtId="0" fontId="42" fillId="13" borderId="1" xfId="0" applyFont="1" applyFill="1" applyBorder="1"/>
    <xf numFmtId="0" fontId="42" fillId="6" borderId="1" xfId="0" applyFont="1" applyFill="1" applyBorder="1"/>
    <xf numFmtId="0" fontId="40" fillId="0" borderId="1" xfId="0" applyFont="1" applyBorder="1"/>
    <xf numFmtId="167" fontId="42" fillId="0" borderId="1" xfId="0" applyNumberFormat="1" applyFont="1" applyBorder="1"/>
    <xf numFmtId="9" fontId="46" fillId="0" borderId="1" xfId="6" applyFont="1" applyBorder="1"/>
    <xf numFmtId="0" fontId="42" fillId="0" borderId="25" xfId="0" applyFont="1" applyFill="1" applyBorder="1" applyAlignment="1">
      <alignment horizontal="left"/>
    </xf>
    <xf numFmtId="0" fontId="42" fillId="0" borderId="25" xfId="0" applyFont="1" applyBorder="1"/>
    <xf numFmtId="0" fontId="42" fillId="0" borderId="1" xfId="0" applyFont="1" applyFill="1" applyBorder="1" applyAlignment="1"/>
    <xf numFmtId="2" fontId="42" fillId="0" borderId="1" xfId="0" applyNumberFormat="1" applyFont="1" applyFill="1" applyBorder="1" applyAlignment="1">
      <alignment horizontal="center" vertical="center"/>
    </xf>
    <xf numFmtId="2" fontId="42" fillId="0" borderId="1" xfId="0" applyNumberFormat="1" applyFont="1" applyBorder="1" applyAlignment="1">
      <alignment horizontal="center" vertical="center"/>
    </xf>
    <xf numFmtId="10" fontId="42" fillId="0" borderId="1" xfId="0" applyNumberFormat="1" applyFont="1" applyBorder="1"/>
    <xf numFmtId="0" fontId="42" fillId="0" borderId="0" xfId="0" applyFont="1" applyBorder="1"/>
    <xf numFmtId="10" fontId="42" fillId="0" borderId="0" xfId="0" applyNumberFormat="1" applyFont="1" applyBorder="1"/>
    <xf numFmtId="169" fontId="42" fillId="0" borderId="0" xfId="0" applyNumberFormat="1" applyFont="1" applyBorder="1"/>
    <xf numFmtId="170" fontId="1" fillId="0" borderId="0" xfId="10" applyFont="1" applyBorder="1"/>
    <xf numFmtId="170" fontId="0" fillId="0" borderId="0" xfId="10" applyFont="1" applyBorder="1"/>
    <xf numFmtId="171" fontId="25" fillId="28" borderId="0" xfId="10" applyNumberFormat="1" applyFont="1" applyFill="1" applyBorder="1"/>
    <xf numFmtId="171" fontId="25" fillId="28" borderId="0" xfId="0" applyNumberFormat="1" applyFont="1" applyFill="1" applyBorder="1" applyAlignment="1">
      <alignment horizontal="center"/>
    </xf>
    <xf numFmtId="171" fontId="3" fillId="0" borderId="0" xfId="10" applyNumberFormat="1" applyFont="1" applyFill="1" applyBorder="1"/>
    <xf numFmtId="170" fontId="20" fillId="0" borderId="0" xfId="10" applyFont="1" applyBorder="1"/>
    <xf numFmtId="43" fontId="0" fillId="0" borderId="0" xfId="10" applyNumberFormat="1" applyFont="1" applyBorder="1"/>
    <xf numFmtId="9" fontId="6" fillId="0" borderId="1" xfId="6" applyFont="1" applyBorder="1" applyProtection="1">
      <protection hidden="1"/>
    </xf>
    <xf numFmtId="168" fontId="6" fillId="0" borderId="1" xfId="6" applyNumberFormat="1" applyFont="1" applyBorder="1" applyProtection="1">
      <protection hidden="1"/>
    </xf>
    <xf numFmtId="1" fontId="42" fillId="0" borderId="1" xfId="0" applyNumberFormat="1" applyFont="1" applyFill="1" applyBorder="1" applyAlignment="1">
      <alignment horizontal="center" vertical="center"/>
    </xf>
    <xf numFmtId="167" fontId="12" fillId="0" borderId="1" xfId="0" applyNumberFormat="1" applyFont="1" applyBorder="1" applyProtection="1">
      <protection hidden="1"/>
    </xf>
    <xf numFmtId="3" fontId="6" fillId="0" borderId="0" xfId="0" applyNumberFormat="1" applyFont="1" applyBorder="1" applyProtection="1">
      <protection hidden="1"/>
    </xf>
    <xf numFmtId="1" fontId="17" fillId="12" borderId="8" xfId="5" applyNumberFormat="1" applyAlignment="1" applyProtection="1">
      <alignment horizontal="center" vertical="center" wrapText="1"/>
      <protection locked="0"/>
    </xf>
    <xf numFmtId="9" fontId="12" fillId="0" borderId="1" xfId="0" applyNumberFormat="1" applyFont="1" applyBorder="1" applyProtection="1">
      <protection hidden="1"/>
    </xf>
    <xf numFmtId="1" fontId="12" fillId="0" borderId="2" xfId="0" applyNumberFormat="1" applyFont="1" applyBorder="1" applyProtection="1">
      <protection hidden="1"/>
    </xf>
    <xf numFmtId="0" fontId="49" fillId="0" borderId="0" xfId="0" applyFont="1" applyAlignment="1" applyProtection="1">
      <alignment horizontal="left"/>
      <protection hidden="1"/>
    </xf>
    <xf numFmtId="1" fontId="12" fillId="0" borderId="0" xfId="0" applyNumberFormat="1" applyFont="1" applyBorder="1" applyProtection="1">
      <protection hidden="1"/>
    </xf>
    <xf numFmtId="9" fontId="33" fillId="5" borderId="1" xfId="6" applyNumberFormat="1" applyFont="1" applyFill="1" applyBorder="1" applyAlignment="1">
      <alignment horizontal="center" vertical="center" wrapText="1"/>
    </xf>
    <xf numFmtId="9" fontId="12" fillId="0" borderId="0" xfId="0" applyNumberFormat="1" applyFont="1" applyProtection="1">
      <protection hidden="1"/>
    </xf>
    <xf numFmtId="0" fontId="12" fillId="0" borderId="3" xfId="0" applyFont="1" applyBorder="1" applyProtection="1">
      <protection hidden="1"/>
    </xf>
    <xf numFmtId="0" fontId="50" fillId="0" borderId="0" xfId="0" applyFont="1" applyAlignment="1">
      <alignment horizontal="left" vertical="center"/>
    </xf>
    <xf numFmtId="0" fontId="0" fillId="0" borderId="0" xfId="0" applyAlignment="1">
      <alignment horizontal="left" vertical="center"/>
    </xf>
    <xf numFmtId="171" fontId="41" fillId="24" borderId="26" xfId="0" applyNumberFormat="1" applyFont="1" applyFill="1" applyBorder="1" applyAlignment="1">
      <alignment horizontal="center"/>
    </xf>
    <xf numFmtId="0" fontId="50" fillId="0" borderId="23" xfId="0" applyFont="1" applyBorder="1" applyAlignment="1">
      <alignment horizontal="left" vertical="center"/>
    </xf>
    <xf numFmtId="9" fontId="50" fillId="0" borderId="23" xfId="0" applyNumberFormat="1" applyFont="1" applyBorder="1" applyAlignment="1">
      <alignment horizontal="left" vertical="center"/>
    </xf>
    <xf numFmtId="0" fontId="0" fillId="0" borderId="23" xfId="0" applyBorder="1" applyAlignment="1">
      <alignment horizontal="left" vertical="center"/>
    </xf>
    <xf numFmtId="0" fontId="50" fillId="6" borderId="23" xfId="0" applyFont="1" applyFill="1" applyBorder="1" applyAlignment="1">
      <alignment horizontal="left" vertical="center"/>
    </xf>
    <xf numFmtId="9" fontId="50" fillId="0" borderId="23" xfId="6" applyFont="1" applyBorder="1" applyAlignment="1">
      <alignment horizontal="left" vertical="center"/>
    </xf>
    <xf numFmtId="0" fontId="51" fillId="0" borderId="23" xfId="0" applyFont="1" applyBorder="1" applyAlignment="1">
      <alignment horizontal="left" vertical="center" wrapText="1"/>
    </xf>
    <xf numFmtId="10" fontId="12" fillId="0" borderId="2" xfId="0" applyNumberFormat="1" applyFont="1" applyFill="1" applyBorder="1" applyProtection="1">
      <protection hidden="1"/>
    </xf>
    <xf numFmtId="0" fontId="42" fillId="25" borderId="26" xfId="0" applyFont="1" applyFill="1" applyBorder="1" applyAlignment="1"/>
    <xf numFmtId="1" fontId="12" fillId="0" borderId="0" xfId="0" applyNumberFormat="1" applyFont="1" applyProtection="1">
      <protection hidden="1"/>
    </xf>
    <xf numFmtId="9" fontId="36" fillId="0" borderId="23" xfId="6" applyNumberFormat="1" applyFont="1" applyFill="1" applyBorder="1" applyAlignment="1">
      <alignment horizontal="center" vertical="center" wrapText="1"/>
    </xf>
    <xf numFmtId="167" fontId="42" fillId="23" borderId="27" xfId="0" applyNumberFormat="1" applyFont="1" applyFill="1" applyBorder="1"/>
    <xf numFmtId="166" fontId="42" fillId="23" borderId="27" xfId="7" applyNumberFormat="1" applyFont="1" applyFill="1" applyBorder="1"/>
    <xf numFmtId="168" fontId="33" fillId="5" borderId="1" xfId="6" applyNumberFormat="1" applyFont="1" applyFill="1" applyBorder="1" applyAlignment="1">
      <alignment horizontal="center" vertical="center" wrapText="1"/>
    </xf>
    <xf numFmtId="10" fontId="12" fillId="0" borderId="2" xfId="0" applyNumberFormat="1" applyFont="1" applyBorder="1" applyProtection="1">
      <protection hidden="1"/>
    </xf>
    <xf numFmtId="168" fontId="12" fillId="0" borderId="2" xfId="0" applyNumberFormat="1" applyFont="1" applyBorder="1" applyProtection="1">
      <protection hidden="1"/>
    </xf>
    <xf numFmtId="0" fontId="15" fillId="3" borderId="4" xfId="2" applyFont="1" applyBorder="1" applyAlignment="1" applyProtection="1">
      <alignment horizontal="center"/>
      <protection hidden="1"/>
    </xf>
    <xf numFmtId="9" fontId="12" fillId="0" borderId="32" xfId="6" applyFont="1" applyBorder="1" applyProtection="1">
      <protection hidden="1"/>
    </xf>
    <xf numFmtId="0" fontId="15" fillId="7" borderId="3" xfId="4" applyFont="1" applyBorder="1" applyProtection="1">
      <protection hidden="1"/>
    </xf>
    <xf numFmtId="0" fontId="12" fillId="0" borderId="3" xfId="0" applyFont="1" applyFill="1" applyBorder="1" applyProtection="1">
      <protection hidden="1"/>
    </xf>
    <xf numFmtId="0" fontId="14" fillId="0" borderId="3" xfId="0" applyFont="1" applyBorder="1" applyProtection="1">
      <protection hidden="1"/>
    </xf>
    <xf numFmtId="0" fontId="12" fillId="6" borderId="3" xfId="0" applyFont="1" applyFill="1" applyBorder="1" applyProtection="1">
      <protection hidden="1"/>
    </xf>
    <xf numFmtId="0" fontId="0" fillId="0" borderId="0" xfId="0" applyFill="1" applyBorder="1"/>
    <xf numFmtId="0" fontId="15" fillId="0" borderId="0" xfId="4" applyFont="1" applyFill="1" applyBorder="1" applyAlignment="1" applyProtection="1">
      <alignment horizontal="center"/>
      <protection hidden="1"/>
    </xf>
    <xf numFmtId="0" fontId="12" fillId="0" borderId="0" xfId="0" applyFont="1" applyFill="1" applyBorder="1" applyProtection="1">
      <protection hidden="1"/>
    </xf>
    <xf numFmtId="2" fontId="12" fillId="0" borderId="0" xfId="0" applyNumberFormat="1" applyFont="1" applyFill="1" applyBorder="1" applyProtection="1">
      <protection hidden="1"/>
    </xf>
    <xf numFmtId="9" fontId="12" fillId="0" borderId="0" xfId="0" applyNumberFormat="1" applyFont="1" applyFill="1" applyBorder="1" applyProtection="1">
      <protection hidden="1"/>
    </xf>
    <xf numFmtId="10" fontId="12" fillId="0" borderId="0" xfId="0" applyNumberFormat="1" applyFont="1" applyFill="1" applyBorder="1" applyProtection="1">
      <protection hidden="1"/>
    </xf>
    <xf numFmtId="0" fontId="13" fillId="0" borderId="0" xfId="4" applyFont="1" applyFill="1" applyBorder="1" applyAlignment="1" applyProtection="1">
      <alignment horizontal="center"/>
      <protection hidden="1"/>
    </xf>
    <xf numFmtId="168" fontId="12" fillId="0" borderId="0" xfId="0" applyNumberFormat="1" applyFont="1" applyFill="1" applyBorder="1" applyProtection="1">
      <protection hidden="1"/>
    </xf>
    <xf numFmtId="0" fontId="15" fillId="0" borderId="0" xfId="2" applyFont="1" applyFill="1" applyBorder="1" applyAlignment="1" applyProtection="1">
      <alignment horizontal="center"/>
      <protection hidden="1"/>
    </xf>
    <xf numFmtId="9" fontId="12" fillId="0" borderId="0" xfId="6" applyFont="1" applyFill="1" applyBorder="1" applyProtection="1">
      <protection hidden="1"/>
    </xf>
    <xf numFmtId="1" fontId="12" fillId="0" borderId="0" xfId="0" applyNumberFormat="1" applyFont="1" applyFill="1" applyBorder="1" applyProtection="1">
      <protection hidden="1"/>
    </xf>
    <xf numFmtId="0" fontId="42" fillId="25" borderId="26" xfId="0" applyFont="1" applyFill="1" applyBorder="1" applyAlignment="1"/>
    <xf numFmtId="9" fontId="12" fillId="0" borderId="0" xfId="6" applyFont="1" applyBorder="1" applyProtection="1">
      <protection hidden="1"/>
    </xf>
    <xf numFmtId="9" fontId="1" fillId="0" borderId="33" xfId="6" applyFont="1" applyBorder="1" applyAlignment="1" applyProtection="1">
      <protection locked="0"/>
    </xf>
    <xf numFmtId="0" fontId="50" fillId="0" borderId="23" xfId="0" applyFont="1" applyBorder="1" applyAlignment="1">
      <alignment horizontal="left" vertical="center" wrapText="1"/>
    </xf>
    <xf numFmtId="0" fontId="3" fillId="0" borderId="0" xfId="1" applyFont="1" applyFill="1" applyBorder="1" applyAlignment="1" applyProtection="1">
      <alignment horizontal="left" vertical="top"/>
      <protection locked="0"/>
    </xf>
    <xf numFmtId="0" fontId="1" fillId="13" borderId="0" xfId="0" applyFont="1" applyFill="1" applyBorder="1" applyAlignment="1" applyProtection="1">
      <alignment horizontal="center" vertical="center" wrapText="1"/>
      <protection hidden="1"/>
    </xf>
    <xf numFmtId="0" fontId="0" fillId="14" borderId="1" xfId="0" applyFill="1" applyBorder="1" applyAlignment="1" applyProtection="1">
      <alignment horizontal="left"/>
      <protection hidden="1"/>
    </xf>
    <xf numFmtId="168" fontId="0" fillId="14" borderId="1" xfId="6" applyNumberFormat="1" applyFont="1" applyFill="1" applyBorder="1" applyAlignment="1" applyProtection="1">
      <alignment horizontal="center"/>
      <protection hidden="1"/>
    </xf>
    <xf numFmtId="0" fontId="50" fillId="0" borderId="0" xfId="0" applyFont="1"/>
    <xf numFmtId="0" fontId="1" fillId="0" borderId="0" xfId="0" applyFont="1"/>
    <xf numFmtId="1" fontId="42" fillId="0" borderId="1" xfId="0" applyNumberFormat="1" applyFont="1" applyBorder="1"/>
    <xf numFmtId="9" fontId="42" fillId="0" borderId="0" xfId="6" applyFont="1"/>
    <xf numFmtId="1" fontId="42" fillId="0" borderId="1" xfId="0" applyNumberFormat="1" applyFont="1" applyFill="1" applyBorder="1"/>
    <xf numFmtId="1" fontId="42" fillId="0" borderId="0" xfId="0" applyNumberFormat="1" applyFont="1"/>
    <xf numFmtId="1" fontId="40" fillId="0" borderId="1" xfId="0" applyNumberFormat="1" applyFont="1" applyBorder="1"/>
    <xf numFmtId="0" fontId="0" fillId="6" borderId="0" xfId="0" applyFill="1"/>
    <xf numFmtId="1" fontId="0" fillId="0" borderId="0" xfId="0" applyNumberFormat="1"/>
    <xf numFmtId="0" fontId="42" fillId="6" borderId="0" xfId="0" applyFont="1" applyFill="1"/>
    <xf numFmtId="9" fontId="0" fillId="0" borderId="0" xfId="6" applyFont="1"/>
    <xf numFmtId="9" fontId="0" fillId="0" borderId="0" xfId="0" applyNumberFormat="1"/>
    <xf numFmtId="1" fontId="6" fillId="0" borderId="0" xfId="0" applyNumberFormat="1" applyFont="1" applyProtection="1">
      <protection hidden="1"/>
    </xf>
    <xf numFmtId="167" fontId="12" fillId="0" borderId="0" xfId="0" applyNumberFormat="1" applyFont="1" applyProtection="1">
      <protection hidden="1"/>
    </xf>
    <xf numFmtId="9" fontId="12" fillId="0" borderId="0" xfId="6" applyFont="1" applyProtection="1">
      <protection hidden="1"/>
    </xf>
    <xf numFmtId="168" fontId="12" fillId="0" borderId="0" xfId="6" applyNumberFormat="1" applyFont="1" applyProtection="1">
      <protection hidden="1"/>
    </xf>
    <xf numFmtId="10" fontId="12" fillId="0" borderId="0" xfId="6" applyNumberFormat="1" applyFont="1" applyProtection="1">
      <protection hidden="1"/>
    </xf>
    <xf numFmtId="0" fontId="1" fillId="0" borderId="0" xfId="0" applyFont="1" applyProtection="1">
      <protection locked="0"/>
    </xf>
    <xf numFmtId="171" fontId="0" fillId="0" borderId="0" xfId="0" applyNumberFormat="1"/>
    <xf numFmtId="171" fontId="42" fillId="0" borderId="0" xfId="0" applyNumberFormat="1" applyFont="1"/>
    <xf numFmtId="0" fontId="4" fillId="0" borderId="0" xfId="3" applyAlignment="1">
      <alignment horizontal="left" vertical="center"/>
    </xf>
    <xf numFmtId="0" fontId="42" fillId="0" borderId="0" xfId="0" applyFont="1" applyFill="1"/>
    <xf numFmtId="9" fontId="42" fillId="0" borderId="0" xfId="6" applyFont="1" applyFill="1"/>
    <xf numFmtId="0" fontId="0" fillId="0" borderId="0" xfId="0" applyFill="1"/>
    <xf numFmtId="170" fontId="0" fillId="0" borderId="0" xfId="10" applyFont="1" applyFill="1" applyBorder="1"/>
    <xf numFmtId="171" fontId="42" fillId="0" borderId="0" xfId="6" applyNumberFormat="1" applyFont="1"/>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1" fontId="42" fillId="0" borderId="0" xfId="6" applyNumberFormat="1" applyFont="1"/>
    <xf numFmtId="169" fontId="42" fillId="0" borderId="0" xfId="7" applyNumberFormat="1" applyFont="1"/>
    <xf numFmtId="166" fontId="42" fillId="0" borderId="0" xfId="7" applyNumberFormat="1" applyFont="1"/>
    <xf numFmtId="0" fontId="55" fillId="29" borderId="0" xfId="0" applyFont="1" applyFill="1" applyBorder="1" applyAlignment="1" applyProtection="1">
      <protection locked="0"/>
    </xf>
    <xf numFmtId="9" fontId="42" fillId="0" borderId="0" xfId="6" applyNumberFormat="1" applyFont="1"/>
    <xf numFmtId="0" fontId="35" fillId="6" borderId="23" xfId="9" applyFont="1" applyFill="1" applyBorder="1" applyAlignment="1">
      <alignment horizontal="left" vertical="center" wrapText="1"/>
    </xf>
    <xf numFmtId="0" fontId="0" fillId="0" borderId="0" xfId="0" applyAlignment="1">
      <alignment horizontal="left"/>
    </xf>
    <xf numFmtId="0" fontId="58" fillId="0" borderId="1" xfId="0" applyFont="1" applyBorder="1"/>
    <xf numFmtId="1" fontId="58" fillId="0" borderId="1" xfId="0" applyNumberFormat="1" applyFont="1" applyBorder="1"/>
    <xf numFmtId="0" fontId="59" fillId="0" borderId="0" xfId="0" applyFont="1" applyAlignment="1">
      <alignment wrapText="1"/>
    </xf>
    <xf numFmtId="2" fontId="42" fillId="0" borderId="0" xfId="6" applyNumberFormat="1" applyFont="1"/>
    <xf numFmtId="0" fontId="59" fillId="0" borderId="0" xfId="0" applyFont="1"/>
    <xf numFmtId="168" fontId="42" fillId="0" borderId="0" xfId="6" applyNumberFormat="1" applyFont="1"/>
    <xf numFmtId="0" fontId="55" fillId="0" borderId="0" xfId="0" applyFont="1" applyFill="1" applyBorder="1" applyAlignment="1" applyProtection="1">
      <alignment horizontal="center"/>
      <protection locked="0"/>
    </xf>
    <xf numFmtId="0" fontId="33" fillId="10" borderId="1" xfId="0" applyFont="1" applyFill="1" applyBorder="1" applyAlignment="1">
      <alignment vertical="center" wrapText="1"/>
    </xf>
    <xf numFmtId="167" fontId="42" fillId="0" borderId="0" xfId="6" applyNumberFormat="1" applyFont="1"/>
    <xf numFmtId="0" fontId="50" fillId="0" borderId="0" xfId="0" applyFont="1" applyAlignment="1">
      <alignment wrapText="1"/>
    </xf>
    <xf numFmtId="0" fontId="61" fillId="0" borderId="0" xfId="0" applyFont="1" applyAlignment="1">
      <alignment horizontal="left"/>
    </xf>
    <xf numFmtId="0" fontId="61" fillId="0" borderId="0" xfId="0" applyFont="1"/>
    <xf numFmtId="0" fontId="62" fillId="0" borderId="0" xfId="0" applyFont="1" applyAlignment="1">
      <alignment horizontal="left"/>
    </xf>
    <xf numFmtId="0" fontId="60" fillId="6" borderId="23" xfId="9" applyFont="1" applyFill="1" applyBorder="1" applyAlignment="1">
      <alignment horizontal="left" vertical="top" wrapText="1"/>
    </xf>
    <xf numFmtId="0" fontId="35" fillId="6" borderId="23" xfId="9" applyFont="1" applyFill="1" applyBorder="1" applyAlignment="1">
      <alignment horizontal="left" vertical="top" wrapText="1"/>
    </xf>
    <xf numFmtId="0" fontId="0" fillId="0" borderId="0" xfId="0" applyAlignment="1">
      <alignment horizontal="left" vertical="top"/>
    </xf>
    <xf numFmtId="0" fontId="50" fillId="0" borderId="0" xfId="0" applyFont="1" applyAlignment="1">
      <alignment horizontal="left" vertical="top" wrapText="1"/>
    </xf>
    <xf numFmtId="3" fontId="44" fillId="0" borderId="1" xfId="0" applyNumberFormat="1" applyFont="1" applyFill="1" applyBorder="1" applyAlignment="1">
      <alignment horizontal="right" vertical="center" wrapText="1"/>
    </xf>
    <xf numFmtId="0" fontId="63" fillId="0" borderId="0" xfId="0" applyFont="1"/>
    <xf numFmtId="0" fontId="34" fillId="6" borderId="2" xfId="0" applyFont="1" applyFill="1" applyBorder="1" applyAlignment="1">
      <alignment vertical="center" wrapText="1"/>
    </xf>
    <xf numFmtId="0" fontId="34" fillId="6" borderId="4" xfId="0" applyFont="1" applyFill="1" applyBorder="1" applyAlignment="1">
      <alignment vertical="center" wrapText="1"/>
    </xf>
    <xf numFmtId="0" fontId="32" fillId="15" borderId="20" xfId="0" applyFont="1" applyFill="1" applyBorder="1" applyAlignment="1">
      <alignment vertical="center" wrapText="1"/>
    </xf>
    <xf numFmtId="0" fontId="32" fillId="15" borderId="21" xfId="0" applyFont="1" applyFill="1" applyBorder="1" applyAlignment="1">
      <alignment vertical="center" wrapText="1"/>
    </xf>
    <xf numFmtId="0" fontId="51" fillId="0" borderId="0" xfId="0" applyFont="1" applyAlignment="1">
      <alignment vertical="center"/>
    </xf>
    <xf numFmtId="0" fontId="31" fillId="0" borderId="0" xfId="0" applyFont="1" applyAlignment="1">
      <alignment horizontal="left" wrapText="1"/>
    </xf>
    <xf numFmtId="0" fontId="33" fillId="15" borderId="1" xfId="0" applyFont="1" applyFill="1" applyBorder="1" applyAlignment="1">
      <alignment horizontal="left" vertical="center" wrapText="1"/>
    </xf>
    <xf numFmtId="0" fontId="33" fillId="6" borderId="2" xfId="0" applyFont="1" applyFill="1" applyBorder="1" applyAlignment="1">
      <alignment horizontal="left" wrapText="1"/>
    </xf>
    <xf numFmtId="0" fontId="33" fillId="10" borderId="1" xfId="0" applyFont="1" applyFill="1" applyBorder="1" applyAlignment="1">
      <alignment horizontal="left" vertical="center" wrapText="1"/>
    </xf>
    <xf numFmtId="0" fontId="34" fillId="6" borderId="4" xfId="0" applyFont="1" applyFill="1" applyBorder="1" applyAlignment="1">
      <alignment horizontal="left" vertical="center" wrapText="1"/>
    </xf>
    <xf numFmtId="0" fontId="65" fillId="5" borderId="1" xfId="0" applyFont="1" applyFill="1" applyBorder="1" applyAlignment="1">
      <alignment horizontal="left" vertical="center" wrapText="1"/>
    </xf>
    <xf numFmtId="0" fontId="65" fillId="5" borderId="3" xfId="0" applyFont="1" applyFill="1" applyBorder="1" applyAlignment="1">
      <alignment horizontal="left" vertical="center" wrapText="1"/>
    </xf>
    <xf numFmtId="0" fontId="65" fillId="5" borderId="1" xfId="0" applyFont="1" applyFill="1" applyBorder="1" applyAlignment="1">
      <alignment horizontal="left" vertical="top" wrapText="1"/>
    </xf>
    <xf numFmtId="0" fontId="33" fillId="10" borderId="36" xfId="0" applyFont="1" applyFill="1" applyBorder="1" applyAlignment="1">
      <alignment horizontal="left" vertical="center" wrapText="1"/>
    </xf>
    <xf numFmtId="0" fontId="33" fillId="5" borderId="1" xfId="0" applyNumberFormat="1" applyFont="1" applyFill="1" applyBorder="1" applyAlignment="1">
      <alignment horizontal="center" vertical="center" wrapText="1"/>
    </xf>
    <xf numFmtId="0" fontId="32" fillId="0" borderId="1" xfId="0" applyNumberFormat="1" applyFont="1" applyBorder="1" applyAlignment="1">
      <alignment horizontal="center" vertical="center" wrapText="1"/>
    </xf>
    <xf numFmtId="0" fontId="31" fillId="0" borderId="1" xfId="6"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33" fillId="6" borderId="1" xfId="0" applyNumberFormat="1" applyFont="1" applyFill="1" applyBorder="1" applyAlignment="1">
      <alignment horizontal="center" wrapText="1"/>
    </xf>
    <xf numFmtId="1" fontId="31" fillId="0" borderId="1" xfId="0" applyNumberFormat="1" applyFont="1" applyBorder="1" applyAlignment="1">
      <alignment horizontal="center" vertical="center" wrapText="1"/>
    </xf>
    <xf numFmtId="0" fontId="32" fillId="0" borderId="1" xfId="6" applyNumberFormat="1" applyFont="1" applyBorder="1" applyAlignment="1">
      <alignment horizontal="center" vertical="center" wrapText="1"/>
    </xf>
    <xf numFmtId="0" fontId="0" fillId="0" borderId="23" xfId="0" applyBorder="1"/>
    <xf numFmtId="0" fontId="0" fillId="0" borderId="23" xfId="0" applyNumberFormat="1" applyBorder="1"/>
    <xf numFmtId="0" fontId="66" fillId="0" borderId="23" xfId="0" applyFont="1" applyBorder="1" applyAlignment="1">
      <alignment vertical="center"/>
    </xf>
    <xf numFmtId="9" fontId="50" fillId="0" borderId="23" xfId="6" applyNumberFormat="1" applyFont="1" applyBorder="1"/>
    <xf numFmtId="0" fontId="50" fillId="0" borderId="23" xfId="6" applyNumberFormat="1" applyFont="1" applyBorder="1"/>
    <xf numFmtId="0" fontId="55" fillId="0" borderId="0" xfId="0" applyFont="1" applyFill="1" applyBorder="1" applyAlignment="1" applyProtection="1">
      <protection locked="0"/>
    </xf>
    <xf numFmtId="0" fontId="35" fillId="21" borderId="23" xfId="9" applyFont="1" applyFill="1" applyBorder="1" applyAlignment="1">
      <alignment vertical="center" wrapText="1"/>
    </xf>
    <xf numFmtId="0" fontId="35" fillId="6" borderId="23" xfId="9" applyFont="1" applyFill="1" applyBorder="1" applyAlignment="1">
      <alignment vertical="center" wrapText="1"/>
    </xf>
    <xf numFmtId="9" fontId="50" fillId="0" borderId="23" xfId="6" applyNumberFormat="1" applyFont="1" applyBorder="1" applyAlignment="1">
      <alignment horizontal="left"/>
    </xf>
    <xf numFmtId="2" fontId="50" fillId="0" borderId="23" xfId="6" applyNumberFormat="1" applyFont="1" applyBorder="1" applyAlignment="1">
      <alignment horizontal="left"/>
    </xf>
    <xf numFmtId="167" fontId="50" fillId="0" borderId="23" xfId="6" applyNumberFormat="1" applyFont="1" applyBorder="1" applyAlignment="1">
      <alignment horizontal="left"/>
    </xf>
    <xf numFmtId="1" fontId="50" fillId="0" borderId="23" xfId="6" applyNumberFormat="1" applyFont="1" applyBorder="1" applyAlignment="1">
      <alignment horizontal="left"/>
    </xf>
    <xf numFmtId="0" fontId="51" fillId="0" borderId="23" xfId="0" applyFont="1" applyBorder="1" applyAlignment="1">
      <alignment vertical="center"/>
    </xf>
    <xf numFmtId="0" fontId="51" fillId="0" borderId="23" xfId="0" applyFont="1" applyBorder="1" applyAlignment="1">
      <alignment horizontal="left" vertical="center"/>
    </xf>
    <xf numFmtId="0" fontId="50" fillId="0" borderId="23" xfId="0" applyFont="1" applyBorder="1" applyAlignment="1">
      <alignment horizontal="left"/>
    </xf>
    <xf numFmtId="0" fontId="50" fillId="0" borderId="23" xfId="0" applyFont="1" applyBorder="1" applyAlignment="1">
      <alignment horizontal="left" vertical="top" wrapText="1"/>
    </xf>
    <xf numFmtId="9" fontId="50" fillId="0" borderId="23" xfId="0" applyNumberFormat="1" applyFont="1" applyBorder="1" applyAlignment="1">
      <alignment horizontal="left" vertical="top" wrapText="1"/>
    </xf>
    <xf numFmtId="9" fontId="50" fillId="0" borderId="23" xfId="6" applyFont="1" applyBorder="1" applyAlignment="1">
      <alignment horizontal="left" vertical="top" wrapText="1"/>
    </xf>
    <xf numFmtId="0" fontId="0" fillId="0" borderId="23" xfId="0" applyBorder="1" applyAlignment="1">
      <alignment horizontal="left" vertical="top"/>
    </xf>
    <xf numFmtId="0" fontId="68" fillId="0" borderId="0" xfId="0" applyFont="1" applyAlignment="1">
      <alignment horizontal="left" vertical="top" wrapText="1"/>
    </xf>
    <xf numFmtId="168" fontId="50" fillId="0" borderId="39" xfId="0" applyNumberFormat="1" applyFont="1" applyBorder="1" applyAlignment="1">
      <alignment horizontal="left" vertical="center"/>
    </xf>
    <xf numFmtId="0" fontId="66" fillId="0" borderId="39" xfId="0" applyFont="1" applyBorder="1" applyAlignment="1">
      <alignment horizontal="left" vertical="center"/>
    </xf>
    <xf numFmtId="9" fontId="0" fillId="0" borderId="39" xfId="0" applyNumberFormat="1" applyBorder="1" applyAlignment="1">
      <alignment horizontal="left" vertical="center"/>
    </xf>
    <xf numFmtId="9" fontId="50" fillId="0" borderId="39" xfId="0" applyNumberFormat="1" applyFont="1" applyBorder="1" applyAlignment="1">
      <alignment horizontal="left" vertical="center"/>
    </xf>
    <xf numFmtId="0" fontId="1" fillId="0" borderId="0" xfId="0" applyFont="1" applyAlignment="1">
      <alignment horizontal="right" vertical="center"/>
    </xf>
    <xf numFmtId="171" fontId="66" fillId="0" borderId="39" xfId="0" applyNumberFormat="1" applyFont="1" applyBorder="1" applyAlignment="1">
      <alignment horizontal="left" vertical="center"/>
    </xf>
    <xf numFmtId="0" fontId="1" fillId="6" borderId="39" xfId="0" applyFont="1" applyFill="1" applyBorder="1" applyAlignment="1">
      <alignment horizontal="left" vertical="center"/>
    </xf>
    <xf numFmtId="2" fontId="12" fillId="0" borderId="1" xfId="0" applyNumberFormat="1" applyFont="1" applyFill="1" applyBorder="1" applyProtection="1">
      <protection hidden="1"/>
    </xf>
    <xf numFmtId="0" fontId="55" fillId="29" borderId="0" xfId="0" applyFont="1" applyFill="1" applyBorder="1" applyAlignment="1" applyProtection="1">
      <alignment horizontal="left"/>
      <protection locked="0"/>
    </xf>
    <xf numFmtId="1" fontId="46" fillId="0" borderId="1" xfId="6" applyNumberFormat="1" applyFont="1" applyBorder="1"/>
    <xf numFmtId="1" fontId="42" fillId="0" borderId="25" xfId="0" applyNumberFormat="1" applyFont="1" applyBorder="1"/>
    <xf numFmtId="166" fontId="42" fillId="0" borderId="25" xfId="7" applyNumberFormat="1" applyFont="1" applyBorder="1"/>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0" xfId="7" applyNumberFormat="1" applyFont="1" applyBorder="1" applyAlignment="1">
      <alignment horizontal="center" vertical="center"/>
    </xf>
    <xf numFmtId="1" fontId="42" fillId="6" borderId="1" xfId="0" applyNumberFormat="1" applyFont="1" applyFill="1" applyBorder="1"/>
    <xf numFmtId="1" fontId="0" fillId="0" borderId="0" xfId="0" applyNumberFormat="1" applyFill="1"/>
    <xf numFmtId="0" fontId="42" fillId="6" borderId="24" xfId="0" applyFont="1" applyFill="1" applyBorder="1" applyAlignment="1">
      <alignment horizontal="left" wrapText="1"/>
    </xf>
    <xf numFmtId="4" fontId="44" fillId="6" borderId="1" xfId="0" applyNumberFormat="1" applyFont="1" applyFill="1" applyBorder="1" applyAlignment="1">
      <alignment horizontal="right" vertical="center" wrapText="1"/>
    </xf>
    <xf numFmtId="3" fontId="44" fillId="6" borderId="1" xfId="0" applyNumberFormat="1" applyFont="1" applyFill="1" applyBorder="1" applyAlignment="1">
      <alignment horizontal="right" vertical="center" wrapText="1"/>
    </xf>
    <xf numFmtId="0" fontId="1" fillId="30" borderId="0" xfId="0" applyFont="1" applyFill="1" applyAlignment="1" applyProtection="1">
      <alignment horizontal="left" vertical="center"/>
      <protection locked="0"/>
    </xf>
    <xf numFmtId="9" fontId="1" fillId="14" borderId="1" xfId="6" applyNumberFormat="1" applyFont="1" applyFill="1" applyBorder="1" applyAlignment="1" applyProtection="1">
      <alignment horizontal="center"/>
      <protection hidden="1"/>
    </xf>
    <xf numFmtId="0" fontId="50" fillId="0" borderId="39" xfId="0" applyFont="1" applyBorder="1" applyAlignment="1">
      <alignment horizontal="left" vertical="center" wrapText="1"/>
    </xf>
    <xf numFmtId="0" fontId="12" fillId="6" borderId="0" xfId="0" applyFont="1" applyFill="1" applyProtection="1">
      <protection hidden="1"/>
    </xf>
    <xf numFmtId="0" fontId="15" fillId="7" borderId="3" xfId="4" applyFont="1" applyBorder="1" applyAlignment="1" applyProtection="1">
      <alignment vertical="center"/>
      <protection hidden="1"/>
    </xf>
    <xf numFmtId="0" fontId="15" fillId="7" borderId="1" xfId="4" applyFont="1" applyBorder="1" applyAlignment="1" applyProtection="1">
      <alignment vertical="center"/>
      <protection hidden="1"/>
    </xf>
    <xf numFmtId="0" fontId="12" fillId="0" borderId="0" xfId="0" applyFont="1" applyAlignment="1" applyProtection="1">
      <alignment vertical="center"/>
      <protection hidden="1"/>
    </xf>
    <xf numFmtId="2" fontId="12" fillId="0" borderId="1" xfId="0" applyNumberFormat="1" applyFont="1" applyBorder="1" applyAlignment="1" applyProtection="1">
      <alignment vertical="center"/>
      <protection hidden="1"/>
    </xf>
    <xf numFmtId="2" fontId="12" fillId="0" borderId="1" xfId="0" applyNumberFormat="1" applyFont="1" applyFill="1" applyBorder="1" applyAlignment="1" applyProtection="1">
      <alignment vertical="center"/>
      <protection hidden="1"/>
    </xf>
    <xf numFmtId="0" fontId="12" fillId="0" borderId="1" xfId="0" applyFont="1" applyBorder="1" applyAlignment="1" applyProtection="1">
      <alignment vertical="center"/>
      <protection hidden="1"/>
    </xf>
    <xf numFmtId="0" fontId="12" fillId="0" borderId="3" xfId="0" applyFont="1" applyBorder="1" applyAlignment="1" applyProtection="1">
      <alignment vertical="center"/>
      <protection hidden="1"/>
    </xf>
    <xf numFmtId="9" fontId="12" fillId="0" borderId="1" xfId="0" applyNumberFormat="1" applyFont="1" applyBorder="1" applyAlignment="1" applyProtection="1">
      <alignment vertical="center"/>
      <protection hidden="1"/>
    </xf>
    <xf numFmtId="166" fontId="12" fillId="6" borderId="1" xfId="7" applyNumberFormat="1" applyFont="1" applyFill="1" applyBorder="1" applyAlignment="1" applyProtection="1">
      <alignment vertical="center"/>
      <protection hidden="1"/>
    </xf>
    <xf numFmtId="9" fontId="12" fillId="6" borderId="1" xfId="0" applyNumberFormat="1" applyFont="1" applyFill="1" applyBorder="1" applyAlignment="1" applyProtection="1">
      <alignment vertical="center"/>
      <protection hidden="1"/>
    </xf>
    <xf numFmtId="1" fontId="12" fillId="6" borderId="1" xfId="0" applyNumberFormat="1" applyFont="1" applyFill="1" applyBorder="1" applyAlignment="1" applyProtection="1">
      <alignment vertical="center"/>
      <protection hidden="1"/>
    </xf>
    <xf numFmtId="166" fontId="12" fillId="0" borderId="1" xfId="7" applyNumberFormat="1" applyFont="1" applyBorder="1" applyAlignment="1" applyProtection="1">
      <alignment vertical="center"/>
      <protection hidden="1"/>
    </xf>
    <xf numFmtId="168" fontId="12" fillId="6" borderId="1" xfId="6" applyNumberFormat="1" applyFont="1" applyFill="1" applyBorder="1" applyAlignment="1" applyProtection="1">
      <alignment vertical="center"/>
      <protection hidden="1"/>
    </xf>
    <xf numFmtId="168" fontId="12" fillId="0" borderId="1" xfId="6" applyNumberFormat="1" applyFont="1" applyBorder="1" applyAlignment="1" applyProtection="1">
      <alignment vertical="center"/>
      <protection hidden="1"/>
    </xf>
    <xf numFmtId="1" fontId="12" fillId="0" borderId="1" xfId="0" applyNumberFormat="1" applyFont="1" applyBorder="1" applyAlignment="1" applyProtection="1">
      <alignment vertical="center"/>
      <protection hidden="1"/>
    </xf>
    <xf numFmtId="167" fontId="12" fillId="0" borderId="1" xfId="0" applyNumberFormat="1" applyFont="1" applyBorder="1" applyAlignment="1" applyProtection="1">
      <alignment vertical="center"/>
      <protection hidden="1"/>
    </xf>
    <xf numFmtId="169" fontId="12" fillId="0" borderId="1" xfId="7" applyNumberFormat="1" applyFont="1" applyBorder="1" applyAlignment="1" applyProtection="1">
      <alignment vertical="center"/>
      <protection hidden="1"/>
    </xf>
    <xf numFmtId="0" fontId="70" fillId="0" borderId="1" xfId="0" applyFont="1" applyBorder="1" applyAlignment="1" applyProtection="1">
      <alignment vertical="center"/>
      <protection hidden="1"/>
    </xf>
    <xf numFmtId="168" fontId="70" fillId="0" borderId="1" xfId="0" applyNumberFormat="1" applyFont="1" applyFill="1" applyBorder="1" applyProtection="1">
      <protection hidden="1"/>
    </xf>
    <xf numFmtId="168" fontId="70" fillId="0" borderId="1" xfId="0" applyNumberFormat="1" applyFont="1" applyBorder="1" applyProtection="1">
      <protection hidden="1"/>
    </xf>
    <xf numFmtId="9" fontId="70" fillId="0" borderId="1" xfId="6" applyFont="1" applyBorder="1" applyAlignment="1" applyProtection="1">
      <alignment vertical="center"/>
      <protection hidden="1"/>
    </xf>
    <xf numFmtId="168" fontId="14" fillId="0" borderId="1" xfId="6" applyNumberFormat="1" applyFont="1" applyBorder="1" applyAlignment="1" applyProtection="1">
      <alignment vertical="center"/>
      <protection hidden="1"/>
    </xf>
    <xf numFmtId="9" fontId="12" fillId="0" borderId="1" xfId="0" applyNumberFormat="1" applyFont="1" applyFill="1" applyBorder="1" applyAlignment="1" applyProtection="1">
      <alignment vertical="center"/>
      <protection hidden="1"/>
    </xf>
    <xf numFmtId="9" fontId="70" fillId="0" borderId="1" xfId="6" applyNumberFormat="1" applyFont="1" applyBorder="1" applyAlignment="1" applyProtection="1">
      <alignment vertical="center"/>
      <protection hidden="1"/>
    </xf>
    <xf numFmtId="168" fontId="12" fillId="0" borderId="1" xfId="0" applyNumberFormat="1" applyFont="1" applyBorder="1" applyAlignment="1" applyProtection="1">
      <alignment vertical="center"/>
      <protection hidden="1"/>
    </xf>
    <xf numFmtId="1" fontId="12" fillId="0" borderId="1" xfId="0" applyNumberFormat="1" applyFont="1" applyBorder="1" applyProtection="1">
      <protection hidden="1"/>
    </xf>
    <xf numFmtId="168" fontId="1" fillId="0" borderId="33" xfId="6" applyNumberFormat="1" applyFont="1" applyBorder="1" applyAlignment="1" applyProtection="1">
      <protection locked="0"/>
    </xf>
    <xf numFmtId="168" fontId="1" fillId="0" borderId="34" xfId="6" applyNumberFormat="1" applyFont="1" applyBorder="1" applyAlignment="1" applyProtection="1">
      <protection locked="0"/>
    </xf>
    <xf numFmtId="2" fontId="66" fillId="30" borderId="40" xfId="6" applyNumberFormat="1" applyFont="1" applyFill="1" applyBorder="1" applyAlignment="1">
      <alignment horizontal="left" vertical="center"/>
    </xf>
    <xf numFmtId="2" fontId="66" fillId="30" borderId="0" xfId="6" applyNumberFormat="1" applyFont="1" applyFill="1" applyBorder="1" applyAlignment="1">
      <alignment horizontal="left" vertical="center"/>
    </xf>
    <xf numFmtId="0" fontId="3" fillId="0" borderId="0" xfId="1" applyFont="1" applyFill="1" applyBorder="1" applyAlignment="1" applyProtection="1">
      <alignment horizontal="left" vertical="top"/>
      <protection locked="0"/>
    </xf>
    <xf numFmtId="0" fontId="10" fillId="8" borderId="0" xfId="0" applyFont="1" applyFill="1" applyAlignment="1" applyProtection="1">
      <alignment horizontal="center"/>
      <protection locked="0"/>
    </xf>
    <xf numFmtId="0" fontId="1" fillId="0" borderId="33"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0" fillId="0" borderId="0" xfId="0" applyAlignment="1" applyProtection="1">
      <alignment horizontal="center"/>
      <protection locked="0"/>
    </xf>
    <xf numFmtId="0" fontId="15" fillId="7" borderId="2" xfId="4" applyFont="1" applyBorder="1" applyAlignment="1" applyProtection="1">
      <alignment horizontal="center"/>
      <protection hidden="1"/>
    </xf>
    <xf numFmtId="0" fontId="15" fillId="7" borderId="3" xfId="4" applyFont="1" applyBorder="1" applyAlignment="1" applyProtection="1">
      <alignment horizontal="center"/>
      <protection hidden="1"/>
    </xf>
    <xf numFmtId="0" fontId="13" fillId="7" borderId="2" xfId="4" applyFont="1" applyBorder="1" applyAlignment="1" applyProtection="1">
      <alignment horizontal="center"/>
      <protection hidden="1"/>
    </xf>
    <xf numFmtId="0" fontId="13" fillId="7" borderId="3" xfId="4" applyFont="1" applyBorder="1" applyAlignment="1" applyProtection="1">
      <alignment horizontal="center"/>
      <protection hidden="1"/>
    </xf>
    <xf numFmtId="0" fontId="19" fillId="13" borderId="0" xfId="2" applyFont="1" applyFill="1" applyAlignment="1" applyProtection="1">
      <alignment horizontal="center" vertical="center"/>
      <protection hidden="1"/>
    </xf>
    <xf numFmtId="0" fontId="11" fillId="0" borderId="0" xfId="3" applyFont="1" applyAlignment="1" applyProtection="1">
      <alignment horizontal="center" vertical="center"/>
      <protection hidden="1"/>
    </xf>
    <xf numFmtId="0" fontId="25" fillId="7" borderId="1" xfId="4" applyFont="1" applyBorder="1" applyAlignment="1" applyProtection="1">
      <alignment horizontal="center" vertical="center"/>
      <protection hidden="1"/>
    </xf>
    <xf numFmtId="0" fontId="15" fillId="7" borderId="1" xfId="4" applyFont="1" applyBorder="1" applyAlignment="1" applyProtection="1">
      <alignment horizontal="center" vertical="center"/>
      <protection hidden="1"/>
    </xf>
    <xf numFmtId="0" fontId="33" fillId="10" borderId="35" xfId="0" applyFont="1" applyFill="1" applyBorder="1" applyAlignment="1">
      <alignment horizontal="left" vertical="center" wrapText="1"/>
    </xf>
    <xf numFmtId="0" fontId="33" fillId="10" borderId="36" xfId="0" applyFont="1" applyFill="1" applyBorder="1" applyAlignment="1">
      <alignment horizontal="left" vertical="center" wrapText="1"/>
    </xf>
    <xf numFmtId="0" fontId="33" fillId="10" borderId="22" xfId="0" applyFont="1" applyFill="1" applyBorder="1" applyAlignment="1">
      <alignment horizontal="left" vertical="center" wrapText="1"/>
    </xf>
    <xf numFmtId="0" fontId="55" fillId="29" borderId="0" xfId="0" applyFont="1" applyFill="1" applyBorder="1" applyAlignment="1" applyProtection="1">
      <alignment horizontal="center"/>
      <protection locked="0"/>
    </xf>
    <xf numFmtId="0" fontId="55" fillId="29" borderId="0" xfId="0" applyFont="1" applyFill="1" applyBorder="1" applyAlignment="1" applyProtection="1">
      <alignment horizontal="left"/>
      <protection locked="0"/>
    </xf>
    <xf numFmtId="0" fontId="64" fillId="0" borderId="0" xfId="0" applyFont="1" applyAlignment="1">
      <alignment horizontal="left" wrapText="1"/>
    </xf>
    <xf numFmtId="0" fontId="67" fillId="0" borderId="0" xfId="0" applyFont="1" applyAlignment="1">
      <alignment horizontal="left" wrapText="1"/>
    </xf>
    <xf numFmtId="0" fontId="55" fillId="0" borderId="0" xfId="0" applyFont="1" applyFill="1" applyBorder="1" applyAlignment="1" applyProtection="1">
      <alignment horizontal="center"/>
      <protection locked="0"/>
    </xf>
    <xf numFmtId="0" fontId="69" fillId="0" borderId="0" xfId="0" applyFont="1" applyAlignment="1">
      <alignment horizontal="left" vertical="center" wrapText="1"/>
    </xf>
    <xf numFmtId="0" fontId="51" fillId="15" borderId="0" xfId="0" applyFont="1" applyFill="1" applyAlignment="1">
      <alignment horizontal="left" wrapText="1"/>
    </xf>
    <xf numFmtId="0" fontId="35" fillId="21" borderId="37" xfId="9" applyFont="1" applyFill="1" applyBorder="1" applyAlignment="1">
      <alignment horizontal="left" vertical="center"/>
    </xf>
    <xf numFmtId="0" fontId="35" fillId="21" borderId="38" xfId="9" applyFont="1" applyFill="1" applyBorder="1" applyAlignment="1">
      <alignment horizontal="left" vertical="center"/>
    </xf>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18" xfId="7" applyNumberFormat="1" applyFont="1" applyBorder="1" applyAlignment="1">
      <alignment horizontal="center" vertical="center"/>
    </xf>
    <xf numFmtId="166" fontId="0" fillId="0" borderId="0" xfId="7" applyNumberFormat="1" applyFont="1" applyBorder="1" applyAlignment="1">
      <alignment horizontal="center" vertical="center"/>
    </xf>
    <xf numFmtId="0" fontId="29" fillId="0" borderId="0" xfId="0" applyFont="1" applyAlignment="1">
      <alignment horizontal="center" vertical="center"/>
    </xf>
    <xf numFmtId="9" fontId="0" fillId="0" borderId="0" xfId="6" applyFont="1" applyBorder="1" applyAlignment="1">
      <alignment horizontal="center"/>
    </xf>
    <xf numFmtId="9" fontId="0" fillId="0" borderId="19" xfId="6" applyFont="1" applyBorder="1" applyAlignment="1">
      <alignment horizont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67" fillId="0" borderId="0" xfId="0" applyFont="1" applyAlignment="1">
      <alignment horizontal="left" vertical="center" wrapText="1"/>
    </xf>
    <xf numFmtId="0" fontId="67" fillId="0" borderId="0" xfId="0" applyFont="1" applyAlignment="1">
      <alignment horizontal="left"/>
    </xf>
    <xf numFmtId="0" fontId="68" fillId="0" borderId="0" xfId="0" applyFont="1" applyAlignment="1">
      <alignment horizontal="left" vertical="top" wrapText="1"/>
    </xf>
    <xf numFmtId="0" fontId="55" fillId="29" borderId="0" xfId="0" applyFont="1" applyFill="1" applyBorder="1" applyAlignment="1" applyProtection="1">
      <alignment horizontal="left" vertical="top" wrapText="1"/>
      <protection locked="0"/>
    </xf>
    <xf numFmtId="0" fontId="55" fillId="29" borderId="0" xfId="0" applyFont="1" applyFill="1" applyBorder="1" applyAlignment="1" applyProtection="1">
      <alignment horizontal="left" vertical="top"/>
      <protection locked="0"/>
    </xf>
    <xf numFmtId="0" fontId="9" fillId="0" borderId="0" xfId="3" applyFont="1" applyBorder="1" applyAlignment="1" applyProtection="1">
      <alignment horizontal="center"/>
      <protection hidden="1"/>
    </xf>
    <xf numFmtId="0" fontId="6" fillId="0" borderId="0" xfId="0" applyFont="1" applyBorder="1" applyAlignment="1" applyProtection="1">
      <alignment horizontal="center"/>
      <protection hidden="1"/>
    </xf>
    <xf numFmtId="0" fontId="2" fillId="3" borderId="5" xfId="2" applyBorder="1" applyAlignment="1" applyProtection="1">
      <alignment horizontal="center"/>
      <protection hidden="1"/>
    </xf>
    <xf numFmtId="0" fontId="7" fillId="9" borderId="0" xfId="0" applyFont="1" applyFill="1" applyAlignment="1" applyProtection="1">
      <alignment horizontal="center"/>
      <protection locked="0"/>
    </xf>
    <xf numFmtId="0" fontId="6" fillId="10" borderId="0" xfId="0" applyFont="1" applyFill="1" applyAlignment="1" applyProtection="1">
      <alignment horizontal="center"/>
      <protection locked="0"/>
    </xf>
    <xf numFmtId="0" fontId="7" fillId="11" borderId="0" xfId="0" applyFont="1" applyFill="1" applyAlignment="1" applyProtection="1">
      <alignment horizontal="center"/>
      <protection locked="0"/>
    </xf>
    <xf numFmtId="0" fontId="2" fillId="7" borderId="2" xfId="4" applyBorder="1" applyAlignment="1" applyProtection="1">
      <alignment horizontal="center"/>
      <protection hidden="1"/>
    </xf>
    <xf numFmtId="0" fontId="2" fillId="7" borderId="4" xfId="4" applyBorder="1" applyAlignment="1" applyProtection="1">
      <alignment horizontal="center"/>
      <protection hidden="1"/>
    </xf>
    <xf numFmtId="0" fontId="2" fillId="7" borderId="3" xfId="4" applyBorder="1" applyAlignment="1" applyProtection="1">
      <alignment horizontal="center"/>
      <protection hidden="1"/>
    </xf>
    <xf numFmtId="0" fontId="1" fillId="0" borderId="0" xfId="0" applyFont="1" applyAlignment="1">
      <alignment horizontal="center"/>
    </xf>
    <xf numFmtId="0" fontId="24" fillId="0" borderId="10" xfId="5" applyFont="1" applyFill="1" applyBorder="1" applyAlignment="1">
      <alignment horizontal="center" wrapText="1"/>
    </xf>
    <xf numFmtId="0" fontId="24" fillId="0" borderId="11" xfId="5" applyFont="1" applyFill="1" applyBorder="1" applyAlignment="1">
      <alignment horizontal="center" wrapText="1"/>
    </xf>
    <xf numFmtId="0" fontId="24" fillId="0" borderId="0" xfId="5" applyFont="1" applyFill="1" applyBorder="1" applyAlignment="1">
      <alignment horizontal="center" wrapText="1"/>
    </xf>
    <xf numFmtId="0" fontId="24" fillId="0" borderId="9" xfId="5" applyFont="1" applyFill="1" applyBorder="1" applyAlignment="1">
      <alignment horizontal="center" wrapText="1"/>
    </xf>
    <xf numFmtId="0" fontId="2" fillId="3" borderId="0" xfId="2" applyAlignment="1">
      <alignment horizontal="center" wrapText="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5" fillId="4" borderId="16" xfId="0" applyFont="1" applyFill="1" applyBorder="1" applyAlignment="1">
      <alignment horizontal="center"/>
    </xf>
    <xf numFmtId="0" fontId="42" fillId="25" borderId="27" xfId="0" applyFont="1" applyFill="1" applyBorder="1" applyAlignment="1"/>
    <xf numFmtId="0" fontId="41" fillId="22" borderId="0" xfId="0" applyFont="1" applyFill="1" applyBorder="1" applyAlignment="1">
      <alignment horizontal="center"/>
    </xf>
    <xf numFmtId="0" fontId="42" fillId="25" borderId="24" xfId="0" applyFont="1" applyFill="1" applyBorder="1" applyAlignment="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25" borderId="31" xfId="0" applyFont="1" applyFill="1" applyBorder="1" applyAlignment="1"/>
    <xf numFmtId="170" fontId="48" fillId="0" borderId="0" xfId="11" applyNumberFormat="1" applyBorder="1" applyAlignment="1" applyProtection="1">
      <alignment horizontal="center"/>
    </xf>
    <xf numFmtId="170" fontId="25" fillId="18" borderId="0" xfId="8" applyNumberFormat="1" applyFont="1" applyBorder="1" applyAlignment="1">
      <alignment horizontal="center"/>
    </xf>
  </cellXfs>
  <cellStyles count="12">
    <cellStyle name="Accent1" xfId="1" builtinId="29"/>
    <cellStyle name="Accent3" xfId="4" builtinId="37"/>
    <cellStyle name="Accent4" xfId="2" builtinId="41"/>
    <cellStyle name="Accent6" xfId="8" builtinId="49"/>
    <cellStyle name="Comma" xfId="7" builtinId="3"/>
    <cellStyle name="Comma 2" xfId="10"/>
    <cellStyle name="Hyperlink" xfId="3" builtinId="8"/>
    <cellStyle name="Hyperlink 2" xfId="11"/>
    <cellStyle name="Input" xfId="5" builtinId="20"/>
    <cellStyle name="Normal" xfId="0" builtinId="0"/>
    <cellStyle name="Normal 2" xfId="9"/>
    <cellStyle name="Percent" xfId="6" builtinId="5"/>
  </cellStyles>
  <dxfs count="4">
    <dxf>
      <font>
        <b/>
        <i val="0"/>
        <color theme="0"/>
      </font>
      <fill>
        <patternFill>
          <bgColor theme="5"/>
        </patternFill>
      </fill>
    </dxf>
    <dxf>
      <font>
        <b/>
        <i val="0"/>
        <color theme="0"/>
      </font>
      <fill>
        <patternFill>
          <bgColor theme="5"/>
        </patternFill>
      </fill>
    </dxf>
    <dxf>
      <font>
        <b/>
        <i val="0"/>
        <color theme="0"/>
      </font>
      <fill>
        <patternFill>
          <bgColor theme="5"/>
        </patternFill>
      </fill>
    </dxf>
    <dxf>
      <fill>
        <patternFill>
          <bgColor rgb="FF00B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07367032108087"/>
          <c:y val="0.20476404806845408"/>
          <c:w val="0.73114081377384943"/>
          <c:h val="0.63001023434251691"/>
        </c:manualLayout>
      </c:layout>
      <c:barChart>
        <c:barDir val="bar"/>
        <c:grouping val="clustered"/>
        <c:varyColors val="0"/>
        <c:ser>
          <c:idx val="1"/>
          <c:order val="0"/>
          <c:tx>
            <c:strRef>
              <c:f>Valuation_Table!$A$26</c:f>
              <c:strCache>
                <c:ptCount val="1"/>
                <c:pt idx="0">
                  <c:v>Historical Earnings Growth</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Historical Basis</c:v>
              </c:pt>
            </c:strLit>
          </c:cat>
          <c:val>
            <c:numRef>
              <c:f>Valuation_Table!$B$26</c:f>
              <c:numCache>
                <c:formatCode>0</c:formatCode>
                <c:ptCount val="1"/>
                <c:pt idx="0">
                  <c:v>958.87553701642253</c:v>
                </c:pt>
              </c:numCache>
            </c:numRef>
          </c:val>
        </c:ser>
        <c:ser>
          <c:idx val="2"/>
          <c:order val="1"/>
          <c:tx>
            <c:strRef>
              <c:f>Valuation_Table!$A$25</c:f>
              <c:strCache>
                <c:ptCount val="1"/>
                <c:pt idx="0">
                  <c:v>P E/B Valuation</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Historical Basis</c:v>
              </c:pt>
            </c:strLit>
          </c:cat>
          <c:val>
            <c:numRef>
              <c:f>Valuation_Table!$B$25</c:f>
              <c:numCache>
                <c:formatCode>0</c:formatCode>
                <c:ptCount val="1"/>
                <c:pt idx="0">
                  <c:v>491.86338764713167</c:v>
                </c:pt>
              </c:numCache>
            </c:numRef>
          </c:val>
        </c:ser>
        <c:dLbls>
          <c:dLblPos val="outEnd"/>
          <c:showLegendKey val="0"/>
          <c:showVal val="1"/>
          <c:showCatName val="0"/>
          <c:showSerName val="0"/>
          <c:showPercent val="0"/>
          <c:showBubbleSize val="0"/>
        </c:dLbls>
        <c:gapWidth val="150"/>
        <c:axId val="1751200320"/>
        <c:axId val="1751210112"/>
      </c:barChart>
      <c:catAx>
        <c:axId val="1751200320"/>
        <c:scaling>
          <c:orientation val="minMax"/>
        </c:scaling>
        <c:delete val="0"/>
        <c:axPos val="l"/>
        <c:majorGridlines/>
        <c:numFmt formatCode="General" sourceLinked="0"/>
        <c:majorTickMark val="out"/>
        <c:minorTickMark val="none"/>
        <c:tickLblPos val="nextTo"/>
        <c:crossAx val="1751210112"/>
        <c:crosses val="autoZero"/>
        <c:auto val="1"/>
        <c:lblAlgn val="ctr"/>
        <c:lblOffset val="100"/>
        <c:noMultiLvlLbl val="0"/>
      </c:catAx>
      <c:valAx>
        <c:axId val="1751210112"/>
        <c:scaling>
          <c:orientation val="minMax"/>
        </c:scaling>
        <c:delete val="1"/>
        <c:axPos val="b"/>
        <c:numFmt formatCode="0" sourceLinked="1"/>
        <c:majorTickMark val="out"/>
        <c:minorTickMark val="none"/>
        <c:tickLblPos val="nextTo"/>
        <c:crossAx val="1751200320"/>
        <c:crosses val="autoZero"/>
        <c:crossBetween val="between"/>
      </c:valAx>
      <c:spPr>
        <a:noFill/>
        <a:ln w="25400">
          <a:no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Output.v0'!$A$192</c:f>
              <c:strCache>
                <c:ptCount val="1"/>
                <c:pt idx="0">
                  <c:v>NP</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Output.v0'!$D$192:$L$192</c:f>
              <c:numCache>
                <c:formatCode>0</c:formatCode>
                <c:ptCount val="9"/>
                <c:pt idx="0">
                  <c:v>64.58</c:v>
                </c:pt>
                <c:pt idx="1">
                  <c:v>62.1</c:v>
                </c:pt>
                <c:pt idx="2">
                  <c:v>54.96</c:v>
                </c:pt>
                <c:pt idx="3">
                  <c:v>72.17</c:v>
                </c:pt>
                <c:pt idx="4">
                  <c:v>48.91</c:v>
                </c:pt>
                <c:pt idx="5">
                  <c:v>56.95</c:v>
                </c:pt>
                <c:pt idx="6">
                  <c:v>53.11</c:v>
                </c:pt>
                <c:pt idx="7">
                  <c:v>69.63</c:v>
                </c:pt>
                <c:pt idx="8">
                  <c:v>45.37</c:v>
                </c:pt>
              </c:numCache>
            </c:numRef>
          </c:val>
        </c:ser>
        <c:dLbls>
          <c:dLblPos val="inEnd"/>
          <c:showLegendKey val="0"/>
          <c:showVal val="1"/>
          <c:showCatName val="0"/>
          <c:showSerName val="0"/>
          <c:showPercent val="0"/>
          <c:showBubbleSize val="0"/>
        </c:dLbls>
        <c:gapWidth val="41"/>
        <c:axId val="1941914576"/>
        <c:axId val="1941912400"/>
      </c:barChart>
      <c:lineChart>
        <c:grouping val="standard"/>
        <c:varyColors val="0"/>
        <c:ser>
          <c:idx val="1"/>
          <c:order val="1"/>
          <c:tx>
            <c:strRef>
              <c:f>'Screener Output.v0'!$A$193</c:f>
              <c:strCache>
                <c:ptCount val="1"/>
                <c:pt idx="0">
                  <c:v>NP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Output.v0'!$D$193:$L$193</c:f>
              <c:numCache>
                <c:formatCode>0%</c:formatCode>
                <c:ptCount val="9"/>
                <c:pt idx="3">
                  <c:v>4.7156123041207199E-2</c:v>
                </c:pt>
                <c:pt idx="4">
                  <c:v>-0.24264478166615056</c:v>
                </c:pt>
                <c:pt idx="5">
                  <c:v>-8.2930756843800246E-2</c:v>
                </c:pt>
                <c:pt idx="6">
                  <c:v>-3.3660844250363975E-2</c:v>
                </c:pt>
                <c:pt idx="7">
                  <c:v>-3.5194679229596848E-2</c:v>
                </c:pt>
                <c:pt idx="8">
                  <c:v>-7.2377836843181331E-2</c:v>
                </c:pt>
              </c:numCache>
            </c:numRef>
          </c:val>
          <c:smooth val="0"/>
        </c:ser>
        <c:dLbls>
          <c:showLegendKey val="0"/>
          <c:showVal val="0"/>
          <c:showCatName val="0"/>
          <c:showSerName val="0"/>
          <c:showPercent val="0"/>
          <c:showBubbleSize val="0"/>
        </c:dLbls>
        <c:marker val="1"/>
        <c:smooth val="0"/>
        <c:axId val="1941915664"/>
        <c:axId val="1941913488"/>
      </c:lineChart>
      <c:dateAx>
        <c:axId val="1941914576"/>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1941912400"/>
        <c:crosses val="autoZero"/>
        <c:auto val="1"/>
        <c:lblOffset val="100"/>
        <c:baseTimeUnit val="months"/>
        <c:majorUnit val="3"/>
        <c:majorTimeUnit val="months"/>
      </c:dateAx>
      <c:valAx>
        <c:axId val="194191240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1914576"/>
        <c:crosses val="autoZero"/>
        <c:crossBetween val="between"/>
      </c:valAx>
      <c:valAx>
        <c:axId val="1941913488"/>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1915664"/>
        <c:crosses val="max"/>
        <c:crossBetween val="between"/>
        <c:majorUnit val="0.2"/>
      </c:valAx>
      <c:dateAx>
        <c:axId val="1941915664"/>
        <c:scaling>
          <c:orientation val="minMax"/>
        </c:scaling>
        <c:delete val="1"/>
        <c:axPos val="b"/>
        <c:numFmt formatCode="[$-409]mmm\-yy;@" sourceLinked="1"/>
        <c:majorTickMark val="out"/>
        <c:minorTickMark val="none"/>
        <c:tickLblPos val="nextTo"/>
        <c:crossAx val="1941913488"/>
        <c:crosses val="autoZero"/>
        <c:auto val="1"/>
        <c:lblOffset val="100"/>
        <c:baseTimeUnit val="month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45682556828414E-2"/>
          <c:y val="4.8420618934261125E-2"/>
          <c:w val="0.89940532704170106"/>
          <c:h val="0.80740004883110539"/>
        </c:manualLayout>
      </c:layout>
      <c:barChart>
        <c:barDir val="col"/>
        <c:grouping val="percentStacked"/>
        <c:varyColors val="0"/>
        <c:ser>
          <c:idx val="1"/>
          <c:order val="0"/>
          <c:tx>
            <c:strRef>
              <c:f>'Screener Output.v0'!$A$130</c:f>
              <c:strCache>
                <c:ptCount val="1"/>
                <c:pt idx="0">
                  <c:v>Depreciation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Mar-06</c:v>
                </c:pt>
                <c:pt idx="2">
                  <c:v>Mar-07</c:v>
                </c:pt>
                <c:pt idx="3">
                  <c:v>Mar-11</c:v>
                </c:pt>
                <c:pt idx="4">
                  <c:v>Mar-12</c:v>
                </c:pt>
                <c:pt idx="5">
                  <c:v>Mar-13</c:v>
                </c:pt>
                <c:pt idx="6">
                  <c:v>Mar-14</c:v>
                </c:pt>
                <c:pt idx="7">
                  <c:v>Mar-15</c:v>
                </c:pt>
                <c:pt idx="8">
                  <c:v>Mar-16</c:v>
                </c:pt>
                <c:pt idx="9">
                  <c:v>Mar-17</c:v>
                </c:pt>
                <c:pt idx="10">
                  <c:v>Mar-18</c:v>
                </c:pt>
                <c:pt idx="11">
                  <c:v>TTM</c:v>
                </c:pt>
              </c:strCache>
            </c:strRef>
          </c:cat>
          <c:val>
            <c:numRef>
              <c:f>'Screener Output.v0'!$B$130:$M$130</c:f>
              <c:numCache>
                <c:formatCode>0%</c:formatCode>
                <c:ptCount val="12"/>
                <c:pt idx="1">
                  <c:v>0.25961808480763843</c:v>
                </c:pt>
                <c:pt idx="2">
                  <c:v>0.37537537537537541</c:v>
                </c:pt>
                <c:pt idx="3">
                  <c:v>0.19891428188459218</c:v>
                </c:pt>
                <c:pt idx="4">
                  <c:v>0.18886804252657918</c:v>
                </c:pt>
                <c:pt idx="5">
                  <c:v>0.17951400064370771</c:v>
                </c:pt>
                <c:pt idx="6">
                  <c:v>0.16338733226726004</c:v>
                </c:pt>
                <c:pt idx="7">
                  <c:v>0.1571428571428572</c:v>
                </c:pt>
                <c:pt idx="8">
                  <c:v>0.1551860480027358</c:v>
                </c:pt>
                <c:pt idx="9">
                  <c:v>0.15906115030584922</c:v>
                </c:pt>
                <c:pt idx="10">
                  <c:v>0.18918687894005776</c:v>
                </c:pt>
                <c:pt idx="11">
                  <c:v>0.19456540672356734</c:v>
                </c:pt>
              </c:numCache>
            </c:numRef>
          </c:val>
        </c:ser>
        <c:ser>
          <c:idx val="2"/>
          <c:order val="1"/>
          <c:tx>
            <c:strRef>
              <c:f>'Screener Output.v0'!$A$131</c:f>
              <c:strCache>
                <c:ptCount val="1"/>
                <c:pt idx="0">
                  <c:v>Interest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Mar-06</c:v>
                </c:pt>
                <c:pt idx="2">
                  <c:v>Mar-07</c:v>
                </c:pt>
                <c:pt idx="3">
                  <c:v>Mar-11</c:v>
                </c:pt>
                <c:pt idx="4">
                  <c:v>Mar-12</c:v>
                </c:pt>
                <c:pt idx="5">
                  <c:v>Mar-13</c:v>
                </c:pt>
                <c:pt idx="6">
                  <c:v>Mar-14</c:v>
                </c:pt>
                <c:pt idx="7">
                  <c:v>Mar-15</c:v>
                </c:pt>
                <c:pt idx="8">
                  <c:v>Mar-16</c:v>
                </c:pt>
                <c:pt idx="9">
                  <c:v>Mar-17</c:v>
                </c:pt>
                <c:pt idx="10">
                  <c:v>Mar-18</c:v>
                </c:pt>
                <c:pt idx="11">
                  <c:v>TTM</c:v>
                </c:pt>
              </c:strCache>
            </c:strRef>
          </c:cat>
          <c:val>
            <c:numRef>
              <c:f>'Screener Output.v0'!$B$131:$M$131</c:f>
              <c:numCache>
                <c:formatCode>0%</c:formatCode>
                <c:ptCount val="12"/>
                <c:pt idx="1">
                  <c:v>0.2062622858747544</c:v>
                </c:pt>
                <c:pt idx="2">
                  <c:v>0.43326659993326661</c:v>
                </c:pt>
                <c:pt idx="3">
                  <c:v>0.20313651900006699</c:v>
                </c:pt>
                <c:pt idx="4">
                  <c:v>0.23428104103526254</c:v>
                </c:pt>
                <c:pt idx="5">
                  <c:v>0.18603154168007721</c:v>
                </c:pt>
                <c:pt idx="6">
                  <c:v>0.14423277480358765</c:v>
                </c:pt>
                <c:pt idx="7">
                  <c:v>8.2649043869516339E-2</c:v>
                </c:pt>
                <c:pt idx="8">
                  <c:v>7.3649789480433492E-2</c:v>
                </c:pt>
                <c:pt idx="9">
                  <c:v>6.6446481267955201E-2</c:v>
                </c:pt>
                <c:pt idx="10">
                  <c:v>5.1501228763756832E-2</c:v>
                </c:pt>
                <c:pt idx="11">
                  <c:v>4.4569761365615745E-2</c:v>
                </c:pt>
              </c:numCache>
            </c:numRef>
          </c:val>
        </c:ser>
        <c:ser>
          <c:idx val="3"/>
          <c:order val="2"/>
          <c:tx>
            <c:strRef>
              <c:f>'Screener Output.v0'!$A$132</c:f>
              <c:strCache>
                <c:ptCount val="1"/>
                <c:pt idx="0">
                  <c:v>Taxes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Mar-06</c:v>
                </c:pt>
                <c:pt idx="2">
                  <c:v>Mar-07</c:v>
                </c:pt>
                <c:pt idx="3">
                  <c:v>Mar-11</c:v>
                </c:pt>
                <c:pt idx="4">
                  <c:v>Mar-12</c:v>
                </c:pt>
                <c:pt idx="5">
                  <c:v>Mar-13</c:v>
                </c:pt>
                <c:pt idx="6">
                  <c:v>Mar-14</c:v>
                </c:pt>
                <c:pt idx="7">
                  <c:v>Mar-15</c:v>
                </c:pt>
                <c:pt idx="8">
                  <c:v>Mar-16</c:v>
                </c:pt>
                <c:pt idx="9">
                  <c:v>Mar-17</c:v>
                </c:pt>
                <c:pt idx="10">
                  <c:v>Mar-18</c:v>
                </c:pt>
                <c:pt idx="11">
                  <c:v>TTM</c:v>
                </c:pt>
              </c:strCache>
            </c:strRef>
          </c:cat>
          <c:val>
            <c:numRef>
              <c:f>'Screener Output.v0'!$B$132:$M$132</c:f>
              <c:numCache>
                <c:formatCode>0%</c:formatCode>
                <c:ptCount val="12"/>
                <c:pt idx="1">
                  <c:v>0.11429373771412532</c:v>
                </c:pt>
                <c:pt idx="2">
                  <c:v>5.6222889556222892E-2</c:v>
                </c:pt>
                <c:pt idx="3">
                  <c:v>0.19120702365793177</c:v>
                </c:pt>
                <c:pt idx="4">
                  <c:v>0.18309520373310251</c:v>
                </c:pt>
                <c:pt idx="5">
                  <c:v>0.20067589314451234</c:v>
                </c:pt>
                <c:pt idx="6">
                  <c:v>0.23576444413543776</c:v>
                </c:pt>
                <c:pt idx="7">
                  <c:v>0.24024184476940391</c:v>
                </c:pt>
                <c:pt idx="8">
                  <c:v>0.26653700656137147</c:v>
                </c:pt>
                <c:pt idx="9">
                  <c:v>0.2784693857609099</c:v>
                </c:pt>
                <c:pt idx="10">
                  <c:v>0.27079816219681596</c:v>
                </c:pt>
                <c:pt idx="11">
                  <c:v>0.27083696220170705</c:v>
                </c:pt>
              </c:numCache>
            </c:numRef>
          </c:val>
        </c:ser>
        <c:ser>
          <c:idx val="4"/>
          <c:order val="3"/>
          <c:tx>
            <c:strRef>
              <c:f>'Screener Output.v0'!$A$133</c:f>
              <c:strCache>
                <c:ptCount val="1"/>
                <c:pt idx="0">
                  <c:v>Net Profit</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Mar-06</c:v>
                </c:pt>
                <c:pt idx="2">
                  <c:v>Mar-07</c:v>
                </c:pt>
                <c:pt idx="3">
                  <c:v>Mar-11</c:v>
                </c:pt>
                <c:pt idx="4">
                  <c:v>Mar-12</c:v>
                </c:pt>
                <c:pt idx="5">
                  <c:v>Mar-13</c:v>
                </c:pt>
                <c:pt idx="6">
                  <c:v>Mar-14</c:v>
                </c:pt>
                <c:pt idx="7">
                  <c:v>Mar-15</c:v>
                </c:pt>
                <c:pt idx="8">
                  <c:v>Mar-16</c:v>
                </c:pt>
                <c:pt idx="9">
                  <c:v>Mar-17</c:v>
                </c:pt>
                <c:pt idx="10">
                  <c:v>Mar-18</c:v>
                </c:pt>
                <c:pt idx="11">
                  <c:v>TTM</c:v>
                </c:pt>
              </c:strCache>
            </c:strRef>
          </c:cat>
          <c:val>
            <c:numRef>
              <c:f>'Screener Output.v0'!$B$133:$M$133</c:f>
              <c:numCache>
                <c:formatCode>0%</c:formatCode>
                <c:ptCount val="12"/>
                <c:pt idx="1">
                  <c:v>0.41982589160348188</c:v>
                </c:pt>
                <c:pt idx="2">
                  <c:v>0.13513513513513511</c:v>
                </c:pt>
                <c:pt idx="3">
                  <c:v>0.40674217545740898</c:v>
                </c:pt>
                <c:pt idx="4">
                  <c:v>0.39375571270505583</c:v>
                </c:pt>
                <c:pt idx="5">
                  <c:v>0.43377856453170272</c:v>
                </c:pt>
                <c:pt idx="6">
                  <c:v>0.45661544879371452</c:v>
                </c:pt>
                <c:pt idx="7">
                  <c:v>0.51996625421822262</c:v>
                </c:pt>
                <c:pt idx="8">
                  <c:v>0.50462715595545926</c:v>
                </c:pt>
                <c:pt idx="9">
                  <c:v>0.49602298266528566</c:v>
                </c:pt>
                <c:pt idx="10">
                  <c:v>0.48851373009936933</c:v>
                </c:pt>
                <c:pt idx="11">
                  <c:v>0.49002786970910994</c:v>
                </c:pt>
              </c:numCache>
            </c:numRef>
          </c:val>
        </c:ser>
        <c:dLbls>
          <c:dLblPos val="ctr"/>
          <c:showLegendKey val="0"/>
          <c:showVal val="1"/>
          <c:showCatName val="0"/>
          <c:showSerName val="0"/>
          <c:showPercent val="0"/>
          <c:showBubbleSize val="0"/>
        </c:dLbls>
        <c:gapWidth val="150"/>
        <c:overlap val="100"/>
        <c:axId val="1941917296"/>
        <c:axId val="1941914032"/>
      </c:barChart>
      <c:catAx>
        <c:axId val="19419172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1914032"/>
        <c:crosses val="autoZero"/>
        <c:auto val="1"/>
        <c:lblAlgn val="ctr"/>
        <c:lblOffset val="100"/>
        <c:noMultiLvlLbl val="1"/>
      </c:catAx>
      <c:valAx>
        <c:axId val="194191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1917296"/>
        <c:crosses val="autoZero"/>
        <c:crossBetween val="between"/>
      </c:valAx>
      <c:spPr>
        <a:noFill/>
        <a:ln>
          <a:noFill/>
        </a:ln>
        <a:effectLst/>
      </c:spPr>
    </c:plotArea>
    <c:legend>
      <c:legendPos val="b"/>
      <c:layout>
        <c:manualLayout>
          <c:xMode val="edge"/>
          <c:yMode val="edge"/>
          <c:x val="0.14127777777777778"/>
          <c:y val="0.92187445319335082"/>
          <c:w val="0.7174442257217847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312228429546864E-2"/>
          <c:y val="5.0925925925925923E-2"/>
          <c:w val="0.94537554314090622"/>
          <c:h val="0.80521580635753864"/>
        </c:manualLayout>
      </c:layout>
      <c:lineChart>
        <c:grouping val="standard"/>
        <c:varyColors val="0"/>
        <c:ser>
          <c:idx val="0"/>
          <c:order val="0"/>
          <c:tx>
            <c:strRef>
              <c:f>'Screener Output.v0'!$A$126</c:f>
              <c:strCache>
                <c:ptCount val="1"/>
                <c:pt idx="0">
                  <c:v>OP Margin</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Mar-06</c:v>
                </c:pt>
                <c:pt idx="2">
                  <c:v>Mar-07</c:v>
                </c:pt>
                <c:pt idx="3">
                  <c:v>Mar-11</c:v>
                </c:pt>
                <c:pt idx="4">
                  <c:v>Mar-12</c:v>
                </c:pt>
                <c:pt idx="5">
                  <c:v>Mar-13</c:v>
                </c:pt>
                <c:pt idx="6">
                  <c:v>Mar-14</c:v>
                </c:pt>
                <c:pt idx="7">
                  <c:v>Mar-15</c:v>
                </c:pt>
                <c:pt idx="8">
                  <c:v>Mar-16</c:v>
                </c:pt>
                <c:pt idx="9">
                  <c:v>Mar-17</c:v>
                </c:pt>
                <c:pt idx="10">
                  <c:v>Mar-18</c:v>
                </c:pt>
                <c:pt idx="11">
                  <c:v>TTM</c:v>
                </c:pt>
              </c:strCache>
            </c:strRef>
          </c:cat>
          <c:val>
            <c:numRef>
              <c:f>'Screener Output.v0'!$B$126:$M$126</c:f>
              <c:numCache>
                <c:formatCode>0%</c:formatCode>
                <c:ptCount val="12"/>
                <c:pt idx="1">
                  <c:v>0.20460225803671453</c:v>
                </c:pt>
                <c:pt idx="2">
                  <c:v>0.13923344947735192</c:v>
                </c:pt>
                <c:pt idx="3">
                  <c:v>0.15652766850249147</c:v>
                </c:pt>
                <c:pt idx="4">
                  <c:v>0.15831321447339355</c:v>
                </c:pt>
                <c:pt idx="5">
                  <c:v>0.15699154281960756</c:v>
                </c:pt>
                <c:pt idx="6">
                  <c:v>0.15665111010668126</c:v>
                </c:pt>
                <c:pt idx="7">
                  <c:v>0.16260534366154672</c:v>
                </c:pt>
                <c:pt idx="8">
                  <c:v>0.19386769976589516</c:v>
                </c:pt>
                <c:pt idx="9">
                  <c:v>0.20069186509415093</c:v>
                </c:pt>
                <c:pt idx="10">
                  <c:v>0.17263705452667302</c:v>
                </c:pt>
                <c:pt idx="11">
                  <c:v>0.16765409114968333</c:v>
                </c:pt>
              </c:numCache>
            </c:numRef>
          </c:val>
          <c:smooth val="0"/>
        </c:ser>
        <c:ser>
          <c:idx val="1"/>
          <c:order val="1"/>
          <c:tx>
            <c:strRef>
              <c:f>'Screener Output.v0'!$A$127</c:f>
              <c:strCache>
                <c:ptCount val="1"/>
                <c:pt idx="0">
                  <c:v>NP Margin</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Mar-06</c:v>
                </c:pt>
                <c:pt idx="2">
                  <c:v>Mar-07</c:v>
                </c:pt>
                <c:pt idx="3">
                  <c:v>Mar-11</c:v>
                </c:pt>
                <c:pt idx="4">
                  <c:v>Mar-12</c:v>
                </c:pt>
                <c:pt idx="5">
                  <c:v>Mar-13</c:v>
                </c:pt>
                <c:pt idx="6">
                  <c:v>Mar-14</c:v>
                </c:pt>
                <c:pt idx="7">
                  <c:v>Mar-15</c:v>
                </c:pt>
                <c:pt idx="8">
                  <c:v>Mar-16</c:v>
                </c:pt>
                <c:pt idx="9">
                  <c:v>Mar-17</c:v>
                </c:pt>
                <c:pt idx="10">
                  <c:v>Mar-18</c:v>
                </c:pt>
                <c:pt idx="11">
                  <c:v>TTM</c:v>
                </c:pt>
              </c:strCache>
            </c:strRef>
          </c:cat>
          <c:val>
            <c:numRef>
              <c:f>'Screener Output.v0'!$B$127:$M$127</c:f>
              <c:numCache>
                <c:formatCode>0%</c:formatCode>
                <c:ptCount val="12"/>
                <c:pt idx="1">
                  <c:v>8.5680717540189605E-2</c:v>
                </c:pt>
                <c:pt idx="2">
                  <c:v>1.8770856507230253E-2</c:v>
                </c:pt>
                <c:pt idx="3">
                  <c:v>6.3645039168597997E-2</c:v>
                </c:pt>
                <c:pt idx="4">
                  <c:v>6.2267021681247564E-2</c:v>
                </c:pt>
                <c:pt idx="5">
                  <c:v>6.7969060271951917E-2</c:v>
                </c:pt>
                <c:pt idx="6">
                  <c:v>7.1456549413006262E-2</c:v>
                </c:pt>
                <c:pt idx="7">
                  <c:v>8.4271071186038965E-2</c:v>
                </c:pt>
                <c:pt idx="8">
                  <c:v>9.7409937785698841E-2</c:v>
                </c:pt>
                <c:pt idx="9">
                  <c:v>9.8951652832954526E-2</c:v>
                </c:pt>
                <c:pt idx="10">
                  <c:v>8.3976504211682443E-2</c:v>
                </c:pt>
                <c:pt idx="11">
                  <c:v>8.1843868982897375E-2</c:v>
                </c:pt>
              </c:numCache>
            </c:numRef>
          </c:val>
          <c:smooth val="0"/>
        </c:ser>
        <c:dLbls>
          <c:dLblPos val="ctr"/>
          <c:showLegendKey val="0"/>
          <c:showVal val="1"/>
          <c:showCatName val="0"/>
          <c:showSerName val="0"/>
          <c:showPercent val="0"/>
          <c:showBubbleSize val="0"/>
        </c:dLbls>
        <c:marker val="1"/>
        <c:smooth val="0"/>
        <c:axId val="1941916752"/>
        <c:axId val="1941922736"/>
      </c:lineChart>
      <c:catAx>
        <c:axId val="194191675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n-US"/>
          </a:p>
        </c:txPr>
        <c:crossAx val="1941922736"/>
        <c:crosses val="autoZero"/>
        <c:auto val="1"/>
        <c:lblAlgn val="ctr"/>
        <c:lblOffset val="100"/>
        <c:noMultiLvlLbl val="1"/>
      </c:catAx>
      <c:valAx>
        <c:axId val="19419227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1916752"/>
        <c:crosses val="autoZero"/>
        <c:crossBetween val="between"/>
      </c:valAx>
      <c:spPr>
        <a:noFill/>
        <a:ln>
          <a:noFill/>
        </a:ln>
        <a:effectLst/>
      </c:spPr>
    </c:plotArea>
    <c:legend>
      <c:legendPos val="b"/>
      <c:layout>
        <c:manualLayout>
          <c:xMode val="edge"/>
          <c:yMode val="edge"/>
          <c:x val="0.31346696188116152"/>
          <c:y val="0.92187445319335082"/>
          <c:w val="0.3730660762376770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Dupont!$B$8</c:f>
              <c:strCache>
                <c:ptCount val="1"/>
                <c:pt idx="0">
                  <c:v>Asset Turnover</c:v>
                </c:pt>
              </c:strCache>
            </c:strRef>
          </c:tx>
          <c:spPr>
            <a:solidFill>
              <a:srgbClr val="00B050"/>
            </a:solidFill>
            <a:ln>
              <a:noFill/>
            </a:ln>
            <a:effectLst/>
          </c:spPr>
          <c:invertIfNegative val="0"/>
          <c:cat>
            <c:strRef>
              <c:f>Dupont!$C$6:$G$6</c:f>
              <c:strCache>
                <c:ptCount val="5"/>
                <c:pt idx="0">
                  <c:v>CY-4</c:v>
                </c:pt>
                <c:pt idx="1">
                  <c:v>CY-3</c:v>
                </c:pt>
                <c:pt idx="2">
                  <c:v>CY-2</c:v>
                </c:pt>
                <c:pt idx="3">
                  <c:v>CY-1</c:v>
                </c:pt>
                <c:pt idx="4">
                  <c:v>CY0</c:v>
                </c:pt>
              </c:strCache>
            </c:strRef>
          </c:cat>
          <c:val>
            <c:numRef>
              <c:f>Dupont!$C$8:$G$8</c:f>
              <c:numCache>
                <c:formatCode>0.00</c:formatCode>
                <c:ptCount val="5"/>
                <c:pt idx="0">
                  <c:v>1.5635834708494241</c:v>
                </c:pt>
                <c:pt idx="1">
                  <c:v>1.4047248631518292</c:v>
                </c:pt>
                <c:pt idx="2">
                  <c:v>1.2621614021932699</c:v>
                </c:pt>
                <c:pt idx="3">
                  <c:v>1.2552252318383128</c:v>
                </c:pt>
                <c:pt idx="4">
                  <c:v>1.2678095717133331</c:v>
                </c:pt>
              </c:numCache>
            </c:numRef>
          </c:val>
        </c:ser>
        <c:ser>
          <c:idx val="2"/>
          <c:order val="2"/>
          <c:tx>
            <c:strRef>
              <c:f>Dupont!$B$9</c:f>
              <c:strCache>
                <c:ptCount val="1"/>
                <c:pt idx="0">
                  <c:v>Equity Multiplier</c:v>
                </c:pt>
              </c:strCache>
            </c:strRef>
          </c:tx>
          <c:spPr>
            <a:solidFill>
              <a:schemeClr val="bg1">
                <a:lumMod val="65000"/>
              </a:schemeClr>
            </a:solidFill>
            <a:ln>
              <a:noFill/>
            </a:ln>
            <a:effectLst/>
          </c:spPr>
          <c:invertIfNegative val="0"/>
          <c:cat>
            <c:strRef>
              <c:f>Dupont!$C$6:$G$6</c:f>
              <c:strCache>
                <c:ptCount val="5"/>
                <c:pt idx="0">
                  <c:v>CY-4</c:v>
                </c:pt>
                <c:pt idx="1">
                  <c:v>CY-3</c:v>
                </c:pt>
                <c:pt idx="2">
                  <c:v>CY-2</c:v>
                </c:pt>
                <c:pt idx="3">
                  <c:v>CY-1</c:v>
                </c:pt>
                <c:pt idx="4">
                  <c:v>CY0</c:v>
                </c:pt>
              </c:strCache>
            </c:strRef>
          </c:cat>
          <c:val>
            <c:numRef>
              <c:f>Dupont!$C$9:$G$9</c:f>
              <c:numCache>
                <c:formatCode>0.00</c:formatCode>
                <c:ptCount val="5"/>
                <c:pt idx="0">
                  <c:v>2.3318390986988256</c:v>
                </c:pt>
                <c:pt idx="1">
                  <c:v>2.1080654303992228</c:v>
                </c:pt>
                <c:pt idx="2">
                  <c:v>1.9759440271632884</c:v>
                </c:pt>
                <c:pt idx="3">
                  <c:v>1.7389287902512083</c:v>
                </c:pt>
                <c:pt idx="4">
                  <c:v>1.5900413217020393</c:v>
                </c:pt>
              </c:numCache>
            </c:numRef>
          </c:val>
        </c:ser>
        <c:dLbls>
          <c:showLegendKey val="0"/>
          <c:showVal val="0"/>
          <c:showCatName val="0"/>
          <c:showSerName val="0"/>
          <c:showPercent val="0"/>
          <c:showBubbleSize val="0"/>
        </c:dLbls>
        <c:gapWidth val="247"/>
        <c:axId val="1941921648"/>
        <c:axId val="1941922192"/>
      </c:barChart>
      <c:lineChart>
        <c:grouping val="standard"/>
        <c:varyColors val="0"/>
        <c:ser>
          <c:idx val="0"/>
          <c:order val="0"/>
          <c:tx>
            <c:strRef>
              <c:f>Dupont!$B$7</c:f>
              <c:strCache>
                <c:ptCount val="1"/>
                <c:pt idx="0">
                  <c:v>NPM</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strRef>
              <c:f>Dupont!$C$6:$G$6</c:f>
              <c:strCache>
                <c:ptCount val="5"/>
                <c:pt idx="0">
                  <c:v>CY-4</c:v>
                </c:pt>
                <c:pt idx="1">
                  <c:v>CY-3</c:v>
                </c:pt>
                <c:pt idx="2">
                  <c:v>CY-2</c:v>
                </c:pt>
                <c:pt idx="3">
                  <c:v>CY-1</c:v>
                </c:pt>
                <c:pt idx="4">
                  <c:v>CY0</c:v>
                </c:pt>
              </c:strCache>
            </c:strRef>
          </c:cat>
          <c:val>
            <c:numRef>
              <c:f>Dupont!$C$7:$G$7</c:f>
              <c:numCache>
                <c:formatCode>0%</c:formatCode>
                <c:ptCount val="5"/>
                <c:pt idx="0">
                  <c:v>7.1529316945395854E-2</c:v>
                </c:pt>
                <c:pt idx="1">
                  <c:v>8.4549291459561263E-2</c:v>
                </c:pt>
                <c:pt idx="2">
                  <c:v>9.7830905964490539E-2</c:v>
                </c:pt>
                <c:pt idx="3">
                  <c:v>9.954777752065988E-2</c:v>
                </c:pt>
                <c:pt idx="4">
                  <c:v>8.4335571460193257E-2</c:v>
                </c:pt>
              </c:numCache>
            </c:numRef>
          </c:val>
          <c:smooth val="0"/>
        </c:ser>
        <c:ser>
          <c:idx val="3"/>
          <c:order val="3"/>
          <c:tx>
            <c:strRef>
              <c:f>Dupont!$B$10</c:f>
              <c:strCache>
                <c:ptCount val="1"/>
                <c:pt idx="0">
                  <c:v>ROE</c:v>
                </c:pt>
              </c:strCache>
            </c:strRef>
          </c:tx>
          <c:spPr>
            <a:ln w="22225" cap="rnd">
              <a:solidFill>
                <a:schemeClr val="tx1"/>
              </a:solidFill>
              <a:round/>
            </a:ln>
            <a:effectLst/>
          </c:spPr>
          <c:marker>
            <c:symbol val="circle"/>
            <c:size val="6"/>
            <c:spPr>
              <a:solidFill>
                <a:schemeClr val="lt1"/>
              </a:solidFill>
              <a:ln w="15875">
                <a:solidFill>
                  <a:schemeClr val="accent4"/>
                </a:solidFill>
                <a:round/>
              </a:ln>
              <a:effectLst/>
            </c:spPr>
          </c:marker>
          <c:cat>
            <c:strRef>
              <c:f>Dupont!$C$6:$G$6</c:f>
              <c:strCache>
                <c:ptCount val="5"/>
                <c:pt idx="0">
                  <c:v>CY-4</c:v>
                </c:pt>
                <c:pt idx="1">
                  <c:v>CY-3</c:v>
                </c:pt>
                <c:pt idx="2">
                  <c:v>CY-2</c:v>
                </c:pt>
                <c:pt idx="3">
                  <c:v>CY-1</c:v>
                </c:pt>
                <c:pt idx="4">
                  <c:v>CY0</c:v>
                </c:pt>
              </c:strCache>
            </c:strRef>
          </c:cat>
          <c:val>
            <c:numRef>
              <c:f>Dupont!$C$10:$G$10</c:f>
              <c:numCache>
                <c:formatCode>0%</c:formatCode>
                <c:ptCount val="5"/>
                <c:pt idx="0">
                  <c:v>0.26079768292345235</c:v>
                </c:pt>
                <c:pt idx="1">
                  <c:v>0.25037175194258365</c:v>
                </c:pt>
                <c:pt idx="2">
                  <c:v>0.24398639402120514</c:v>
                </c:pt>
                <c:pt idx="3">
                  <c:v>0.21728764199632158</c:v>
                </c:pt>
                <c:pt idx="4">
                  <c:v>0.17000951530178429</c:v>
                </c:pt>
              </c:numCache>
            </c:numRef>
          </c:val>
          <c:smooth val="0"/>
        </c:ser>
        <c:dLbls>
          <c:showLegendKey val="0"/>
          <c:showVal val="0"/>
          <c:showCatName val="0"/>
          <c:showSerName val="0"/>
          <c:showPercent val="0"/>
          <c:showBubbleSize val="0"/>
        </c:dLbls>
        <c:marker val="1"/>
        <c:smooth val="0"/>
        <c:axId val="1941917840"/>
        <c:axId val="1941923280"/>
      </c:lineChart>
      <c:catAx>
        <c:axId val="19419216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1941922192"/>
        <c:crosses val="autoZero"/>
        <c:auto val="1"/>
        <c:lblAlgn val="ctr"/>
        <c:lblOffset val="100"/>
        <c:noMultiLvlLbl val="0"/>
      </c:catAx>
      <c:valAx>
        <c:axId val="194192219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1921648"/>
        <c:crosses val="autoZero"/>
        <c:crossBetween val="between"/>
      </c:valAx>
      <c:valAx>
        <c:axId val="194192328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1917840"/>
        <c:crosses val="max"/>
        <c:crossBetween val="between"/>
      </c:valAx>
      <c:catAx>
        <c:axId val="1941917840"/>
        <c:scaling>
          <c:orientation val="minMax"/>
        </c:scaling>
        <c:delete val="1"/>
        <c:axPos val="b"/>
        <c:numFmt formatCode="General" sourceLinked="1"/>
        <c:majorTickMark val="out"/>
        <c:minorTickMark val="none"/>
        <c:tickLblPos val="nextTo"/>
        <c:crossAx val="1941923280"/>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'Screener Output.v0'!$A$117:$B$117</c:f>
              <c:strCache>
                <c:ptCount val="2"/>
                <c:pt idx="0">
                  <c:v>Debt/PAT</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Output.v0'!$C$117:$L$117</c:f>
              <c:numCache>
                <c:formatCode>0.0</c:formatCode>
                <c:ptCount val="10"/>
                <c:pt idx="0">
                  <c:v>6.9474916387959951</c:v>
                </c:pt>
                <c:pt idx="1">
                  <c:v>42.567901234567913</c:v>
                </c:pt>
                <c:pt idx="2">
                  <c:v>4.7449332674246172</c:v>
                </c:pt>
                <c:pt idx="3">
                  <c:v>3.3987782529016526</c:v>
                </c:pt>
                <c:pt idx="4">
                  <c:v>2.9693934335002772</c:v>
                </c:pt>
                <c:pt idx="5">
                  <c:v>1.800000000000002</c:v>
                </c:pt>
                <c:pt idx="6">
                  <c:v>1.3165494862087621</c:v>
                </c:pt>
                <c:pt idx="7">
                  <c:v>1.2437423234932889</c:v>
                </c:pt>
                <c:pt idx="8">
                  <c:v>0.83984082581458552</c:v>
                </c:pt>
                <c:pt idx="9">
                  <c:v>0.74510061242344772</c:v>
                </c:pt>
              </c:numCache>
            </c:numRef>
          </c:val>
          <c:smooth val="0"/>
        </c:ser>
        <c:dLbls>
          <c:dLblPos val="ctr"/>
          <c:showLegendKey val="0"/>
          <c:showVal val="1"/>
          <c:showCatName val="0"/>
          <c:showSerName val="0"/>
          <c:showPercent val="0"/>
          <c:showBubbleSize val="0"/>
        </c:dLbls>
        <c:marker val="1"/>
        <c:smooth val="0"/>
        <c:axId val="1941918384"/>
        <c:axId val="1941918928"/>
      </c:lineChart>
      <c:dateAx>
        <c:axId val="194191838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1918928"/>
        <c:crosses val="autoZero"/>
        <c:auto val="1"/>
        <c:lblOffset val="100"/>
        <c:baseTimeUnit val="years"/>
      </c:dateAx>
      <c:valAx>
        <c:axId val="19419189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9419183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Output.v0'!$A$118:$B$118</c:f>
              <c:strCache>
                <c:ptCount val="2"/>
                <c:pt idx="0">
                  <c:v>CFO/PAT</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Output.v0'!$C$118:$L$118</c:f>
              <c:numCache>
                <c:formatCode>0.0</c:formatCode>
                <c:ptCount val="10"/>
                <c:pt idx="0">
                  <c:v>-0.26521739130434813</c:v>
                </c:pt>
                <c:pt idx="1">
                  <c:v>-3.5580246913580256</c:v>
                </c:pt>
                <c:pt idx="2">
                  <c:v>2.6264623496457409</c:v>
                </c:pt>
                <c:pt idx="3">
                  <c:v>1.1103237629810638</c:v>
                </c:pt>
                <c:pt idx="4">
                  <c:v>0.90549063253570716</c:v>
                </c:pt>
                <c:pt idx="5">
                  <c:v>1.2647125999238691</c:v>
                </c:pt>
                <c:pt idx="6">
                  <c:v>0.97495943753380254</c:v>
                </c:pt>
                <c:pt idx="7">
                  <c:v>1.3367498199991548</c:v>
                </c:pt>
                <c:pt idx="8">
                  <c:v>1.3304440329380243</c:v>
                </c:pt>
                <c:pt idx="9">
                  <c:v>1.0425196850393708</c:v>
                </c:pt>
              </c:numCache>
            </c:numRef>
          </c:val>
        </c:ser>
        <c:dLbls>
          <c:dLblPos val="inEnd"/>
          <c:showLegendKey val="0"/>
          <c:showVal val="1"/>
          <c:showCatName val="0"/>
          <c:showSerName val="0"/>
          <c:showPercent val="0"/>
          <c:showBubbleSize val="0"/>
        </c:dLbls>
        <c:gapWidth val="65"/>
        <c:axId val="1941919472"/>
        <c:axId val="1941920016"/>
      </c:barChart>
      <c:dateAx>
        <c:axId val="194191947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1920016"/>
        <c:crosses val="autoZero"/>
        <c:auto val="1"/>
        <c:lblOffset val="100"/>
        <c:baseTimeUnit val="years"/>
      </c:dateAx>
      <c:valAx>
        <c:axId val="19419200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9419194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'Screener Output.v0'!$A$119:$B$119</c:f>
              <c:strCache>
                <c:ptCount val="2"/>
                <c:pt idx="0">
                  <c:v>PAT/WC</c:v>
                </c:pt>
              </c:strCache>
            </c:strRef>
          </c:tx>
          <c:spPr>
            <a:ln w="2222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'Screener Output.v0'!$C$116:$L$116</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Output.v0'!$C$119:$L$119</c:f>
              <c:numCache>
                <c:formatCode>0%</c:formatCode>
                <c:ptCount val="10"/>
                <c:pt idx="0">
                  <c:v>0.56865728413845484</c:v>
                </c:pt>
                <c:pt idx="1">
                  <c:v>6.9936107753410443E-2</c:v>
                </c:pt>
                <c:pt idx="2">
                  <c:v>3.9054054054053999</c:v>
                </c:pt>
                <c:pt idx="3">
                  <c:v>2.2181571815718151</c:v>
                </c:pt>
                <c:pt idx="4">
                  <c:v>2.0274539300488912</c:v>
                </c:pt>
                <c:pt idx="5">
                  <c:v>15.655542312276422</c:v>
                </c:pt>
                <c:pt idx="6">
                  <c:v>3.9806243272335888</c:v>
                </c:pt>
                <c:pt idx="7">
                  <c:v>1.7216712848184315</c:v>
                </c:pt>
                <c:pt idx="8">
                  <c:v>1.2525167785234903</c:v>
                </c:pt>
                <c:pt idx="9">
                  <c:v>0.63929749986017081</c:v>
                </c:pt>
              </c:numCache>
            </c:numRef>
          </c:val>
          <c:smooth val="0"/>
        </c:ser>
        <c:dLbls>
          <c:dLblPos val="ctr"/>
          <c:showLegendKey val="0"/>
          <c:showVal val="1"/>
          <c:showCatName val="0"/>
          <c:showSerName val="0"/>
          <c:showPercent val="0"/>
          <c:showBubbleSize val="0"/>
        </c:dLbls>
        <c:smooth val="0"/>
        <c:axId val="1941920560"/>
        <c:axId val="1941923824"/>
      </c:lineChart>
      <c:dateAx>
        <c:axId val="1941920560"/>
        <c:scaling>
          <c:orientation val="minMax"/>
        </c:scaling>
        <c:delete val="0"/>
        <c:axPos val="b"/>
        <c:numFmt formatCode="[$-409]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941923824"/>
        <c:crosses val="autoZero"/>
        <c:auto val="1"/>
        <c:lblOffset val="100"/>
        <c:baseTimeUnit val="years"/>
      </c:dateAx>
      <c:valAx>
        <c:axId val="1941923824"/>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941920560"/>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'Screener Output.v0'!$A$121:$B$121</c:f>
              <c:strCache>
                <c:ptCount val="2"/>
                <c:pt idx="0">
                  <c:v>C Liability/C Asset</c:v>
                </c:pt>
              </c:strCache>
            </c:strRef>
          </c:tx>
          <c:spPr>
            <a:gradFill>
              <a:gsLst>
                <a:gs pos="0">
                  <a:schemeClr val="accent5"/>
                </a:gs>
                <a:gs pos="100000">
                  <a:schemeClr val="accent5">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Output.v0'!$C$121:$L$121</c:f>
              <c:numCache>
                <c:formatCode>0.00</c:formatCode>
                <c:ptCount val="10"/>
                <c:pt idx="0">
                  <c:v>0.66177794931171996</c:v>
                </c:pt>
                <c:pt idx="1">
                  <c:v>0.50902924968206864</c:v>
                </c:pt>
                <c:pt idx="2">
                  <c:v>0.95070578905630443</c:v>
                </c:pt>
                <c:pt idx="3">
                  <c:v>0.89961368953697163</c:v>
                </c:pt>
                <c:pt idx="4">
                  <c:v>0.87329044555634971</c:v>
                </c:pt>
                <c:pt idx="5">
                  <c:v>0.98107888683415267</c:v>
                </c:pt>
                <c:pt idx="6">
                  <c:v>0.92556447606685588</c:v>
                </c:pt>
                <c:pt idx="7">
                  <c:v>0.82684343434343432</c:v>
                </c:pt>
                <c:pt idx="8">
                  <c:v>0.76377053193597655</c:v>
                </c:pt>
                <c:pt idx="9">
                  <c:v>0.63661676981392845</c:v>
                </c:pt>
              </c:numCache>
            </c:numRef>
          </c:val>
        </c:ser>
        <c:dLbls>
          <c:dLblPos val="inEnd"/>
          <c:showLegendKey val="0"/>
          <c:showVal val="1"/>
          <c:showCatName val="0"/>
          <c:showSerName val="0"/>
          <c:showPercent val="0"/>
          <c:showBubbleSize val="0"/>
        </c:dLbls>
        <c:gapWidth val="41"/>
        <c:axId val="1941924368"/>
        <c:axId val="1941924912"/>
      </c:barChart>
      <c:dateAx>
        <c:axId val="194192436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941924912"/>
        <c:crosses val="autoZero"/>
        <c:auto val="1"/>
        <c:lblOffset val="100"/>
        <c:baseTimeUnit val="years"/>
      </c:dateAx>
      <c:valAx>
        <c:axId val="1941924912"/>
        <c:scaling>
          <c:orientation val="minMax"/>
        </c:scaling>
        <c:delete val="1"/>
        <c:axPos val="l"/>
        <c:numFmt formatCode="0.00" sourceLinked="1"/>
        <c:majorTickMark val="none"/>
        <c:minorTickMark val="none"/>
        <c:tickLblPos val="nextTo"/>
        <c:crossAx val="19419243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Output.v0'!$A$106:$C$106</c:f>
              <c:strCache>
                <c:ptCount val="3"/>
                <c:pt idx="0">
                  <c:v>∆ WC</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39142</c:v>
                </c:pt>
                <c:pt idx="1">
                  <c:v>40603</c:v>
                </c:pt>
                <c:pt idx="2">
                  <c:v>40969</c:v>
                </c:pt>
                <c:pt idx="3">
                  <c:v>41334</c:v>
                </c:pt>
                <c:pt idx="4">
                  <c:v>41699</c:v>
                </c:pt>
                <c:pt idx="5">
                  <c:v>42064</c:v>
                </c:pt>
                <c:pt idx="6">
                  <c:v>42430</c:v>
                </c:pt>
                <c:pt idx="7">
                  <c:v>42795</c:v>
                </c:pt>
                <c:pt idx="8">
                  <c:v>43160</c:v>
                </c:pt>
              </c:numCache>
            </c:numRef>
          </c:cat>
          <c:val>
            <c:numRef>
              <c:f>'Screener Output.v0'!$D$106:$L$106</c:f>
              <c:numCache>
                <c:formatCode>0</c:formatCode>
                <c:ptCount val="9"/>
                <c:pt idx="0">
                  <c:v>63.239999999999995</c:v>
                </c:pt>
                <c:pt idx="1">
                  <c:v>-100.27999999999999</c:v>
                </c:pt>
                <c:pt idx="2">
                  <c:v>21.359999999999957</c:v>
                </c:pt>
                <c:pt idx="3">
                  <c:v>16.28000000000003</c:v>
                </c:pt>
                <c:pt idx="4">
                  <c:v>-44.789999999999964</c:v>
                </c:pt>
                <c:pt idx="5">
                  <c:v>38.059999999999889</c:v>
                </c:pt>
                <c:pt idx="6">
                  <c:v>90.690000000000055</c:v>
                </c:pt>
                <c:pt idx="7">
                  <c:v>65.5</c:v>
                </c:pt>
                <c:pt idx="8">
                  <c:v>154.93999999999994</c:v>
                </c:pt>
              </c:numCache>
            </c:numRef>
          </c:val>
        </c:ser>
        <c:ser>
          <c:idx val="1"/>
          <c:order val="1"/>
          <c:tx>
            <c:strRef>
              <c:f>'Screener Output.v0'!$A$107:$C$107</c:f>
              <c:strCache>
                <c:ptCount val="3"/>
                <c:pt idx="0">
                  <c:v>NP</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39142</c:v>
                </c:pt>
                <c:pt idx="1">
                  <c:v>40603</c:v>
                </c:pt>
                <c:pt idx="2">
                  <c:v>40969</c:v>
                </c:pt>
                <c:pt idx="3">
                  <c:v>41334</c:v>
                </c:pt>
                <c:pt idx="4">
                  <c:v>41699</c:v>
                </c:pt>
                <c:pt idx="5">
                  <c:v>42064</c:v>
                </c:pt>
                <c:pt idx="6">
                  <c:v>42430</c:v>
                </c:pt>
                <c:pt idx="7">
                  <c:v>42795</c:v>
                </c:pt>
                <c:pt idx="8">
                  <c:v>43160</c:v>
                </c:pt>
              </c:numCache>
            </c:numRef>
          </c:cat>
          <c:val>
            <c:numRef>
              <c:f>'Screener Output.v0'!$D$107:$L$107</c:f>
              <c:numCache>
                <c:formatCode>0</c:formatCode>
                <c:ptCount val="9"/>
                <c:pt idx="0">
                  <c:v>29.899999999999963</c:v>
                </c:pt>
                <c:pt idx="1">
                  <c:v>8.0999999999999979</c:v>
                </c:pt>
                <c:pt idx="2">
                  <c:v>60.69</c:v>
                </c:pt>
                <c:pt idx="3">
                  <c:v>81.849999999999923</c:v>
                </c:pt>
                <c:pt idx="4">
                  <c:v>107.82000000000005</c:v>
                </c:pt>
                <c:pt idx="5">
                  <c:v>131.34999999999985</c:v>
                </c:pt>
                <c:pt idx="6">
                  <c:v>184.89999999999992</c:v>
                </c:pt>
                <c:pt idx="7">
                  <c:v>236.10999999999967</c:v>
                </c:pt>
                <c:pt idx="8">
                  <c:v>253.81000000000006</c:v>
                </c:pt>
              </c:numCache>
            </c:numRef>
          </c:val>
        </c:ser>
        <c:dLbls>
          <c:dLblPos val="inEnd"/>
          <c:showLegendKey val="0"/>
          <c:showVal val="1"/>
          <c:showCatName val="0"/>
          <c:showSerName val="0"/>
          <c:showPercent val="0"/>
          <c:showBubbleSize val="0"/>
        </c:dLbls>
        <c:gapWidth val="65"/>
        <c:axId val="1941910768"/>
        <c:axId val="1941909680"/>
      </c:barChart>
      <c:dateAx>
        <c:axId val="1941910768"/>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1909680"/>
        <c:crosses val="autoZero"/>
        <c:auto val="1"/>
        <c:lblOffset val="100"/>
        <c:baseTimeUnit val="years"/>
      </c:dateAx>
      <c:valAx>
        <c:axId val="1941909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191076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Output.v0'!$A$62</c:f>
              <c:strCache>
                <c:ptCount val="1"/>
                <c:pt idx="0">
                  <c:v>Operating Cash Flow</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Output.v0'!$B$62:$L$62</c:f>
              <c:numCache>
                <c:formatCode>0</c:formatCode>
                <c:ptCount val="11"/>
                <c:pt idx="1">
                  <c:v>-7.93</c:v>
                </c:pt>
                <c:pt idx="2">
                  <c:v>-28.82</c:v>
                </c:pt>
                <c:pt idx="3">
                  <c:v>159.4</c:v>
                </c:pt>
                <c:pt idx="4">
                  <c:v>90.88</c:v>
                </c:pt>
                <c:pt idx="5">
                  <c:v>97.63</c:v>
                </c:pt>
                <c:pt idx="6">
                  <c:v>166.12</c:v>
                </c:pt>
                <c:pt idx="7">
                  <c:v>180.27</c:v>
                </c:pt>
                <c:pt idx="8">
                  <c:v>315.62</c:v>
                </c:pt>
                <c:pt idx="9">
                  <c:v>337.68</c:v>
                </c:pt>
                <c:pt idx="10">
                  <c:v>238.32</c:v>
                </c:pt>
              </c:numCache>
            </c:numRef>
          </c:val>
        </c:ser>
        <c:ser>
          <c:idx val="1"/>
          <c:order val="1"/>
          <c:tx>
            <c:strRef>
              <c:f>'Screener Output.v0'!$A$64</c:f>
              <c:strCache>
                <c:ptCount val="1"/>
                <c:pt idx="0">
                  <c:v>Cash from Investing Activity</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Output.v0'!$B$64:$L$64</c:f>
              <c:numCache>
                <c:formatCode>0</c:formatCode>
                <c:ptCount val="11"/>
                <c:pt idx="1">
                  <c:v>-59.85</c:v>
                </c:pt>
                <c:pt idx="2">
                  <c:v>-102.96</c:v>
                </c:pt>
                <c:pt idx="3">
                  <c:v>-166.58</c:v>
                </c:pt>
                <c:pt idx="4">
                  <c:v>-68.66</c:v>
                </c:pt>
                <c:pt idx="5">
                  <c:v>-150.13999999999999</c:v>
                </c:pt>
                <c:pt idx="6">
                  <c:v>-151.37</c:v>
                </c:pt>
                <c:pt idx="7">
                  <c:v>-263.02</c:v>
                </c:pt>
                <c:pt idx="8">
                  <c:v>-266.95</c:v>
                </c:pt>
                <c:pt idx="9">
                  <c:v>-139.71</c:v>
                </c:pt>
                <c:pt idx="10">
                  <c:v>-136.49</c:v>
                </c:pt>
              </c:numCache>
            </c:numRef>
          </c:val>
        </c:ser>
        <c:ser>
          <c:idx val="2"/>
          <c:order val="2"/>
          <c:tx>
            <c:strRef>
              <c:f>'Screener Output.v0'!$A$65</c:f>
              <c:strCache>
                <c:ptCount val="1"/>
                <c:pt idx="0">
                  <c:v>Cash from Financing Activity</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Output.v0'!$B$65:$L$65</c:f>
              <c:numCache>
                <c:formatCode>0</c:formatCode>
                <c:ptCount val="11"/>
                <c:pt idx="1">
                  <c:v>51.05</c:v>
                </c:pt>
                <c:pt idx="2">
                  <c:v>130.97</c:v>
                </c:pt>
                <c:pt idx="3">
                  <c:v>5.33</c:v>
                </c:pt>
                <c:pt idx="4">
                  <c:v>-19.420000000000002</c:v>
                </c:pt>
                <c:pt idx="5">
                  <c:v>52.51</c:v>
                </c:pt>
                <c:pt idx="6">
                  <c:v>-13.05</c:v>
                </c:pt>
                <c:pt idx="7">
                  <c:v>87.43</c:v>
                </c:pt>
                <c:pt idx="8">
                  <c:v>-38.72</c:v>
                </c:pt>
                <c:pt idx="9">
                  <c:v>-167.88</c:v>
                </c:pt>
                <c:pt idx="10">
                  <c:v>-71.989999999999995</c:v>
                </c:pt>
              </c:numCache>
            </c:numRef>
          </c:val>
        </c:ser>
        <c:dLbls>
          <c:dLblPos val="inEnd"/>
          <c:showLegendKey val="0"/>
          <c:showVal val="1"/>
          <c:showCatName val="0"/>
          <c:showSerName val="0"/>
          <c:showPercent val="0"/>
          <c:showBubbleSize val="0"/>
        </c:dLbls>
        <c:gapWidth val="65"/>
        <c:axId val="1943920816"/>
        <c:axId val="1943913200"/>
      </c:barChart>
      <c:dateAx>
        <c:axId val="194392081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500" b="0" i="0" u="none" strike="noStrike" kern="1200" cap="all" baseline="0">
                <a:solidFill>
                  <a:schemeClr val="dk1">
                    <a:lumMod val="75000"/>
                    <a:lumOff val="25000"/>
                  </a:schemeClr>
                </a:solidFill>
                <a:latin typeface="+mn-lt"/>
                <a:ea typeface="+mn-ea"/>
                <a:cs typeface="+mn-cs"/>
              </a:defRPr>
            </a:pPr>
            <a:endParaRPr lang="en-US"/>
          </a:p>
        </c:txPr>
        <c:crossAx val="1943913200"/>
        <c:crosses val="autoZero"/>
        <c:auto val="1"/>
        <c:lblOffset val="100"/>
        <c:baseTimeUnit val="years"/>
      </c:dateAx>
      <c:valAx>
        <c:axId val="1943913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392081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74999448598337"/>
          <c:y val="0.13704496788008566"/>
        </c:manualLayout>
      </c:layout>
      <c:overlay val="0"/>
    </c:title>
    <c:autoTitleDeleted val="0"/>
    <c:plotArea>
      <c:layout/>
      <c:barChart>
        <c:barDir val="bar"/>
        <c:grouping val="clustered"/>
        <c:varyColors val="0"/>
        <c:ser>
          <c:idx val="0"/>
          <c:order val="0"/>
          <c:tx>
            <c:strRef>
              <c:f>Valuation_Table!$A$27</c:f>
              <c:strCache>
                <c:ptCount val="1"/>
                <c:pt idx="0">
                  <c:v>Sustainable Earnings Growth</c:v>
                </c:pt>
              </c:strCache>
            </c:strRef>
          </c:tx>
          <c:spPr>
            <a:solidFill>
              <a:schemeClr val="accent6">
                <a:lumMod val="7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Growth Basis</c:v>
              </c:pt>
            </c:strLit>
          </c:cat>
          <c:val>
            <c:numRef>
              <c:f>Valuation_Table!$B$27</c:f>
              <c:numCache>
                <c:formatCode>0</c:formatCode>
                <c:ptCount val="1"/>
                <c:pt idx="0">
                  <c:v>629.84700800416124</c:v>
                </c:pt>
              </c:numCache>
            </c:numRef>
          </c:val>
        </c:ser>
        <c:dLbls>
          <c:dLblPos val="outEnd"/>
          <c:showLegendKey val="0"/>
          <c:showVal val="1"/>
          <c:showCatName val="0"/>
          <c:showSerName val="0"/>
          <c:showPercent val="0"/>
          <c:showBubbleSize val="0"/>
        </c:dLbls>
        <c:gapWidth val="150"/>
        <c:axId val="1751203584"/>
        <c:axId val="1751211744"/>
      </c:barChart>
      <c:catAx>
        <c:axId val="1751203584"/>
        <c:scaling>
          <c:orientation val="minMax"/>
        </c:scaling>
        <c:delete val="0"/>
        <c:axPos val="l"/>
        <c:numFmt formatCode="General" sourceLinked="0"/>
        <c:majorTickMark val="out"/>
        <c:minorTickMark val="none"/>
        <c:tickLblPos val="nextTo"/>
        <c:crossAx val="1751211744"/>
        <c:crosses val="autoZero"/>
        <c:auto val="1"/>
        <c:lblAlgn val="ctr"/>
        <c:lblOffset val="100"/>
        <c:noMultiLvlLbl val="0"/>
      </c:catAx>
      <c:valAx>
        <c:axId val="1751211744"/>
        <c:scaling>
          <c:orientation val="minMax"/>
        </c:scaling>
        <c:delete val="1"/>
        <c:axPos val="b"/>
        <c:numFmt formatCode="0" sourceLinked="1"/>
        <c:majorTickMark val="out"/>
        <c:minorTickMark val="none"/>
        <c:tickLblPos val="nextTo"/>
        <c:crossAx val="1751203584"/>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43866995422149E-2"/>
          <c:y val="5.4502818311879121E-2"/>
          <c:w val="0.89784315299318185"/>
          <c:h val="0.74558580189085655"/>
        </c:manualLayout>
      </c:layout>
      <c:areaChart>
        <c:grouping val="percentStacked"/>
        <c:varyColors val="0"/>
        <c:ser>
          <c:idx val="0"/>
          <c:order val="0"/>
          <c:tx>
            <c:strRef>
              <c:f>'Screener Output.v0'!$A$157</c:f>
              <c:strCache>
                <c:ptCount val="1"/>
                <c:pt idx="0">
                  <c:v>Tangible assets (Non-current)</c:v>
                </c:pt>
              </c:strCache>
            </c:strRef>
          </c:tx>
          <c:spPr>
            <a:solidFill>
              <a:schemeClr val="accent1">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Output.v0'!$C$157:$L$157</c:f>
              <c:numCache>
                <c:formatCode>0%</c:formatCode>
                <c:ptCount val="10"/>
                <c:pt idx="0">
                  <c:v>0.58012755958375295</c:v>
                </c:pt>
                <c:pt idx="1">
                  <c:v>0.6052146431393205</c:v>
                </c:pt>
                <c:pt idx="2">
                  <c:v>0.60662799308812632</c:v>
                </c:pt>
                <c:pt idx="3">
                  <c:v>0.58468583743012992</c:v>
                </c:pt>
                <c:pt idx="4">
                  <c:v>0.59182290274542748</c:v>
                </c:pt>
                <c:pt idx="5">
                  <c:v>0.58827682414385607</c:v>
                </c:pt>
                <c:pt idx="6">
                  <c:v>0.55064502704952145</c:v>
                </c:pt>
                <c:pt idx="7">
                  <c:v>0.58347132398121238</c:v>
                </c:pt>
                <c:pt idx="8">
                  <c:v>0.57612860603391325</c:v>
                </c:pt>
                <c:pt idx="9">
                  <c:v>0.53331377261126323</c:v>
                </c:pt>
              </c:numCache>
            </c:numRef>
          </c:val>
        </c:ser>
        <c:ser>
          <c:idx val="2"/>
          <c:order val="1"/>
          <c:tx>
            <c:strRef>
              <c:f>'Screener Output.v0'!$A$158</c:f>
              <c:strCache>
                <c:ptCount val="1"/>
                <c:pt idx="0">
                  <c:v>Investments (Current)</c:v>
                </c:pt>
              </c:strCache>
            </c:strRef>
          </c:tx>
          <c:spPr>
            <a:solidFill>
              <a:schemeClr val="accent3">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Output.v0'!$C$158:$L$158</c:f>
              <c:numCache>
                <c:formatCode>0%</c:formatCode>
                <c:ptCount val="10"/>
                <c:pt idx="0">
                  <c:v>1.0294282197605461E-3</c:v>
                </c:pt>
                <c:pt idx="1">
                  <c:v>1.5801948907031868E-3</c:v>
                </c:pt>
                <c:pt idx="2">
                  <c:v>4.1841520612194523E-3</c:v>
                </c:pt>
                <c:pt idx="3">
                  <c:v>8.979280310683098E-5</c:v>
                </c:pt>
                <c:pt idx="4">
                  <c:v>7.6367940738477998E-5</c:v>
                </c:pt>
                <c:pt idx="5">
                  <c:v>6.8049199571290048E-5</c:v>
                </c:pt>
                <c:pt idx="6">
                  <c:v>5.1218028746118634E-5</c:v>
                </c:pt>
                <c:pt idx="7">
                  <c:v>4.1657554076712386E-5</c:v>
                </c:pt>
                <c:pt idx="8">
                  <c:v>4.4043162299053068E-5</c:v>
                </c:pt>
                <c:pt idx="9">
                  <c:v>1.9560722070083273E-4</c:v>
                </c:pt>
              </c:numCache>
            </c:numRef>
          </c:val>
        </c:ser>
        <c:ser>
          <c:idx val="3"/>
          <c:order val="2"/>
          <c:tx>
            <c:strRef>
              <c:f>'Screener Output.v0'!$A$159</c:f>
              <c:strCache>
                <c:ptCount val="1"/>
                <c:pt idx="0">
                  <c:v>Inventories (Current)</c:v>
                </c:pt>
              </c:strCache>
            </c:strRef>
          </c:tx>
          <c:spPr>
            <a:solidFill>
              <a:schemeClr val="accent4">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Output.v0'!$C$159:$L$159</c:f>
              <c:numCache>
                <c:formatCode>0%</c:formatCode>
                <c:ptCount val="10"/>
                <c:pt idx="0">
                  <c:v>0.15833053597404051</c:v>
                </c:pt>
                <c:pt idx="1">
                  <c:v>0.20379575981037662</c:v>
                </c:pt>
                <c:pt idx="2">
                  <c:v>0.19087879535917057</c:v>
                </c:pt>
                <c:pt idx="3">
                  <c:v>0.209307024042023</c:v>
                </c:pt>
                <c:pt idx="4">
                  <c:v>0.20973500324563751</c:v>
                </c:pt>
                <c:pt idx="5">
                  <c:v>0.16424524931525494</c:v>
                </c:pt>
                <c:pt idx="6">
                  <c:v>0.19419315599090878</c:v>
                </c:pt>
                <c:pt idx="7">
                  <c:v>0.20004478187063246</c:v>
                </c:pt>
                <c:pt idx="8">
                  <c:v>0.18205485820548581</c:v>
                </c:pt>
                <c:pt idx="9">
                  <c:v>0.17626539242534328</c:v>
                </c:pt>
              </c:numCache>
            </c:numRef>
          </c:val>
        </c:ser>
        <c:ser>
          <c:idx val="4"/>
          <c:order val="3"/>
          <c:tx>
            <c:strRef>
              <c:f>'Screener Output.v0'!$A$160</c:f>
              <c:strCache>
                <c:ptCount val="1"/>
                <c:pt idx="0">
                  <c:v>Receivables (Current)</c:v>
                </c:pt>
              </c:strCache>
            </c:strRef>
          </c:tx>
          <c:spPr>
            <a:solidFill>
              <a:schemeClr val="accent5">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Output.v0'!$C$160:$L$160</c:f>
              <c:numCache>
                <c:formatCode>0%</c:formatCode>
                <c:ptCount val="10"/>
                <c:pt idx="0">
                  <c:v>0.11549737048226473</c:v>
                </c:pt>
                <c:pt idx="1">
                  <c:v>0.1026139057150382</c:v>
                </c:pt>
                <c:pt idx="2">
                  <c:v>0.11632930140705998</c:v>
                </c:pt>
                <c:pt idx="3">
                  <c:v>0.13351067411946932</c:v>
                </c:pt>
                <c:pt idx="4">
                  <c:v>0.13710909160334492</c:v>
                </c:pt>
                <c:pt idx="5">
                  <c:v>0.14022388186658954</c:v>
                </c:pt>
                <c:pt idx="6">
                  <c:v>0.13259067191651461</c:v>
                </c:pt>
                <c:pt idx="7">
                  <c:v>0.1427344018495954</c:v>
                </c:pt>
                <c:pt idx="8">
                  <c:v>0.16585676184883408</c:v>
                </c:pt>
                <c:pt idx="9">
                  <c:v>0.20989120512677212</c:v>
                </c:pt>
              </c:numCache>
            </c:numRef>
          </c:val>
        </c:ser>
        <c:ser>
          <c:idx val="5"/>
          <c:order val="4"/>
          <c:tx>
            <c:strRef>
              <c:f>'Screener Output.v0'!$A$161</c:f>
              <c:strCache>
                <c:ptCount val="1"/>
                <c:pt idx="0">
                  <c:v>Cash (Current)</c:v>
                </c:pt>
              </c:strCache>
            </c:strRef>
          </c:tx>
          <c:spPr>
            <a:solidFill>
              <a:schemeClr val="accent6">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Output.v0'!$C$161:$L$161</c:f>
              <c:numCache>
                <c:formatCode>0%</c:formatCode>
                <c:ptCount val="10"/>
                <c:pt idx="0">
                  <c:v>1.2084592145015106E-2</c:v>
                </c:pt>
                <c:pt idx="1">
                  <c:v>7.5553068211746113E-3</c:v>
                </c:pt>
                <c:pt idx="2">
                  <c:v>4.6531720562823994E-3</c:v>
                </c:pt>
                <c:pt idx="3">
                  <c:v>8.0364558780613733E-3</c:v>
                </c:pt>
                <c:pt idx="4">
                  <c:v>3.8183970369238996E-3</c:v>
                </c:pt>
                <c:pt idx="5">
                  <c:v>5.1887514673108663E-3</c:v>
                </c:pt>
                <c:pt idx="6">
                  <c:v>7.1449150100835494E-3</c:v>
                </c:pt>
                <c:pt idx="7">
                  <c:v>1.1205882046635631E-2</c:v>
                </c:pt>
                <c:pt idx="8">
                  <c:v>2.5427585700653305E-2</c:v>
                </c:pt>
                <c:pt idx="9">
                  <c:v>3.8371616460813357E-2</c:v>
                </c:pt>
              </c:numCache>
            </c:numRef>
          </c:val>
        </c:ser>
        <c:ser>
          <c:idx val="1"/>
          <c:order val="5"/>
          <c:tx>
            <c:strRef>
              <c:f>'Screener Output.v0'!$A$162</c:f>
              <c:strCache>
                <c:ptCount val="1"/>
                <c:pt idx="0">
                  <c:v>Rest</c:v>
                </c:pt>
              </c:strCache>
            </c:strRef>
          </c:tx>
          <c:spPr>
            <a:solidFill>
              <a:schemeClr val="accent2">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Output.v0'!$C$162:$L$162</c:f>
              <c:numCache>
                <c:formatCode>0%</c:formatCode>
                <c:ptCount val="10"/>
                <c:pt idx="0">
                  <c:v>0.13293051359516617</c:v>
                </c:pt>
                <c:pt idx="1">
                  <c:v>7.9240189623386817E-2</c:v>
                </c:pt>
                <c:pt idx="2">
                  <c:v>7.7326586028141242E-2</c:v>
                </c:pt>
                <c:pt idx="3">
                  <c:v>6.4370215727209593E-2</c:v>
                </c:pt>
                <c:pt idx="4">
                  <c:v>5.7438237427927689E-2</c:v>
                </c:pt>
                <c:pt idx="5">
                  <c:v>0.1019972440074173</c:v>
                </c:pt>
                <c:pt idx="6">
                  <c:v>0.11537501200422547</c:v>
                </c:pt>
                <c:pt idx="7">
                  <c:v>6.2501952697847349E-2</c:v>
                </c:pt>
                <c:pt idx="8">
                  <c:v>5.0488145048814527E-2</c:v>
                </c:pt>
                <c:pt idx="9">
                  <c:v>4.1962406155107192E-2</c:v>
                </c:pt>
              </c:numCache>
            </c:numRef>
          </c:val>
        </c:ser>
        <c:dLbls>
          <c:showLegendKey val="0"/>
          <c:showVal val="1"/>
          <c:showCatName val="0"/>
          <c:showSerName val="0"/>
          <c:showPercent val="0"/>
          <c:showBubbleSize val="0"/>
        </c:dLbls>
        <c:axId val="1943926256"/>
        <c:axId val="1943916464"/>
      </c:areaChart>
      <c:dateAx>
        <c:axId val="194392625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3916464"/>
        <c:crosses val="autoZero"/>
        <c:auto val="1"/>
        <c:lblOffset val="100"/>
        <c:baseTimeUnit val="years"/>
      </c:dateAx>
      <c:valAx>
        <c:axId val="194391646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943926256"/>
        <c:crosses val="autoZero"/>
        <c:crossBetween val="midCat"/>
      </c:valAx>
      <c:spPr>
        <a:noFill/>
        <a:ln>
          <a:noFill/>
        </a:ln>
        <a:effectLst/>
      </c:spPr>
    </c:plotArea>
    <c:legend>
      <c:legendPos val="b"/>
      <c:layout>
        <c:manualLayout>
          <c:xMode val="edge"/>
          <c:yMode val="edge"/>
          <c:x val="9.7819076446525929E-3"/>
          <c:y val="0.87919392601082591"/>
          <c:w val="0.96365902350050647"/>
          <c:h val="0.102962059180397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'Screener Output.v0'!$A$112:$B$112</c:f>
              <c:strCache>
                <c:ptCount val="2"/>
                <c:pt idx="0">
                  <c:v>Receivable Days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Output.v0'!$C$112:$L$112</c:f>
              <c:numCache>
                <c:formatCode>0</c:formatCode>
                <c:ptCount val="10"/>
                <c:pt idx="0">
                  <c:v>54.11718233790112</c:v>
                </c:pt>
                <c:pt idx="1">
                  <c:v>52.855052264808371</c:v>
                </c:pt>
                <c:pt idx="2">
                  <c:v>36.088381851560456</c:v>
                </c:pt>
                <c:pt idx="3">
                  <c:v>33.066076174954112</c:v>
                </c:pt>
                <c:pt idx="4">
                  <c:v>33.111819209610488</c:v>
                </c:pt>
                <c:pt idx="5">
                  <c:v>32.766934776807837</c:v>
                </c:pt>
                <c:pt idx="6">
                  <c:v>34.565753192890362</c:v>
                </c:pt>
                <c:pt idx="7">
                  <c:v>41.455240423460197</c:v>
                </c:pt>
                <c:pt idx="8">
                  <c:v>48.519118460325615</c:v>
                </c:pt>
                <c:pt idx="9">
                  <c:v>60.685660001475689</c:v>
                </c:pt>
              </c:numCache>
            </c:numRef>
          </c:val>
        </c:ser>
        <c:dLbls>
          <c:dLblPos val="inEnd"/>
          <c:showLegendKey val="0"/>
          <c:showVal val="1"/>
          <c:showCatName val="0"/>
          <c:showSerName val="0"/>
          <c:showPercent val="0"/>
          <c:showBubbleSize val="0"/>
        </c:dLbls>
        <c:gapWidth val="65"/>
        <c:axId val="1943921360"/>
        <c:axId val="1943913744"/>
      </c:barChart>
      <c:dateAx>
        <c:axId val="1943921360"/>
        <c:scaling>
          <c:orientation val="minMax"/>
        </c:scaling>
        <c:delete val="0"/>
        <c:axPos val="l"/>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3913744"/>
        <c:crosses val="autoZero"/>
        <c:auto val="1"/>
        <c:lblOffset val="100"/>
        <c:baseTimeUnit val="years"/>
      </c:dateAx>
      <c:valAx>
        <c:axId val="194391374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9439213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Output.v0'!$A$113:$B$113</c:f>
              <c:strCache>
                <c:ptCount val="2"/>
                <c:pt idx="0">
                  <c:v>Inventory Turnover ratio</c:v>
                </c:pt>
              </c:strCache>
            </c:strRef>
          </c:tx>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Output.v0'!$C$113:$L$113</c:f>
              <c:numCache>
                <c:formatCode>0.0</c:formatCode>
                <c:ptCount val="10"/>
                <c:pt idx="0">
                  <c:v>2.1703180212014135</c:v>
                </c:pt>
                <c:pt idx="1">
                  <c:v>2.395045230263158</c:v>
                </c:pt>
                <c:pt idx="2">
                  <c:v>3.8304963010845361</c:v>
                </c:pt>
                <c:pt idx="3">
                  <c:v>3.6369126139594878</c:v>
                </c:pt>
                <c:pt idx="4">
                  <c:v>3.3644846008025797</c:v>
                </c:pt>
                <c:pt idx="5">
                  <c:v>3.6349321705426356</c:v>
                </c:pt>
                <c:pt idx="6">
                  <c:v>3.3328095727322178</c:v>
                </c:pt>
                <c:pt idx="7">
                  <c:v>2.6533331393911186</c:v>
                </c:pt>
                <c:pt idx="8">
                  <c:v>2.3983390417752148</c:v>
                </c:pt>
                <c:pt idx="9">
                  <c:v>2.8599981345520926</c:v>
                </c:pt>
              </c:numCache>
            </c:numRef>
          </c:val>
        </c:ser>
        <c:dLbls>
          <c:dLblPos val="inEnd"/>
          <c:showLegendKey val="0"/>
          <c:showVal val="1"/>
          <c:showCatName val="0"/>
          <c:showSerName val="0"/>
          <c:showPercent val="0"/>
          <c:showBubbleSize val="0"/>
        </c:dLbls>
        <c:gapWidth val="41"/>
        <c:axId val="1943921904"/>
        <c:axId val="1943925712"/>
      </c:barChart>
      <c:dateAx>
        <c:axId val="1943921904"/>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943925712"/>
        <c:crosses val="autoZero"/>
        <c:auto val="1"/>
        <c:lblOffset val="100"/>
        <c:baseTimeUnit val="years"/>
      </c:dateAx>
      <c:valAx>
        <c:axId val="1943925712"/>
        <c:scaling>
          <c:orientation val="minMax"/>
        </c:scaling>
        <c:delete val="1"/>
        <c:axPos val="l"/>
        <c:numFmt formatCode="0.0" sourceLinked="1"/>
        <c:majorTickMark val="none"/>
        <c:minorTickMark val="none"/>
        <c:tickLblPos val="nextTo"/>
        <c:crossAx val="1943921904"/>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Output.v0'!$A$100:$B$100</c:f>
              <c:strCache>
                <c:ptCount val="2"/>
                <c:pt idx="0">
                  <c:v>Equity</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Output.v0'!$C$100:$L$100</c:f>
              <c:numCache>
                <c:formatCode>0%</c:formatCode>
                <c:ptCount val="10"/>
                <c:pt idx="0">
                  <c:v>0.30488978404386258</c:v>
                </c:pt>
                <c:pt idx="1">
                  <c:v>0.23479062417698185</c:v>
                </c:pt>
                <c:pt idx="2">
                  <c:v>0.27464823500370278</c:v>
                </c:pt>
                <c:pt idx="3">
                  <c:v>0.31659819965429775</c:v>
                </c:pt>
                <c:pt idx="4">
                  <c:v>0.34449578067127418</c:v>
                </c:pt>
                <c:pt idx="5">
                  <c:v>0.42884605569826983</c:v>
                </c:pt>
                <c:pt idx="6">
                  <c:v>0.47436857773936419</c:v>
                </c:pt>
                <c:pt idx="7">
                  <c:v>0.50608721008945956</c:v>
                </c:pt>
                <c:pt idx="8">
                  <c:v>0.57506667645403609</c:v>
                </c:pt>
                <c:pt idx="9">
                  <c:v>0.62891447307140591</c:v>
                </c:pt>
              </c:numCache>
            </c:numRef>
          </c:val>
        </c:ser>
        <c:ser>
          <c:idx val="1"/>
          <c:order val="1"/>
          <c:tx>
            <c:strRef>
              <c:f>'Screener Output.v0'!$A$101:$B$101</c:f>
              <c:strCache>
                <c:ptCount val="2"/>
                <c:pt idx="0">
                  <c:v>Float</c:v>
                </c:pt>
              </c:strCache>
            </c:strRef>
          </c:tx>
          <c:spPr>
            <a:solidFill>
              <a:schemeClr val="accent6">
                <a:lumMod val="60000"/>
                <a:lumOff val="4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Output.v0'!$C$101:$L$101</c:f>
              <c:numCache>
                <c:formatCode>0%</c:formatCode>
                <c:ptCount val="10"/>
                <c:pt idx="0">
                  <c:v>0.23023385923688036</c:v>
                </c:pt>
                <c:pt idx="1">
                  <c:v>0.19765604424545694</c:v>
                </c:pt>
                <c:pt idx="2">
                  <c:v>0.36992100715872617</c:v>
                </c:pt>
                <c:pt idx="3">
                  <c:v>0.37115855164208589</c:v>
                </c:pt>
                <c:pt idx="4">
                  <c:v>0.34987972049333682</c:v>
                </c:pt>
                <c:pt idx="5">
                  <c:v>0.37004304111872877</c:v>
                </c:pt>
                <c:pt idx="6">
                  <c:v>0.36978136303979003</c:v>
                </c:pt>
                <c:pt idx="7">
                  <c:v>0.34099832328344842</c:v>
                </c:pt>
                <c:pt idx="8">
                  <c:v>0.32061954048300667</c:v>
                </c:pt>
                <c:pt idx="9">
                  <c:v>0.29175748430484916</c:v>
                </c:pt>
              </c:numCache>
            </c:numRef>
          </c:val>
        </c:ser>
        <c:ser>
          <c:idx val="2"/>
          <c:order val="2"/>
          <c:tx>
            <c:strRef>
              <c:f>'Screener Output.v0'!$A$102:$B$102</c:f>
              <c:strCache>
                <c:ptCount val="2"/>
                <c:pt idx="0">
                  <c:v>Debt</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Output.v0'!$C$102:$L$102</c:f>
              <c:numCache>
                <c:formatCode>0%</c:formatCode>
                <c:ptCount val="10"/>
                <c:pt idx="0">
                  <c:v>0.46487635671925698</c:v>
                </c:pt>
                <c:pt idx="1">
                  <c:v>0.56755333157756127</c:v>
                </c:pt>
                <c:pt idx="2">
                  <c:v>0.355430757837571</c:v>
                </c:pt>
                <c:pt idx="3">
                  <c:v>0.31224324870361636</c:v>
                </c:pt>
                <c:pt idx="4">
                  <c:v>0.30562449883538889</c:v>
                </c:pt>
                <c:pt idx="5">
                  <c:v>0.20111090318300129</c:v>
                </c:pt>
                <c:pt idx="6">
                  <c:v>0.15585005922084574</c:v>
                </c:pt>
                <c:pt idx="7">
                  <c:v>0.15291446662709199</c:v>
                </c:pt>
                <c:pt idx="8">
                  <c:v>0.10431378306295724</c:v>
                </c:pt>
                <c:pt idx="9">
                  <c:v>7.9328042623744849E-2</c:v>
                </c:pt>
              </c:numCache>
            </c:numRef>
          </c:val>
        </c:ser>
        <c:dLbls>
          <c:dLblPos val="ctr"/>
          <c:showLegendKey val="0"/>
          <c:showVal val="1"/>
          <c:showCatName val="0"/>
          <c:showSerName val="0"/>
          <c:showPercent val="0"/>
          <c:showBubbleSize val="0"/>
        </c:dLbls>
        <c:gapWidth val="150"/>
        <c:overlap val="100"/>
        <c:axId val="1943914288"/>
        <c:axId val="1943924080"/>
      </c:barChart>
      <c:dateAx>
        <c:axId val="1943914288"/>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3924080"/>
        <c:crosses val="autoZero"/>
        <c:auto val="1"/>
        <c:lblOffset val="100"/>
        <c:baseTimeUnit val="years"/>
      </c:dateAx>
      <c:valAx>
        <c:axId val="19439240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91428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Output.v0'!$C$114:$L$114</c:f>
              <c:numCache>
                <c:formatCode>0%</c:formatCode>
                <c:ptCount val="10"/>
                <c:pt idx="0">
                  <c:v>0.20325203252032523</c:v>
                </c:pt>
                <c:pt idx="1">
                  <c:v>0.28759581881533103</c:v>
                </c:pt>
                <c:pt idx="2">
                  <c:v>0.16223446105428796</c:v>
                </c:pt>
                <c:pt idx="3">
                  <c:v>0.14202264990137314</c:v>
                </c:pt>
                <c:pt idx="4">
                  <c:v>0.13876976131676846</c:v>
                </c:pt>
                <c:pt idx="5">
                  <c:v>0.1051510910467187</c:v>
                </c:pt>
                <c:pt idx="6">
                  <c:v>0.13869924870478167</c:v>
                </c:pt>
                <c:pt idx="7">
                  <c:v>0.15917876898216249</c:v>
                </c:pt>
                <c:pt idx="8">
                  <c:v>0.14591136753175948</c:v>
                </c:pt>
                <c:pt idx="9">
                  <c:v>0.13962591308197447</c:v>
                </c:pt>
              </c:numCache>
            </c:numRef>
          </c:val>
          <c:smooth val="0"/>
        </c:ser>
        <c:dLbls>
          <c:dLblPos val="ctr"/>
          <c:showLegendKey val="0"/>
          <c:showVal val="1"/>
          <c:showCatName val="0"/>
          <c:showSerName val="0"/>
          <c:showPercent val="0"/>
          <c:showBubbleSize val="0"/>
        </c:dLbls>
        <c:marker val="1"/>
        <c:smooth val="0"/>
        <c:axId val="1943915376"/>
        <c:axId val="1943919184"/>
      </c:lineChart>
      <c:dateAx>
        <c:axId val="1943915376"/>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3919184"/>
        <c:crosses val="autoZero"/>
        <c:auto val="1"/>
        <c:lblOffset val="100"/>
        <c:baseTimeUnit val="years"/>
      </c:dateAx>
      <c:valAx>
        <c:axId val="19439191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9153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'Shareholding input'!$B$6</c:f>
              <c:strCache>
                <c:ptCount val="1"/>
                <c:pt idx="0">
                  <c:v>Promoter unpledged</c:v>
                </c:pt>
              </c:strCache>
            </c:strRef>
          </c:tx>
          <c:spPr>
            <a:solidFill>
              <a:srgbClr val="00B050">
                <a:alpha val="85000"/>
              </a:srgb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input'!$C$6:$H$6</c:f>
              <c:numCache>
                <c:formatCode>0.0%</c:formatCode>
                <c:ptCount val="6"/>
                <c:pt idx="0">
                  <c:v>0.4758</c:v>
                </c:pt>
                <c:pt idx="1">
                  <c:v>0.45779999999999998</c:v>
                </c:pt>
                <c:pt idx="2">
                  <c:v>0.47389999999999999</c:v>
                </c:pt>
                <c:pt idx="3">
                  <c:v>0.4718</c:v>
                </c:pt>
                <c:pt idx="4">
                  <c:v>0.49540000000000001</c:v>
                </c:pt>
                <c:pt idx="5">
                  <c:v>0.52090000000000003</c:v>
                </c:pt>
              </c:numCache>
            </c:numRef>
          </c:val>
        </c:ser>
        <c:ser>
          <c:idx val="1"/>
          <c:order val="1"/>
          <c:tx>
            <c:strRef>
              <c:f>'Shareholding input'!$B$7</c:f>
              <c:strCache>
                <c:ptCount val="1"/>
                <c:pt idx="0">
                  <c:v>Promoter pledged</c:v>
                </c:pt>
              </c:strCache>
            </c:strRef>
          </c:tx>
          <c:spPr>
            <a:solidFill>
              <a:schemeClr val="accent2">
                <a:alpha val="85000"/>
              </a:schemeClr>
            </a:solidFill>
            <a:ln w="9525" cap="flat" cmpd="sng" algn="ctr">
              <a:solidFill>
                <a:schemeClr val="lt1">
                  <a:alpha val="50000"/>
                </a:schemeClr>
              </a:solidFill>
              <a:round/>
            </a:ln>
            <a:effectLst/>
          </c:spPr>
          <c:invertIfNegative val="0"/>
          <c:dLbls>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input'!$C$7:$H$7</c:f>
              <c:numCache>
                <c:formatCode>0.0%</c:formatCode>
                <c:ptCount val="6"/>
              </c:numCache>
            </c:numRef>
          </c:val>
        </c:ser>
        <c:ser>
          <c:idx val="2"/>
          <c:order val="2"/>
          <c:tx>
            <c:strRef>
              <c:f>'Shareholding input'!$B$8</c:f>
              <c:strCache>
                <c:ptCount val="1"/>
                <c:pt idx="0">
                  <c:v>FII</c:v>
                </c:pt>
              </c:strCache>
            </c:strRef>
          </c:tx>
          <c:spPr>
            <a:solidFill>
              <a:schemeClr val="accent3">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input'!$C$8:$H$8</c:f>
              <c:numCache>
                <c:formatCode>0.0%</c:formatCode>
                <c:ptCount val="6"/>
                <c:pt idx="0">
                  <c:v>0.26050000000000001</c:v>
                </c:pt>
                <c:pt idx="1">
                  <c:v>0.28089999999999998</c:v>
                </c:pt>
                <c:pt idx="2">
                  <c:v>0.23380000000000001</c:v>
                </c:pt>
                <c:pt idx="3">
                  <c:v>0.26740000000000003</c:v>
                </c:pt>
                <c:pt idx="4">
                  <c:v>0.2382</c:v>
                </c:pt>
                <c:pt idx="5">
                  <c:v>0.25530000000000003</c:v>
                </c:pt>
              </c:numCache>
            </c:numRef>
          </c:val>
        </c:ser>
        <c:ser>
          <c:idx val="3"/>
          <c:order val="3"/>
          <c:tx>
            <c:strRef>
              <c:f>'Shareholding input'!$B$9</c:f>
              <c:strCache>
                <c:ptCount val="1"/>
                <c:pt idx="0">
                  <c:v>Mutual funds</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input'!$C$9:$H$9</c:f>
              <c:numCache>
                <c:formatCode>0.0%</c:formatCode>
                <c:ptCount val="6"/>
                <c:pt idx="0">
                  <c:v>8.4699999999999998E-2</c:v>
                </c:pt>
                <c:pt idx="1">
                  <c:v>8.0299999999999996E-2</c:v>
                </c:pt>
                <c:pt idx="2">
                  <c:v>5.2600000000000001E-2</c:v>
                </c:pt>
                <c:pt idx="3">
                  <c:v>3.4000000000000002E-2</c:v>
                </c:pt>
                <c:pt idx="4">
                  <c:v>4.3999999999999997E-2</c:v>
                </c:pt>
                <c:pt idx="5">
                  <c:v>3.9E-2</c:v>
                </c:pt>
              </c:numCache>
            </c:numRef>
          </c:val>
        </c:ser>
        <c:ser>
          <c:idx val="4"/>
          <c:order val="4"/>
          <c:tx>
            <c:strRef>
              <c:f>'Shareholding input'!$B$10</c:f>
              <c:strCache>
                <c:ptCount val="1"/>
                <c:pt idx="0">
                  <c:v>Bodies corporate</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input'!$C$10:$H$10</c:f>
              <c:numCache>
                <c:formatCode>0.0%</c:formatCode>
                <c:ptCount val="6"/>
                <c:pt idx="0">
                  <c:v>3.2300000000000002E-2</c:v>
                </c:pt>
                <c:pt idx="1">
                  <c:v>3.3799999999999997E-2</c:v>
                </c:pt>
                <c:pt idx="2">
                  <c:v>3.6799999999999999E-2</c:v>
                </c:pt>
                <c:pt idx="4">
                  <c:v>2.2599999999999999E-2</c:v>
                </c:pt>
                <c:pt idx="5">
                  <c:v>2.76E-2</c:v>
                </c:pt>
              </c:numCache>
            </c:numRef>
          </c:val>
        </c:ser>
        <c:ser>
          <c:idx val="5"/>
          <c:order val="5"/>
          <c:tx>
            <c:strRef>
              <c:f>'Shareholding input'!$B$11</c:f>
              <c:strCache>
                <c:ptCount val="1"/>
                <c:pt idx="0">
                  <c:v>Individuals &lt;= 2 lakh</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input'!$C$11:$H$11</c:f>
              <c:numCache>
                <c:formatCode>0.0%</c:formatCode>
                <c:ptCount val="6"/>
                <c:pt idx="0">
                  <c:v>0.1099</c:v>
                </c:pt>
                <c:pt idx="1">
                  <c:v>9.8900000000000002E-2</c:v>
                </c:pt>
                <c:pt idx="2">
                  <c:v>9.64E-2</c:v>
                </c:pt>
                <c:pt idx="3">
                  <c:v>9.0899999999999995E-2</c:v>
                </c:pt>
                <c:pt idx="4">
                  <c:v>8.3299999999999999E-2</c:v>
                </c:pt>
                <c:pt idx="5">
                  <c:v>8.8200000000000001E-2</c:v>
                </c:pt>
              </c:numCache>
            </c:numRef>
          </c:val>
        </c:ser>
        <c:ser>
          <c:idx val="6"/>
          <c:order val="6"/>
          <c:tx>
            <c:strRef>
              <c:f>'Shareholding input'!$B$12</c:f>
              <c:strCache>
                <c:ptCount val="1"/>
                <c:pt idx="0">
                  <c:v>Individuals &gt; 2 lakh</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input'!$C$12:$H$12</c:f>
              <c:numCache>
                <c:formatCode>0.0%</c:formatCode>
                <c:ptCount val="6"/>
                <c:pt idx="0">
                  <c:v>1.1299999999999999E-2</c:v>
                </c:pt>
                <c:pt idx="1">
                  <c:v>1.1299999999999999E-2</c:v>
                </c:pt>
                <c:pt idx="2">
                  <c:v>1.8499999999999999E-2</c:v>
                </c:pt>
                <c:pt idx="3">
                  <c:v>1.9800000000000002E-2</c:v>
                </c:pt>
                <c:pt idx="4">
                  <c:v>2.9000000000000001E-2</c:v>
                </c:pt>
                <c:pt idx="5">
                  <c:v>3.1199999999999999E-2</c:v>
                </c:pt>
              </c:numCache>
            </c:numRef>
          </c:val>
        </c:ser>
        <c:ser>
          <c:idx val="7"/>
          <c:order val="7"/>
          <c:tx>
            <c:strRef>
              <c:f>'Shareholding input'!$B$13</c:f>
              <c:strCache>
                <c:ptCount val="1"/>
                <c:pt idx="0">
                  <c:v>Others</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input'!$C$13:$H$13</c:f>
              <c:numCache>
                <c:formatCode>0.0%</c:formatCode>
                <c:ptCount val="6"/>
                <c:pt idx="0">
                  <c:v>2.5500000000000078E-2</c:v>
                </c:pt>
                <c:pt idx="1">
                  <c:v>3.7000000000000033E-2</c:v>
                </c:pt>
                <c:pt idx="2">
                  <c:v>8.8000000000000078E-2</c:v>
                </c:pt>
                <c:pt idx="3" formatCode="0%">
                  <c:v>0.11609999999999987</c:v>
                </c:pt>
                <c:pt idx="4" formatCode="0%">
                  <c:v>8.7499999999999911E-2</c:v>
                </c:pt>
                <c:pt idx="5" formatCode="0%">
                  <c:v>3.7799999999999945E-2</c:v>
                </c:pt>
              </c:numCache>
            </c:numRef>
          </c:val>
        </c:ser>
        <c:dLbls>
          <c:dLblPos val="ctr"/>
          <c:showLegendKey val="0"/>
          <c:showVal val="1"/>
          <c:showCatName val="0"/>
          <c:showSerName val="0"/>
          <c:showPercent val="0"/>
          <c:showBubbleSize val="0"/>
        </c:dLbls>
        <c:gapWidth val="150"/>
        <c:overlap val="100"/>
        <c:axId val="1943914832"/>
        <c:axId val="1943915920"/>
      </c:barChart>
      <c:catAx>
        <c:axId val="1943914832"/>
        <c:scaling>
          <c:orientation val="minMax"/>
        </c:scaling>
        <c:delete val="0"/>
        <c:axPos val="l"/>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3915920"/>
        <c:crosses val="autoZero"/>
        <c:auto val="0"/>
        <c:lblAlgn val="ctr"/>
        <c:lblOffset val="100"/>
        <c:noMultiLvlLbl val="1"/>
      </c:catAx>
      <c:valAx>
        <c:axId val="194391592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91483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Piotroski Score</a:t>
            </a:r>
          </a:p>
        </c:rich>
      </c:tx>
      <c:layout/>
      <c:overlay val="0"/>
    </c:title>
    <c:autoTitleDeleted val="0"/>
    <c:plotArea>
      <c:layout/>
      <c:doughnutChart>
        <c:varyColors val="1"/>
        <c:ser>
          <c:idx val="0"/>
          <c:order val="0"/>
          <c:tx>
            <c:strRef>
              <c:f>Piotroski!$F$11</c:f>
              <c:strCache>
                <c:ptCount val="1"/>
                <c:pt idx="0">
                  <c:v>140%</c:v>
                </c:pt>
              </c:strCache>
            </c:strRef>
          </c:tx>
          <c:dPt>
            <c:idx val="4"/>
            <c:bubble3D val="0"/>
            <c:spPr>
              <a:noFill/>
            </c:spPr>
          </c:dPt>
          <c:val>
            <c:numRef>
              <c:f>Piotroski!$I$12:$I$16</c:f>
              <c:numCache>
                <c:formatCode>General</c:formatCode>
                <c:ptCount val="5"/>
                <c:pt idx="0">
                  <c:v>0</c:v>
                </c:pt>
                <c:pt idx="1">
                  <c:v>30</c:v>
                </c:pt>
                <c:pt idx="2">
                  <c:v>40</c:v>
                </c:pt>
                <c:pt idx="3">
                  <c:v>30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Piotroski!$D$11</c:f>
              <c:strCache>
                <c:ptCount val="1"/>
                <c:pt idx="0">
                  <c:v>126%</c:v>
                </c:pt>
              </c:strCache>
            </c:strRef>
          </c:tx>
          <c:explosion val="1"/>
          <c:dPt>
            <c:idx val="0"/>
            <c:bubble3D val="0"/>
            <c:spPr>
              <a:noFill/>
            </c:spPr>
          </c:dPt>
          <c:dPt>
            <c:idx val="1"/>
            <c:bubble3D val="0"/>
            <c:spPr>
              <a:solidFill>
                <a:schemeClr val="tx1"/>
              </a:solidFill>
            </c:spPr>
          </c:dPt>
          <c:dPt>
            <c:idx val="2"/>
            <c:bubble3D val="0"/>
            <c:spPr>
              <a:noFill/>
            </c:spPr>
          </c:dPt>
          <c:val>
            <c:numRef>
              <c:f>Piotroski!$K$12:$K$14</c:f>
              <c:numCache>
                <c:formatCode>General</c:formatCode>
                <c:ptCount val="3"/>
                <c:pt idx="0" formatCode="0">
                  <c:v>66.666666666666657</c:v>
                </c:pt>
                <c:pt idx="1">
                  <c:v>1</c:v>
                </c:pt>
                <c:pt idx="2">
                  <c:v>132.33333333333334</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doughnutChart>
        <c:varyColors val="1"/>
        <c:ser>
          <c:idx val="0"/>
          <c:order val="0"/>
          <c:tx>
            <c:strRef>
              <c:f>Altman!$G$4</c:f>
              <c:strCache>
                <c:ptCount val="1"/>
                <c:pt idx="0">
                  <c:v>Altman Score</c:v>
                </c:pt>
              </c:strCache>
            </c:strRef>
          </c:tx>
          <c:dPt>
            <c:idx val="4"/>
            <c:bubble3D val="0"/>
            <c:spPr>
              <a:noFill/>
            </c:spPr>
          </c:dPt>
          <c:val>
            <c:numRef>
              <c:f>Altman!$H$5:$H$9</c:f>
              <c:numCache>
                <c:formatCode>General</c:formatCode>
                <c:ptCount val="5"/>
                <c:pt idx="0">
                  <c:v>0</c:v>
                </c:pt>
                <c:pt idx="1">
                  <c:v>30</c:v>
                </c:pt>
                <c:pt idx="2">
                  <c:v>20</c:v>
                </c:pt>
                <c:pt idx="3">
                  <c:v>50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Altman!$I$4</c:f>
              <c:strCache>
                <c:ptCount val="1"/>
                <c:pt idx="0">
                  <c:v>Pointer</c:v>
                </c:pt>
              </c:strCache>
            </c:strRef>
          </c:tx>
          <c:dPt>
            <c:idx val="0"/>
            <c:bubble3D val="0"/>
            <c:spPr>
              <a:noFill/>
            </c:spPr>
          </c:dPt>
          <c:dPt>
            <c:idx val="1"/>
            <c:bubble3D val="0"/>
            <c:spPr>
              <a:solidFill>
                <a:schemeClr val="tx1"/>
              </a:solidFill>
            </c:spPr>
          </c:dPt>
          <c:dPt>
            <c:idx val="2"/>
            <c:bubble3D val="0"/>
            <c:spPr>
              <a:noFill/>
            </c:spPr>
          </c:dPt>
          <c:val>
            <c:numRef>
              <c:f>Altman!$J$5:$J$7</c:f>
              <c:numCache>
                <c:formatCode>General</c:formatCode>
                <c:ptCount val="3"/>
                <c:pt idx="0" formatCode="0">
                  <c:v>78.036339474779098</c:v>
                </c:pt>
                <c:pt idx="1">
                  <c:v>1</c:v>
                </c:pt>
                <c:pt idx="2">
                  <c:v>120.9636605252209</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3.2407407407407406E-2"/>
          <c:w val="0.95018868220539698"/>
          <c:h val="0.76388888888888884"/>
        </c:manualLayout>
      </c:layout>
      <c:barChart>
        <c:barDir val="col"/>
        <c:grouping val="clustered"/>
        <c:varyColors val="0"/>
        <c:ser>
          <c:idx val="0"/>
          <c:order val="0"/>
          <c:tx>
            <c:strRef>
              <c:f>'Screener Output.v0'!$A$184</c:f>
              <c:strCache>
                <c:ptCount val="1"/>
                <c:pt idx="0">
                  <c:v>Sales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39142</c:v>
                </c:pt>
                <c:pt idx="1">
                  <c:v>40603</c:v>
                </c:pt>
                <c:pt idx="2">
                  <c:v>40969</c:v>
                </c:pt>
                <c:pt idx="3">
                  <c:v>41334</c:v>
                </c:pt>
                <c:pt idx="4">
                  <c:v>41699</c:v>
                </c:pt>
                <c:pt idx="5">
                  <c:v>42064</c:v>
                </c:pt>
                <c:pt idx="6">
                  <c:v>42430</c:v>
                </c:pt>
                <c:pt idx="7">
                  <c:v>42795</c:v>
                </c:pt>
                <c:pt idx="8">
                  <c:v>43160</c:v>
                </c:pt>
              </c:numCache>
            </c:numRef>
          </c:cat>
          <c:val>
            <c:numRef>
              <c:f>'Screener Output.v0'!$D$184:$L$184</c:f>
              <c:numCache>
                <c:formatCode>_(* #,##0_);_(* \(#,##0\);_(* "-"??_);_(@_)</c:formatCode>
                <c:ptCount val="9"/>
                <c:pt idx="0">
                  <c:v>431.52</c:v>
                </c:pt>
                <c:pt idx="1">
                  <c:v>953.57</c:v>
                </c:pt>
                <c:pt idx="2">
                  <c:v>1314.5</c:v>
                </c:pt>
                <c:pt idx="3">
                  <c:v>1586.31</c:v>
                </c:pt>
                <c:pt idx="4">
                  <c:v>1838.1799999999998</c:v>
                </c:pt>
                <c:pt idx="5">
                  <c:v>2194.1099999999997</c:v>
                </c:pt>
                <c:pt idx="6">
                  <c:v>2423.8799999999997</c:v>
                </c:pt>
                <c:pt idx="7">
                  <c:v>2564.9900000000002</c:v>
                </c:pt>
                <c:pt idx="8">
                  <c:v>2722.19</c:v>
                </c:pt>
              </c:numCache>
            </c:numRef>
          </c:val>
        </c:ser>
        <c:dLbls>
          <c:dLblPos val="inEnd"/>
          <c:showLegendKey val="0"/>
          <c:showVal val="1"/>
          <c:showCatName val="0"/>
          <c:showSerName val="0"/>
          <c:showPercent val="0"/>
          <c:showBubbleSize val="0"/>
        </c:dLbls>
        <c:gapWidth val="41"/>
        <c:axId val="1795090272"/>
        <c:axId val="1795090816"/>
      </c:barChart>
      <c:lineChart>
        <c:grouping val="standard"/>
        <c:varyColors val="0"/>
        <c:ser>
          <c:idx val="1"/>
          <c:order val="1"/>
          <c:tx>
            <c:strRef>
              <c:f>'Screener Output.v0'!$A$185</c:f>
              <c:strCache>
                <c:ptCount val="1"/>
                <c:pt idx="0">
                  <c:v>Sales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39142</c:v>
                </c:pt>
                <c:pt idx="1">
                  <c:v>40603</c:v>
                </c:pt>
                <c:pt idx="2">
                  <c:v>40969</c:v>
                </c:pt>
                <c:pt idx="3">
                  <c:v>41334</c:v>
                </c:pt>
                <c:pt idx="4">
                  <c:v>41699</c:v>
                </c:pt>
                <c:pt idx="5">
                  <c:v>42064</c:v>
                </c:pt>
                <c:pt idx="6">
                  <c:v>42430</c:v>
                </c:pt>
                <c:pt idx="7">
                  <c:v>42795</c:v>
                </c:pt>
                <c:pt idx="8">
                  <c:v>43160</c:v>
                </c:pt>
              </c:numCache>
            </c:numRef>
          </c:cat>
          <c:val>
            <c:numRef>
              <c:f>'Screener Output.v0'!$D$185:$L$185</c:f>
              <c:numCache>
                <c:formatCode>0%</c:formatCode>
                <c:ptCount val="9"/>
                <c:pt idx="0">
                  <c:v>0.23655328538269771</c:v>
                </c:pt>
                <c:pt idx="1">
                  <c:v>1.2097932888394514</c:v>
                </c:pt>
                <c:pt idx="2">
                  <c:v>0.37850393783361458</c:v>
                </c:pt>
                <c:pt idx="3">
                  <c:v>0.20677824267782419</c:v>
                </c:pt>
                <c:pt idx="4">
                  <c:v>0.15877728817192094</c:v>
                </c:pt>
                <c:pt idx="5">
                  <c:v>0.19363174444287279</c:v>
                </c:pt>
                <c:pt idx="6">
                  <c:v>0.10472127650847041</c:v>
                </c:pt>
                <c:pt idx="7">
                  <c:v>5.8216578378467831E-2</c:v>
                </c:pt>
                <c:pt idx="8">
                  <c:v>6.1286788642450851E-2</c:v>
                </c:pt>
              </c:numCache>
            </c:numRef>
          </c:val>
          <c:smooth val="0"/>
        </c:ser>
        <c:dLbls>
          <c:showLegendKey val="0"/>
          <c:showVal val="0"/>
          <c:showCatName val="0"/>
          <c:showSerName val="0"/>
          <c:showPercent val="0"/>
          <c:showBubbleSize val="0"/>
        </c:dLbls>
        <c:marker val="1"/>
        <c:smooth val="0"/>
        <c:axId val="1795094080"/>
        <c:axId val="1795092992"/>
      </c:lineChart>
      <c:dateAx>
        <c:axId val="1795090272"/>
        <c:scaling>
          <c:orientation val="minMax"/>
        </c:scaling>
        <c:delete val="0"/>
        <c:axPos val="b"/>
        <c:majorGridlines>
          <c:spPr>
            <a:ln w="9525" cap="flat" cmpd="sng" algn="ctr">
              <a:solidFill>
                <a:schemeClr val="dk1">
                  <a:lumMod val="15000"/>
                  <a:lumOff val="85000"/>
                </a:schemeClr>
              </a:solidFill>
              <a:round/>
            </a:ln>
            <a:effectLst/>
          </c:spPr>
        </c:majorGridlines>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0" baseline="0">
                <a:solidFill>
                  <a:schemeClr val="dk1">
                    <a:lumMod val="65000"/>
                    <a:lumOff val="35000"/>
                  </a:schemeClr>
                </a:solidFill>
                <a:effectLst/>
                <a:latin typeface="+mn-lt"/>
                <a:ea typeface="+mn-ea"/>
                <a:cs typeface="+mn-cs"/>
              </a:defRPr>
            </a:pPr>
            <a:endParaRPr lang="en-US"/>
          </a:p>
        </c:txPr>
        <c:crossAx val="1795090816"/>
        <c:crosses val="autoZero"/>
        <c:auto val="1"/>
        <c:lblOffset val="100"/>
        <c:baseTimeUnit val="years"/>
      </c:dateAx>
      <c:valAx>
        <c:axId val="1795090816"/>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795090272"/>
        <c:crosses val="autoZero"/>
        <c:crossBetween val="between"/>
      </c:valAx>
      <c:valAx>
        <c:axId val="1795092992"/>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795094080"/>
        <c:crosses val="max"/>
        <c:crossBetween val="between"/>
        <c:majorUnit val="0.2"/>
      </c:valAx>
      <c:dateAx>
        <c:axId val="1795094080"/>
        <c:scaling>
          <c:orientation val="minMax"/>
        </c:scaling>
        <c:delete val="1"/>
        <c:axPos val="b"/>
        <c:numFmt formatCode="[$-409]mmm\-yy;@" sourceLinked="1"/>
        <c:majorTickMark val="out"/>
        <c:minorTickMark val="none"/>
        <c:tickLblPos val="nextTo"/>
        <c:crossAx val="1795092992"/>
        <c:crosses val="autoZero"/>
        <c:auto val="1"/>
        <c:lblOffset val="100"/>
        <c:baseTimeUnit val="year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2.4675774164750371E-2"/>
          <c:w val="0.7583333333333333"/>
          <c:h val="0.78255128797312179"/>
        </c:manualLayout>
      </c:layout>
      <c:areaChart>
        <c:grouping val="percentStacked"/>
        <c:varyColors val="0"/>
        <c:ser>
          <c:idx val="0"/>
          <c:order val="0"/>
          <c:tx>
            <c:strRef>
              <c:f>'Screener Output.v0'!$A$171</c:f>
              <c:strCache>
                <c:ptCount val="1"/>
                <c:pt idx="0">
                  <c:v>Raw Mat + Invt change</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Output.v0'!$C$171:$L$171</c:f>
              <c:numCache>
                <c:formatCode>0%</c:formatCode>
                <c:ptCount val="10"/>
                <c:pt idx="0">
                  <c:v>0.39748402441470621</c:v>
                </c:pt>
                <c:pt idx="1">
                  <c:v>0.43525213199851687</c:v>
                </c:pt>
                <c:pt idx="2">
                  <c:v>0.56375515169311119</c:v>
                </c:pt>
                <c:pt idx="3">
                  <c:v>0.45532902244199319</c:v>
                </c:pt>
                <c:pt idx="4">
                  <c:v>0.41776827984441878</c:v>
                </c:pt>
                <c:pt idx="5">
                  <c:v>0.42649794905830773</c:v>
                </c:pt>
                <c:pt idx="6">
                  <c:v>0.33515183833080386</c:v>
                </c:pt>
                <c:pt idx="7">
                  <c:v>0.3491715761506346</c:v>
                </c:pt>
                <c:pt idx="8">
                  <c:v>0.35845363919547441</c:v>
                </c:pt>
                <c:pt idx="9">
                  <c:v>0.38951359016086318</c:v>
                </c:pt>
              </c:numCache>
            </c:numRef>
          </c:val>
        </c:ser>
        <c:ser>
          <c:idx val="1"/>
          <c:order val="1"/>
          <c:tx>
            <c:strRef>
              <c:f>'Screener Output.v0'!$A$172</c:f>
              <c:strCache>
                <c:ptCount val="1"/>
                <c:pt idx="0">
                  <c:v>Power and Fuel</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Output.v0'!$C$172:$L$172</c:f>
              <c:numCache>
                <c:formatCode>0%</c:formatCode>
                <c:ptCount val="10"/>
                <c:pt idx="0">
                  <c:v>0.17416969940109467</c:v>
                </c:pt>
                <c:pt idx="1">
                  <c:v>0.17519466073414905</c:v>
                </c:pt>
                <c:pt idx="2">
                  <c:v>9.9657078137944777E-2</c:v>
                </c:pt>
                <c:pt idx="3">
                  <c:v>0.16143780905287183</c:v>
                </c:pt>
                <c:pt idx="4">
                  <c:v>0.19435671463963539</c:v>
                </c:pt>
                <c:pt idx="5">
                  <c:v>0.20305410786756467</c:v>
                </c:pt>
                <c:pt idx="6">
                  <c:v>0.2212058647925583</c:v>
                </c:pt>
                <c:pt idx="7">
                  <c:v>0.19822763503143723</c:v>
                </c:pt>
                <c:pt idx="8">
                  <c:v>0.1746673476309849</c:v>
                </c:pt>
                <c:pt idx="9">
                  <c:v>0.19081695252719319</c:v>
                </c:pt>
              </c:numCache>
            </c:numRef>
          </c:val>
        </c:ser>
        <c:ser>
          <c:idx val="2"/>
          <c:order val="2"/>
          <c:tx>
            <c:strRef>
              <c:f>'Screener Output.v0'!$A$173</c:f>
              <c:strCache>
                <c:ptCount val="1"/>
                <c:pt idx="0">
                  <c:v>Other Mfr. Exp</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Output.v0'!$C$173:$L$173</c:f>
              <c:numCache>
                <c:formatCode>0%</c:formatCode>
                <c:ptCount val="10"/>
                <c:pt idx="0">
                  <c:v>2.9973923259879076E-2</c:v>
                </c:pt>
                <c:pt idx="1">
                  <c:v>3.1261586948461255E-2</c:v>
                </c:pt>
                <c:pt idx="2">
                  <c:v>1.9222500707866227E-2</c:v>
                </c:pt>
                <c:pt idx="3">
                  <c:v>7.2415367059718516E-2</c:v>
                </c:pt>
                <c:pt idx="4">
                  <c:v>7.6580239675725428E-2</c:v>
                </c:pt>
                <c:pt idx="5">
                  <c:v>3.8728524954030619E-2</c:v>
                </c:pt>
                <c:pt idx="6">
                  <c:v>8.9854200564237902E-2</c:v>
                </c:pt>
                <c:pt idx="7">
                  <c:v>5.0683202138719741E-2</c:v>
                </c:pt>
                <c:pt idx="8">
                  <c:v>4.3419272589756683E-2</c:v>
                </c:pt>
                <c:pt idx="9">
                  <c:v>2.7187668751997473E-2</c:v>
                </c:pt>
              </c:numCache>
            </c:numRef>
          </c:val>
        </c:ser>
        <c:ser>
          <c:idx val="3"/>
          <c:order val="3"/>
          <c:tx>
            <c:strRef>
              <c:f>'Screener Output.v0'!$A$174</c:f>
              <c:strCache>
                <c:ptCount val="1"/>
                <c:pt idx="0">
                  <c:v>Employee Cost</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Output.v0'!$C$174:$L$174</c:f>
              <c:numCache>
                <c:formatCode>0%</c:formatCode>
                <c:ptCount val="10"/>
                <c:pt idx="0">
                  <c:v>6.8601885548901065E-2</c:v>
                </c:pt>
                <c:pt idx="1">
                  <c:v>7.5778642936596224E-2</c:v>
                </c:pt>
                <c:pt idx="2">
                  <c:v>7.9784389190096158E-2</c:v>
                </c:pt>
                <c:pt idx="3">
                  <c:v>8.1544313427158607E-2</c:v>
                </c:pt>
                <c:pt idx="4">
                  <c:v>8.5985715276333127E-2</c:v>
                </c:pt>
                <c:pt idx="5">
                  <c:v>9.3162802337094314E-2</c:v>
                </c:pt>
                <c:pt idx="6">
                  <c:v>9.4489337362301806E-2</c:v>
                </c:pt>
                <c:pt idx="7">
                  <c:v>0.10408106011848772</c:v>
                </c:pt>
                <c:pt idx="8">
                  <c:v>0.1125579436956869</c:v>
                </c:pt>
                <c:pt idx="9">
                  <c:v>0.11668913632038909</c:v>
                </c:pt>
              </c:numCache>
            </c:numRef>
          </c:val>
        </c:ser>
        <c:ser>
          <c:idx val="4"/>
          <c:order val="4"/>
          <c:tx>
            <c:strRef>
              <c:f>'Screener Output.v0'!$A$175</c:f>
              <c:strCache>
                <c:ptCount val="1"/>
                <c:pt idx="0">
                  <c:v>Selling and admin</c:v>
                </c:pt>
              </c:strCache>
            </c:strRef>
          </c:tx>
          <c:spPr>
            <a:solidFill>
              <a:schemeClr val="accent5">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Output.v0'!$C$175:$L$175</c:f>
              <c:numCache>
                <c:formatCode>0%</c:formatCode>
                <c:ptCount val="10"/>
                <c:pt idx="0">
                  <c:v>0.12135713671662322</c:v>
                </c:pt>
                <c:pt idx="1">
                  <c:v>0.1388579903596589</c:v>
                </c:pt>
                <c:pt idx="2">
                  <c:v>7.566303470117558E-2</c:v>
                </c:pt>
                <c:pt idx="3">
                  <c:v>6.6230505895777864E-2</c:v>
                </c:pt>
                <c:pt idx="4">
                  <c:v>6.3033076763053877E-2</c:v>
                </c:pt>
                <c:pt idx="5">
                  <c:v>8.1183562001545015E-2</c:v>
                </c:pt>
                <c:pt idx="6">
                  <c:v>8.5118795320198171E-2</c:v>
                </c:pt>
                <c:pt idx="7">
                  <c:v>9.3016155915309359E-2</c:v>
                </c:pt>
                <c:pt idx="8">
                  <c:v>9.674501654977212E-2</c:v>
                </c:pt>
                <c:pt idx="9">
                  <c:v>9.0930464074880882E-2</c:v>
                </c:pt>
              </c:numCache>
            </c:numRef>
          </c:val>
        </c:ser>
        <c:ser>
          <c:idx val="5"/>
          <c:order val="5"/>
          <c:tx>
            <c:strRef>
              <c:f>'Screener Output.v0'!$A$176</c:f>
              <c:strCache>
                <c:ptCount val="1"/>
                <c:pt idx="0">
                  <c:v>Other Expenses</c:v>
                </c:pt>
              </c:strCache>
            </c:strRef>
          </c:tx>
          <c:spPr>
            <a:solidFill>
              <a:schemeClr val="accent6">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Output.v0'!$C$176:$L$176</c:f>
              <c:numCache>
                <c:formatCode>0%</c:formatCode>
                <c:ptCount val="10"/>
                <c:pt idx="0">
                  <c:v>4.3270195145714537E-3</c:v>
                </c:pt>
                <c:pt idx="1">
                  <c:v>4.7506488691138301E-3</c:v>
                </c:pt>
                <c:pt idx="2">
                  <c:v>5.4427047830783266E-3</c:v>
                </c:pt>
                <c:pt idx="3">
                  <c:v>4.906808672499049E-3</c:v>
                </c:pt>
                <c:pt idx="4">
                  <c:v>5.5852891301195855E-3</c:v>
                </c:pt>
                <c:pt idx="5">
                  <c:v>8.8130650969981187E-4</c:v>
                </c:pt>
                <c:pt idx="6">
                  <c:v>1.2109693679897546E-2</c:v>
                </c:pt>
                <c:pt idx="7">
                  <c:v>1.1786887139627377E-2</c:v>
                </c:pt>
                <c:pt idx="8">
                  <c:v>1.4666723846876594E-2</c:v>
                </c:pt>
                <c:pt idx="9">
                  <c:v>1.2960153405897458E-2</c:v>
                </c:pt>
              </c:numCache>
            </c:numRef>
          </c:val>
        </c:ser>
        <c:ser>
          <c:idx val="6"/>
          <c:order val="6"/>
          <c:tx>
            <c:strRef>
              <c:f>'Screener Output.v0'!$A$177</c:f>
              <c:strCache>
                <c:ptCount val="1"/>
                <c:pt idx="0">
                  <c:v>Depreciation</c:v>
                </c:pt>
              </c:strCache>
            </c:strRef>
          </c:tx>
          <c:spPr>
            <a:solidFill>
              <a:schemeClr val="accent1">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Output.v0'!$C$177:$L$177</c:f>
              <c:numCache>
                <c:formatCode>0%</c:formatCode>
                <c:ptCount val="10"/>
                <c:pt idx="0">
                  <c:v>5.2984497234719319E-2</c:v>
                </c:pt>
                <c:pt idx="1">
                  <c:v>5.2141268075639603E-2</c:v>
                </c:pt>
                <c:pt idx="2">
                  <c:v>3.1125140262382413E-2</c:v>
                </c:pt>
                <c:pt idx="3">
                  <c:v>2.9866869532141498E-2</c:v>
                </c:pt>
                <c:pt idx="4">
                  <c:v>2.8128171668841524E-2</c:v>
                </c:pt>
                <c:pt idx="5">
                  <c:v>2.556876910857479E-2</c:v>
                </c:pt>
                <c:pt idx="6">
                  <c:v>2.5468185277857543E-2</c:v>
                </c:pt>
                <c:pt idx="7">
                  <c:v>2.9956103437463903E-2</c:v>
                </c:pt>
                <c:pt idx="8">
                  <c:v>3.1731117860108612E-2</c:v>
                </c:pt>
                <c:pt idx="9">
                  <c:v>3.2521609439458671E-2</c:v>
                </c:pt>
              </c:numCache>
            </c:numRef>
          </c:val>
        </c:ser>
        <c:ser>
          <c:idx val="7"/>
          <c:order val="7"/>
          <c:tx>
            <c:strRef>
              <c:f>'Screener Output.v0'!$A$178</c:f>
              <c:strCache>
                <c:ptCount val="1"/>
                <c:pt idx="0">
                  <c:v>Interest</c:v>
                </c:pt>
              </c:strCache>
            </c:strRef>
          </c:tx>
          <c:spPr>
            <a:solidFill>
              <a:schemeClr val="accent2">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Output.v0'!$C$178:$L$178</c:f>
              <c:numCache>
                <c:formatCode>0%</c:formatCode>
                <c:ptCount val="10"/>
                <c:pt idx="0">
                  <c:v>4.209530905235407E-2</c:v>
                </c:pt>
                <c:pt idx="1">
                  <c:v>6.0182610307749351E-2</c:v>
                </c:pt>
                <c:pt idx="2">
                  <c:v>3.1785815409461286E-2</c:v>
                </c:pt>
                <c:pt idx="3">
                  <c:v>3.7048307341194374E-2</c:v>
                </c:pt>
                <c:pt idx="4">
                  <c:v>2.9149409636199736E-2</c:v>
                </c:pt>
                <c:pt idx="5">
                  <c:v>2.2571238942867406E-2</c:v>
                </c:pt>
                <c:pt idx="6">
                  <c:v>1.339495285104211E-2</c:v>
                </c:pt>
                <c:pt idx="7">
                  <c:v>1.4216875422875723E-2</c:v>
                </c:pt>
                <c:pt idx="8">
                  <c:v>1.3255412301802345E-2</c:v>
                </c:pt>
                <c:pt idx="9">
                  <c:v>8.853166017067142E-3</c:v>
                </c:pt>
              </c:numCache>
            </c:numRef>
          </c:val>
        </c:ser>
        <c:ser>
          <c:idx val="8"/>
          <c:order val="8"/>
          <c:tx>
            <c:strRef>
              <c:f>'Screener Output.v0'!$A$179</c:f>
              <c:strCache>
                <c:ptCount val="1"/>
                <c:pt idx="0">
                  <c:v>Tax</c:v>
                </c:pt>
              </c:strCache>
            </c:strRef>
          </c:tx>
          <c:spPr>
            <a:solidFill>
              <a:schemeClr val="bg1">
                <a:lumMod val="65000"/>
                <a:alpha val="85000"/>
              </a:schemeClr>
            </a:solidFill>
            <a:ln w="9525" cap="flat" cmpd="sng" algn="ctr">
              <a:solidFill>
                <a:schemeClr val="bg1">
                  <a:lumMod val="65000"/>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Output.v0'!$C$179:$L$179</c:f>
              <c:numCache>
                <c:formatCode>0%</c:formatCode>
                <c:ptCount val="10"/>
                <c:pt idx="0">
                  <c:v>2.3325787316961347E-2</c:v>
                </c:pt>
                <c:pt idx="1">
                  <c:v>7.8096032628846871E-3</c:v>
                </c:pt>
                <c:pt idx="2">
                  <c:v>2.9919145946286061E-2</c:v>
                </c:pt>
                <c:pt idx="3">
                  <c:v>2.8953974895397493E-2</c:v>
                </c:pt>
                <c:pt idx="4">
                  <c:v>3.1444043093720647E-2</c:v>
                </c:pt>
                <c:pt idx="5">
                  <c:v>3.6895189807309402E-2</c:v>
                </c:pt>
                <c:pt idx="6">
                  <c:v>3.8936060635063885E-2</c:v>
                </c:pt>
                <c:pt idx="7">
                  <c:v>5.1450566859745535E-2</c:v>
                </c:pt>
                <c:pt idx="8">
                  <c:v>5.5551873496582832E-2</c:v>
                </c:pt>
                <c:pt idx="9">
                  <c:v>4.655075509057046E-2</c:v>
                </c:pt>
              </c:numCache>
            </c:numRef>
          </c:val>
        </c:ser>
        <c:ser>
          <c:idx val="9"/>
          <c:order val="9"/>
          <c:tx>
            <c:strRef>
              <c:f>'Screener Output.v0'!$A$180</c:f>
              <c:strCache>
                <c:ptCount val="1"/>
                <c:pt idx="0">
                  <c:v>Net profit</c:v>
                </c:pt>
              </c:strCache>
            </c:strRef>
          </c:tx>
          <c:spPr>
            <a:solidFill>
              <a:srgbClr val="00B050">
                <a:alpha val="85000"/>
              </a:srgbClr>
            </a:solidFill>
            <a:ln w="9525" cap="flat" cmpd="sng" algn="ctr">
              <a:solidFill>
                <a:srgbClr val="00B050">
                  <a:alpha val="50000"/>
                </a:srgb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Output.v0'!$C$180:$L$180</c:f>
              <c:numCache>
                <c:formatCode>0%</c:formatCode>
                <c:ptCount val="10"/>
                <c:pt idx="0">
                  <c:v>8.5680717540189799E-2</c:v>
                </c:pt>
                <c:pt idx="1">
                  <c:v>1.8770856507230427E-2</c:v>
                </c:pt>
                <c:pt idx="2">
                  <c:v>6.3645039168597983E-2</c:v>
                </c:pt>
                <c:pt idx="3">
                  <c:v>6.2267021681247647E-2</c:v>
                </c:pt>
                <c:pt idx="4">
                  <c:v>6.7969060271951931E-2</c:v>
                </c:pt>
                <c:pt idx="5">
                  <c:v>7.1456549413006387E-2</c:v>
                </c:pt>
                <c:pt idx="6">
                  <c:v>8.4271071186038826E-2</c:v>
                </c:pt>
                <c:pt idx="7">
                  <c:v>9.740993778569873E-2</c:v>
                </c:pt>
                <c:pt idx="8">
                  <c:v>9.8951652832954595E-2</c:v>
                </c:pt>
                <c:pt idx="9">
                  <c:v>8.3976504211682235E-2</c:v>
                </c:pt>
              </c:numCache>
            </c:numRef>
          </c:val>
        </c:ser>
        <c:dLbls>
          <c:showLegendKey val="0"/>
          <c:showVal val="1"/>
          <c:showCatName val="0"/>
          <c:showSerName val="0"/>
          <c:showPercent val="0"/>
          <c:showBubbleSize val="0"/>
        </c:dLbls>
        <c:axId val="1795094624"/>
        <c:axId val="1795085920"/>
      </c:areaChart>
      <c:dateAx>
        <c:axId val="1795094624"/>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795085920"/>
        <c:crosses val="autoZero"/>
        <c:auto val="1"/>
        <c:lblOffset val="100"/>
        <c:baseTimeUnit val="years"/>
      </c:dateAx>
      <c:valAx>
        <c:axId val="17950859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95094624"/>
        <c:crosses val="autoZero"/>
        <c:crossBetween val="midCat"/>
      </c:valAx>
      <c:spPr>
        <a:noFill/>
        <a:ln>
          <a:noFill/>
        </a:ln>
        <a:effectLst/>
      </c:spPr>
    </c:plotArea>
    <c:legend>
      <c:legendPos val="r"/>
      <c:layout>
        <c:manualLayout>
          <c:xMode val="edge"/>
          <c:yMode val="edge"/>
          <c:x val="0.81952101689421786"/>
          <c:y val="5.9422592973785602E-4"/>
          <c:w val="0.17567055350778257"/>
          <c:h val="0.999405774070262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Output.v0'!$A$190</c:f>
              <c:strCache>
                <c:ptCount val="1"/>
                <c:pt idx="0">
                  <c:v>Sales </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Output.v0'!$D$190:$L$190</c:f>
              <c:numCache>
                <c:formatCode>0</c:formatCode>
                <c:ptCount val="9"/>
                <c:pt idx="0">
                  <c:v>594.74</c:v>
                </c:pt>
                <c:pt idx="1">
                  <c:v>632.99</c:v>
                </c:pt>
                <c:pt idx="2">
                  <c:v>608.78</c:v>
                </c:pt>
                <c:pt idx="3">
                  <c:v>728.48</c:v>
                </c:pt>
                <c:pt idx="4">
                  <c:v>631.71999999999991</c:v>
                </c:pt>
                <c:pt idx="5">
                  <c:v>672.36</c:v>
                </c:pt>
                <c:pt idx="6">
                  <c:v>662.93</c:v>
                </c:pt>
                <c:pt idx="7">
                  <c:v>755.18</c:v>
                </c:pt>
                <c:pt idx="8">
                  <c:v>659.4</c:v>
                </c:pt>
              </c:numCache>
            </c:numRef>
          </c:val>
        </c:ser>
        <c:dLbls>
          <c:dLblPos val="inEnd"/>
          <c:showLegendKey val="0"/>
          <c:showVal val="1"/>
          <c:showCatName val="0"/>
          <c:showSerName val="0"/>
          <c:showPercent val="0"/>
          <c:showBubbleSize val="0"/>
        </c:dLbls>
        <c:gapWidth val="0"/>
        <c:axId val="1795095168"/>
        <c:axId val="1795082112"/>
      </c:barChart>
      <c:lineChart>
        <c:grouping val="standard"/>
        <c:varyColors val="0"/>
        <c:ser>
          <c:idx val="1"/>
          <c:order val="1"/>
          <c:tx>
            <c:strRef>
              <c:f>'Screener Output.v0'!$A$191</c:f>
              <c:strCache>
                <c:ptCount val="1"/>
                <c:pt idx="0">
                  <c:v>Sales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Output.v0'!$D$191:$L$191</c:f>
              <c:numCache>
                <c:formatCode>0%</c:formatCode>
                <c:ptCount val="9"/>
                <c:pt idx="3">
                  <c:v>0.10137127133634705</c:v>
                </c:pt>
                <c:pt idx="4">
                  <c:v>6.2178430910986071E-2</c:v>
                </c:pt>
                <c:pt idx="5">
                  <c:v>6.2196875148106567E-2</c:v>
                </c:pt>
                <c:pt idx="6">
                  <c:v>8.894838858043963E-2</c:v>
                </c:pt>
                <c:pt idx="7">
                  <c:v>3.6651658247309316E-2</c:v>
                </c:pt>
                <c:pt idx="8">
                  <c:v>4.3816880896599963E-2</c:v>
                </c:pt>
              </c:numCache>
            </c:numRef>
          </c:val>
          <c:smooth val="0"/>
        </c:ser>
        <c:dLbls>
          <c:showLegendKey val="0"/>
          <c:showVal val="0"/>
          <c:showCatName val="0"/>
          <c:showSerName val="0"/>
          <c:showPercent val="0"/>
          <c:showBubbleSize val="0"/>
        </c:dLbls>
        <c:marker val="1"/>
        <c:smooth val="0"/>
        <c:axId val="1795096256"/>
        <c:axId val="1795095712"/>
      </c:lineChart>
      <c:dateAx>
        <c:axId val="179509516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1795082112"/>
        <c:crosses val="autoZero"/>
        <c:auto val="1"/>
        <c:lblOffset val="100"/>
        <c:baseTimeUnit val="months"/>
        <c:majorUnit val="3"/>
        <c:majorTimeUnit val="months"/>
      </c:dateAx>
      <c:valAx>
        <c:axId val="179508211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795095168"/>
        <c:crosses val="autoZero"/>
        <c:crossBetween val="between"/>
      </c:valAx>
      <c:valAx>
        <c:axId val="1795095712"/>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795096256"/>
        <c:crosses val="max"/>
        <c:crossBetween val="between"/>
        <c:majorUnit val="0.2"/>
      </c:valAx>
      <c:dateAx>
        <c:axId val="1795096256"/>
        <c:scaling>
          <c:orientation val="minMax"/>
        </c:scaling>
        <c:delete val="1"/>
        <c:axPos val="b"/>
        <c:numFmt formatCode="[$-409]mmm\-yy;@" sourceLinked="1"/>
        <c:majorTickMark val="out"/>
        <c:minorTickMark val="none"/>
        <c:tickLblPos val="nextTo"/>
        <c:crossAx val="1795095712"/>
        <c:crosses val="autoZero"/>
        <c:auto val="1"/>
        <c:lblOffset val="100"/>
        <c:baseTimeUnit val="month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120044335545495E-2"/>
          <c:y val="8.5099999999999995E-2"/>
          <c:w val="0.77090653363363681"/>
          <c:h val="0.74193333333333333"/>
        </c:manualLayout>
      </c:layout>
      <c:areaChart>
        <c:grouping val="percentStacked"/>
        <c:varyColors val="0"/>
        <c:ser>
          <c:idx val="0"/>
          <c:order val="0"/>
          <c:tx>
            <c:strRef>
              <c:f>'Screener Output.v0'!$A$196</c:f>
              <c:strCache>
                <c:ptCount val="1"/>
                <c:pt idx="0">
                  <c:v>Expenses</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Output.v0'!$C$196:$L$196</c:f>
              <c:numCache>
                <c:formatCode>0%</c:formatCode>
                <c:ptCount val="10"/>
                <c:pt idx="0">
                  <c:v>0.78983414722646383</c:v>
                </c:pt>
                <c:pt idx="1">
                  <c:v>0.78388875811278869</c:v>
                </c:pt>
                <c:pt idx="2">
                  <c:v>0.79483088200445506</c:v>
                </c:pt>
                <c:pt idx="3">
                  <c:v>0.8115246887217058</c:v>
                </c:pt>
                <c:pt idx="4">
                  <c:v>0.80980946628596517</c:v>
                </c:pt>
                <c:pt idx="5">
                  <c:v>0.82925979864496946</c:v>
                </c:pt>
                <c:pt idx="6">
                  <c:v>0.81683919328930932</c:v>
                </c:pt>
                <c:pt idx="7">
                  <c:v>0.83146033517867657</c:v>
                </c:pt>
                <c:pt idx="8">
                  <c:v>0.83419846923912189</c:v>
                </c:pt>
                <c:pt idx="9">
                  <c:v>0.84957537154989393</c:v>
                </c:pt>
              </c:numCache>
            </c:numRef>
          </c:val>
        </c:ser>
        <c:ser>
          <c:idx val="1"/>
          <c:order val="1"/>
          <c:tx>
            <c:strRef>
              <c:f>'Screener Output.v0'!$A$197</c:f>
              <c:strCache>
                <c:ptCount val="1"/>
                <c:pt idx="0">
                  <c:v>Depreciation</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Output.v0'!$C$197:$L$197</c:f>
              <c:numCache>
                <c:formatCode>0%</c:formatCode>
                <c:ptCount val="10"/>
                <c:pt idx="0">
                  <c:v>3.0116565622968421E-2</c:v>
                </c:pt>
                <c:pt idx="1">
                  <c:v>3.349362746746478E-2</c:v>
                </c:pt>
                <c:pt idx="2">
                  <c:v>3.2164805131202706E-2</c:v>
                </c:pt>
                <c:pt idx="3">
                  <c:v>3.3871020729984561E-2</c:v>
                </c:pt>
                <c:pt idx="4">
                  <c:v>2.8127059081924002E-2</c:v>
                </c:pt>
                <c:pt idx="5">
                  <c:v>3.457227885772178E-2</c:v>
                </c:pt>
                <c:pt idx="6">
                  <c:v>3.2081028020703194E-2</c:v>
                </c:pt>
                <c:pt idx="7">
                  <c:v>3.3578205843754247E-2</c:v>
                </c:pt>
                <c:pt idx="8">
                  <c:v>3.0270928785190287E-2</c:v>
                </c:pt>
                <c:pt idx="9">
                  <c:v>3.4379739156809225E-2</c:v>
                </c:pt>
              </c:numCache>
            </c:numRef>
          </c:val>
        </c:ser>
        <c:ser>
          <c:idx val="2"/>
          <c:order val="2"/>
          <c:tx>
            <c:strRef>
              <c:f>'Screener Output.v0'!$A$198</c:f>
              <c:strCache>
                <c:ptCount val="1"/>
                <c:pt idx="0">
                  <c:v>Interest</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Output.v0'!$C$198:$L$198</c:f>
              <c:numCache>
                <c:formatCode>0%</c:formatCode>
                <c:ptCount val="10"/>
                <c:pt idx="0">
                  <c:v>1.5723508156569858E-2</c:v>
                </c:pt>
                <c:pt idx="1">
                  <c:v>1.509903487238121E-2</c:v>
                </c:pt>
                <c:pt idx="2">
                  <c:v>1.4107647830139496E-2</c:v>
                </c:pt>
                <c:pt idx="3">
                  <c:v>1.3584546141463254E-2</c:v>
                </c:pt>
                <c:pt idx="4">
                  <c:v>1.0734680430485394E-2</c:v>
                </c:pt>
                <c:pt idx="5">
                  <c:v>1.2347242449186349E-2</c:v>
                </c:pt>
                <c:pt idx="6">
                  <c:v>9.5038372300553266E-3</c:v>
                </c:pt>
                <c:pt idx="7">
                  <c:v>7.8741345240070596E-3</c:v>
                </c:pt>
                <c:pt idx="8">
                  <c:v>6.2104398951243417E-3</c:v>
                </c:pt>
                <c:pt idx="9">
                  <c:v>6.3239308462238403E-3</c:v>
                </c:pt>
              </c:numCache>
            </c:numRef>
          </c:val>
        </c:ser>
        <c:ser>
          <c:idx val="3"/>
          <c:order val="3"/>
          <c:tx>
            <c:strRef>
              <c:f>'Screener Output.v0'!$A$199</c:f>
              <c:strCache>
                <c:ptCount val="1"/>
                <c:pt idx="0">
                  <c:v>Tax</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Output.v0'!$C$199:$L$199</c:f>
              <c:numCache>
                <c:formatCode>0%</c:formatCode>
                <c:ptCount val="10"/>
                <c:pt idx="0">
                  <c:v>6.0127299941036855E-2</c:v>
                </c:pt>
                <c:pt idx="1">
                  <c:v>5.893331539832531E-2</c:v>
                </c:pt>
                <c:pt idx="2">
                  <c:v>6.079084977645776E-2</c:v>
                </c:pt>
                <c:pt idx="3">
                  <c:v>5.0740825914123329E-2</c:v>
                </c:pt>
                <c:pt idx="4">
                  <c:v>5.2259499231276083E-2</c:v>
                </c:pt>
                <c:pt idx="5">
                  <c:v>4.6397137972519473E-2</c:v>
                </c:pt>
                <c:pt idx="6">
                  <c:v>5.6874293533226247E-2</c:v>
                </c:pt>
                <c:pt idx="7">
                  <c:v>4.6973285263904187E-2</c:v>
                </c:pt>
                <c:pt idx="8">
                  <c:v>3.7116978733546975E-2</c:v>
                </c:pt>
                <c:pt idx="9">
                  <c:v>4.0915984228086143E-2</c:v>
                </c:pt>
              </c:numCache>
            </c:numRef>
          </c:val>
        </c:ser>
        <c:ser>
          <c:idx val="4"/>
          <c:order val="4"/>
          <c:tx>
            <c:strRef>
              <c:f>'Screener Output.v0'!$A$200</c:f>
              <c:strCache>
                <c:ptCount val="1"/>
                <c:pt idx="0">
                  <c:v>Net profit</c:v>
                </c:pt>
              </c:strCache>
            </c:strRef>
          </c:tx>
          <c:spPr>
            <a:solidFill>
              <a:srgbClr val="00B050">
                <a:alpha val="85000"/>
              </a:srgbClr>
            </a:solidFill>
            <a:ln w="9525" cap="flat" cmpd="sng" algn="ctr">
              <a:solidFill>
                <a:schemeClr val="lt1">
                  <a:alpha val="50000"/>
                </a:scheme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Output.v0'!$C$200:$L$200</c:f>
              <c:numCache>
                <c:formatCode>0%</c:formatCode>
                <c:ptCount val="10"/>
                <c:pt idx="0">
                  <c:v>0.10419847905296109</c:v>
                </c:pt>
                <c:pt idx="1">
                  <c:v>0.10858526414904002</c:v>
                </c:pt>
                <c:pt idx="2">
                  <c:v>9.8105815257744977E-2</c:v>
                </c:pt>
                <c:pt idx="3">
                  <c:v>9.027891849272307E-2</c:v>
                </c:pt>
                <c:pt idx="4">
                  <c:v>9.9069294970349331E-2</c:v>
                </c:pt>
                <c:pt idx="5">
                  <c:v>7.742354207560298E-2</c:v>
                </c:pt>
                <c:pt idx="6">
                  <c:v>8.470164792670587E-2</c:v>
                </c:pt>
                <c:pt idx="7">
                  <c:v>8.0114039189657871E-2</c:v>
                </c:pt>
                <c:pt idx="8">
                  <c:v>9.2203183347016382E-2</c:v>
                </c:pt>
                <c:pt idx="9">
                  <c:v>6.8804974218986792E-2</c:v>
                </c:pt>
              </c:numCache>
            </c:numRef>
          </c:val>
        </c:ser>
        <c:dLbls>
          <c:showLegendKey val="0"/>
          <c:showVal val="1"/>
          <c:showCatName val="0"/>
          <c:showSerName val="0"/>
          <c:showPercent val="0"/>
          <c:showBubbleSize val="0"/>
        </c:dLbls>
        <c:axId val="1795081024"/>
        <c:axId val="1747776096"/>
      </c:areaChart>
      <c:dateAx>
        <c:axId val="1795081024"/>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747776096"/>
        <c:crosses val="autoZero"/>
        <c:auto val="1"/>
        <c:lblOffset val="100"/>
        <c:baseTimeUnit val="months"/>
        <c:majorUnit val="3"/>
        <c:majorTimeUnit val="months"/>
      </c:dateAx>
      <c:valAx>
        <c:axId val="17477760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95081024"/>
        <c:crosses val="autoZero"/>
        <c:crossBetween val="midCat"/>
      </c:valAx>
      <c:spPr>
        <a:noFill/>
        <a:ln>
          <a:noFill/>
        </a:ln>
        <a:effectLst/>
      </c:spPr>
    </c:plotArea>
    <c:legend>
      <c:legendPos val="r"/>
      <c:layout>
        <c:manualLayout>
          <c:xMode val="edge"/>
          <c:yMode val="edge"/>
          <c:x val="0.84500860930348598"/>
          <c:y val="7.9480687536486821E-2"/>
          <c:w val="0.13655561797582291"/>
          <c:h val="0.311528871391076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22807017543858E-2"/>
          <c:y val="7.2351391746976843E-2"/>
          <c:w val="0.95175438596491224"/>
          <c:h val="0.82326483824092522"/>
        </c:manualLayout>
      </c:layout>
      <c:barChart>
        <c:barDir val="col"/>
        <c:grouping val="clustered"/>
        <c:varyColors val="0"/>
        <c:ser>
          <c:idx val="3"/>
          <c:order val="0"/>
          <c:tx>
            <c:strRef>
              <c:f>'Screener Output.v0'!$A$120:$B$120</c:f>
              <c:strCache>
                <c:ptCount val="2"/>
                <c:pt idx="0">
                  <c:v>Sales/NFAT</c:v>
                </c:pt>
              </c:strCache>
            </c:strRef>
          </c:tx>
          <c:spPr>
            <a:gradFill>
              <a:gsLst>
                <a:gs pos="0">
                  <a:schemeClr val="accent4"/>
                </a:gs>
                <a:gs pos="100000">
                  <a:schemeClr val="accent4">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Output.v0'!$C$120:$L$120</c:f>
              <c:numCache>
                <c:formatCode>0.00</c:formatCode>
                <c:ptCount val="10"/>
                <c:pt idx="0">
                  <c:v>1.3427843999537088</c:v>
                </c:pt>
                <c:pt idx="1">
                  <c:v>1.3734028807962864</c:v>
                </c:pt>
                <c:pt idx="2">
                  <c:v>2.2190020601277975</c:v>
                </c:pt>
                <c:pt idx="3">
                  <c:v>2.5938700724014976</c:v>
                </c:pt>
                <c:pt idx="4">
                  <c:v>2.7754998290808057</c:v>
                </c:pt>
                <c:pt idx="5">
                  <c:v>2.8001921376071244</c:v>
                </c:pt>
                <c:pt idx="6">
                  <c:v>2.8187565655068405</c:v>
                </c:pt>
                <c:pt idx="7">
                  <c:v>2.437102075644126</c:v>
                </c:pt>
                <c:pt idx="8">
                  <c:v>2.2191922708677865</c:v>
                </c:pt>
                <c:pt idx="9">
                  <c:v>2.3343093351705138</c:v>
                </c:pt>
              </c:numCache>
            </c:numRef>
          </c:val>
        </c:ser>
        <c:dLbls>
          <c:dLblPos val="inEnd"/>
          <c:showLegendKey val="0"/>
          <c:showVal val="1"/>
          <c:showCatName val="0"/>
          <c:showSerName val="0"/>
          <c:showPercent val="0"/>
          <c:showBubbleSize val="0"/>
        </c:dLbls>
        <c:gapWidth val="41"/>
        <c:axId val="1747780448"/>
        <c:axId val="1941911312"/>
      </c:barChart>
      <c:dateAx>
        <c:axId val="174778044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941911312"/>
        <c:crosses val="autoZero"/>
        <c:auto val="1"/>
        <c:lblOffset val="100"/>
        <c:baseTimeUnit val="years"/>
      </c:dateAx>
      <c:valAx>
        <c:axId val="1941911312"/>
        <c:scaling>
          <c:orientation val="minMax"/>
        </c:scaling>
        <c:delete val="1"/>
        <c:axPos val="l"/>
        <c:numFmt formatCode="0.00" sourceLinked="1"/>
        <c:majorTickMark val="none"/>
        <c:minorTickMark val="none"/>
        <c:tickLblPos val="nextTo"/>
        <c:crossAx val="174778044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Output.v0'!$A$95:$B$95</c:f>
              <c:strCache>
                <c:ptCount val="2"/>
                <c:pt idx="0">
                  <c:v>Cash Sales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Output.v0'!$C$95:$L$95</c:f>
              <c:numCache>
                <c:formatCode>0%</c:formatCode>
                <c:ptCount val="10"/>
                <c:pt idx="0">
                  <c:v>0.85173374701944893</c:v>
                </c:pt>
                <c:pt idx="1">
                  <c:v>0.85519163763066197</c:v>
                </c:pt>
                <c:pt idx="2">
                  <c:v>0.9011277209546289</c:v>
                </c:pt>
                <c:pt idx="3">
                  <c:v>0.90940801047957776</c:v>
                </c:pt>
                <c:pt idx="4">
                  <c:v>0.90928268709695748</c:v>
                </c:pt>
                <c:pt idx="5">
                  <c:v>0.91022757595395121</c:v>
                </c:pt>
                <c:pt idx="6">
                  <c:v>0.90529930632084832</c:v>
                </c:pt>
                <c:pt idx="7">
                  <c:v>0.88642399883983503</c:v>
                </c:pt>
                <c:pt idx="8">
                  <c:v>0.86707090832787503</c:v>
                </c:pt>
                <c:pt idx="9">
                  <c:v>0.83373791780417617</c:v>
                </c:pt>
              </c:numCache>
            </c:numRef>
          </c:val>
        </c:ser>
        <c:ser>
          <c:idx val="1"/>
          <c:order val="1"/>
          <c:tx>
            <c:strRef>
              <c:f>'Screener Output.v0'!$A$96:$B$96</c:f>
              <c:strCache>
                <c:ptCount val="2"/>
                <c:pt idx="0">
                  <c:v>Credit Sales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38777</c:v>
                </c:pt>
                <c:pt idx="1">
                  <c:v>39142</c:v>
                </c:pt>
                <c:pt idx="2">
                  <c:v>40603</c:v>
                </c:pt>
                <c:pt idx="3">
                  <c:v>40969</c:v>
                </c:pt>
                <c:pt idx="4">
                  <c:v>41334</c:v>
                </c:pt>
                <c:pt idx="5">
                  <c:v>41699</c:v>
                </c:pt>
                <c:pt idx="6">
                  <c:v>42064</c:v>
                </c:pt>
                <c:pt idx="7">
                  <c:v>42430</c:v>
                </c:pt>
                <c:pt idx="8">
                  <c:v>42795</c:v>
                </c:pt>
                <c:pt idx="9">
                  <c:v>43160</c:v>
                </c:pt>
              </c:numCache>
            </c:numRef>
          </c:cat>
          <c:val>
            <c:numRef>
              <c:f>'Screener Output.v0'!$C$96:$L$96</c:f>
              <c:numCache>
                <c:formatCode>0%</c:formatCode>
                <c:ptCount val="10"/>
                <c:pt idx="0">
                  <c:v>0.14826625298055107</c:v>
                </c:pt>
                <c:pt idx="1">
                  <c:v>0.14480836236933803</c:v>
                </c:pt>
                <c:pt idx="2">
                  <c:v>9.8872279045371103E-2</c:v>
                </c:pt>
                <c:pt idx="3">
                  <c:v>9.0591989520422245E-2</c:v>
                </c:pt>
                <c:pt idx="4">
                  <c:v>9.0717312903042524E-2</c:v>
                </c:pt>
                <c:pt idx="5">
                  <c:v>8.9772424046048793E-2</c:v>
                </c:pt>
                <c:pt idx="6">
                  <c:v>9.4700693679151682E-2</c:v>
                </c:pt>
                <c:pt idx="7">
                  <c:v>0.11357600116016497</c:v>
                </c:pt>
                <c:pt idx="8">
                  <c:v>0.13292909167212497</c:v>
                </c:pt>
                <c:pt idx="9">
                  <c:v>0.16626208219582383</c:v>
                </c:pt>
              </c:numCache>
            </c:numRef>
          </c:val>
        </c:ser>
        <c:dLbls>
          <c:dLblPos val="ctr"/>
          <c:showLegendKey val="0"/>
          <c:showVal val="1"/>
          <c:showCatName val="0"/>
          <c:showSerName val="0"/>
          <c:showPercent val="0"/>
          <c:showBubbleSize val="0"/>
        </c:dLbls>
        <c:gapWidth val="150"/>
        <c:overlap val="100"/>
        <c:axId val="1941910224"/>
        <c:axId val="1941916208"/>
      </c:barChart>
      <c:dateAx>
        <c:axId val="194191022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1916208"/>
        <c:crosses val="autoZero"/>
        <c:auto val="1"/>
        <c:lblOffset val="100"/>
        <c:baseTimeUnit val="years"/>
      </c:dateAx>
      <c:valAx>
        <c:axId val="1941916208"/>
        <c:scaling>
          <c:orientation val="minMax"/>
          <c:min val="0"/>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94191022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2840186430534E-2"/>
          <c:y val="2.7777777777777776E-2"/>
          <c:w val="0.95018868220539698"/>
          <c:h val="0.77314814814814814"/>
        </c:manualLayout>
      </c:layout>
      <c:barChart>
        <c:barDir val="col"/>
        <c:grouping val="clustered"/>
        <c:varyColors val="0"/>
        <c:ser>
          <c:idx val="0"/>
          <c:order val="0"/>
          <c:tx>
            <c:strRef>
              <c:f>'Screener Output.v0'!$A$186</c:f>
              <c:strCache>
                <c:ptCount val="1"/>
                <c:pt idx="0">
                  <c:v>EPS</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39142</c:v>
                </c:pt>
                <c:pt idx="1">
                  <c:v>40603</c:v>
                </c:pt>
                <c:pt idx="2">
                  <c:v>40969</c:v>
                </c:pt>
                <c:pt idx="3">
                  <c:v>41334</c:v>
                </c:pt>
                <c:pt idx="4">
                  <c:v>41699</c:v>
                </c:pt>
                <c:pt idx="5">
                  <c:v>42064</c:v>
                </c:pt>
                <c:pt idx="6">
                  <c:v>42430</c:v>
                </c:pt>
                <c:pt idx="7">
                  <c:v>42795</c:v>
                </c:pt>
                <c:pt idx="8">
                  <c:v>43160</c:v>
                </c:pt>
              </c:numCache>
            </c:numRef>
          </c:cat>
          <c:val>
            <c:numRef>
              <c:f>'Screener Output.v0'!$D$186:$L$186</c:f>
              <c:numCache>
                <c:formatCode>_(* #,##0.0_);_(* \(#,##0.0\);_(* "-"??_);_(@_)</c:formatCode>
                <c:ptCount val="9"/>
                <c:pt idx="0">
                  <c:v>0.55039453095378066</c:v>
                </c:pt>
                <c:pt idx="1">
                  <c:v>4.1191254896812577</c:v>
                </c:pt>
                <c:pt idx="2">
                  <c:v>5.4957913164866401</c:v>
                </c:pt>
                <c:pt idx="3">
                  <c:v>7.101448448145633</c:v>
                </c:pt>
                <c:pt idx="4">
                  <c:v>8.217391074254202</c:v>
                </c:pt>
                <c:pt idx="5">
                  <c:v>11.048333312360795</c:v>
                </c:pt>
                <c:pt idx="6">
                  <c:v>14.554732033874844</c:v>
                </c:pt>
                <c:pt idx="7">
                  <c:v>15.906202418553146</c:v>
                </c:pt>
                <c:pt idx="8">
                  <c:v>14.781979021115406</c:v>
                </c:pt>
              </c:numCache>
            </c:numRef>
          </c:val>
        </c:ser>
        <c:dLbls>
          <c:dLblPos val="inEnd"/>
          <c:showLegendKey val="0"/>
          <c:showVal val="1"/>
          <c:showCatName val="0"/>
          <c:showSerName val="0"/>
          <c:showPercent val="0"/>
          <c:showBubbleSize val="0"/>
        </c:dLbls>
        <c:gapWidth val="41"/>
        <c:axId val="1941912944"/>
        <c:axId val="1941921104"/>
      </c:barChart>
      <c:lineChart>
        <c:grouping val="standard"/>
        <c:varyColors val="0"/>
        <c:ser>
          <c:idx val="1"/>
          <c:order val="1"/>
          <c:tx>
            <c:strRef>
              <c:f>'Screener Output.v0'!$A$187</c:f>
              <c:strCache>
                <c:ptCount val="1"/>
                <c:pt idx="0">
                  <c:v>EPS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39142</c:v>
                </c:pt>
                <c:pt idx="1">
                  <c:v>40603</c:v>
                </c:pt>
                <c:pt idx="2">
                  <c:v>40969</c:v>
                </c:pt>
                <c:pt idx="3">
                  <c:v>41334</c:v>
                </c:pt>
                <c:pt idx="4">
                  <c:v>41699</c:v>
                </c:pt>
                <c:pt idx="5">
                  <c:v>42064</c:v>
                </c:pt>
                <c:pt idx="6">
                  <c:v>42430</c:v>
                </c:pt>
                <c:pt idx="7">
                  <c:v>42795</c:v>
                </c:pt>
                <c:pt idx="8">
                  <c:v>43160</c:v>
                </c:pt>
              </c:numCache>
            </c:numRef>
          </c:cat>
          <c:val>
            <c:numRef>
              <c:f>'Screener Output.v0'!$D$187:$L$187</c:f>
              <c:numCache>
                <c:formatCode>0%</c:formatCode>
                <c:ptCount val="9"/>
                <c:pt idx="0">
                  <c:v>-0.72909698996655514</c:v>
                </c:pt>
                <c:pt idx="1">
                  <c:v>6.4839506172839512</c:v>
                </c:pt>
                <c:pt idx="2">
                  <c:v>0.3342131309798746</c:v>
                </c:pt>
                <c:pt idx="3">
                  <c:v>0.2921612265084077</c:v>
                </c:pt>
                <c:pt idx="4">
                  <c:v>0.15714295953242741</c:v>
                </c:pt>
                <c:pt idx="5">
                  <c:v>0.34450620793455711</c:v>
                </c:pt>
                <c:pt idx="6">
                  <c:v>0.31736902050113902</c:v>
                </c:pt>
                <c:pt idx="7">
                  <c:v>9.2854363895733316E-2</c:v>
                </c:pt>
                <c:pt idx="8">
                  <c:v>-7.0678303208717819E-2</c:v>
                </c:pt>
              </c:numCache>
            </c:numRef>
          </c:val>
          <c:smooth val="0"/>
        </c:ser>
        <c:dLbls>
          <c:showLegendKey val="0"/>
          <c:showVal val="0"/>
          <c:showCatName val="0"/>
          <c:showSerName val="0"/>
          <c:showPercent val="0"/>
          <c:showBubbleSize val="0"/>
        </c:dLbls>
        <c:marker val="1"/>
        <c:smooth val="0"/>
        <c:axId val="1941915120"/>
        <c:axId val="1941911856"/>
      </c:lineChart>
      <c:dateAx>
        <c:axId val="1941912944"/>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lgn="ctr">
              <a:defRPr lang="en-US" sz="1000" b="0" i="0" u="none" strike="noStrike" kern="1200" baseline="0">
                <a:solidFill>
                  <a:schemeClr val="dk1">
                    <a:lumMod val="65000"/>
                    <a:lumOff val="35000"/>
                  </a:schemeClr>
                </a:solidFill>
                <a:effectLst/>
                <a:latin typeface="+mn-lt"/>
                <a:ea typeface="+mn-ea"/>
                <a:cs typeface="+mn-cs"/>
              </a:defRPr>
            </a:pPr>
            <a:endParaRPr lang="en-US"/>
          </a:p>
        </c:txPr>
        <c:crossAx val="1941921104"/>
        <c:crosses val="autoZero"/>
        <c:auto val="1"/>
        <c:lblOffset val="100"/>
        <c:baseTimeUnit val="years"/>
      </c:dateAx>
      <c:valAx>
        <c:axId val="1941921104"/>
        <c:scaling>
          <c:orientation val="minMax"/>
        </c:scaling>
        <c:delete val="0"/>
        <c:axPos val="l"/>
        <c:majorGridlines>
          <c:spPr>
            <a:ln w="9525" cap="flat" cmpd="sng" algn="ctr">
              <a:solidFill>
                <a:schemeClr val="dk1">
                  <a:lumMod val="15000"/>
                  <a:lumOff val="85000"/>
                </a:schemeClr>
              </a:solidFill>
              <a:round/>
            </a:ln>
            <a:effectLst/>
          </c:spPr>
        </c:majorGridlines>
        <c:numFmt formatCode="_(* #,##0.0_);_(* \(#,##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941912944"/>
        <c:crossesAt val="39875"/>
        <c:crossBetween val="between"/>
      </c:valAx>
      <c:valAx>
        <c:axId val="1941911856"/>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1915120"/>
        <c:crosses val="max"/>
        <c:crossBetween val="between"/>
        <c:majorUnit val="0.2"/>
      </c:valAx>
      <c:dateAx>
        <c:axId val="1941915120"/>
        <c:scaling>
          <c:orientation val="minMax"/>
        </c:scaling>
        <c:delete val="1"/>
        <c:axPos val="b"/>
        <c:numFmt formatCode="[$-409]mmm\-yy;@" sourceLinked="1"/>
        <c:majorTickMark val="out"/>
        <c:minorTickMark val="none"/>
        <c:tickLblPos val="nextTo"/>
        <c:crossAx val="1941911856"/>
        <c:crosses val="autoZero"/>
        <c:auto val="1"/>
        <c:lblOffset val="100"/>
        <c:baseTimeUnit val="year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A$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A$3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123826</xdr:rowOff>
    </xdr:from>
    <xdr:to>
      <xdr:col>6</xdr:col>
      <xdr:colOff>683448</xdr:colOff>
      <xdr:row>10</xdr:row>
      <xdr:rowOff>423334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21168</xdr:colOff>
      <xdr:row>10</xdr:row>
      <xdr:rowOff>719667</xdr:rowOff>
    </xdr:from>
    <xdr:to>
      <xdr:col>6</xdr:col>
      <xdr:colOff>666750</xdr:colOff>
      <xdr:row>11</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332717</xdr:colOff>
      <xdr:row>1</xdr:row>
      <xdr:rowOff>173580</xdr:rowOff>
    </xdr:from>
    <xdr:to>
      <xdr:col>3</xdr:col>
      <xdr:colOff>524325</xdr:colOff>
      <xdr:row>3</xdr:row>
      <xdr:rowOff>13899</xdr:rowOff>
    </xdr:to>
    <xdr:sp macro="" textlink="">
      <xdr:nvSpPr>
        <xdr:cNvPr id="7" name="Flowchart: Process 6"/>
        <xdr:cNvSpPr/>
      </xdr:nvSpPr>
      <xdr:spPr>
        <a:xfrm rot="19947316">
          <a:off x="6904967" y="374663"/>
          <a:ext cx="890108" cy="221319"/>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Earnings</a:t>
          </a:r>
        </a:p>
      </xdr:txBody>
    </xdr:sp>
    <xdr:clientData/>
  </xdr:twoCellAnchor>
  <xdr:twoCellAnchor>
    <xdr:from>
      <xdr:col>2</xdr:col>
      <xdr:colOff>305103</xdr:colOff>
      <xdr:row>10</xdr:row>
      <xdr:rowOff>885252</xdr:rowOff>
    </xdr:from>
    <xdr:to>
      <xdr:col>3</xdr:col>
      <xdr:colOff>646180</xdr:colOff>
      <xdr:row>10</xdr:row>
      <xdr:rowOff>1084752</xdr:rowOff>
    </xdr:to>
    <xdr:sp macro="" textlink="">
      <xdr:nvSpPr>
        <xdr:cNvPr id="9" name="Flowchart: Process 8"/>
        <xdr:cNvSpPr/>
      </xdr:nvSpPr>
      <xdr:spPr>
        <a:xfrm rot="19947316">
          <a:off x="6877353" y="2800835"/>
          <a:ext cx="10395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Growth</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190500</xdr:colOff>
      <xdr:row>16</xdr:row>
      <xdr:rowOff>66675</xdr:rowOff>
    </xdr:from>
    <xdr:to>
      <xdr:col>7</xdr:col>
      <xdr:colOff>0</xdr:colOff>
      <xdr:row>18</xdr:row>
      <xdr:rowOff>85725</xdr:rowOff>
    </xdr:to>
    <xdr:sp macro="" textlink="">
      <xdr:nvSpPr>
        <xdr:cNvPr id="2" name="Rounded Rectangular Callout 1"/>
        <xdr:cNvSpPr/>
      </xdr:nvSpPr>
      <xdr:spPr>
        <a:xfrm>
          <a:off x="4333875" y="3000375"/>
          <a:ext cx="4972050" cy="3810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rPr>
            <a:t>The output of Altman score test gauges a publicly traded company's likelihood of bankruptcy.</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152400</xdr:colOff>
      <xdr:row>21</xdr:row>
      <xdr:rowOff>133350</xdr:rowOff>
    </xdr:from>
    <xdr:to>
      <xdr:col>2</xdr:col>
      <xdr:colOff>2867025</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514350</xdr:colOff>
      <xdr:row>23</xdr:row>
      <xdr:rowOff>152400</xdr:rowOff>
    </xdr:from>
    <xdr:to>
      <xdr:col>2</xdr:col>
      <xdr:colOff>2486025</xdr:colOff>
      <xdr:row>35</xdr:row>
      <xdr:rowOff>163830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142874</xdr:colOff>
      <xdr:row>31</xdr:row>
      <xdr:rowOff>133350</xdr:rowOff>
    </xdr:from>
    <xdr:to>
      <xdr:col>11</xdr:col>
      <xdr:colOff>66674</xdr:colOff>
      <xdr:row>33</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361950</xdr:colOff>
          <xdr:row>1</xdr:row>
          <xdr:rowOff>133350</xdr:rowOff>
        </xdr:from>
        <xdr:to>
          <xdr:col>1</xdr:col>
          <xdr:colOff>352425</xdr:colOff>
          <xdr:row>4</xdr:row>
          <xdr:rowOff>114300</xdr:rowOff>
        </xdr:to>
        <xdr:sp macro="" textlink="">
          <xdr:nvSpPr>
            <xdr:cNvPr id="16386" name="Group Box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xdr:row>
          <xdr:rowOff>133350</xdr:rowOff>
        </xdr:from>
        <xdr:to>
          <xdr:col>0</xdr:col>
          <xdr:colOff>1133475</xdr:colOff>
          <xdr:row>4</xdr:row>
          <xdr:rowOff>28575</xdr:rowOff>
        </xdr:to>
        <xdr:sp macro="" textlink="">
          <xdr:nvSpPr>
            <xdr:cNvPr id="16387" name="Option Button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xdr:row>
          <xdr:rowOff>133350</xdr:rowOff>
        </xdr:from>
        <xdr:to>
          <xdr:col>0</xdr:col>
          <xdr:colOff>2066925</xdr:colOff>
          <xdr:row>4</xdr:row>
          <xdr:rowOff>28575</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xdr:row>
          <xdr:rowOff>133350</xdr:rowOff>
        </xdr:from>
        <xdr:to>
          <xdr:col>5</xdr:col>
          <xdr:colOff>0</xdr:colOff>
          <xdr:row>4</xdr:row>
          <xdr:rowOff>104775</xdr:rowOff>
        </xdr:to>
        <xdr:sp macro="" textlink="">
          <xdr:nvSpPr>
            <xdr:cNvPr id="16389" name="Group Box 5" hidden="1">
              <a:extLst>
                <a:ext uri="{63B3BB69-23CF-44E3-9099-C40C66FF867C}">
                  <a14:compatExt spid="_x0000_s16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Future Growth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xdr:row>
          <xdr:rowOff>142875</xdr:rowOff>
        </xdr:from>
        <xdr:to>
          <xdr:col>3</xdr:col>
          <xdr:colOff>1038225</xdr:colOff>
          <xdr:row>4</xdr:row>
          <xdr:rowOff>38100</xdr:rowOff>
        </xdr:to>
        <xdr:sp macro="" textlink="">
          <xdr:nvSpPr>
            <xdr:cNvPr id="16390" name="Option Button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CAGR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1390650</xdr:colOff>
          <xdr:row>2</xdr:row>
          <xdr:rowOff>152400</xdr:rowOff>
        </xdr:from>
        <xdr:to>
          <xdr:col>4</xdr:col>
          <xdr:colOff>323850</xdr:colOff>
          <xdr:row>4</xdr:row>
          <xdr:rowOff>47625</xdr:rowOff>
        </xdr:to>
        <xdr:sp macro="" textlink="">
          <xdr:nvSpPr>
            <xdr:cNvPr id="16391" name="Option Button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Conservative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xdr:row>
          <xdr:rowOff>152400</xdr:rowOff>
        </xdr:from>
        <xdr:to>
          <xdr:col>7</xdr:col>
          <xdr:colOff>704850</xdr:colOff>
          <xdr:row>4</xdr:row>
          <xdr:rowOff>123825</xdr:rowOff>
        </xdr:to>
        <xdr:sp macro="" textlink="">
          <xdr:nvSpPr>
            <xdr:cNvPr id="16392" name="Group Box 8" hidden="1">
              <a:extLst>
                <a:ext uri="{63B3BB69-23CF-44E3-9099-C40C66FF867C}">
                  <a14:compatExt spid="_x0000_s16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RoE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xdr:row>
          <xdr:rowOff>0</xdr:rowOff>
        </xdr:from>
        <xdr:to>
          <xdr:col>6</xdr:col>
          <xdr:colOff>361950</xdr:colOff>
          <xdr:row>4</xdr:row>
          <xdr:rowOff>57150</xdr:rowOff>
        </xdr:to>
        <xdr:sp macro="" textlink="">
          <xdr:nvSpPr>
            <xdr:cNvPr id="16393" name="Option Button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xdr:row>
          <xdr:rowOff>152400</xdr:rowOff>
        </xdr:from>
        <xdr:to>
          <xdr:col>7</xdr:col>
          <xdr:colOff>485775</xdr:colOff>
          <xdr:row>4</xdr:row>
          <xdr:rowOff>47625</xdr:rowOff>
        </xdr:to>
        <xdr:sp macro="" textlink="">
          <xdr:nvSpPr>
            <xdr:cNvPr id="16394" name="Option Button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Avg.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21166</xdr:colOff>
      <xdr:row>10</xdr:row>
      <xdr:rowOff>10584</xdr:rowOff>
    </xdr:from>
    <xdr:to>
      <xdr:col>9</xdr:col>
      <xdr:colOff>0</xdr:colOff>
      <xdr:row>25</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486834</xdr:colOff>
      <xdr:row>14</xdr:row>
      <xdr:rowOff>52917</xdr:rowOff>
    </xdr:from>
    <xdr:to>
      <xdr:col>8</xdr:col>
      <xdr:colOff>266700</xdr:colOff>
      <xdr:row>14</xdr:row>
      <xdr:rowOff>66515</xdr:rowOff>
    </xdr:to>
    <xdr:cxnSp macro="">
      <xdr:nvCxnSpPr>
        <xdr:cNvPr id="9" name="Straight Connector 8"/>
        <xdr:cNvCxnSpPr/>
      </xdr:nvCxnSpPr>
      <xdr:spPr>
        <a:xfrm>
          <a:off x="867834" y="1205442"/>
          <a:ext cx="4047066" cy="13598"/>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480484</xdr:colOff>
      <xdr:row>16</xdr:row>
      <xdr:rowOff>28575</xdr:rowOff>
    </xdr:from>
    <xdr:to>
      <xdr:col>8</xdr:col>
      <xdr:colOff>295275</xdr:colOff>
      <xdr:row>16</xdr:row>
      <xdr:rowOff>46567</xdr:rowOff>
    </xdr:to>
    <xdr:cxnSp macro="">
      <xdr:nvCxnSpPr>
        <xdr:cNvPr id="10" name="Straight Connector 9"/>
        <xdr:cNvCxnSpPr/>
      </xdr:nvCxnSpPr>
      <xdr:spPr>
        <a:xfrm flipV="1">
          <a:off x="861484" y="1562100"/>
          <a:ext cx="4081991" cy="17992"/>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20110</xdr:rowOff>
    </xdr:from>
    <xdr:to>
      <xdr:col>21</xdr:col>
      <xdr:colOff>1</xdr:colOff>
      <xdr:row>25</xdr:row>
      <xdr:rowOff>9525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10581</xdr:colOff>
      <xdr:row>28</xdr:row>
      <xdr:rowOff>0</xdr:rowOff>
    </xdr:from>
    <xdr:to>
      <xdr:col>8</xdr:col>
      <xdr:colOff>600074</xdr:colOff>
      <xdr:row>43</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465667</xdr:colOff>
      <xdr:row>36</xdr:row>
      <xdr:rowOff>88689</xdr:rowOff>
    </xdr:from>
    <xdr:to>
      <xdr:col>2</xdr:col>
      <xdr:colOff>3591984</xdr:colOff>
      <xdr:row>36</xdr:row>
      <xdr:rowOff>88689</xdr:rowOff>
    </xdr:to>
    <xdr:cxnSp macro="">
      <xdr:nvCxnSpPr>
        <xdr:cNvPr id="13" name="Straight Connector 12"/>
        <xdr:cNvCxnSpPr/>
      </xdr:nvCxnSpPr>
      <xdr:spPr>
        <a:xfrm>
          <a:off x="465667" y="10718589"/>
          <a:ext cx="4993217" cy="0"/>
        </a:xfrm>
        <a:prstGeom prst="line">
          <a:avLst/>
        </a:prstGeom>
        <a:ln>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352426</xdr:colOff>
      <xdr:row>35</xdr:row>
      <xdr:rowOff>8467</xdr:rowOff>
    </xdr:from>
    <xdr:to>
      <xdr:col>8</xdr:col>
      <xdr:colOff>371475</xdr:colOff>
      <xdr:row>35</xdr:row>
      <xdr:rowOff>8467</xdr:rowOff>
    </xdr:to>
    <xdr:cxnSp macro="">
      <xdr:nvCxnSpPr>
        <xdr:cNvPr id="14" name="Straight Connector 13"/>
        <xdr:cNvCxnSpPr/>
      </xdr:nvCxnSpPr>
      <xdr:spPr>
        <a:xfrm>
          <a:off x="733426" y="5171017"/>
          <a:ext cx="4286249"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325967</xdr:colOff>
      <xdr:row>33</xdr:row>
      <xdr:rowOff>31750</xdr:rowOff>
    </xdr:from>
    <xdr:to>
      <xdr:col>8</xdr:col>
      <xdr:colOff>228600</xdr:colOff>
      <xdr:row>33</xdr:row>
      <xdr:rowOff>31750</xdr:rowOff>
    </xdr:to>
    <xdr:cxnSp macro="">
      <xdr:nvCxnSpPr>
        <xdr:cNvPr id="15" name="Straight Connector 14"/>
        <xdr:cNvCxnSpPr/>
      </xdr:nvCxnSpPr>
      <xdr:spPr>
        <a:xfrm>
          <a:off x="706967" y="4813300"/>
          <a:ext cx="4169833"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10587</xdr:colOff>
      <xdr:row>28</xdr:row>
      <xdr:rowOff>10582</xdr:rowOff>
    </xdr:from>
    <xdr:to>
      <xdr:col>21</xdr:col>
      <xdr:colOff>9526</xdr:colOff>
      <xdr:row>43</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371476</xdr:colOff>
      <xdr:row>47</xdr:row>
      <xdr:rowOff>19050</xdr:rowOff>
    </xdr:from>
    <xdr:to>
      <xdr:col>9</xdr:col>
      <xdr:colOff>1</xdr:colOff>
      <xdr:row>59</xdr:row>
      <xdr:rowOff>114301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485774</xdr:colOff>
      <xdr:row>47</xdr:row>
      <xdr:rowOff>9525</xdr:rowOff>
    </xdr:from>
    <xdr:to>
      <xdr:col>20</xdr:col>
      <xdr:colOff>609599</xdr:colOff>
      <xdr:row>59</xdr:row>
      <xdr:rowOff>114300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0.10517</cdr:x>
      <cdr:y>1</cdr:y>
    </cdr:from>
    <cdr:to>
      <cdr:x>1</cdr:x>
      <cdr:y>1</cdr:y>
    </cdr:to>
    <cdr:cxnSp macro="">
      <cdr:nvCxnSpPr>
        <cdr:cNvPr id="2" name="Straight Connector 1"/>
        <cdr:cNvCxnSpPr/>
      </cdr:nvCxnSpPr>
      <cdr:spPr>
        <a:xfrm xmlns:a="http://schemas.openxmlformats.org/drawingml/2006/main">
          <a:off x="6675966" y="6718089"/>
          <a:ext cx="5132918" cy="0"/>
        </a:xfrm>
        <a:prstGeom xmlns:a="http://schemas.openxmlformats.org/drawingml/2006/main" prst="line">
          <a:avLst/>
        </a:prstGeom>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xdr:col>
      <xdr:colOff>10583</xdr:colOff>
      <xdr:row>10</xdr:row>
      <xdr:rowOff>10582</xdr:rowOff>
    </xdr:from>
    <xdr:to>
      <xdr:col>9</xdr:col>
      <xdr:colOff>0</xdr:colOff>
      <xdr:row>25</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16</xdr:row>
      <xdr:rowOff>40217</xdr:rowOff>
    </xdr:from>
    <xdr:to>
      <xdr:col>8</xdr:col>
      <xdr:colOff>247650</xdr:colOff>
      <xdr:row>16</xdr:row>
      <xdr:rowOff>40217</xdr:rowOff>
    </xdr:to>
    <xdr:cxnSp macro="">
      <xdr:nvCxnSpPr>
        <xdr:cNvPr id="12" name="Straight Connector 11"/>
        <xdr:cNvCxnSpPr/>
      </xdr:nvCxnSpPr>
      <xdr:spPr>
        <a:xfrm>
          <a:off x="431800" y="3212042"/>
          <a:ext cx="467360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8</xdr:col>
      <xdr:colOff>161925</xdr:colOff>
      <xdr:row>12</xdr:row>
      <xdr:rowOff>0</xdr:rowOff>
    </xdr:to>
    <xdr:cxnSp macro="">
      <xdr:nvCxnSpPr>
        <xdr:cNvPr id="13" name="Straight Connector 12"/>
        <xdr:cNvCxnSpPr/>
      </xdr:nvCxnSpPr>
      <xdr:spPr>
        <a:xfrm>
          <a:off x="466725" y="2409825"/>
          <a:ext cx="45529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32</xdr:row>
      <xdr:rowOff>10583</xdr:rowOff>
    </xdr:from>
    <xdr:to>
      <xdr:col>8</xdr:col>
      <xdr:colOff>590550</xdr:colOff>
      <xdr:row>46</xdr:row>
      <xdr:rowOff>152401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343958</xdr:colOff>
      <xdr:row>35</xdr:row>
      <xdr:rowOff>43392</xdr:rowOff>
    </xdr:from>
    <xdr:to>
      <xdr:col>8</xdr:col>
      <xdr:colOff>228600</xdr:colOff>
      <xdr:row>35</xdr:row>
      <xdr:rowOff>43392</xdr:rowOff>
    </xdr:to>
    <xdr:cxnSp macro="">
      <xdr:nvCxnSpPr>
        <xdr:cNvPr id="19" name="Straight Connector 18"/>
        <xdr:cNvCxnSpPr/>
      </xdr:nvCxnSpPr>
      <xdr:spPr>
        <a:xfrm>
          <a:off x="724958" y="6082242"/>
          <a:ext cx="4361392"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39</xdr:row>
      <xdr:rowOff>28575</xdr:rowOff>
    </xdr:from>
    <xdr:to>
      <xdr:col>8</xdr:col>
      <xdr:colOff>247650</xdr:colOff>
      <xdr:row>39</xdr:row>
      <xdr:rowOff>28575</xdr:rowOff>
    </xdr:to>
    <xdr:cxnSp macro="">
      <xdr:nvCxnSpPr>
        <xdr:cNvPr id="20" name="Straight Connector 19"/>
        <xdr:cNvCxnSpPr/>
      </xdr:nvCxnSpPr>
      <xdr:spPr>
        <a:xfrm>
          <a:off x="676275" y="6829425"/>
          <a:ext cx="442912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485774</xdr:colOff>
      <xdr:row>32</xdr:row>
      <xdr:rowOff>9525</xdr:rowOff>
    </xdr:from>
    <xdr:to>
      <xdr:col>17</xdr:col>
      <xdr:colOff>590549</xdr:colOff>
      <xdr:row>46</xdr:row>
      <xdr:rowOff>114300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9524</xdr:colOff>
      <xdr:row>10</xdr:row>
      <xdr:rowOff>19049</xdr:rowOff>
    </xdr:from>
    <xdr:to>
      <xdr:col>17</xdr:col>
      <xdr:colOff>600074</xdr:colOff>
      <xdr:row>25</xdr:row>
      <xdr:rowOff>28574</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17</xdr:row>
      <xdr:rowOff>152400</xdr:rowOff>
    </xdr:from>
    <xdr:to>
      <xdr:col>4</xdr:col>
      <xdr:colOff>352425</xdr:colOff>
      <xdr:row>21</xdr:row>
      <xdr:rowOff>57150</xdr:rowOff>
    </xdr:to>
    <xdr:pic>
      <xdr:nvPicPr>
        <xdr:cNvPr id="2" name="Picture 1" descr="capital allocation -10"/>
        <xdr:cNvPicPr>
          <a:picLocks noChangeAspect="1" noChangeArrowheads="1"/>
        </xdr:cNvPicPr>
      </xdr:nvPicPr>
      <xdr:blipFill>
        <a:blip xmlns:r="http://schemas.openxmlformats.org/officeDocument/2006/relationships" r:embed="rId1">
          <a:duotone>
            <a:prstClr val="black"/>
            <a:schemeClr val="accent6">
              <a:tint val="45000"/>
              <a:satMod val="400000"/>
            </a:schemeClr>
          </a:duotone>
          <a:extLst>
            <a:ext uri="{28A0092B-C50C-407E-A947-70E740481C1C}">
              <a14:useLocalDpi xmlns:a14="http://schemas.microsoft.com/office/drawing/2010/main" val="0"/>
            </a:ext>
          </a:extLst>
        </a:blip>
        <a:srcRect/>
        <a:stretch>
          <a:fillRect/>
        </a:stretch>
      </xdr:blipFill>
      <xdr:spPr bwMode="auto">
        <a:xfrm>
          <a:off x="276225" y="3657600"/>
          <a:ext cx="25527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28573</xdr:colOff>
      <xdr:row>7</xdr:row>
      <xdr:rowOff>0</xdr:rowOff>
    </xdr:from>
    <xdr:to>
      <xdr:col>19</xdr:col>
      <xdr:colOff>561974</xdr:colOff>
      <xdr:row>19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8</xdr:row>
      <xdr:rowOff>9525</xdr:rowOff>
    </xdr:from>
    <xdr:to>
      <xdr:col>8</xdr:col>
      <xdr:colOff>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38</xdr:row>
      <xdr:rowOff>19050</xdr:rowOff>
    </xdr:from>
    <xdr:to>
      <xdr:col>17</xdr:col>
      <xdr:colOff>1</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19050</xdr:rowOff>
    </xdr:from>
    <xdr:to>
      <xdr:col>8</xdr:col>
      <xdr:colOff>0</xdr:colOff>
      <xdr:row>34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9524</xdr:colOff>
      <xdr:row>8</xdr:row>
      <xdr:rowOff>19050</xdr:rowOff>
    </xdr:from>
    <xdr:to>
      <xdr:col>16</xdr:col>
      <xdr:colOff>609599</xdr:colOff>
      <xdr:row>20</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9524</xdr:colOff>
      <xdr:row>24</xdr:row>
      <xdr:rowOff>1</xdr:rowOff>
    </xdr:from>
    <xdr:to>
      <xdr:col>16</xdr:col>
      <xdr:colOff>609599</xdr:colOff>
      <xdr:row>33</xdr:row>
      <xdr:rowOff>190501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152399</xdr:colOff>
      <xdr:row>38</xdr:row>
      <xdr:rowOff>19050</xdr:rowOff>
    </xdr:from>
    <xdr:to>
      <xdr:col>7</xdr:col>
      <xdr:colOff>895349</xdr:colOff>
      <xdr:row>50</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1060</xdr:colOff>
      <xdr:row>21</xdr:row>
      <xdr:rowOff>10583</xdr:rowOff>
    </xdr:from>
    <xdr:to>
      <xdr:col>14</xdr:col>
      <xdr:colOff>0</xdr:colOff>
      <xdr:row>34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51</xdr:row>
      <xdr:rowOff>9525</xdr:rowOff>
    </xdr:from>
    <xdr:to>
      <xdr:col>6</xdr:col>
      <xdr:colOff>9526</xdr:colOff>
      <xdr:row>62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xdr:row>
      <xdr:rowOff>9525</xdr:rowOff>
    </xdr:from>
    <xdr:to>
      <xdr:col>6</xdr:col>
      <xdr:colOff>609599</xdr:colOff>
      <xdr:row>17</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6</xdr:col>
      <xdr:colOff>0</xdr:colOff>
      <xdr:row>34</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609599</xdr:colOff>
      <xdr:row>6</xdr:row>
      <xdr:rowOff>0</xdr:rowOff>
    </xdr:from>
    <xdr:to>
      <xdr:col>13</xdr:col>
      <xdr:colOff>590549</xdr:colOff>
      <xdr:row>17</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36</xdr:row>
      <xdr:rowOff>9525</xdr:rowOff>
    </xdr:from>
    <xdr:to>
      <xdr:col>14</xdr:col>
      <xdr:colOff>95250</xdr:colOff>
      <xdr:row>48</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47625</xdr:colOff>
      <xdr:row>16</xdr:row>
      <xdr:rowOff>38100</xdr:rowOff>
    </xdr:from>
    <xdr:to>
      <xdr:col>9</xdr:col>
      <xdr:colOff>76200</xdr:colOff>
      <xdr:row>18</xdr:row>
      <xdr:rowOff>142875</xdr:rowOff>
    </xdr:to>
    <xdr:sp macro="" textlink="">
      <xdr:nvSpPr>
        <xdr:cNvPr id="2" name="Rounded Rectangular Callout 1"/>
        <xdr:cNvSpPr/>
      </xdr:nvSpPr>
      <xdr:spPr>
        <a:xfrm>
          <a:off x="2828925" y="2762250"/>
          <a:ext cx="4333875" cy="4667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A discrete score between 0-9 which reflects nine criteria used to determine the strength of a firm's financial position.</a:t>
          </a:r>
          <a:endParaRPr lang="en-GB" sz="10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200025</xdr:colOff>
      <xdr:row>24</xdr:row>
      <xdr:rowOff>123825</xdr:rowOff>
    </xdr:from>
    <xdr:to>
      <xdr:col>8</xdr:col>
      <xdr:colOff>504825</xdr:colOff>
      <xdr:row>39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600075</xdr:colOff>
      <xdr:row>27</xdr:row>
      <xdr:rowOff>28575</xdr:rowOff>
    </xdr:from>
    <xdr:to>
      <xdr:col>8</xdr:col>
      <xdr:colOff>85725</xdr:colOff>
      <xdr:row>39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adip%20Beriwal/Desktop/Create%20life%20you%20love/Reserach%20@%202016/Polished/Price_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2)"/>
      <sheetName val="Data"/>
      <sheetName val="Pivot"/>
      <sheetName val="Jan31 2018"/>
    </sheetNames>
    <sheetDataSet>
      <sheetData sheetId="0" refreshError="1"/>
      <sheetData sheetId="1">
        <row r="4">
          <cell r="B4" t="str">
            <v>Asian Paints</v>
          </cell>
          <cell r="C4">
            <v>1293.3</v>
          </cell>
        </row>
        <row r="5">
          <cell r="B5" t="str">
            <v>Astral Poly</v>
          </cell>
          <cell r="C5">
            <v>984.6</v>
          </cell>
        </row>
        <row r="6">
          <cell r="B6" t="str">
            <v>AVANTI FEEDS LTD</v>
          </cell>
          <cell r="C6">
            <v>387.05</v>
          </cell>
        </row>
        <row r="7">
          <cell r="B7" t="str">
            <v>Bajaj Finance</v>
          </cell>
          <cell r="C7">
            <v>2168</v>
          </cell>
        </row>
        <row r="8">
          <cell r="B8" t="str">
            <v>Balkrishna Ind</v>
          </cell>
          <cell r="C8">
            <v>1018.55</v>
          </cell>
          <cell r="D8">
            <v>2</v>
          </cell>
        </row>
        <row r="9">
          <cell r="B9" t="str">
            <v>Britannia</v>
          </cell>
          <cell r="C9">
            <v>5823.5</v>
          </cell>
          <cell r="D9">
            <v>2</v>
          </cell>
        </row>
        <row r="10">
          <cell r="B10" t="str">
            <v>Caplin Labs</v>
          </cell>
          <cell r="C10">
            <v>410.95</v>
          </cell>
        </row>
        <row r="11">
          <cell r="B11" t="str">
            <v>Century Ply</v>
          </cell>
          <cell r="C11">
            <v>180.55</v>
          </cell>
        </row>
        <row r="12">
          <cell r="B12" t="str">
            <v>Cera Sanitary</v>
          </cell>
          <cell r="C12">
            <v>2567.15</v>
          </cell>
        </row>
        <row r="13">
          <cell r="B13" t="str">
            <v>Cholamandalam Finance</v>
          </cell>
          <cell r="C13">
            <v>1166.75</v>
          </cell>
        </row>
        <row r="14">
          <cell r="B14" t="str">
            <v>Eicher Motors</v>
          </cell>
          <cell r="C14">
            <v>24185.4</v>
          </cell>
          <cell r="D14">
            <v>12</v>
          </cell>
        </row>
        <row r="15">
          <cell r="B15" t="str">
            <v>Gruh Finance</v>
          </cell>
          <cell r="C15">
            <v>304.05</v>
          </cell>
        </row>
        <row r="16">
          <cell r="B16" t="str">
            <v>Havells India</v>
          </cell>
          <cell r="C16">
            <v>594.5</v>
          </cell>
        </row>
        <row r="17">
          <cell r="B17" t="str">
            <v>HDFC Bank</v>
          </cell>
          <cell r="C17">
            <v>2006.05</v>
          </cell>
        </row>
        <row r="18">
          <cell r="B18" t="str">
            <v>IGL</v>
          </cell>
          <cell r="C18">
            <v>242.95</v>
          </cell>
        </row>
        <row r="19">
          <cell r="B19" t="str">
            <v>IndusInd Bank</v>
          </cell>
          <cell r="C19">
            <v>1690.05</v>
          </cell>
        </row>
        <row r="20">
          <cell r="B20" t="str">
            <v>Kajaria Ceramic</v>
          </cell>
          <cell r="C20">
            <v>367.4</v>
          </cell>
          <cell r="D20">
            <v>12</v>
          </cell>
        </row>
        <row r="21">
          <cell r="B21" t="str">
            <v>La Opala RG</v>
          </cell>
          <cell r="C21">
            <v>221.45</v>
          </cell>
        </row>
        <row r="22">
          <cell r="B22" t="str">
            <v>Page Industries</v>
          </cell>
          <cell r="C22">
            <v>32885.1</v>
          </cell>
        </row>
        <row r="23">
          <cell r="B23" t="str">
            <v>Pidilite Ind</v>
          </cell>
          <cell r="C23">
            <v>1045.8499999999999</v>
          </cell>
        </row>
        <row r="24">
          <cell r="B24" t="str">
            <v>PSP Projects</v>
          </cell>
          <cell r="C24">
            <v>411.3</v>
          </cell>
        </row>
        <row r="25">
          <cell r="B25" t="str">
            <v>Relaxo Footwear</v>
          </cell>
          <cell r="C25">
            <v>731.45</v>
          </cell>
          <cell r="D25">
            <v>2</v>
          </cell>
        </row>
        <row r="26">
          <cell r="B26" t="str">
            <v>Sundaram Fasteners</v>
          </cell>
          <cell r="C26">
            <v>580.79999999999995</v>
          </cell>
        </row>
        <row r="27">
          <cell r="B27" t="str">
            <v>Symphony</v>
          </cell>
          <cell r="C27">
            <v>980.45</v>
          </cell>
        </row>
        <row r="28">
          <cell r="B28" t="str">
            <v>Tasty Bite</v>
          </cell>
          <cell r="C28">
            <v>8427.65</v>
          </cell>
        </row>
        <row r="29">
          <cell r="B29" t="str">
            <v>TV_Today</v>
          </cell>
          <cell r="C29">
            <v>407.65</v>
          </cell>
        </row>
        <row r="30">
          <cell r="B30" t="str">
            <v>V-Guard Ind</v>
          </cell>
          <cell r="C30">
            <v>176.25</v>
          </cell>
        </row>
        <row r="31">
          <cell r="B31" t="str">
            <v>YES BANK</v>
          </cell>
          <cell r="C31">
            <v>183.65</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reener.in/excel/"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www.bseindia.com/corporates/Sharehold_Searchnew.aspx?expandable=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13"/>
  <sheetViews>
    <sheetView showGridLines="0" zoomScale="90" zoomScaleNormal="90" workbookViewId="0">
      <selection activeCell="L11" sqref="L11"/>
    </sheetView>
  </sheetViews>
  <sheetFormatPr defaultColWidth="9.140625" defaultRowHeight="15"/>
  <cols>
    <col min="1" max="1" width="28" style="2" customWidth="1"/>
    <col min="2" max="2" width="58.42578125" style="5" customWidth="1"/>
    <col min="3" max="9" width="9.140625" style="2"/>
    <col min="10" max="10" width="10.5703125" style="2" customWidth="1"/>
    <col min="11" max="11" width="9.140625" style="2"/>
    <col min="12" max="12" width="10.140625" style="2" customWidth="1"/>
    <col min="13" max="16384" width="9.140625" style="2"/>
  </cols>
  <sheetData>
    <row r="1" spans="1:14" ht="15.75">
      <c r="A1" s="371" t="s">
        <v>64</v>
      </c>
      <c r="B1" s="371"/>
      <c r="C1" s="371" t="s">
        <v>67</v>
      </c>
      <c r="D1" s="371"/>
      <c r="E1" s="371"/>
      <c r="F1" s="371"/>
      <c r="G1" s="371"/>
      <c r="H1" s="371"/>
      <c r="I1" s="371"/>
      <c r="J1" s="371"/>
      <c r="K1" s="371"/>
      <c r="L1" s="371"/>
      <c r="M1" s="371"/>
    </row>
    <row r="3" spans="1:14">
      <c r="A3" s="3" t="s">
        <v>0</v>
      </c>
      <c r="B3" s="17" t="str">
        <f>'Annual Report input'!D2</f>
        <v>Kajaria Ceramic</v>
      </c>
    </row>
    <row r="4" spans="1:14">
      <c r="A4" s="3" t="s">
        <v>1</v>
      </c>
      <c r="B4" s="17" t="str">
        <f>'Annual Report input'!D3</f>
        <v>FMCG</v>
      </c>
    </row>
    <row r="5" spans="1:14" ht="15.75" thickBot="1">
      <c r="A5" s="3" t="s">
        <v>63</v>
      </c>
      <c r="B5" s="170">
        <f>'Annual Report input'!D5</f>
        <v>367.4</v>
      </c>
      <c r="K5" s="374"/>
      <c r="L5" s="374"/>
    </row>
    <row r="6" spans="1:14" ht="16.5" thickTop="1" thickBot="1">
      <c r="A6" s="3" t="s">
        <v>2</v>
      </c>
      <c r="B6" s="69">
        <f>'Screener Output.v0'!L40</f>
        <v>15.9</v>
      </c>
      <c r="I6" s="372" t="s">
        <v>327</v>
      </c>
      <c r="J6" s="372"/>
      <c r="K6" s="215">
        <f>(Valuation_Table!B8-Valuation_Table!B25)/Valuation_Table!B25</f>
        <v>-0.25304462737613465</v>
      </c>
      <c r="L6" s="215"/>
      <c r="N6" s="336" t="s">
        <v>268</v>
      </c>
    </row>
    <row r="7" spans="1:14" ht="15.75" thickTop="1">
      <c r="A7" s="3" t="s">
        <v>3</v>
      </c>
      <c r="B7" s="1">
        <f>'Screener Output.v0'!B38</f>
        <v>5839.83</v>
      </c>
      <c r="I7" s="238" t="s">
        <v>557</v>
      </c>
      <c r="K7" s="366">
        <f>POWER(Valuation_Table!E24/Valuation_Table!B8, 1/10)-1</f>
        <v>0.14386345866755224</v>
      </c>
      <c r="N7" s="368">
        <f>Valuation_Table!B17</f>
        <v>1.6431435834409696</v>
      </c>
    </row>
    <row r="8" spans="1:14" ht="15.75" thickBot="1">
      <c r="A8" s="3" t="s">
        <v>4</v>
      </c>
      <c r="B8" s="18">
        <f>SUM('Shareholding input'!C6:C7)</f>
        <v>0.4758</v>
      </c>
      <c r="I8" s="373" t="s">
        <v>558</v>
      </c>
      <c r="J8" s="373"/>
      <c r="K8" s="367">
        <f>Valuation_Table!C53</f>
        <v>0.1469792111072683</v>
      </c>
      <c r="L8" s="367">
        <f>Valuation_Table!E55</f>
        <v>0.19768872767299217</v>
      </c>
      <c r="N8" s="369"/>
    </row>
    <row r="9" spans="1:14" ht="15.75" thickTop="1"/>
    <row r="11" spans="1:14" ht="185.25" customHeight="1">
      <c r="A11" s="3" t="s">
        <v>5</v>
      </c>
      <c r="B11" s="19" t="str">
        <f>'Annual Report input'!D4</f>
        <v xml:space="preserve">Numbers look good. Can be considered on dips. Valuation formulas manually adjusted.
</v>
      </c>
    </row>
    <row r="12" spans="1:14">
      <c r="A12" s="370"/>
      <c r="B12" s="370"/>
    </row>
    <row r="13" spans="1:14">
      <c r="A13" s="77"/>
      <c r="B13" s="77"/>
    </row>
  </sheetData>
  <mergeCells count="7">
    <mergeCell ref="N7:N8"/>
    <mergeCell ref="A12:B12"/>
    <mergeCell ref="A1:B1"/>
    <mergeCell ref="I6:J6"/>
    <mergeCell ref="I8:J8"/>
    <mergeCell ref="C1:M1"/>
    <mergeCell ref="K5:L5"/>
  </mergeCells>
  <conditionalFormatting sqref="K6:L6">
    <cfRule type="dataBar" priority="5">
      <dataBar>
        <cfvo type="min"/>
        <cfvo type="num" val="1"/>
        <color rgb="FFFF0000"/>
      </dataBar>
      <extLst>
        <ext xmlns:x14="http://schemas.microsoft.com/office/spreadsheetml/2009/9/main" uri="{B025F937-C7B1-47D3-B67F-A62EFF666E3E}">
          <x14:id>{7F8777E6-534C-4D31-907C-2BBD50CE4320}</x14:id>
        </ext>
      </extLst>
    </cfRule>
  </conditionalFormatting>
  <conditionalFormatting sqref="K8:L8">
    <cfRule type="dataBar" priority="2">
      <dataBar>
        <cfvo type="min"/>
        <cfvo type="num" val="1"/>
        <color rgb="FF00B050"/>
      </dataBar>
      <extLst>
        <ext xmlns:x14="http://schemas.microsoft.com/office/spreadsheetml/2009/9/main" uri="{B025F937-C7B1-47D3-B67F-A62EFF666E3E}">
          <x14:id>{1BDDA391-37F5-454D-835F-7C8814782918}</x14:id>
        </ext>
      </extLst>
    </cfRule>
  </conditionalFormatting>
  <conditionalFormatting sqref="K7">
    <cfRule type="dataBar" priority="1">
      <dataBar>
        <cfvo type="min"/>
        <cfvo type="num" val="1"/>
        <color rgb="FFFF0000"/>
      </dataBar>
      <extLst>
        <ext xmlns:x14="http://schemas.microsoft.com/office/spreadsheetml/2009/9/main" uri="{B025F937-C7B1-47D3-B67F-A62EFF666E3E}">
          <x14:id>{F394AB89-1B0C-4DC3-9BD0-FD460B37DC3F}</x14:id>
        </ext>
      </extLst>
    </cfRule>
  </conditionalFormatting>
  <pageMargins left="0.70866141732283472" right="0.70866141732283472" top="0.74803149606299213" bottom="0.74803149606299213" header="0.31496062992125984" footer="0.31496062992125984"/>
  <pageSetup paperSize="9" scale="56" orientation="landscape" r:id="rId1"/>
  <headerFooter>
    <oddHeader xml:space="preserve">&amp;C
</oddHeader>
  </headerFooter>
  <ignoredErrors>
    <ignoredError sqref="B5:B6 B3:B4 B11 K6:L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F8777E6-534C-4D31-907C-2BBD50CE4320}">
            <x14:dataBar minLength="0" maxLength="100" gradient="0">
              <x14:cfvo type="autoMin"/>
              <x14:cfvo type="num">
                <xm:f>1</xm:f>
              </x14:cfvo>
              <x14:negativeFillColor rgb="FFFF0000"/>
              <x14:axisColor rgb="FF000000"/>
            </x14:dataBar>
          </x14:cfRule>
          <xm:sqref>K6:L6</xm:sqref>
        </x14:conditionalFormatting>
        <x14:conditionalFormatting xmlns:xm="http://schemas.microsoft.com/office/excel/2006/main">
          <x14:cfRule type="dataBar" id="{1BDDA391-37F5-454D-835F-7C8814782918}">
            <x14:dataBar minLength="0" maxLength="100" gradient="0">
              <x14:cfvo type="autoMin"/>
              <x14:cfvo type="num">
                <xm:f>1</xm:f>
              </x14:cfvo>
              <x14:negativeFillColor rgb="FFFF0000"/>
              <x14:axisColor rgb="FF000000"/>
            </x14:dataBar>
          </x14:cfRule>
          <xm:sqref>K8:L8</xm:sqref>
        </x14:conditionalFormatting>
        <x14:conditionalFormatting xmlns:xm="http://schemas.microsoft.com/office/excel/2006/main">
          <x14:cfRule type="dataBar" id="{F394AB89-1B0C-4DC3-9BD0-FD460B37DC3F}">
            <x14:dataBar minLength="0" maxLength="100" gradient="0">
              <x14:cfvo type="autoMin"/>
              <x14:cfvo type="num">
                <xm:f>1</xm:f>
              </x14:cfvo>
              <x14:negativeFillColor rgb="FFFF0000"/>
              <x14:axisColor rgb="FF000000"/>
            </x14:dataBar>
          </x14:cfRule>
          <xm:sqref>K7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38"/>
  <sheetViews>
    <sheetView showGridLines="0" topLeftCell="A22" workbookViewId="0">
      <selection activeCell="I14" sqref="I14"/>
    </sheetView>
  </sheetViews>
  <sheetFormatPr defaultColWidth="9.140625" defaultRowHeight="14.25"/>
  <cols>
    <col min="1" max="1" width="6" style="29" customWidth="1"/>
    <col min="2" max="2" width="56.42578125" style="29" customWidth="1"/>
    <col min="3" max="7" width="11.5703125" style="29" bestFit="1" customWidth="1"/>
    <col min="8" max="16384" width="9.140625" style="29"/>
  </cols>
  <sheetData>
    <row r="1" spans="2:12">
      <c r="B1" s="411"/>
      <c r="C1" s="412"/>
      <c r="D1" s="412"/>
      <c r="E1" s="412"/>
      <c r="F1" s="412"/>
      <c r="G1" s="412"/>
    </row>
    <row r="2" spans="2:12" ht="15">
      <c r="B2" s="413" t="s">
        <v>88</v>
      </c>
      <c r="C2" s="413"/>
      <c r="D2" s="413"/>
      <c r="E2" s="413"/>
      <c r="F2" s="413"/>
      <c r="G2" s="413"/>
    </row>
    <row r="3" spans="2:12">
      <c r="B3" s="30" t="s">
        <v>84</v>
      </c>
      <c r="C3" s="31" t="s">
        <v>90</v>
      </c>
      <c r="D3" s="31" t="s">
        <v>91</v>
      </c>
      <c r="E3" s="31" t="s">
        <v>92</v>
      </c>
      <c r="F3" s="31" t="s">
        <v>93</v>
      </c>
      <c r="G3" s="31" t="s">
        <v>94</v>
      </c>
    </row>
    <row r="4" spans="2:12">
      <c r="B4" s="22" t="s">
        <v>50</v>
      </c>
      <c r="C4" s="166">
        <f>SUM('Screener Output.v0'!L35:L35)/SUM('Screener Output.v0'!L60:L60)</f>
        <v>0.10646621583859603</v>
      </c>
      <c r="D4" s="166">
        <f>SUM('Screener Output.v0'!K35:K35)/SUM('Screener Output.v0'!K60:K60)</f>
        <v>0.12420661136802959</v>
      </c>
      <c r="E4" s="166">
        <f>SUM('Screener Output.v0'!J35:J35)/SUM('Screener Output.v0'!J60:J60)</f>
        <v>0.12294706366315684</v>
      </c>
      <c r="F4" s="166">
        <f>SUM('Screener Output.v0'!I35:I35)/SUM('Screener Output.v0'!I60:I60)</f>
        <v>0.11837766893946663</v>
      </c>
      <c r="G4" s="166">
        <f>SUM('Screener Output.v0'!H35:H35)/SUM('Screener Output.v0'!H60:H60)</f>
        <v>0.11172827954611173</v>
      </c>
    </row>
    <row r="5" spans="2:12">
      <c r="B5" s="22" t="s">
        <v>292</v>
      </c>
      <c r="C5" s="23">
        <f>'Screener Output.v0'!L45/'Screener Output.v0'!L60</f>
        <v>7.9328042623744863E-2</v>
      </c>
      <c r="D5" s="23">
        <f>'Screener Output.v0'!K45/'Screener Output.v0'!K60</f>
        <v>0.10431378306295724</v>
      </c>
      <c r="E5" s="23">
        <f>'Screener Output.v0'!J45/'Screener Output.v0'!J60</f>
        <v>0.15291446662709199</v>
      </c>
      <c r="F5" s="23">
        <f>'Screener Output.v0'!I45/'Screener Output.v0'!I60</f>
        <v>0.15585005922084574</v>
      </c>
      <c r="G5" s="23">
        <f>'Screener Output.v0'!H45/'Screener Output.v0'!H60</f>
        <v>0.20111090318300134</v>
      </c>
    </row>
    <row r="6" spans="2:12">
      <c r="B6" s="22" t="s">
        <v>51</v>
      </c>
      <c r="C6" s="23">
        <f>SUM('Screener Output.v0'!L9:L9)/SUM('Screener Output.v0'!L10:L10)</f>
        <v>1.570803735334025</v>
      </c>
      <c r="D6" s="23">
        <f>SUM('Screener Output.v0'!K9:K9)/SUM('Screener Output.v0'!K10:K10)</f>
        <v>1.3092937710823145</v>
      </c>
      <c r="E6" s="23">
        <f>SUM('Screener Output.v0'!J9:J9)/SUM('Screener Output.v0'!J10:J10)</f>
        <v>1.2094188070732677</v>
      </c>
      <c r="F6" s="23">
        <f>SUM('Screener Output.v0'!I9:I9)/SUM('Screener Output.v0'!I10:I10)</f>
        <v>1.0804217597562242</v>
      </c>
      <c r="G6" s="23">
        <f>SUM('Screener Output.v0'!H9:H9)/SUM('Screener Output.v0'!H10:H10)</f>
        <v>1.0192860262510632</v>
      </c>
    </row>
    <row r="7" spans="2:12">
      <c r="B7" s="22" t="s">
        <v>52</v>
      </c>
      <c r="C7" s="25">
        <f>'Screener Output.v0'!L29/'Screener Output.v0'!L26</f>
        <v>0.17263705452667302</v>
      </c>
      <c r="D7" s="25">
        <f>'Screener Output.v0'!K29/'Screener Output.v0'!K26</f>
        <v>0.20069186509415093</v>
      </c>
      <c r="E7" s="25">
        <f>'Screener Output.v0'!J29/'Screener Output.v0'!J26</f>
        <v>0.19386769976589516</v>
      </c>
      <c r="F7" s="25">
        <f>'Screener Output.v0'!I29/'Screener Output.v0'!I26</f>
        <v>0.16260534366154672</v>
      </c>
      <c r="G7" s="25">
        <f>'Screener Output.v0'!H29/'Screener Output.v0'!H26</f>
        <v>0.15665111010668126</v>
      </c>
    </row>
    <row r="8" spans="2:12">
      <c r="B8" s="22" t="s">
        <v>228</v>
      </c>
      <c r="C8" s="22">
        <f>'Screener Output.v0'!L35</f>
        <v>228.59999999999982</v>
      </c>
      <c r="D8" s="22">
        <f>'Screener Output.v0'!K35</f>
        <v>253.81000000000006</v>
      </c>
      <c r="E8" s="22">
        <f>'Screener Output.v0'!J35</f>
        <v>236.10999999999967</v>
      </c>
      <c r="F8" s="22">
        <f>'Screener Output.v0'!I35</f>
        <v>184.89999999999992</v>
      </c>
      <c r="G8" s="22">
        <f>'Screener Output.v0'!H35</f>
        <v>131.34999999999985</v>
      </c>
    </row>
    <row r="9" spans="2:12">
      <c r="B9" s="22" t="s">
        <v>54</v>
      </c>
      <c r="C9" s="22">
        <f>'Screener Output.v0'!L62</f>
        <v>238.32</v>
      </c>
      <c r="D9" s="22">
        <f>'Screener Output.v0'!K62</f>
        <v>337.68</v>
      </c>
      <c r="E9" s="22">
        <f>'Screener Output.v0'!J62</f>
        <v>315.62</v>
      </c>
      <c r="F9" s="22">
        <f>'Screener Output.v0'!I62</f>
        <v>180.27</v>
      </c>
      <c r="G9" s="22">
        <f>'Screener Output.v0'!H62</f>
        <v>166.12</v>
      </c>
    </row>
    <row r="10" spans="2:12">
      <c r="B10" s="22" t="s">
        <v>23</v>
      </c>
      <c r="C10" s="27">
        <f>'Screener Output.v0'!L40</f>
        <v>15.9</v>
      </c>
      <c r="D10" s="27">
        <f>'Screener Output.v0'!K40</f>
        <v>15.89</v>
      </c>
      <c r="E10" s="27">
        <f>'Screener Output.v0'!J40</f>
        <v>15.89</v>
      </c>
      <c r="F10" s="27">
        <f>'Screener Output.v0'!I40</f>
        <v>15.89</v>
      </c>
      <c r="G10" s="27">
        <f>'Screener Output.v0'!H40</f>
        <v>15.12</v>
      </c>
      <c r="L10" s="169"/>
    </row>
    <row r="11" spans="2:12">
      <c r="B11" s="22" t="s">
        <v>55</v>
      </c>
      <c r="C11" s="165">
        <f>'Screener Output.v0'!L25/'Screener Output.v0'!L49</f>
        <v>1.2678095717133331</v>
      </c>
      <c r="D11" s="165">
        <f>'Screener Output.v0'!K25/'Screener Output.v0'!K49</f>
        <v>1.2552252318383128</v>
      </c>
      <c r="E11" s="165">
        <f>'Screener Output.v0'!J25/'Screener Output.v0'!J49</f>
        <v>1.2621614021932699</v>
      </c>
      <c r="F11" s="165">
        <f>'Screener Output.v0'!I25/'Screener Output.v0'!I49</f>
        <v>1.4047248631518292</v>
      </c>
      <c r="G11" s="165">
        <f>'Screener Output.v0'!H25/'Screener Output.v0'!H49</f>
        <v>1.5635834708494241</v>
      </c>
    </row>
    <row r="12" spans="2:12">
      <c r="B12" s="22"/>
      <c r="C12" s="33"/>
      <c r="D12" s="28"/>
      <c r="E12" s="28"/>
      <c r="F12" s="28"/>
      <c r="G12" s="28"/>
      <c r="H12" s="32" t="s">
        <v>70</v>
      </c>
      <c r="I12" s="32">
        <v>0</v>
      </c>
      <c r="J12" s="32" t="s">
        <v>65</v>
      </c>
      <c r="K12" s="34">
        <f>(C23/9)*100</f>
        <v>66.666666666666657</v>
      </c>
    </row>
    <row r="13" spans="2:12">
      <c r="B13" s="22"/>
      <c r="C13" s="22"/>
      <c r="D13" s="28"/>
      <c r="E13" s="28"/>
      <c r="F13" s="28"/>
      <c r="G13" s="28"/>
      <c r="H13" s="32" t="s">
        <v>71</v>
      </c>
      <c r="I13" s="32">
        <v>30</v>
      </c>
      <c r="J13" s="32" t="s">
        <v>75</v>
      </c>
      <c r="K13" s="32">
        <v>1</v>
      </c>
    </row>
    <row r="14" spans="2:12">
      <c r="B14" s="24" t="s">
        <v>289</v>
      </c>
      <c r="C14" s="35">
        <f>--(C8&gt;0)</f>
        <v>1</v>
      </c>
      <c r="D14" s="36"/>
      <c r="E14" s="36"/>
      <c r="F14" s="36"/>
      <c r="G14" s="36"/>
      <c r="H14" s="32" t="s">
        <v>72</v>
      </c>
      <c r="I14" s="32">
        <v>40</v>
      </c>
      <c r="J14" s="32" t="s">
        <v>73</v>
      </c>
      <c r="K14" s="32">
        <f>SUM(I12:I16) - SUM(K12:K13)</f>
        <v>132.33333333333334</v>
      </c>
    </row>
    <row r="15" spans="2:12">
      <c r="B15" s="24" t="s">
        <v>123</v>
      </c>
      <c r="C15" s="35">
        <f>--(C9&gt;0)</f>
        <v>1</v>
      </c>
      <c r="D15" s="36"/>
      <c r="E15" s="36"/>
      <c r="F15" s="36"/>
      <c r="G15" s="36"/>
      <c r="H15" s="32" t="s">
        <v>73</v>
      </c>
      <c r="I15" s="32">
        <v>30</v>
      </c>
      <c r="J15" s="32"/>
      <c r="K15" s="32"/>
    </row>
    <row r="16" spans="2:12">
      <c r="B16" s="24" t="s">
        <v>124</v>
      </c>
      <c r="C16" s="37">
        <f>--(C4&gt;D4)</f>
        <v>0</v>
      </c>
      <c r="D16" s="38"/>
      <c r="E16" s="38"/>
      <c r="F16" s="38"/>
      <c r="G16" s="28"/>
      <c r="H16" s="32" t="s">
        <v>74</v>
      </c>
      <c r="I16" s="32">
        <v>100</v>
      </c>
      <c r="J16" s="32"/>
      <c r="K16" s="32"/>
    </row>
    <row r="17" spans="2:8">
      <c r="B17" s="24" t="s">
        <v>290</v>
      </c>
      <c r="C17" s="37">
        <f>--(C9&gt;C8)</f>
        <v>1</v>
      </c>
      <c r="D17" s="38"/>
      <c r="E17" s="38"/>
      <c r="F17" s="38"/>
      <c r="G17" s="28"/>
    </row>
    <row r="18" spans="2:8">
      <c r="B18" s="24" t="s">
        <v>293</v>
      </c>
      <c r="C18" s="37">
        <f>--(C5&lt;D5)</f>
        <v>1</v>
      </c>
      <c r="D18" s="38"/>
      <c r="E18" s="38"/>
      <c r="F18" s="38"/>
      <c r="G18" s="28"/>
    </row>
    <row r="19" spans="2:8">
      <c r="B19" s="24" t="s">
        <v>294</v>
      </c>
      <c r="C19" s="37">
        <f>--(C6&gt;D6)</f>
        <v>1</v>
      </c>
      <c r="D19" s="38"/>
      <c r="E19" s="38"/>
      <c r="F19" s="38"/>
      <c r="G19" s="28"/>
    </row>
    <row r="20" spans="2:8">
      <c r="B20" s="22" t="s">
        <v>125</v>
      </c>
      <c r="C20" s="37">
        <f>--(C10&lt;D10)</f>
        <v>0</v>
      </c>
      <c r="D20" s="38"/>
      <c r="E20" s="38"/>
      <c r="F20" s="38"/>
      <c r="G20" s="28"/>
    </row>
    <row r="21" spans="2:8">
      <c r="B21" s="22" t="s">
        <v>126</v>
      </c>
      <c r="C21" s="37">
        <f>--(C7&gt;D7)</f>
        <v>0</v>
      </c>
      <c r="D21" s="38"/>
      <c r="E21" s="38"/>
      <c r="F21" s="38"/>
      <c r="G21" s="28"/>
    </row>
    <row r="22" spans="2:8">
      <c r="B22" s="22" t="s">
        <v>127</v>
      </c>
      <c r="C22" s="37">
        <f>--(C11&gt;D11)</f>
        <v>1</v>
      </c>
      <c r="D22" s="38"/>
      <c r="E22" s="38"/>
      <c r="F22" s="38"/>
      <c r="G22" s="28"/>
    </row>
    <row r="23" spans="2:8" ht="15">
      <c r="B23" s="39" t="s">
        <v>49</v>
      </c>
      <c r="C23" s="40">
        <f>SUM(C14:C22)</f>
        <v>6</v>
      </c>
      <c r="D23" s="41"/>
      <c r="E23" s="41"/>
      <c r="F23" s="41"/>
      <c r="G23" s="28"/>
    </row>
    <row r="26" spans="2:8" ht="15">
      <c r="B26" s="2"/>
      <c r="C26" s="2"/>
      <c r="D26" s="2"/>
      <c r="E26" s="2"/>
      <c r="F26" s="2"/>
      <c r="G26" s="2"/>
      <c r="H26" s="2"/>
    </row>
    <row r="27" spans="2:8" ht="15">
      <c r="B27" s="2"/>
      <c r="C27" s="2"/>
      <c r="D27" s="2"/>
      <c r="E27" s="2"/>
      <c r="F27" s="2"/>
      <c r="G27" s="2"/>
      <c r="H27" s="2"/>
    </row>
    <row r="28" spans="2:8" ht="15">
      <c r="B28" s="2"/>
      <c r="C28" s="2"/>
      <c r="D28" s="2"/>
      <c r="E28" s="2"/>
      <c r="F28" s="2"/>
      <c r="G28" s="2"/>
      <c r="H28" s="2"/>
    </row>
    <row r="29" spans="2:8" ht="15">
      <c r="B29" s="2"/>
      <c r="C29" s="2"/>
      <c r="D29" s="2"/>
      <c r="E29" s="2"/>
      <c r="F29" s="2"/>
      <c r="G29" s="2"/>
      <c r="H29" s="2"/>
    </row>
    <row r="30" spans="2:8" ht="15">
      <c r="B30" s="2"/>
      <c r="C30" s="2"/>
      <c r="D30" s="2"/>
      <c r="E30" s="2"/>
      <c r="F30" s="2"/>
      <c r="G30" s="2"/>
      <c r="H30" s="2"/>
    </row>
    <row r="31" spans="2:8" ht="15">
      <c r="B31" s="2"/>
      <c r="C31" s="2"/>
      <c r="D31" s="2"/>
      <c r="E31" s="2"/>
      <c r="F31" s="2"/>
      <c r="G31" s="2"/>
      <c r="H31" s="2"/>
    </row>
    <row r="32" spans="2:8" ht="15">
      <c r="B32" s="2"/>
      <c r="C32" s="2"/>
      <c r="D32" s="2"/>
      <c r="E32" s="2"/>
      <c r="F32" s="2"/>
      <c r="G32" s="2"/>
      <c r="H32" s="2"/>
    </row>
    <row r="33" spans="2:8" ht="15">
      <c r="B33" s="2"/>
      <c r="C33" s="2"/>
      <c r="D33" s="2"/>
      <c r="E33" s="2"/>
      <c r="F33" s="2"/>
      <c r="G33" s="2"/>
      <c r="H33" s="2"/>
    </row>
    <row r="34" spans="2:8" ht="15">
      <c r="B34" s="2"/>
      <c r="C34" s="2"/>
      <c r="D34" s="2"/>
      <c r="E34" s="2"/>
      <c r="F34" s="2"/>
      <c r="G34" s="2"/>
      <c r="H34" s="2"/>
    </row>
    <row r="35" spans="2:8" ht="15">
      <c r="B35" s="414" t="s">
        <v>85</v>
      </c>
      <c r="C35" s="414"/>
      <c r="D35" s="414"/>
      <c r="E35" s="2"/>
      <c r="F35" s="2"/>
      <c r="G35" s="2"/>
      <c r="H35" s="2"/>
    </row>
    <row r="36" spans="2:8" ht="15">
      <c r="B36" s="415" t="s">
        <v>86</v>
      </c>
      <c r="C36" s="415"/>
      <c r="D36" s="415"/>
      <c r="E36" s="2"/>
      <c r="F36" s="2"/>
      <c r="G36" s="2"/>
      <c r="H36" s="2"/>
    </row>
    <row r="37" spans="2:8" ht="15">
      <c r="B37" s="416" t="s">
        <v>87</v>
      </c>
      <c r="C37" s="416"/>
      <c r="D37" s="416"/>
      <c r="E37" s="2"/>
      <c r="F37" s="2"/>
      <c r="G37" s="2"/>
      <c r="H37" s="2"/>
    </row>
    <row r="38" spans="2:8" ht="15">
      <c r="B38" s="2"/>
      <c r="C38" s="2"/>
      <c r="D38" s="2"/>
      <c r="E38" s="2"/>
      <c r="F38" s="2"/>
      <c r="G38" s="2"/>
      <c r="H38" s="2"/>
    </row>
  </sheetData>
  <mergeCells count="5">
    <mergeCell ref="B1:G1"/>
    <mergeCell ref="B2:G2"/>
    <mergeCell ref="B35:D35"/>
    <mergeCell ref="B36:D36"/>
    <mergeCell ref="B37:D37"/>
  </mergeCells>
  <pageMargins left="0.70866141732283472" right="0.70866141732283472" top="0.74803149606299213" bottom="0.74803149606299213" header="0.31496062992125984" footer="0.31496062992125984"/>
  <pageSetup paperSize="9" orientation="landscape" r:id="rId1"/>
  <ignoredErrors>
    <ignoredError sqref="K12:K14"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36"/>
  <sheetViews>
    <sheetView showGridLines="0" tabSelected="1" topLeftCell="A10" workbookViewId="0">
      <selection activeCell="G28" sqref="G28"/>
    </sheetView>
  </sheetViews>
  <sheetFormatPr defaultColWidth="9.140625" defaultRowHeight="14.25"/>
  <cols>
    <col min="1" max="1" width="9.140625" style="29"/>
    <col min="2" max="2" width="36.140625" style="29" bestFit="1" customWidth="1"/>
    <col min="3" max="4" width="9.140625" style="29"/>
    <col min="5" max="5" width="40.42578125" style="29" bestFit="1" customWidth="1"/>
    <col min="6" max="6" width="9.140625" style="29"/>
    <col min="7" max="7" width="9.140625" style="29" customWidth="1"/>
    <col min="8" max="16384" width="9.140625" style="29"/>
  </cols>
  <sheetData>
    <row r="1" spans="2:11">
      <c r="B1" s="411"/>
      <c r="C1" s="412"/>
      <c r="D1" s="412"/>
      <c r="E1" s="412"/>
      <c r="F1" s="412"/>
    </row>
    <row r="2" spans="2:11" ht="15">
      <c r="B2" s="413" t="s">
        <v>89</v>
      </c>
      <c r="C2" s="413"/>
      <c r="D2" s="413"/>
      <c r="E2" s="413"/>
      <c r="F2" s="413"/>
    </row>
    <row r="3" spans="2:11" ht="15">
      <c r="B3" s="417" t="s">
        <v>66</v>
      </c>
      <c r="C3" s="418"/>
      <c r="D3" s="418"/>
      <c r="E3" s="418"/>
      <c r="F3" s="419"/>
    </row>
    <row r="4" spans="2:11" ht="15">
      <c r="B4" s="22" t="s">
        <v>27</v>
      </c>
      <c r="C4" s="42" t="s">
        <v>90</v>
      </c>
      <c r="D4" s="22"/>
      <c r="E4" s="22" t="s">
        <v>60</v>
      </c>
      <c r="F4" s="23">
        <f>C5/C6</f>
        <v>0.1665362618528661</v>
      </c>
      <c r="G4" s="32" t="s">
        <v>76</v>
      </c>
      <c r="I4" s="29" t="s">
        <v>75</v>
      </c>
    </row>
    <row r="5" spans="2:11">
      <c r="B5" s="22" t="s">
        <v>56</v>
      </c>
      <c r="C5" s="22">
        <f>'Screener Output.v0'!L52</f>
        <v>357.57999999999993</v>
      </c>
      <c r="D5" s="22"/>
      <c r="E5" s="22" t="s">
        <v>291</v>
      </c>
      <c r="F5" s="23">
        <f>C8/C6</f>
        <v>0.62150934257344592</v>
      </c>
      <c r="G5" s="32" t="s">
        <v>70</v>
      </c>
      <c r="H5" s="29">
        <v>0</v>
      </c>
      <c r="I5" s="29" t="s">
        <v>65</v>
      </c>
      <c r="J5" s="233">
        <f>(C14/6)*100</f>
        <v>78.036339474779098</v>
      </c>
    </row>
    <row r="6" spans="2:11">
      <c r="B6" s="22" t="s">
        <v>12</v>
      </c>
      <c r="C6" s="22">
        <f>'Screener Output.v0'!L60</f>
        <v>2147.16</v>
      </c>
      <c r="D6" s="22"/>
      <c r="E6" s="22" t="s">
        <v>61</v>
      </c>
      <c r="F6" s="23">
        <f>C9/C6</f>
        <v>0.21793904506417774</v>
      </c>
      <c r="G6" s="32" t="s">
        <v>71</v>
      </c>
      <c r="H6" s="29">
        <v>30</v>
      </c>
      <c r="I6" s="29" t="s">
        <v>75</v>
      </c>
      <c r="J6" s="29">
        <v>1</v>
      </c>
    </row>
    <row r="7" spans="2:11">
      <c r="B7" s="22" t="s">
        <v>9</v>
      </c>
      <c r="C7" s="22">
        <f>'Screener Output.v0'!L60</f>
        <v>2147.16</v>
      </c>
      <c r="D7" s="22"/>
      <c r="E7" s="22" t="s">
        <v>295</v>
      </c>
      <c r="F7" s="23">
        <f>'Screener Output.v0'!B38/'Screener Output.v0'!L60</f>
        <v>2.719792656346057</v>
      </c>
      <c r="G7" s="32" t="s">
        <v>72</v>
      </c>
      <c r="H7" s="29">
        <v>20</v>
      </c>
      <c r="I7" s="29" t="s">
        <v>73</v>
      </c>
      <c r="J7" s="29">
        <f>SUM(H5:H9) - SUM(J5:J6)</f>
        <v>120.9636605252209</v>
      </c>
    </row>
    <row r="8" spans="2:11">
      <c r="B8" s="22" t="s">
        <v>252</v>
      </c>
      <c r="C8" s="22">
        <f>'Screener Output.v0'!L41</f>
        <v>1334.48</v>
      </c>
      <c r="D8" s="22"/>
      <c r="E8" s="22" t="s">
        <v>62</v>
      </c>
      <c r="F8" s="23">
        <f>C11/C6</f>
        <v>1.2624117438849458</v>
      </c>
      <c r="G8" s="32" t="s">
        <v>73</v>
      </c>
      <c r="H8" s="29">
        <v>50</v>
      </c>
    </row>
    <row r="9" spans="2:11">
      <c r="B9" s="22" t="s">
        <v>57</v>
      </c>
      <c r="C9" s="22">
        <f>'Screener Output.v0'!L29</f>
        <v>467.94999999999987</v>
      </c>
      <c r="D9" s="22"/>
      <c r="E9" s="22"/>
      <c r="F9" s="22"/>
      <c r="G9" s="32" t="s">
        <v>74</v>
      </c>
      <c r="H9" s="29">
        <v>100</v>
      </c>
    </row>
    <row r="10" spans="2:11">
      <c r="B10" s="22" t="s">
        <v>58</v>
      </c>
      <c r="C10" s="23">
        <f>'Screener Output.v0'!B38</f>
        <v>5839.83</v>
      </c>
      <c r="D10" s="22"/>
      <c r="E10" s="22"/>
      <c r="F10" s="22"/>
      <c r="G10" s="32">
        <f>IF(SUM(C1:D1)&gt;=20,20,SUM(C1:D1))</f>
        <v>0</v>
      </c>
    </row>
    <row r="11" spans="2:11">
      <c r="B11" s="22" t="s">
        <v>13</v>
      </c>
      <c r="C11" s="22">
        <f>'Screener Output.v0'!L26</f>
        <v>2710.6</v>
      </c>
      <c r="D11" s="22"/>
      <c r="E11" s="22"/>
      <c r="F11" s="22"/>
      <c r="G11" s="43"/>
    </row>
    <row r="12" spans="2:11">
      <c r="B12" s="22"/>
      <c r="C12" s="22"/>
      <c r="D12" s="22"/>
      <c r="E12" s="22"/>
      <c r="F12" s="22"/>
      <c r="G12" s="43"/>
    </row>
    <row r="13" spans="2:11">
      <c r="B13" s="22"/>
      <c r="C13" s="22"/>
      <c r="D13" s="22"/>
      <c r="E13" s="22"/>
      <c r="F13" s="22"/>
      <c r="G13" s="43"/>
    </row>
    <row r="14" spans="2:11">
      <c r="B14" s="26" t="s">
        <v>59</v>
      </c>
      <c r="C14" s="44">
        <f>IF((1.2*F4+1.4*F5+3.3*F6+0.6*F7+0.999*F8)&gt;=6,6,(1.2*F4+1.4*F5+3.3*F6+0.6*F7+0.999*F8))</f>
        <v>4.6821803684867458</v>
      </c>
      <c r="D14" s="22"/>
      <c r="E14" s="22"/>
      <c r="F14" s="22"/>
      <c r="G14" s="43"/>
      <c r="H14" s="43"/>
      <c r="I14" s="43"/>
      <c r="J14" s="43"/>
      <c r="K14" s="43"/>
    </row>
    <row r="16" spans="2:11" ht="15">
      <c r="B16" s="45" t="s">
        <v>81</v>
      </c>
    </row>
    <row r="17" spans="2:3">
      <c r="B17" s="29" t="s">
        <v>79</v>
      </c>
      <c r="C17" s="29" t="s">
        <v>78</v>
      </c>
    </row>
    <row r="18" spans="2:3">
      <c r="B18" s="29" t="s">
        <v>82</v>
      </c>
      <c r="C18" s="29" t="s">
        <v>80</v>
      </c>
    </row>
    <row r="19" spans="2:3">
      <c r="B19" s="29" t="s">
        <v>83</v>
      </c>
      <c r="C19" s="29" t="s">
        <v>77</v>
      </c>
    </row>
    <row r="23" spans="2:3" ht="15">
      <c r="B23" s="2"/>
      <c r="C23" s="5"/>
    </row>
    <row r="24" spans="2:3" ht="15">
      <c r="B24" s="2"/>
      <c r="C24" s="5"/>
    </row>
    <row r="25" spans="2:3" ht="15">
      <c r="B25" s="2"/>
      <c r="C25" s="5"/>
    </row>
    <row r="26" spans="2:3" ht="15">
      <c r="B26" s="2"/>
      <c r="C26" s="5"/>
    </row>
    <row r="27" spans="2:3" ht="15">
      <c r="B27" s="2"/>
      <c r="C27" s="5"/>
    </row>
    <row r="28" spans="2:3" ht="15">
      <c r="B28" s="2"/>
      <c r="C28" s="5"/>
    </row>
    <row r="29" spans="2:3" ht="15">
      <c r="B29" s="2"/>
      <c r="C29" s="5"/>
    </row>
    <row r="30" spans="2:3" ht="15">
      <c r="B30" s="2"/>
      <c r="C30" s="5"/>
    </row>
    <row r="31" spans="2:3" ht="15">
      <c r="B31" s="2"/>
      <c r="C31" s="5"/>
    </row>
    <row r="32" spans="2:3" ht="15">
      <c r="B32" s="4" t="s">
        <v>83</v>
      </c>
      <c r="C32" s="5"/>
    </row>
    <row r="33" spans="2:3" ht="15">
      <c r="B33" s="6" t="s">
        <v>79</v>
      </c>
      <c r="C33" s="5"/>
    </row>
    <row r="34" spans="2:3" ht="15">
      <c r="B34" s="7" t="s">
        <v>82</v>
      </c>
      <c r="C34" s="5"/>
    </row>
    <row r="35" spans="2:3" ht="15">
      <c r="B35" s="2"/>
      <c r="C35" s="5"/>
    </row>
    <row r="36" spans="2:3" ht="15">
      <c r="B36" s="2"/>
      <c r="C36" s="5"/>
    </row>
  </sheetData>
  <mergeCells count="3">
    <mergeCell ref="B3:F3"/>
    <mergeCell ref="B1:F1"/>
    <mergeCell ref="B2:F2"/>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0" sqref="G10"/>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A17"/>
  <sheetViews>
    <sheetView showGridLines="0" zoomScaleNormal="100" workbookViewId="0">
      <selection activeCell="J14" sqref="J14"/>
    </sheetView>
  </sheetViews>
  <sheetFormatPr defaultColWidth="14.42578125" defaultRowHeight="15" customHeight="1"/>
  <cols>
    <col min="1" max="1" width="3" style="115" customWidth="1"/>
    <col min="2" max="2" width="10.5703125" style="115" customWidth="1"/>
    <col min="3" max="3" width="10.5703125" style="102" customWidth="1"/>
    <col min="4" max="4" width="17.28515625" style="102" customWidth="1"/>
    <col min="5" max="6" width="10.5703125" style="102" customWidth="1"/>
    <col min="7" max="7" width="12.140625" style="102" customWidth="1"/>
    <col min="8" max="15" width="10.5703125" style="102" customWidth="1"/>
    <col min="16" max="16" width="12" style="102" customWidth="1"/>
    <col min="17" max="17" width="15.28515625" style="102" customWidth="1"/>
    <col min="18" max="19" width="14.42578125" style="102"/>
    <col min="20" max="20" width="15.85546875" style="102" customWidth="1"/>
    <col min="21" max="16384" width="14.42578125" style="102"/>
  </cols>
  <sheetData>
    <row r="1" spans="2:27" ht="15" customHeight="1">
      <c r="D1" s="111"/>
      <c r="E1" s="112"/>
      <c r="F1" s="113"/>
      <c r="G1" s="113"/>
      <c r="H1" s="114"/>
      <c r="I1" s="114"/>
      <c r="J1" s="113"/>
    </row>
    <row r="2" spans="2:27" ht="36">
      <c r="B2" s="101" t="s">
        <v>305</v>
      </c>
      <c r="C2" s="101" t="s">
        <v>306</v>
      </c>
      <c r="D2" s="100" t="s">
        <v>216</v>
      </c>
      <c r="E2" s="101" t="s">
        <v>217</v>
      </c>
      <c r="F2" s="101" t="s">
        <v>218</v>
      </c>
      <c r="G2" s="101" t="s">
        <v>219</v>
      </c>
      <c r="H2" s="101" t="s">
        <v>304</v>
      </c>
      <c r="I2" s="101" t="s">
        <v>220</v>
      </c>
      <c r="J2" s="101" t="s">
        <v>221</v>
      </c>
      <c r="K2" s="101" t="s">
        <v>222</v>
      </c>
      <c r="L2" s="101" t="s">
        <v>326</v>
      </c>
      <c r="M2" s="101" t="s">
        <v>35</v>
      </c>
      <c r="N2" s="101" t="s">
        <v>223</v>
      </c>
      <c r="O2" s="101" t="s">
        <v>50</v>
      </c>
    </row>
    <row r="3" spans="2:27" ht="15" customHeight="1">
      <c r="B3" s="103">
        <f>AVERAGE('Screener Output.v0'!H76:L76)</f>
        <v>34.316021298636869</v>
      </c>
      <c r="C3" s="103">
        <f>AVERAGE('Screener Output.v0'!H78:L78)</f>
        <v>7.5261746364937423</v>
      </c>
      <c r="D3" s="101" t="s">
        <v>214</v>
      </c>
      <c r="E3" s="109">
        <f>SUM('Screener Output.v0'!H29:L29)/SUM('Screener Output.v0'!H26:L26)</f>
        <v>0.17874766604427844</v>
      </c>
      <c r="F3" s="106">
        <f>SUM('Screener Output.v0'!H35:M35)/SUM('Screener Output.v0'!H26:M26)</f>
        <v>8.7268024490989013E-2</v>
      </c>
      <c r="G3" s="109">
        <f>SUM('Screener Output.v0'!H6:L6)/SUM('Screener Output.v0'!H26:L26)</f>
        <v>0.13944487760838789</v>
      </c>
      <c r="H3" s="109">
        <f>SUM('Screener Output.v0'!H7:L7)/SUM('Screener Output.v0'!H26:L26)</f>
        <v>0.12273785830067507</v>
      </c>
      <c r="I3" s="104">
        <f>SUM('Screener Output.v0'!H55:L55)/SUM('Screener Output.v0'!H60:L60)</f>
        <v>1.9565807020319601E-2</v>
      </c>
      <c r="J3" s="104">
        <f>SUM('Screener Output.v0'!H9:L9)/SUM('Screener Output.v0'!H10:L10)</f>
        <v>1.2550617309068219</v>
      </c>
      <c r="K3" s="103">
        <f>SUM('Screener Input'!G66:K66)/SUM('Screener Input'!G57:K58)</f>
        <v>1.8658091723774377</v>
      </c>
      <c r="L3" s="103">
        <f>SUM('Screener Output.v0'!H45:L45)/SUM('Screener Output.v0'!H35:L35)</f>
        <v>1.1181325318669857</v>
      </c>
      <c r="M3" s="190">
        <f>SUM('Screener Output.v0'!H35:L35)/SUM('Screener Output.v0'!H40:L41)</f>
        <v>0.21819082762256178</v>
      </c>
      <c r="N3" s="104">
        <f>SUM('Screener Output.v0'!H35:L35)/SUM('Screener Output.v0'!H42:L45)</f>
        <v>0.17539931282428528</v>
      </c>
      <c r="O3" s="104">
        <f>SUM('Screener Output.v0'!H35:L35)/SUM('Screener Output.v0'!H60:L60)</f>
        <v>0.11694166308794605</v>
      </c>
    </row>
    <row r="4" spans="2:27" ht="15" customHeight="1">
      <c r="B4" s="103">
        <f>'Screener Output.v0'!L76</f>
        <v>38.209652793660965</v>
      </c>
      <c r="C4" s="103">
        <f>'Screener Output.v0'!L78</f>
        <v>6.6483064177480262</v>
      </c>
      <c r="D4" s="101" t="s">
        <v>215</v>
      </c>
      <c r="E4" s="107">
        <f>'Screener Output.v0'!L29/'Screener Output.v0'!L26</f>
        <v>0.17263705452667302</v>
      </c>
      <c r="F4" s="106">
        <f>'Screener Output.v0'!M35/'Screener Output.v0'!M26</f>
        <v>8.2155177134096272E-2</v>
      </c>
      <c r="G4" s="109">
        <f>SUM('Screener Output.v0'!L6:L6)/SUM('Screener Output.v0'!L26:L26)</f>
        <v>0.13962591308197447</v>
      </c>
      <c r="H4" s="109">
        <f>SUM('Screener Output.v0'!L7:L7)/SUM('Screener Output.v0'!L26:L26)</f>
        <v>0.16626208219582381</v>
      </c>
      <c r="I4" s="116">
        <f>'Screener Output.v0'!L55/'Screener Output.v0'!L60</f>
        <v>3.8371616460813357E-2</v>
      </c>
      <c r="J4" s="104">
        <f>SUM('Screener Output.v0'!L9:L9)/SUM('Screener Output.v0'!L10:L10)</f>
        <v>1.570803735334025</v>
      </c>
      <c r="K4" s="103">
        <f>SUM('Screener Input'!K66:K66)/SUM('Screener Input'!K57:K58)</f>
        <v>1.5900413217020393</v>
      </c>
      <c r="L4" s="103">
        <f>SUM('Screener Output.v0'!L45:L45)/SUM('Screener Output.v0'!M35:M35)</f>
        <v>0.75682040344796953</v>
      </c>
      <c r="M4" s="190">
        <f>Dupont!H10</f>
        <v>0.16666419822568462</v>
      </c>
      <c r="N4" s="104">
        <f>SUM('Screener Output.v0'!L35:L35)/SUM('Screener Output.v0'!L42:L45)</f>
        <v>0.15032451946788</v>
      </c>
      <c r="O4" s="104">
        <f>SUM('Screener Output.v0'!L35:L35)/SUM('Screener Output.v0'!L60:L60)</f>
        <v>0.10646621583859603</v>
      </c>
    </row>
    <row r="5" spans="2:27" ht="12.95" customHeight="1">
      <c r="B5" s="103">
        <f>MAX('Screener Output.v0'!H76:L76)</f>
        <v>40.498932054870458</v>
      </c>
      <c r="C5" s="103">
        <f>MAX('Screener Output.v0'!H78:L78)</f>
        <v>8.7127570059158206</v>
      </c>
      <c r="D5" s="101" t="s">
        <v>302</v>
      </c>
      <c r="E5" s="107"/>
      <c r="F5" s="106"/>
      <c r="G5" s="109"/>
      <c r="H5" s="109"/>
      <c r="I5" s="116"/>
      <c r="J5" s="104"/>
      <c r="K5" s="103"/>
      <c r="L5" s="103"/>
      <c r="M5" s="104"/>
      <c r="N5" s="104"/>
      <c r="O5" s="104"/>
    </row>
    <row r="6" spans="2:27" ht="15" customHeight="1">
      <c r="D6" s="102" t="s">
        <v>303</v>
      </c>
      <c r="O6" s="117"/>
      <c r="S6" s="117"/>
      <c r="Z6" s="119"/>
    </row>
    <row r="7" spans="2:27" ht="26.25" customHeight="1">
      <c r="D7" s="100" t="s">
        <v>205</v>
      </c>
      <c r="E7" s="101" t="s">
        <v>95</v>
      </c>
      <c r="F7" s="101" t="s">
        <v>206</v>
      </c>
      <c r="G7" s="101" t="s">
        <v>207</v>
      </c>
      <c r="H7" s="101" t="s">
        <v>208</v>
      </c>
      <c r="I7" s="101" t="s">
        <v>209</v>
      </c>
      <c r="J7" s="101" t="s">
        <v>210</v>
      </c>
      <c r="K7" s="101" t="s">
        <v>211</v>
      </c>
      <c r="L7" s="101" t="s">
        <v>212</v>
      </c>
      <c r="M7" s="101" t="s">
        <v>308</v>
      </c>
      <c r="N7" s="101" t="s">
        <v>213</v>
      </c>
      <c r="S7" s="117"/>
      <c r="Z7" s="120"/>
      <c r="AA7" s="119"/>
    </row>
    <row r="8" spans="2:27" s="115" customFormat="1" ht="26.25" customHeight="1">
      <c r="D8" s="101" t="s">
        <v>214</v>
      </c>
      <c r="E8" s="103">
        <f>AVERAGE('Screener Output.v0'!H62:L62)</f>
        <v>247.602</v>
      </c>
      <c r="F8" s="104">
        <f>SUM('Screener Output.v0'!H65:L65)/SUM('Screener Output.v0'!H62:L62)</f>
        <v>-0.16495020234085345</v>
      </c>
      <c r="G8" s="105">
        <f>SUM('Screener Output.v0'!H23:L23)/SUM('Screener Output.v0'!H62:L62)</f>
        <v>0.71109280215830228</v>
      </c>
      <c r="H8" s="104">
        <f>SUM('Screener Output.v0'!H62:L62)/SUM('Screener Output.v0'!H35:L35)</f>
        <v>1.1964107966021442</v>
      </c>
      <c r="I8" s="106">
        <f>SUM('Screener Output.v0'!H62:L62)/SUM('Screener Output.v0'!H26:L26)</f>
        <v>0.10584104479143157</v>
      </c>
      <c r="J8" s="107">
        <f>SUM('Screener Output.v0'!H62:L62)/SUM('Screener Output.v0'!H60:L60)</f>
        <v>0.13991026829102912</v>
      </c>
      <c r="K8" s="108">
        <f>SUM('Screener Output.v0'!H62:L62)/SUM('Screener Output.v0'!H48:L48)</f>
        <v>0.4197939025258639</v>
      </c>
      <c r="L8" s="108">
        <f>SUM('Screener Output.v0'!H62:L62)/SUM('Screener Output.v0'!H45:L45)</f>
        <v>1.0700080379599139</v>
      </c>
      <c r="M8" s="109">
        <f>SUM('Screener Output.v0'!H63:L63)/SUM('Screener Output.v0'!H62:L62)</f>
        <v>0.28890719784169766</v>
      </c>
      <c r="N8" s="104">
        <f>SUM('Screener Output.v0'!H23:L23)/SUM('Screener Output.v0'!H63:L63)</f>
        <v>2.461319093018703</v>
      </c>
      <c r="S8" s="117"/>
      <c r="Z8" s="120"/>
      <c r="AA8" s="119"/>
    </row>
    <row r="9" spans="2:27" s="115" customFormat="1" ht="26.25" customHeight="1">
      <c r="D9" s="101" t="s">
        <v>215</v>
      </c>
      <c r="E9" s="103">
        <f>'Screener Output.v0'!L62</f>
        <v>238.32</v>
      </c>
      <c r="F9" s="110">
        <f>SUM('Screener Output.v0'!L65:L65)/SUM('Screener Output.v0'!L62:L62)</f>
        <v>-0.30207284323598521</v>
      </c>
      <c r="G9" s="104">
        <f>SUM('Screener Output.v0'!L23:L23)/SUM('Screener Output.v0'!L62:L62)</f>
        <v>0.27563779791876447</v>
      </c>
      <c r="H9" s="104">
        <f>SUM('Screener Output.v0'!L62:L62)/SUM('Screener Output.v0'!L35:L35)</f>
        <v>1.0425196850393708</v>
      </c>
      <c r="I9" s="109">
        <f>SUM('Screener Output.v0'!L62:L62)/SUM('Screener Output.v0'!L26:L26)</f>
        <v>8.7921493396296027E-2</v>
      </c>
      <c r="J9" s="109">
        <f>SUM('Screener Output.v0'!L62:L62)/SUM('Screener Output.v0'!L60:L60)</f>
        <v>0.1109931258033868</v>
      </c>
      <c r="K9" s="109">
        <f>SUM('Screener Output.v0'!L62:L62)/SUM('Screener Output.v0'!L48:L48)</f>
        <v>0.38042940378322287</v>
      </c>
      <c r="L9" s="109">
        <f>SUM('Screener Output.v0'!L62:L62)/SUM('Screener Output.v0'!L45:L45)</f>
        <v>1.3991663241942112</v>
      </c>
      <c r="M9" s="109">
        <f>SUM('Screener Output.v0'!L63:L63)/SUM('Screener Output.v0'!L62:L62)</f>
        <v>0.72436220208123558</v>
      </c>
      <c r="N9" s="104">
        <f>SUM('Screener Output.v0'!L23:L23)/SUM('Screener Output.v0'!L63:L63)</f>
        <v>0.38052482187337033</v>
      </c>
      <c r="S9" s="117"/>
      <c r="Z9" s="120"/>
      <c r="AA9" s="119"/>
    </row>
    <row r="10" spans="2:27" s="115" customFormat="1" ht="26.25" customHeight="1">
      <c r="S10" s="117"/>
      <c r="Z10" s="120"/>
      <c r="AA10" s="119"/>
    </row>
    <row r="11" spans="2:27" ht="12">
      <c r="D11" s="100" t="s">
        <v>224</v>
      </c>
      <c r="E11" s="101" t="s">
        <v>225</v>
      </c>
      <c r="F11" s="101" t="s">
        <v>226</v>
      </c>
      <c r="G11" s="101" t="s">
        <v>227</v>
      </c>
      <c r="H11" s="101" t="s">
        <v>228</v>
      </c>
      <c r="I11" s="101" t="s">
        <v>28</v>
      </c>
      <c r="J11" s="101" t="s">
        <v>30</v>
      </c>
      <c r="K11" s="101" t="s">
        <v>95</v>
      </c>
      <c r="L11" s="101" t="s">
        <v>25</v>
      </c>
      <c r="M11" s="101" t="s">
        <v>6</v>
      </c>
      <c r="N11" s="101"/>
      <c r="AA11" s="120"/>
    </row>
    <row r="12" spans="2:27" ht="12.95" customHeight="1">
      <c r="D12" s="101" t="s">
        <v>229</v>
      </c>
      <c r="E12" s="107">
        <f>POWER('Screener Output.v0'!M25/'Screener Output.v0'!C25,1/9)-1</f>
        <v>0.25780635750303693</v>
      </c>
      <c r="F12" s="104">
        <f>('Screener Output.v0'!L6/'Screener Output.v0'!C6)^(1/9)-1</f>
        <v>0.20482169602005551</v>
      </c>
      <c r="G12" s="104">
        <f>('Screener Output.v0'!L7/'Screener Output.v0'!C7)^(1/9)-1</f>
        <v>0.27224109906130067</v>
      </c>
      <c r="H12" s="107">
        <f>POWER('Screener Output.v0'!M35/'Screener Output.v0'!C35,1/9)-1</f>
        <v>0.25141977668204318</v>
      </c>
      <c r="I12" s="107">
        <f>('Screener Output.v0'!M74/'Screener Output.v0'!C74)^(1/9)-1</f>
        <v>0.24075575466618426</v>
      </c>
      <c r="J12" s="107">
        <f>('Screener Output.v0'!L73/'Screener Output.v0'!C73)^(1/9)-1</f>
        <v>0.27928341266408352</v>
      </c>
      <c r="K12" s="107">
        <f>('Screener Output.v0'!L62/'Screener Output.v0'!C62)^(1/9)-1</f>
        <v>-2.4595188229604323</v>
      </c>
      <c r="L12" s="107">
        <f>('Screener Output.v0'!L63/'Screener Output.v0'!C62)^(1/9)-1</f>
        <v>-2.4081510114917259</v>
      </c>
      <c r="M12" s="107">
        <f>('Screener Output.v0'!L42/'Screener Output.v0'!C42)^(1/9)-1</f>
        <v>0.29027857140170554</v>
      </c>
      <c r="N12" s="121"/>
      <c r="AA12" s="120"/>
    </row>
    <row r="13" spans="2:27" ht="12.95" customHeight="1">
      <c r="D13" s="101" t="s">
        <v>230</v>
      </c>
      <c r="E13" s="107">
        <f>POWER('Screener Output.v0'!M25/'Screener Output.v0'!G25,1/5)-1</f>
        <v>0.11631001286539222</v>
      </c>
      <c r="F13" s="104">
        <f>('Screener Output.v0'!L6/'Screener Output.v0'!G6)^(1/5)-1</f>
        <v>0.11490105705352249</v>
      </c>
      <c r="G13" s="104">
        <f>('Screener Output.v0'!L7/'Screener Output.v0'!G7)^(1/5)-1</f>
        <v>0.25696358973057909</v>
      </c>
      <c r="H13" s="107">
        <f>POWER('Screener Output.v0'!M35/'Screener Output.v0'!G35,1/5)-1</f>
        <v>0.15856338068450926</v>
      </c>
      <c r="I13" s="107">
        <f>('Screener Output.v0'!M74/'Screener Output.v0'!G74)^(1/5)-1</f>
        <v>0.14798973510429891</v>
      </c>
      <c r="J13" s="107">
        <f>('Screener Output.v0'!L73/'Screener Output.v0'!G73)^(1/5)-1</f>
        <v>0.28211962555245895</v>
      </c>
      <c r="K13" s="107">
        <f>('Screener Output.v0'!L62/'Screener Output.v0'!G62)^(1/5)-1</f>
        <v>0.19540602438347032</v>
      </c>
      <c r="L13" s="107">
        <f>('Screener Output.v0'!L63/'Screener Output.v0'!G63)^(1/5)-1</f>
        <v>-2.2737338066635226</v>
      </c>
      <c r="M13" s="107">
        <f>('Screener Output.v0'!L42/'Screener Output.v0'!G42)^(1/5)-1</f>
        <v>0.30202294177372546</v>
      </c>
      <c r="N13" s="122"/>
      <c r="P13" s="120"/>
    </row>
    <row r="14" spans="2:27" ht="23.25" customHeight="1"/>
    <row r="15" spans="2:27" ht="12.95" customHeight="1"/>
    <row r="16" spans="2:27" ht="12.95" customHeight="1">
      <c r="D16" s="111"/>
      <c r="E16" s="117"/>
      <c r="F16" s="113"/>
      <c r="G16" s="113"/>
      <c r="H16" s="117"/>
      <c r="I16" s="114"/>
      <c r="J16" s="114"/>
      <c r="K16" s="113"/>
      <c r="L16" s="118"/>
      <c r="M16" s="118"/>
      <c r="N16" s="118"/>
    </row>
    <row r="17" spans="6:11" ht="15" customHeight="1">
      <c r="F17" s="118"/>
      <c r="G17" s="118"/>
      <c r="H17" s="118"/>
      <c r="I17" s="118"/>
      <c r="J17" s="118"/>
      <c r="K17" s="118"/>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ignoredErrors>
    <ignoredError sqref="K3" formulaRange="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workbookViewId="0">
      <selection activeCell="D15" sqref="D15"/>
    </sheetView>
  </sheetViews>
  <sheetFormatPr defaultRowHeight="15"/>
  <cols>
    <col min="1" max="1" width="25.5703125" customWidth="1"/>
    <col min="2" max="2" width="5.5703125" bestFit="1" customWidth="1"/>
    <col min="3" max="3" width="24.5703125" bestFit="1" customWidth="1"/>
    <col min="4" max="4" width="5" bestFit="1" customWidth="1"/>
    <col min="5" max="24" width="5.140625" bestFit="1" customWidth="1"/>
  </cols>
  <sheetData>
    <row r="1" spans="1:24">
      <c r="A1" s="425" t="s">
        <v>27</v>
      </c>
      <c r="B1" s="425"/>
      <c r="C1" s="55" t="s">
        <v>21</v>
      </c>
      <c r="D1" s="55">
        <v>0</v>
      </c>
      <c r="E1" s="55">
        <v>1</v>
      </c>
      <c r="F1" s="55">
        <v>2</v>
      </c>
      <c r="G1" s="55">
        <v>3</v>
      </c>
      <c r="H1" s="55">
        <v>4</v>
      </c>
      <c r="I1" s="55">
        <v>5</v>
      </c>
      <c r="J1" s="55">
        <v>6</v>
      </c>
      <c r="K1" s="55">
        <v>7</v>
      </c>
      <c r="L1" s="55">
        <v>8</v>
      </c>
      <c r="M1" s="55">
        <v>9</v>
      </c>
      <c r="N1" s="55">
        <v>10</v>
      </c>
      <c r="O1" s="55">
        <v>11</v>
      </c>
      <c r="P1" s="55">
        <v>12</v>
      </c>
      <c r="Q1" s="55">
        <v>13</v>
      </c>
      <c r="R1" s="55">
        <v>14</v>
      </c>
      <c r="S1" s="55">
        <v>15</v>
      </c>
      <c r="T1" s="55">
        <v>16</v>
      </c>
      <c r="U1" s="55">
        <v>17</v>
      </c>
      <c r="V1" s="55">
        <v>18</v>
      </c>
      <c r="W1" s="55">
        <v>19</v>
      </c>
      <c r="X1" s="55">
        <v>20</v>
      </c>
    </row>
    <row r="2" spans="1:24">
      <c r="A2" s="56" t="s">
        <v>109</v>
      </c>
      <c r="B2" s="65">
        <v>0.25</v>
      </c>
      <c r="C2" s="57" t="s">
        <v>103</v>
      </c>
      <c r="D2" s="57">
        <v>1</v>
      </c>
      <c r="E2" s="57">
        <f>D2+B2</f>
        <v>1.25</v>
      </c>
      <c r="F2" s="57">
        <f>E2</f>
        <v>1.25</v>
      </c>
      <c r="G2" s="57">
        <f t="shared" ref="G2:X2" si="0">F2</f>
        <v>1.25</v>
      </c>
      <c r="H2" s="57">
        <f t="shared" si="0"/>
        <v>1.25</v>
      </c>
      <c r="I2" s="57">
        <f t="shared" si="0"/>
        <v>1.25</v>
      </c>
      <c r="J2" s="57">
        <f t="shared" si="0"/>
        <v>1.25</v>
      </c>
      <c r="K2" s="57">
        <f t="shared" si="0"/>
        <v>1.25</v>
      </c>
      <c r="L2" s="57">
        <f t="shared" si="0"/>
        <v>1.25</v>
      </c>
      <c r="M2" s="57">
        <f t="shared" si="0"/>
        <v>1.25</v>
      </c>
      <c r="N2" s="57">
        <f t="shared" si="0"/>
        <v>1.25</v>
      </c>
      <c r="O2" s="57">
        <f t="shared" si="0"/>
        <v>1.25</v>
      </c>
      <c r="P2" s="57">
        <f t="shared" si="0"/>
        <v>1.25</v>
      </c>
      <c r="Q2" s="57">
        <f t="shared" si="0"/>
        <v>1.25</v>
      </c>
      <c r="R2" s="57">
        <f t="shared" si="0"/>
        <v>1.25</v>
      </c>
      <c r="S2" s="57">
        <f t="shared" si="0"/>
        <v>1.25</v>
      </c>
      <c r="T2" s="57">
        <f t="shared" si="0"/>
        <v>1.25</v>
      </c>
      <c r="U2" s="57">
        <f t="shared" si="0"/>
        <v>1.25</v>
      </c>
      <c r="V2" s="57">
        <f t="shared" si="0"/>
        <v>1.25</v>
      </c>
      <c r="W2" s="57">
        <f t="shared" si="0"/>
        <v>1.25</v>
      </c>
      <c r="X2" s="57">
        <f t="shared" si="0"/>
        <v>1.25</v>
      </c>
    </row>
    <row r="3" spans="1:24">
      <c r="A3" s="56" t="s">
        <v>110</v>
      </c>
      <c r="B3" s="67">
        <v>25</v>
      </c>
      <c r="C3" s="57" t="s">
        <v>25</v>
      </c>
      <c r="D3" s="58">
        <f>B3</f>
        <v>25</v>
      </c>
      <c r="E3" s="58">
        <f>D3*E2</f>
        <v>31.25</v>
      </c>
      <c r="F3" s="58">
        <f>E3*F2</f>
        <v>39.0625</v>
      </c>
      <c r="G3" s="58">
        <f t="shared" ref="G3:X3" si="1">F3*G2</f>
        <v>48.828125</v>
      </c>
      <c r="H3" s="58">
        <f t="shared" si="1"/>
        <v>61.03515625</v>
      </c>
      <c r="I3" s="58">
        <f t="shared" si="1"/>
        <v>76.2939453125</v>
      </c>
      <c r="J3" s="58">
        <f t="shared" si="1"/>
        <v>95.367431640625</v>
      </c>
      <c r="K3" s="58">
        <f t="shared" si="1"/>
        <v>119.20928955078125</v>
      </c>
      <c r="L3" s="58">
        <f t="shared" si="1"/>
        <v>149.01161193847656</v>
      </c>
      <c r="M3" s="58">
        <f t="shared" si="1"/>
        <v>186.2645149230957</v>
      </c>
      <c r="N3" s="58">
        <f t="shared" si="1"/>
        <v>232.83064365386963</v>
      </c>
      <c r="O3" s="58">
        <f t="shared" si="1"/>
        <v>291.03830456733704</v>
      </c>
      <c r="P3" s="58">
        <f t="shared" si="1"/>
        <v>363.7978807091713</v>
      </c>
      <c r="Q3" s="58">
        <f t="shared" si="1"/>
        <v>454.74735088646412</v>
      </c>
      <c r="R3" s="58">
        <f t="shared" si="1"/>
        <v>568.43418860808015</v>
      </c>
      <c r="S3" s="58">
        <f>R3*S2</f>
        <v>710.54273576010019</v>
      </c>
      <c r="T3" s="58">
        <f t="shared" si="1"/>
        <v>888.17841970012523</v>
      </c>
      <c r="U3" s="58">
        <f t="shared" si="1"/>
        <v>1110.2230246251565</v>
      </c>
      <c r="V3" s="58">
        <f t="shared" si="1"/>
        <v>1387.7787807814457</v>
      </c>
      <c r="W3" s="58">
        <f t="shared" si="1"/>
        <v>1734.7234759768071</v>
      </c>
      <c r="X3" s="58">
        <f t="shared" si="1"/>
        <v>2168.4043449710089</v>
      </c>
    </row>
    <row r="4" spans="1:24">
      <c r="A4" s="63" t="s">
        <v>29</v>
      </c>
      <c r="B4" s="64">
        <f>Valuation_Chart!B5</f>
        <v>367.4</v>
      </c>
      <c r="C4" s="57" t="s">
        <v>34</v>
      </c>
      <c r="D4" s="59">
        <f>1+B5</f>
        <v>1.0900000000000001</v>
      </c>
      <c r="E4" s="59">
        <f>D4</f>
        <v>1.0900000000000001</v>
      </c>
      <c r="F4" s="59">
        <f t="shared" ref="F4:X4" si="2">E4</f>
        <v>1.0900000000000001</v>
      </c>
      <c r="G4" s="59">
        <f t="shared" si="2"/>
        <v>1.0900000000000001</v>
      </c>
      <c r="H4" s="59">
        <f t="shared" si="2"/>
        <v>1.0900000000000001</v>
      </c>
      <c r="I4" s="59">
        <f t="shared" si="2"/>
        <v>1.0900000000000001</v>
      </c>
      <c r="J4" s="59">
        <f t="shared" si="2"/>
        <v>1.0900000000000001</v>
      </c>
      <c r="K4" s="59">
        <f t="shared" si="2"/>
        <v>1.0900000000000001</v>
      </c>
      <c r="L4" s="59">
        <f t="shared" si="2"/>
        <v>1.0900000000000001</v>
      </c>
      <c r="M4" s="59">
        <f t="shared" si="2"/>
        <v>1.0900000000000001</v>
      </c>
      <c r="N4" s="59">
        <f t="shared" si="2"/>
        <v>1.0900000000000001</v>
      </c>
      <c r="O4" s="59">
        <f t="shared" si="2"/>
        <v>1.0900000000000001</v>
      </c>
      <c r="P4" s="59">
        <f t="shared" si="2"/>
        <v>1.0900000000000001</v>
      </c>
      <c r="Q4" s="59">
        <f t="shared" si="2"/>
        <v>1.0900000000000001</v>
      </c>
      <c r="R4" s="59">
        <f t="shared" si="2"/>
        <v>1.0900000000000001</v>
      </c>
      <c r="S4" s="59">
        <f t="shared" si="2"/>
        <v>1.0900000000000001</v>
      </c>
      <c r="T4" s="59">
        <f t="shared" si="2"/>
        <v>1.0900000000000001</v>
      </c>
      <c r="U4" s="59">
        <f t="shared" si="2"/>
        <v>1.0900000000000001</v>
      </c>
      <c r="V4" s="59">
        <f t="shared" si="2"/>
        <v>1.0900000000000001</v>
      </c>
      <c r="W4" s="59">
        <f t="shared" si="2"/>
        <v>1.0900000000000001</v>
      </c>
      <c r="X4" s="59">
        <f t="shared" si="2"/>
        <v>1.0900000000000001</v>
      </c>
    </row>
    <row r="5" spans="1:24">
      <c r="A5" s="56" t="s">
        <v>34</v>
      </c>
      <c r="B5" s="65">
        <v>0.09</v>
      </c>
      <c r="C5" s="57" t="s">
        <v>104</v>
      </c>
      <c r="D5" s="58">
        <f>D3</f>
        <v>25</v>
      </c>
      <c r="E5" s="58">
        <f>E3/E4^E1</f>
        <v>28.669724770642201</v>
      </c>
      <c r="F5" s="58">
        <f t="shared" ref="F5:X5" si="3">F3/F4^F1</f>
        <v>32.878124736974996</v>
      </c>
      <c r="G5" s="58">
        <f t="shared" si="3"/>
        <v>37.70427148735665</v>
      </c>
      <c r="H5" s="58">
        <f t="shared" si="3"/>
        <v>43.238843448803493</v>
      </c>
      <c r="I5" s="58">
        <f t="shared" si="3"/>
        <v>49.585829643123269</v>
      </c>
      <c r="J5" s="58">
        <f t="shared" si="3"/>
        <v>56.864483535691818</v>
      </c>
      <c r="K5" s="58">
        <f t="shared" si="3"/>
        <v>65.211563687719973</v>
      </c>
      <c r="L5" s="58">
        <f t="shared" si="3"/>
        <v>74.783903311605471</v>
      </c>
      <c r="M5" s="58">
        <f t="shared" si="3"/>
        <v>85.761357008721859</v>
      </c>
      <c r="N5" s="58">
        <f t="shared" si="3"/>
        <v>98.350180055873679</v>
      </c>
      <c r="O5" s="58">
        <f t="shared" si="3"/>
        <v>112.7869037338001</v>
      </c>
      <c r="P5" s="58">
        <f t="shared" si="3"/>
        <v>129.34277951123866</v>
      </c>
      <c r="Q5" s="58">
        <f t="shared" si="3"/>
        <v>148.32887558628283</v>
      </c>
      <c r="R5" s="58">
        <f t="shared" si="3"/>
        <v>170.10192154390231</v>
      </c>
      <c r="S5" s="58">
        <f t="shared" si="3"/>
        <v>195.0710109448421</v>
      </c>
      <c r="T5" s="58">
        <f t="shared" si="3"/>
        <v>223.70528778078221</v>
      </c>
      <c r="U5" s="58">
        <f t="shared" si="3"/>
        <v>256.54276121649337</v>
      </c>
      <c r="V5" s="58">
        <f t="shared" si="3"/>
        <v>294.20041423909788</v>
      </c>
      <c r="W5" s="58">
        <f t="shared" si="3"/>
        <v>337.3857961457544</v>
      </c>
      <c r="X5" s="58">
        <f t="shared" si="3"/>
        <v>386.91031668091102</v>
      </c>
    </row>
    <row r="6" spans="1:24">
      <c r="A6" s="63" t="s">
        <v>105</v>
      </c>
      <c r="B6" s="64">
        <f>MIN(D9:X9)</f>
        <v>5</v>
      </c>
      <c r="C6" s="57" t="s">
        <v>106</v>
      </c>
      <c r="D6" s="58">
        <f>SUM($D$5:D5)</f>
        <v>25</v>
      </c>
      <c r="E6" s="58">
        <f>SUM($D$5:E5)</f>
        <v>53.669724770642205</v>
      </c>
      <c r="F6" s="58">
        <f>SUM($D$5:F5)</f>
        <v>86.547849507617201</v>
      </c>
      <c r="G6" s="58">
        <f>SUM($D$5:G5)</f>
        <v>124.25212099497385</v>
      </c>
      <c r="H6" s="58">
        <f>SUM($D$5:H5)</f>
        <v>167.49096444377733</v>
      </c>
      <c r="I6" s="58">
        <f>SUM($D$5:I5)</f>
        <v>217.07679408690061</v>
      </c>
      <c r="J6" s="58">
        <f>SUM($D$5:J5)</f>
        <v>273.94127762259245</v>
      </c>
      <c r="K6" s="58">
        <f>SUM($D$5:K5)</f>
        <v>339.1528413103124</v>
      </c>
      <c r="L6" s="58">
        <f>SUM($D$5:L5)</f>
        <v>413.93674462191785</v>
      </c>
      <c r="M6" s="58">
        <f>SUM($D$5:M5)</f>
        <v>499.69810163063971</v>
      </c>
      <c r="N6" s="58">
        <f>SUM($D$5:N5)</f>
        <v>598.04828168651341</v>
      </c>
      <c r="O6" s="58">
        <f>SUM($D$5:O5)</f>
        <v>710.83518542031356</v>
      </c>
      <c r="P6" s="58">
        <f>SUM($D$5:P5)</f>
        <v>840.1779649315522</v>
      </c>
      <c r="Q6" s="58">
        <f>SUM($D$5:Q5)</f>
        <v>988.50684051783503</v>
      </c>
      <c r="R6" s="58">
        <f>SUM($D$5:R5)</f>
        <v>1158.6087620617373</v>
      </c>
      <c r="S6" s="58">
        <f>SUM($D$5:S5)</f>
        <v>1353.6797730065794</v>
      </c>
      <c r="T6" s="58">
        <f>SUM($D$5:T5)</f>
        <v>1577.3850607873615</v>
      </c>
      <c r="U6" s="58">
        <f>SUM($D$5:U5)</f>
        <v>1833.9278220038548</v>
      </c>
      <c r="V6" s="58">
        <f>SUM($D$5:V5)</f>
        <v>2128.1282362429529</v>
      </c>
      <c r="W6" s="58">
        <f>SUM($D$5:W5)</f>
        <v>2465.5140323887072</v>
      </c>
      <c r="X6" s="58">
        <f>SUM($D$5:X5)</f>
        <v>2852.4243490696181</v>
      </c>
    </row>
    <row r="7" spans="1:24">
      <c r="A7" s="421"/>
      <c r="B7" s="422"/>
      <c r="C7" s="57" t="s">
        <v>107</v>
      </c>
      <c r="D7" s="58">
        <f>B3/B5</f>
        <v>277.77777777777777</v>
      </c>
      <c r="E7" s="58">
        <f>(B3/B5)/(1+B5)^E1</f>
        <v>254.84199796126398</v>
      </c>
      <c r="F7" s="58">
        <f>(B3/B5)/(1+B5)^F1</f>
        <v>233.79999812959997</v>
      </c>
      <c r="G7" s="58">
        <f>(B3/B5)/(1+B5)^G1</f>
        <v>214.49541112807336</v>
      </c>
      <c r="H7" s="58">
        <f>(B3/B5)/(1+B5)^H1</f>
        <v>196.78478085144346</v>
      </c>
      <c r="I7" s="58">
        <f>(B3/B5)/(1+B5)^I1</f>
        <v>180.53649619398479</v>
      </c>
      <c r="J7" s="58">
        <f>(B3/B5)/(1+B5)^J1</f>
        <v>165.62981302200438</v>
      </c>
      <c r="K7" s="58">
        <f>(B3/B5)/(1+B5)^K1</f>
        <v>151.95395690092147</v>
      </c>
      <c r="L7" s="58">
        <f>(B3/B5)/(1+B5)^L1</f>
        <v>139.40729990910225</v>
      </c>
      <c r="M7" s="58">
        <f>(B3/B5)/(1+B5)^M1</f>
        <v>127.89660542119471</v>
      </c>
      <c r="N7" s="58">
        <f>(B3/B5)/(1+B5)^N1</f>
        <v>117.33633524880247</v>
      </c>
      <c r="O7" s="58">
        <f>(B3/B5)/(1+B5)^O1</f>
        <v>107.64801398972705</v>
      </c>
      <c r="P7" s="58">
        <f>(B3/B5)/(1+B5)^P1</f>
        <v>98.759645862134903</v>
      </c>
      <c r="Q7" s="58">
        <f>(B3/B5)/(1+B5)^Q1</f>
        <v>90.605179690032003</v>
      </c>
      <c r="R7" s="58">
        <f>(B3/B5)/(1+B5)^R1</f>
        <v>83.12401806424954</v>
      </c>
      <c r="S7" s="58">
        <f>(B3/B5)/(1+B5)^S1</f>
        <v>76.260567031421601</v>
      </c>
      <c r="T7" s="58">
        <f>(B3/B5)/(1+B5)^T1</f>
        <v>69.963822964606962</v>
      </c>
      <c r="U7" s="58">
        <f>(B3/B5)/(1+B5)^U1</f>
        <v>64.186993545510987</v>
      </c>
      <c r="V7" s="58">
        <f>(B3/B5)/(1+B5)^V1</f>
        <v>58.887150041753188</v>
      </c>
      <c r="W7" s="58">
        <f>(B3/B5)/(1+B5)^W1</f>
        <v>54.024908295186407</v>
      </c>
      <c r="X7" s="58">
        <f>(B3/B5)/(1+B5)^X1</f>
        <v>49.564136050629735</v>
      </c>
    </row>
    <row r="8" spans="1:24">
      <c r="A8" s="423"/>
      <c r="B8" s="424"/>
      <c r="C8" s="57" t="s">
        <v>108</v>
      </c>
      <c r="D8" s="58">
        <f t="shared" ref="D8:X8" si="4">D7+D6</f>
        <v>302.77777777777777</v>
      </c>
      <c r="E8" s="58">
        <f t="shared" si="4"/>
        <v>308.51172273190616</v>
      </c>
      <c r="F8" s="58">
        <f t="shared" si="4"/>
        <v>320.34784763721717</v>
      </c>
      <c r="G8" s="58">
        <f t="shared" si="4"/>
        <v>338.74753212304722</v>
      </c>
      <c r="H8" s="58">
        <f t="shared" si="4"/>
        <v>364.27574529522076</v>
      </c>
      <c r="I8" s="58">
        <f t="shared" si="4"/>
        <v>397.61329028088539</v>
      </c>
      <c r="J8" s="58">
        <f t="shared" si="4"/>
        <v>439.57109064459684</v>
      </c>
      <c r="K8" s="58">
        <f t="shared" si="4"/>
        <v>491.10679821123387</v>
      </c>
      <c r="L8" s="58">
        <f t="shared" si="4"/>
        <v>553.34404453102013</v>
      </c>
      <c r="M8" s="58">
        <f t="shared" si="4"/>
        <v>627.59470705183446</v>
      </c>
      <c r="N8" s="58">
        <f t="shared" si="4"/>
        <v>715.38461693531588</v>
      </c>
      <c r="O8" s="58">
        <f t="shared" si="4"/>
        <v>818.48319941004058</v>
      </c>
      <c r="P8" s="58">
        <f t="shared" si="4"/>
        <v>938.9376107936871</v>
      </c>
      <c r="Q8" s="58">
        <f t="shared" si="4"/>
        <v>1079.1120202078671</v>
      </c>
      <c r="R8" s="58">
        <f t="shared" si="4"/>
        <v>1241.7327801259869</v>
      </c>
      <c r="S8" s="58">
        <f t="shared" si="4"/>
        <v>1429.9403400380011</v>
      </c>
      <c r="T8" s="58">
        <f t="shared" si="4"/>
        <v>1647.3488837519685</v>
      </c>
      <c r="U8" s="58">
        <f t="shared" si="4"/>
        <v>1898.1148155493659</v>
      </c>
      <c r="V8" s="58">
        <f t="shared" si="4"/>
        <v>2187.015386284706</v>
      </c>
      <c r="W8" s="58">
        <f t="shared" si="4"/>
        <v>2519.5389406838935</v>
      </c>
      <c r="X8" s="58">
        <f t="shared" si="4"/>
        <v>2901.9884851202478</v>
      </c>
    </row>
    <row r="9" spans="1:24" ht="15" customHeight="1">
      <c r="A9" s="61"/>
      <c r="B9" s="62"/>
      <c r="C9" s="60"/>
      <c r="D9" s="57" t="str">
        <f>IF(D8&gt;B4,1*D1,"No")</f>
        <v>No</v>
      </c>
      <c r="E9" s="57" t="str">
        <f>IF(E8&gt;B4,E1*1,"No")</f>
        <v>No</v>
      </c>
      <c r="F9" s="57" t="str">
        <f>IF(F8&gt;B4,F1*1,"No")</f>
        <v>No</v>
      </c>
      <c r="G9" s="57" t="str">
        <f>IF(G8&gt;B4,G1*1,"No")</f>
        <v>No</v>
      </c>
      <c r="H9" s="57" t="str">
        <f>IF(H8&gt;B4,H1*1,"No")</f>
        <v>No</v>
      </c>
      <c r="I9" s="57">
        <f>IF(I8&gt;B4,I1*1,"No")</f>
        <v>5</v>
      </c>
      <c r="J9" s="57">
        <f>IF(J8&gt;B4,J1*1,"No")</f>
        <v>6</v>
      </c>
      <c r="K9" s="57">
        <f>IF(K8&gt;B4,1*K1,"No")</f>
        <v>7</v>
      </c>
      <c r="L9" s="57">
        <f>IF(L8&gt;B4,L1*1,"No")</f>
        <v>8</v>
      </c>
      <c r="M9" s="57">
        <f>IF(M8&gt;B4,M1*1,"No")</f>
        <v>9</v>
      </c>
      <c r="N9" s="57">
        <f>IF(N8&gt;B4,N1*1,"No")</f>
        <v>10</v>
      </c>
      <c r="O9" s="57">
        <f>IF(O8&gt;B4,O1*1,"No")</f>
        <v>11</v>
      </c>
      <c r="P9" s="57">
        <f>IF(P8&gt;B4,P1*1,"No")</f>
        <v>12</v>
      </c>
      <c r="Q9" s="57">
        <f>IF(Q8&gt;B4,Q1*1,"No")</f>
        <v>13</v>
      </c>
      <c r="R9" s="57">
        <f>IF(R8&gt;B4,1*R1,"No")</f>
        <v>14</v>
      </c>
      <c r="S9" s="57">
        <f>IF(S8&gt;B4,S1*1,"No")</f>
        <v>15</v>
      </c>
      <c r="T9" s="57">
        <f>IF(T8&gt;B4,T1*1,"No")</f>
        <v>16</v>
      </c>
      <c r="U9" s="57">
        <f>IF(U8&gt;B4,U1*1,"No")</f>
        <v>17</v>
      </c>
      <c r="V9" s="57">
        <f>IF(V8&gt;B4,V1*1,"No")</f>
        <v>18</v>
      </c>
      <c r="W9" s="57">
        <f>IF(W8&gt;B4,W1*1,"No")</f>
        <v>19</v>
      </c>
      <c r="X9" s="57">
        <f>IF(X8&gt;B4,X1*1,"No")</f>
        <v>20</v>
      </c>
    </row>
    <row r="10" spans="1:24">
      <c r="C10" s="54"/>
    </row>
    <row r="11" spans="1:24">
      <c r="A11" s="420" t="s">
        <v>111</v>
      </c>
      <c r="B11" s="420"/>
      <c r="C11" s="420"/>
      <c r="D11" s="420"/>
      <c r="E11" s="420"/>
      <c r="F11" s="420"/>
    </row>
    <row r="12" spans="1:24">
      <c r="A12" s="66" t="s">
        <v>112</v>
      </c>
      <c r="B12" s="68" t="e">
        <f>(#REF!/Valuation_Chart!B6)*10^7</f>
        <v>#REF!</v>
      </c>
      <c r="C12" s="70" t="s">
        <v>119</v>
      </c>
    </row>
    <row r="13" spans="1:24" ht="15.75" thickBot="1">
      <c r="A13" s="431" t="s">
        <v>117</v>
      </c>
      <c r="B13" s="431"/>
      <c r="C13" s="431"/>
    </row>
    <row r="14" spans="1:24">
      <c r="A14" s="426" t="s">
        <v>118</v>
      </c>
      <c r="B14" s="427"/>
      <c r="C14" s="427"/>
      <c r="D14" s="427"/>
      <c r="E14" s="427"/>
      <c r="F14" s="427"/>
      <c r="G14" s="427"/>
      <c r="H14" s="427"/>
      <c r="I14" s="427"/>
      <c r="J14" s="427"/>
      <c r="K14" s="427"/>
      <c r="L14" s="427"/>
      <c r="M14" s="427"/>
      <c r="N14" s="427"/>
      <c r="O14" s="427"/>
      <c r="P14" s="427"/>
      <c r="Q14" s="427"/>
      <c r="R14" s="427"/>
      <c r="S14" s="427"/>
      <c r="T14" s="427"/>
      <c r="U14" s="427"/>
      <c r="V14" s="427"/>
      <c r="W14" s="427"/>
      <c r="X14" s="428"/>
    </row>
    <row r="15" spans="1:24">
      <c r="A15" s="63" t="s">
        <v>53</v>
      </c>
      <c r="B15" s="75" t="e">
        <f>#REF!</f>
        <v>#REF!</v>
      </c>
      <c r="C15" s="71"/>
      <c r="D15" s="71"/>
      <c r="E15" s="71"/>
      <c r="F15" s="71"/>
      <c r="G15" s="71"/>
      <c r="H15" s="71"/>
      <c r="I15" s="71"/>
      <c r="J15" s="71"/>
      <c r="K15" s="71"/>
      <c r="L15" s="71"/>
      <c r="M15" s="71"/>
      <c r="N15" s="71"/>
      <c r="O15" s="71"/>
      <c r="P15" s="71"/>
      <c r="Q15" s="71"/>
      <c r="R15" s="71"/>
      <c r="S15" s="71"/>
      <c r="T15" s="71"/>
      <c r="U15" s="71"/>
      <c r="V15" s="71"/>
      <c r="W15" s="71"/>
      <c r="X15" s="72"/>
    </row>
    <row r="16" spans="1:24">
      <c r="A16" s="63" t="s">
        <v>115</v>
      </c>
      <c r="B16" s="75" t="e">
        <f>#REF!</f>
        <v>#REF!</v>
      </c>
      <c r="C16" s="71"/>
      <c r="D16" s="71"/>
      <c r="E16" s="71"/>
      <c r="F16" s="71"/>
      <c r="G16" s="71"/>
      <c r="H16" s="71"/>
      <c r="I16" s="71"/>
      <c r="J16" s="71"/>
      <c r="K16" s="71"/>
      <c r="L16" s="71"/>
      <c r="M16" s="71"/>
      <c r="N16" s="71"/>
      <c r="O16" s="71"/>
      <c r="P16" s="71"/>
      <c r="Q16" s="71"/>
      <c r="R16" s="71"/>
      <c r="S16" s="71"/>
      <c r="T16" s="71"/>
      <c r="U16" s="71"/>
      <c r="V16" s="71"/>
      <c r="W16" s="71"/>
      <c r="X16" s="72"/>
    </row>
    <row r="17" spans="1:24">
      <c r="A17" s="63" t="s">
        <v>116</v>
      </c>
      <c r="B17" s="75" t="e">
        <f>MAX(#REF!,#REF!)</f>
        <v>#REF!</v>
      </c>
      <c r="C17" s="429"/>
      <c r="D17" s="429"/>
      <c r="E17" s="429"/>
      <c r="F17" s="429"/>
      <c r="G17" s="429"/>
      <c r="H17" s="429"/>
      <c r="I17" s="429"/>
      <c r="J17" s="429"/>
      <c r="K17" s="429"/>
      <c r="L17" s="429"/>
      <c r="M17" s="429"/>
      <c r="N17" s="429"/>
      <c r="O17" s="429"/>
      <c r="P17" s="429"/>
      <c r="Q17" s="429"/>
      <c r="R17" s="429"/>
      <c r="S17" s="429"/>
      <c r="T17" s="429"/>
      <c r="U17" s="429"/>
      <c r="V17" s="429"/>
      <c r="W17" s="429"/>
      <c r="X17" s="430"/>
    </row>
    <row r="18" spans="1:24" ht="15.75" thickBot="1">
      <c r="A18" s="63" t="s">
        <v>114</v>
      </c>
      <c r="B18" s="75" t="e">
        <f>B15+B16+B17</f>
        <v>#REF!</v>
      </c>
      <c r="C18" s="73"/>
      <c r="D18" s="73"/>
      <c r="E18" s="73"/>
      <c r="F18" s="73"/>
      <c r="G18" s="73"/>
      <c r="H18" s="73"/>
      <c r="I18" s="73"/>
      <c r="J18" s="73"/>
      <c r="K18" s="73"/>
      <c r="L18" s="73"/>
      <c r="M18" s="73"/>
      <c r="N18" s="73"/>
      <c r="O18" s="73"/>
      <c r="P18" s="73"/>
      <c r="Q18" s="73"/>
      <c r="R18" s="73"/>
      <c r="S18" s="73"/>
      <c r="T18" s="73"/>
      <c r="U18" s="73"/>
      <c r="V18" s="73"/>
      <c r="W18" s="73"/>
      <c r="X18" s="74"/>
    </row>
  </sheetData>
  <mergeCells count="6">
    <mergeCell ref="A11:F11"/>
    <mergeCell ref="A7:B8"/>
    <mergeCell ref="A1:B1"/>
    <mergeCell ref="A14:X14"/>
    <mergeCell ref="C17:X17"/>
    <mergeCell ref="A13:C13"/>
  </mergeCells>
  <conditionalFormatting sqref="D8:X8">
    <cfRule type="cellIs" dxfId="3" priority="1" operator="greaterThan">
      <formula>$B$4</formula>
    </cfRule>
  </conditionalFormatting>
  <pageMargins left="0.7" right="0.7" top="0.75" bottom="0.75" header="0.3" footer="0.3"/>
  <pageSetup scale="55" fitToHeight="0" orientation="portrait" r:id="rId1"/>
  <ignoredErrors>
    <ignoredError sqref="F3:X3" 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O205"/>
  <sheetViews>
    <sheetView topLeftCell="A25" workbookViewId="0">
      <selection activeCell="M31" sqref="M31"/>
    </sheetView>
  </sheetViews>
  <sheetFormatPr defaultRowHeight="15"/>
  <cols>
    <col min="1" max="1" width="30" bestFit="1" customWidth="1"/>
    <col min="12" max="12" width="11" customWidth="1"/>
  </cols>
  <sheetData>
    <row r="1" spans="1:14">
      <c r="A1" s="123" t="str">
        <f>'Annual Report input'!D2</f>
        <v>Kajaria Ceramic</v>
      </c>
      <c r="B1" s="124"/>
      <c r="C1" s="124"/>
      <c r="D1" s="124"/>
      <c r="E1" s="124"/>
      <c r="F1" s="124"/>
      <c r="G1" s="124"/>
      <c r="H1" s="124"/>
      <c r="I1" s="124"/>
      <c r="J1" s="124"/>
      <c r="K1" s="124"/>
      <c r="L1" s="124"/>
      <c r="M1" s="124"/>
      <c r="N1" s="124"/>
    </row>
    <row r="2" spans="1:14">
      <c r="A2" s="123"/>
      <c r="B2" s="124"/>
      <c r="C2" s="124"/>
      <c r="D2" s="124"/>
      <c r="E2" s="124"/>
      <c r="F2" s="124"/>
      <c r="G2" s="124"/>
      <c r="H2" s="124"/>
      <c r="I2" s="124"/>
      <c r="J2" s="124"/>
      <c r="K2" s="124"/>
      <c r="L2" s="124"/>
      <c r="M2" s="124"/>
      <c r="N2" s="124"/>
    </row>
    <row r="3" spans="1:14">
      <c r="A3" s="433" t="s">
        <v>231</v>
      </c>
      <c r="B3" s="433"/>
      <c r="C3" s="433"/>
      <c r="D3" s="433"/>
      <c r="E3" s="433"/>
      <c r="F3" s="433"/>
      <c r="G3" s="433"/>
      <c r="H3" s="433"/>
      <c r="I3" s="433"/>
      <c r="J3" s="433"/>
      <c r="K3" s="125"/>
      <c r="L3" s="126"/>
      <c r="M3" s="126"/>
      <c r="N3" s="126"/>
    </row>
    <row r="4" spans="1:14">
      <c r="A4" s="127" t="str">
        <f>'Screener Input'!A1</f>
        <v>COMPANY NAME</v>
      </c>
      <c r="B4" s="180"/>
      <c r="C4" s="180">
        <f>EOMONTH('Screener Input'!B$16,-1)+1</f>
        <v>38777</v>
      </c>
      <c r="D4" s="180">
        <f>EOMONTH('Screener Input'!C$16,-1)+1</f>
        <v>39142</v>
      </c>
      <c r="E4" s="180">
        <f>EOMONTH('Screener Input'!D$16,-1)+1</f>
        <v>40603</v>
      </c>
      <c r="F4" s="180">
        <f>EOMONTH('Screener Input'!E$16,-1)+1</f>
        <v>40969</v>
      </c>
      <c r="G4" s="180">
        <f>EOMONTH('Screener Input'!F$16,-1)+1</f>
        <v>41334</v>
      </c>
      <c r="H4" s="180">
        <f>EOMONTH('Screener Input'!G$16,-1)+1</f>
        <v>41699</v>
      </c>
      <c r="I4" s="180">
        <f>EOMONTH('Screener Input'!H$16,-1)+1</f>
        <v>42064</v>
      </c>
      <c r="J4" s="180">
        <f>EOMONTH('Screener Input'!I$16,-1)+1</f>
        <v>42430</v>
      </c>
      <c r="K4" s="180">
        <f>EOMONTH('Screener Input'!J$16,-1)+1</f>
        <v>42795</v>
      </c>
      <c r="L4" s="180">
        <f>EOMONTH('Screener Input'!K$16,-1)+1</f>
        <v>43160</v>
      </c>
      <c r="M4" s="180"/>
      <c r="N4" s="180"/>
    </row>
    <row r="5" spans="1:14">
      <c r="A5" s="128" t="s">
        <v>232</v>
      </c>
      <c r="B5" s="129"/>
      <c r="C5" s="129"/>
      <c r="D5" s="129"/>
      <c r="E5" s="129"/>
      <c r="F5" s="129"/>
      <c r="G5" s="129"/>
      <c r="H5" s="129"/>
      <c r="I5" s="129"/>
      <c r="J5" s="129"/>
      <c r="K5" s="129"/>
      <c r="L5" s="126"/>
      <c r="M5" s="126"/>
      <c r="N5" s="126"/>
    </row>
    <row r="6" spans="1:14" s="228" customFormat="1">
      <c r="A6" s="333" t="s">
        <v>233</v>
      </c>
      <c r="B6" s="334"/>
      <c r="C6" s="335">
        <f>'Screener Output.v0'!C54</f>
        <v>70.75</v>
      </c>
      <c r="D6" s="335">
        <f>'Screener Output.v0'!D54</f>
        <v>123.81</v>
      </c>
      <c r="E6" s="335">
        <f>'Screener Output.v0'!E54</f>
        <v>154.65</v>
      </c>
      <c r="F6" s="335">
        <f>'Screener Output.v0'!F54</f>
        <v>186.48</v>
      </c>
      <c r="G6" s="335">
        <f>'Screener Output.v0'!G54</f>
        <v>219.71</v>
      </c>
      <c r="H6" s="335">
        <f>'Screener Output.v0'!H54</f>
        <v>193.09</v>
      </c>
      <c r="I6" s="335">
        <f>'Screener Output.v0'!I54</f>
        <v>303.32</v>
      </c>
      <c r="J6" s="335">
        <f>'Screener Output.v0'!J54</f>
        <v>384.17</v>
      </c>
      <c r="K6" s="335">
        <f>'Screener Output.v0'!K54</f>
        <v>372.02</v>
      </c>
      <c r="L6" s="335">
        <f>'Screener Output.v0'!L54</f>
        <v>378.47</v>
      </c>
      <c r="M6" s="334"/>
      <c r="N6" s="334"/>
    </row>
    <row r="7" spans="1:14" s="244" customFormat="1">
      <c r="A7" s="130" t="s">
        <v>234</v>
      </c>
      <c r="B7" s="131"/>
      <c r="C7" s="273">
        <f t="shared" ref="C7:L7" si="0">C53</f>
        <v>51.61</v>
      </c>
      <c r="D7" s="273">
        <f t="shared" si="0"/>
        <v>62.34</v>
      </c>
      <c r="E7" s="273">
        <f t="shared" si="0"/>
        <v>94.25</v>
      </c>
      <c r="F7" s="273">
        <f t="shared" si="0"/>
        <v>118.95</v>
      </c>
      <c r="G7" s="273">
        <f t="shared" si="0"/>
        <v>143.63</v>
      </c>
      <c r="H7" s="273">
        <f t="shared" si="0"/>
        <v>164.85</v>
      </c>
      <c r="I7" s="273">
        <f t="shared" si="0"/>
        <v>207.1</v>
      </c>
      <c r="J7" s="273">
        <f t="shared" si="0"/>
        <v>274.11</v>
      </c>
      <c r="K7" s="273">
        <f t="shared" si="0"/>
        <v>338.92</v>
      </c>
      <c r="L7" s="273">
        <f t="shared" si="0"/>
        <v>450.67</v>
      </c>
      <c r="M7" s="131"/>
      <c r="N7" s="131"/>
    </row>
    <row r="8" spans="1:14">
      <c r="A8" s="130" t="s">
        <v>257</v>
      </c>
      <c r="B8" s="131"/>
      <c r="C8" s="273">
        <f t="shared" ref="C8:L8" si="1">C55</f>
        <v>5.4</v>
      </c>
      <c r="D8" s="273">
        <f t="shared" si="1"/>
        <v>4.59</v>
      </c>
      <c r="E8" s="273">
        <f t="shared" si="1"/>
        <v>3.77</v>
      </c>
      <c r="F8" s="273">
        <f t="shared" si="1"/>
        <v>7.16</v>
      </c>
      <c r="G8" s="273">
        <f t="shared" si="1"/>
        <v>4</v>
      </c>
      <c r="H8" s="273">
        <f t="shared" si="1"/>
        <v>6.1</v>
      </c>
      <c r="I8" s="273">
        <f t="shared" si="1"/>
        <v>11.16</v>
      </c>
      <c r="J8" s="273">
        <f t="shared" si="1"/>
        <v>21.52</v>
      </c>
      <c r="K8" s="273">
        <f t="shared" si="1"/>
        <v>51.96</v>
      </c>
      <c r="L8" s="273">
        <f t="shared" si="1"/>
        <v>82.39</v>
      </c>
      <c r="M8" s="131"/>
      <c r="N8" s="131"/>
    </row>
    <row r="9" spans="1:14">
      <c r="A9" s="130" t="s">
        <v>20</v>
      </c>
      <c r="B9" s="131"/>
      <c r="C9" s="273">
        <f t="shared" ref="C9:L10" si="2">C47</f>
        <v>155.46</v>
      </c>
      <c r="D9" s="273">
        <f t="shared" si="2"/>
        <v>235.9</v>
      </c>
      <c r="E9" s="273">
        <f t="shared" si="2"/>
        <v>315.25</v>
      </c>
      <c r="F9" s="273">
        <f t="shared" si="2"/>
        <v>367.58</v>
      </c>
      <c r="G9" s="273">
        <f t="shared" si="2"/>
        <v>419.7</v>
      </c>
      <c r="H9" s="273">
        <f t="shared" si="2"/>
        <v>443.42</v>
      </c>
      <c r="I9" s="273">
        <f t="shared" si="2"/>
        <v>624.03</v>
      </c>
      <c r="J9" s="273">
        <f t="shared" si="2"/>
        <v>792</v>
      </c>
      <c r="K9" s="273">
        <f t="shared" si="2"/>
        <v>857.81</v>
      </c>
      <c r="L9" s="273">
        <f t="shared" si="2"/>
        <v>984.03</v>
      </c>
      <c r="M9" s="131"/>
      <c r="N9" s="131"/>
    </row>
    <row r="10" spans="1:14">
      <c r="A10" s="130" t="s">
        <v>11</v>
      </c>
      <c r="B10" s="131"/>
      <c r="C10" s="273">
        <f t="shared" si="2"/>
        <v>102.88</v>
      </c>
      <c r="D10" s="273">
        <f t="shared" si="2"/>
        <v>120.08</v>
      </c>
      <c r="E10" s="273">
        <f t="shared" si="2"/>
        <v>299.70999999999998</v>
      </c>
      <c r="F10" s="273">
        <f t="shared" si="2"/>
        <v>330.68</v>
      </c>
      <c r="G10" s="273">
        <f t="shared" si="2"/>
        <v>366.52</v>
      </c>
      <c r="H10" s="273">
        <f t="shared" si="2"/>
        <v>435.03</v>
      </c>
      <c r="I10" s="273">
        <f t="shared" si="2"/>
        <v>577.58000000000004</v>
      </c>
      <c r="J10" s="273">
        <f t="shared" si="2"/>
        <v>654.86</v>
      </c>
      <c r="K10" s="273">
        <f t="shared" si="2"/>
        <v>655.16999999999996</v>
      </c>
      <c r="L10" s="273">
        <f t="shared" si="2"/>
        <v>626.45000000000005</v>
      </c>
      <c r="M10" s="131"/>
      <c r="N10" s="131"/>
    </row>
    <row r="11" spans="1:14">
      <c r="A11" s="130" t="s">
        <v>235</v>
      </c>
      <c r="B11" s="131"/>
      <c r="C11" s="273">
        <f t="shared" ref="C11:L11" si="3">C9-C10</f>
        <v>52.580000000000013</v>
      </c>
      <c r="D11" s="273">
        <f t="shared" si="3"/>
        <v>115.82000000000001</v>
      </c>
      <c r="E11" s="273">
        <f t="shared" si="3"/>
        <v>15.54000000000002</v>
      </c>
      <c r="F11" s="273">
        <f t="shared" si="3"/>
        <v>36.899999999999977</v>
      </c>
      <c r="G11" s="273">
        <f t="shared" si="3"/>
        <v>53.180000000000007</v>
      </c>
      <c r="H11" s="273">
        <f t="shared" si="3"/>
        <v>8.3900000000000432</v>
      </c>
      <c r="I11" s="273">
        <f t="shared" si="3"/>
        <v>46.449999999999932</v>
      </c>
      <c r="J11" s="273">
        <f t="shared" si="3"/>
        <v>137.13999999999999</v>
      </c>
      <c r="K11" s="273">
        <f t="shared" si="3"/>
        <v>202.64</v>
      </c>
      <c r="L11" s="273">
        <f t="shared" si="3"/>
        <v>357.57999999999993</v>
      </c>
      <c r="M11" s="131"/>
      <c r="N11" s="131"/>
    </row>
    <row r="12" spans="1:14">
      <c r="A12" s="434"/>
      <c r="B12" s="434"/>
      <c r="C12" s="434"/>
      <c r="D12" s="434"/>
      <c r="E12" s="434"/>
      <c r="F12" s="434"/>
      <c r="G12" s="434"/>
      <c r="H12" s="434"/>
      <c r="I12" s="434"/>
      <c r="J12" s="434"/>
      <c r="K12" s="434"/>
      <c r="L12" s="126"/>
      <c r="M12" s="126"/>
      <c r="N12" s="126"/>
    </row>
    <row r="13" spans="1:14">
      <c r="A13" s="433" t="s">
        <v>236</v>
      </c>
      <c r="B13" s="433"/>
      <c r="C13" s="433"/>
      <c r="D13" s="433"/>
      <c r="E13" s="433"/>
      <c r="F13" s="433"/>
      <c r="G13" s="433"/>
      <c r="H13" s="433"/>
      <c r="I13" s="433"/>
      <c r="J13" s="433"/>
      <c r="K13" s="132"/>
      <c r="L13" s="126"/>
      <c r="M13" s="126"/>
      <c r="N13" s="126"/>
    </row>
    <row r="14" spans="1:14">
      <c r="A14" s="133" t="s">
        <v>237</v>
      </c>
      <c r="B14" s="180"/>
      <c r="C14" s="180">
        <f t="shared" ref="C14:L14" si="4">C4</f>
        <v>38777</v>
      </c>
      <c r="D14" s="180">
        <f t="shared" si="4"/>
        <v>39142</v>
      </c>
      <c r="E14" s="180">
        <f t="shared" si="4"/>
        <v>40603</v>
      </c>
      <c r="F14" s="180">
        <f t="shared" si="4"/>
        <v>40969</v>
      </c>
      <c r="G14" s="180">
        <f t="shared" si="4"/>
        <v>41334</v>
      </c>
      <c r="H14" s="180">
        <f t="shared" si="4"/>
        <v>41699</v>
      </c>
      <c r="I14" s="180">
        <f t="shared" si="4"/>
        <v>42064</v>
      </c>
      <c r="J14" s="180">
        <f t="shared" si="4"/>
        <v>42430</v>
      </c>
      <c r="K14" s="180">
        <f t="shared" si="4"/>
        <v>42795</v>
      </c>
      <c r="L14" s="180">
        <f t="shared" si="4"/>
        <v>43160</v>
      </c>
      <c r="M14" s="180"/>
      <c r="N14" s="180"/>
    </row>
    <row r="15" spans="1:14">
      <c r="A15" s="134" t="s">
        <v>15</v>
      </c>
      <c r="B15" s="135"/>
      <c r="C15" s="135">
        <f>'Screener Input'!B18</f>
        <v>153.55000000000001</v>
      </c>
      <c r="D15" s="135">
        <f>'Screener Input'!C18</f>
        <v>232.99</v>
      </c>
      <c r="E15" s="135">
        <f>'Screener Input'!D18</f>
        <v>533.32000000000005</v>
      </c>
      <c r="F15" s="135">
        <f>'Screener Input'!E18</f>
        <v>620.33000000000004</v>
      </c>
      <c r="G15" s="135">
        <f>'Screener Input'!F18</f>
        <v>683.31</v>
      </c>
      <c r="H15" s="135">
        <f>'Screener Input'!G18</f>
        <v>750.25</v>
      </c>
      <c r="I15" s="135">
        <f>'Screener Input'!H18</f>
        <v>827.22</v>
      </c>
      <c r="J15" s="135">
        <f>'Screener Input'!I18</f>
        <v>912.07</v>
      </c>
      <c r="K15" s="135">
        <f>'Screener Input'!J18</f>
        <v>906.8</v>
      </c>
      <c r="L15" s="135">
        <f>'Screener Input'!K18</f>
        <v>1073.2</v>
      </c>
      <c r="M15" s="135"/>
      <c r="N15" s="135"/>
    </row>
    <row r="16" spans="1:14">
      <c r="A16" s="134" t="s">
        <v>238</v>
      </c>
      <c r="B16" s="135"/>
      <c r="C16" s="135">
        <f>'Screener Input'!B22</f>
        <v>23.94</v>
      </c>
      <c r="D16" s="135">
        <f>'Screener Input'!C22</f>
        <v>32.700000000000003</v>
      </c>
      <c r="E16" s="135">
        <f>'Screener Input'!D22</f>
        <v>76.08</v>
      </c>
      <c r="F16" s="135">
        <f>'Screener Input'!E22</f>
        <v>107.19</v>
      </c>
      <c r="G16" s="135">
        <f>'Screener Input'!F22</f>
        <v>136.4</v>
      </c>
      <c r="H16" s="135">
        <f>'Screener Input'!G22</f>
        <v>171.25</v>
      </c>
      <c r="I16" s="135">
        <f>'Screener Input'!H22</f>
        <v>207.32</v>
      </c>
      <c r="J16" s="135">
        <f>'Screener Input'!I22</f>
        <v>252.28</v>
      </c>
      <c r="K16" s="135">
        <f>'Screener Input'!J22</f>
        <v>288.70999999999998</v>
      </c>
      <c r="L16" s="135">
        <f>'Screener Input'!K22</f>
        <v>317.64999999999998</v>
      </c>
      <c r="M16" s="135"/>
      <c r="N16" s="135"/>
    </row>
    <row r="17" spans="1:15">
      <c r="A17" s="134" t="s">
        <v>239</v>
      </c>
      <c r="B17" s="135"/>
      <c r="C17" s="135">
        <f>'Screener Input'!B23</f>
        <v>42.35</v>
      </c>
      <c r="D17" s="135">
        <f>'Screener Input'!C23</f>
        <v>59.92</v>
      </c>
      <c r="E17" s="135">
        <f>'Screener Input'!D23</f>
        <v>72.150000000000006</v>
      </c>
      <c r="F17" s="135">
        <f>'Screener Input'!E23</f>
        <v>87.06</v>
      </c>
      <c r="G17" s="135">
        <f>'Screener Input'!F23</f>
        <v>99.99</v>
      </c>
      <c r="H17" s="135">
        <f>'Screener Input'!G23</f>
        <v>149.22999999999999</v>
      </c>
      <c r="I17" s="135">
        <f>'Screener Input'!H23</f>
        <v>186.76</v>
      </c>
      <c r="J17" s="135">
        <f>'Screener Input'!I23</f>
        <v>225.46</v>
      </c>
      <c r="K17" s="135">
        <f>'Screener Input'!J23</f>
        <v>248.15</v>
      </c>
      <c r="L17" s="135">
        <f>'Screener Input'!K23</f>
        <v>247.53</v>
      </c>
      <c r="M17" s="135"/>
      <c r="N17" s="135"/>
    </row>
    <row r="18" spans="1:15">
      <c r="A18" s="134" t="s">
        <v>240</v>
      </c>
      <c r="B18" s="135"/>
      <c r="C18" s="135"/>
      <c r="D18" s="135"/>
      <c r="E18" s="135"/>
      <c r="F18" s="135"/>
      <c r="G18" s="135"/>
      <c r="H18" s="135"/>
      <c r="I18" s="135"/>
      <c r="J18" s="135"/>
      <c r="K18" s="135"/>
      <c r="L18" s="135"/>
      <c r="M18" s="135"/>
      <c r="N18" s="135"/>
    </row>
    <row r="19" spans="1:15">
      <c r="A19" s="134" t="s">
        <v>241</v>
      </c>
      <c r="B19" s="135"/>
      <c r="C19" s="135"/>
      <c r="D19" s="135"/>
      <c r="E19" s="135"/>
      <c r="F19" s="135"/>
      <c r="G19" s="135"/>
      <c r="H19" s="135"/>
      <c r="I19" s="135"/>
      <c r="J19" s="135"/>
      <c r="K19" s="135"/>
      <c r="L19" s="135"/>
      <c r="M19" s="135"/>
      <c r="N19" s="135"/>
    </row>
    <row r="20" spans="1:15">
      <c r="A20" s="134" t="s">
        <v>242</v>
      </c>
      <c r="B20" s="135"/>
      <c r="C20" s="135">
        <f>'Screener Input'!B20</f>
        <v>60.78</v>
      </c>
      <c r="D20" s="135">
        <f>'Screener Input'!C20</f>
        <v>75.599999999999994</v>
      </c>
      <c r="E20" s="135">
        <f>'Screener Input'!D20</f>
        <v>95.03</v>
      </c>
      <c r="F20" s="135">
        <f>'Screener Input'!E20</f>
        <v>212.21</v>
      </c>
      <c r="G20" s="135">
        <f>'Screener Input'!F20</f>
        <v>308.31</v>
      </c>
      <c r="H20" s="135">
        <f>'Screener Input'!G20</f>
        <v>373.25</v>
      </c>
      <c r="I20" s="135">
        <f>'Screener Input'!H20</f>
        <v>485.35</v>
      </c>
      <c r="J20" s="135">
        <f>'Screener Input'!I20</f>
        <v>480.48</v>
      </c>
      <c r="K20" s="135">
        <f>'Screener Input'!J20</f>
        <v>448.02</v>
      </c>
      <c r="L20" s="135">
        <f>'Screener Input'!K20</f>
        <v>519.44000000000005</v>
      </c>
      <c r="M20" s="135"/>
      <c r="N20" s="135"/>
    </row>
    <row r="21" spans="1:15">
      <c r="A21" s="134" t="s">
        <v>243</v>
      </c>
      <c r="B21" s="135"/>
      <c r="C21" s="135">
        <f>'Screener Input'!B24</f>
        <v>1.51</v>
      </c>
      <c r="D21" s="135">
        <f>'Screener Input'!C24</f>
        <v>2.0499999999999998</v>
      </c>
      <c r="E21" s="135">
        <f>'Screener Input'!D24</f>
        <v>5.19</v>
      </c>
      <c r="F21" s="135">
        <f>'Screener Input'!E24</f>
        <v>6.45</v>
      </c>
      <c r="G21" s="135">
        <f>'Screener Input'!F24</f>
        <v>8.86</v>
      </c>
      <c r="H21" s="135">
        <f>'Screener Input'!G24</f>
        <v>1.62</v>
      </c>
      <c r="I21" s="135">
        <f>'Screener Input'!H24</f>
        <v>26.57</v>
      </c>
      <c r="J21" s="135">
        <f>'Screener Input'!I24</f>
        <v>28.57</v>
      </c>
      <c r="K21" s="135">
        <f>'Screener Input'!J24</f>
        <v>37.619999999999997</v>
      </c>
      <c r="L21" s="135">
        <f>'Screener Input'!K24</f>
        <v>35.28</v>
      </c>
      <c r="M21" s="135"/>
      <c r="N21" s="135"/>
    </row>
    <row r="22" spans="1:15">
      <c r="A22" s="134" t="s">
        <v>244</v>
      </c>
      <c r="B22" s="135"/>
      <c r="C22" s="135">
        <f>'Screener Output.v0'!L8</f>
        <v>82.39</v>
      </c>
      <c r="D22" s="135"/>
      <c r="E22" s="135"/>
      <c r="F22" s="135"/>
      <c r="G22" s="136"/>
      <c r="H22" s="136"/>
      <c r="I22" s="136"/>
      <c r="J22" s="136"/>
      <c r="K22" s="134"/>
      <c r="L22" s="137"/>
      <c r="M22" s="137"/>
      <c r="N22" s="137"/>
    </row>
    <row r="23" spans="1:15">
      <c r="A23" s="138" t="s">
        <v>113</v>
      </c>
      <c r="B23" s="135"/>
      <c r="C23" s="135"/>
      <c r="D23" s="135">
        <f t="shared" ref="D23:L23" si="5">(D50-C50)+(D51-C51)+D30</f>
        <v>102.22999999999999</v>
      </c>
      <c r="E23" s="135">
        <f t="shared" si="5"/>
        <v>150.58000000000001</v>
      </c>
      <c r="F23" s="135">
        <f t="shared" si="5"/>
        <v>70.979999999999947</v>
      </c>
      <c r="G23" s="135">
        <f t="shared" si="5"/>
        <v>149.12000000000006</v>
      </c>
      <c r="H23" s="135">
        <f t="shared" si="5"/>
        <v>151.34</v>
      </c>
      <c r="I23" s="135">
        <f t="shared" si="5"/>
        <v>261.60000000000002</v>
      </c>
      <c r="J23" s="135">
        <f t="shared" si="5"/>
        <v>263.10999999999996</v>
      </c>
      <c r="K23" s="135">
        <f t="shared" si="5"/>
        <v>138.59999999999997</v>
      </c>
      <c r="L23" s="135">
        <f t="shared" si="5"/>
        <v>65.689999999999941</v>
      </c>
      <c r="M23" s="135"/>
      <c r="N23" s="135"/>
    </row>
    <row r="24" spans="1:15" ht="18">
      <c r="A24" s="139" t="str">
        <f>'Screener Input'!A1</f>
        <v>COMPANY NAME</v>
      </c>
      <c r="B24" s="180"/>
      <c r="C24" s="180">
        <f t="shared" ref="C24:L24" si="6">C14</f>
        <v>38777</v>
      </c>
      <c r="D24" s="180">
        <f t="shared" si="6"/>
        <v>39142</v>
      </c>
      <c r="E24" s="180">
        <f t="shared" si="6"/>
        <v>40603</v>
      </c>
      <c r="F24" s="180">
        <f t="shared" si="6"/>
        <v>40969</v>
      </c>
      <c r="G24" s="180">
        <f t="shared" si="6"/>
        <v>41334</v>
      </c>
      <c r="H24" s="180">
        <f t="shared" si="6"/>
        <v>41699</v>
      </c>
      <c r="I24" s="180">
        <f t="shared" si="6"/>
        <v>42064</v>
      </c>
      <c r="J24" s="180">
        <f t="shared" si="6"/>
        <v>42430</v>
      </c>
      <c r="K24" s="180">
        <f t="shared" si="6"/>
        <v>42795</v>
      </c>
      <c r="L24" s="180">
        <f t="shared" si="6"/>
        <v>43160</v>
      </c>
      <c r="M24" s="180" t="s">
        <v>405</v>
      </c>
      <c r="N24" s="180" t="s">
        <v>406</v>
      </c>
    </row>
    <row r="25" spans="1:15">
      <c r="A25" s="140" t="s">
        <v>14</v>
      </c>
      <c r="B25" s="140"/>
      <c r="C25" s="223">
        <f>'Screener Input'!B17+'Screener Input'!B25</f>
        <v>348.96999999999997</v>
      </c>
      <c r="D25" s="223">
        <f>'Screener Input'!C17+'Screener Input'!C25</f>
        <v>431.52</v>
      </c>
      <c r="E25" s="223">
        <f>'Screener Input'!D17+'Screener Input'!D25</f>
        <v>953.57</v>
      </c>
      <c r="F25" s="223">
        <f>'Screener Input'!E17+'Screener Input'!E25</f>
        <v>1314.5</v>
      </c>
      <c r="G25" s="223">
        <f>'Screener Input'!F17+'Screener Input'!F25</f>
        <v>1586.31</v>
      </c>
      <c r="H25" s="223">
        <f>'Screener Input'!G17+'Screener Input'!G25</f>
        <v>1838.1799999999998</v>
      </c>
      <c r="I25" s="223">
        <f>'Screener Input'!H17+'Screener Input'!H25</f>
        <v>2194.1099999999997</v>
      </c>
      <c r="J25" s="223">
        <f>'Screener Input'!I17+'Screener Input'!I25</f>
        <v>2423.8799999999997</v>
      </c>
      <c r="K25" s="223">
        <f>'Screener Input'!J17+'Screener Input'!J25</f>
        <v>2564.9900000000002</v>
      </c>
      <c r="L25" s="223">
        <f>'Screener Input'!K17+'Screener Input'!K25</f>
        <v>2722.19</v>
      </c>
      <c r="M25" s="223">
        <f>SUM('Screener Input'!H42:K42)+SUM('Screener Input'!H44:K44)</f>
        <v>2749.87</v>
      </c>
      <c r="N25" s="223">
        <f>SUM('Screener Input'!D42:G42)+SUM('Screener Input'!D44:G44)</f>
        <v>2601.9699999999998</v>
      </c>
    </row>
    <row r="26" spans="1:15" s="228" customFormat="1" ht="14.25" customHeight="1">
      <c r="A26" s="145" t="s">
        <v>225</v>
      </c>
      <c r="B26" s="145"/>
      <c r="C26" s="331">
        <f>'Screener Input'!B17</f>
        <v>348.09</v>
      </c>
      <c r="D26" s="331">
        <f>'Screener Input'!C17</f>
        <v>430.5</v>
      </c>
      <c r="E26" s="331">
        <f>'Screener Input'!D17</f>
        <v>953.25</v>
      </c>
      <c r="F26" s="331">
        <f>'Screener Input'!E17</f>
        <v>1313.03</v>
      </c>
      <c r="G26" s="331">
        <f>'Screener Input'!F17</f>
        <v>1583.27</v>
      </c>
      <c r="H26" s="331">
        <f>'Screener Input'!G17</f>
        <v>1836.31</v>
      </c>
      <c r="I26" s="331">
        <f>'Screener Input'!H17</f>
        <v>2186.89</v>
      </c>
      <c r="J26" s="331">
        <f>'Screener Input'!I17</f>
        <v>2413.4499999999998</v>
      </c>
      <c r="K26" s="331">
        <f>'Screener Input'!J17</f>
        <v>2549.63</v>
      </c>
      <c r="L26" s="331">
        <f>'Screener Input'!K17</f>
        <v>2710.6</v>
      </c>
      <c r="M26" s="331">
        <f>SUM('Screener Input'!H42:K42)</f>
        <v>2739.45</v>
      </c>
      <c r="N26" s="331">
        <f>SUM('Screener Input'!D42:G42)</f>
        <v>2584.79</v>
      </c>
    </row>
    <row r="27" spans="1:15">
      <c r="A27" s="140" t="str">
        <f t="shared" ref="A27:L27" si="7">A15</f>
        <v>Raw Materials</v>
      </c>
      <c r="B27" s="140"/>
      <c r="C27" s="223">
        <f t="shared" si="7"/>
        <v>153.55000000000001</v>
      </c>
      <c r="D27" s="223">
        <f t="shared" si="7"/>
        <v>232.99</v>
      </c>
      <c r="E27" s="223">
        <f t="shared" si="7"/>
        <v>533.32000000000005</v>
      </c>
      <c r="F27" s="223">
        <f t="shared" si="7"/>
        <v>620.33000000000004</v>
      </c>
      <c r="G27" s="223">
        <f t="shared" si="7"/>
        <v>683.31</v>
      </c>
      <c r="H27" s="223">
        <f t="shared" si="7"/>
        <v>750.25</v>
      </c>
      <c r="I27" s="223">
        <f t="shared" si="7"/>
        <v>827.22</v>
      </c>
      <c r="J27" s="223">
        <f t="shared" si="7"/>
        <v>912.07</v>
      </c>
      <c r="K27" s="223">
        <f t="shared" si="7"/>
        <v>906.8</v>
      </c>
      <c r="L27" s="223">
        <f t="shared" si="7"/>
        <v>1073.2</v>
      </c>
      <c r="M27" s="223"/>
      <c r="N27" s="223"/>
    </row>
    <row r="28" spans="1:15">
      <c r="A28" s="140" t="s">
        <v>245</v>
      </c>
      <c r="B28" s="140"/>
      <c r="C28" s="223">
        <f t="shared" ref="C28:L28" si="8">C26-C27</f>
        <v>194.53999999999996</v>
      </c>
      <c r="D28" s="223">
        <f t="shared" si="8"/>
        <v>197.51</v>
      </c>
      <c r="E28" s="223">
        <f t="shared" si="8"/>
        <v>419.92999999999995</v>
      </c>
      <c r="F28" s="223">
        <f t="shared" si="8"/>
        <v>692.69999999999993</v>
      </c>
      <c r="G28" s="223">
        <f t="shared" si="8"/>
        <v>899.96</v>
      </c>
      <c r="H28" s="223">
        <f t="shared" si="8"/>
        <v>1086.06</v>
      </c>
      <c r="I28" s="223">
        <f t="shared" si="8"/>
        <v>1359.6699999999998</v>
      </c>
      <c r="J28" s="223">
        <f t="shared" si="8"/>
        <v>1501.3799999999997</v>
      </c>
      <c r="K28" s="223">
        <f t="shared" si="8"/>
        <v>1642.8300000000002</v>
      </c>
      <c r="L28" s="223">
        <f t="shared" si="8"/>
        <v>1637.3999999999999</v>
      </c>
      <c r="M28" s="223"/>
      <c r="N28" s="223"/>
    </row>
    <row r="29" spans="1:15" s="244" customFormat="1">
      <c r="A29" s="142" t="s">
        <v>57</v>
      </c>
      <c r="B29" s="142"/>
      <c r="C29" s="225">
        <f>'Screener Input'!B17-'Screener Input'!B18-'Screener Input'!B20-'Screener Input'!B21-'Screener Input'!B22-'Screener Input'!B23-'Screener Input'!B24+'Screener Input'!B25+'Screener Input'!B19</f>
        <v>71.219999999999956</v>
      </c>
      <c r="D29" s="225">
        <f>'Screener Input'!C17-'Screener Input'!C18-'Screener Input'!C20-'Screener Input'!C21-'Screener Input'!C22-'Screener Input'!C23-'Screener Input'!C24+'Screener Input'!C25+'Screener Input'!C19</f>
        <v>59.94</v>
      </c>
      <c r="E29" s="225">
        <f>'Screener Input'!D17-'Screener Input'!D18-'Screener Input'!D20-'Screener Input'!D21-'Screener Input'!D22-'Screener Input'!D23-'Screener Input'!D24+'Screener Input'!D25+'Screener Input'!D19</f>
        <v>149.21</v>
      </c>
      <c r="F29" s="225">
        <f>'Screener Input'!E17-'Screener Input'!E18-'Screener Input'!E20-'Screener Input'!E21-'Screener Input'!E22-'Screener Input'!E23-'Screener Input'!E24+'Screener Input'!E25+'Screener Input'!E19</f>
        <v>207.86999999999992</v>
      </c>
      <c r="G29" s="225">
        <f>'Screener Input'!F17-'Screener Input'!F18-'Screener Input'!F20-'Screener Input'!F21-'Screener Input'!F22-'Screener Input'!F23-'Screener Input'!F24+'Screener Input'!F25+'Screener Input'!F19</f>
        <v>248.56000000000006</v>
      </c>
      <c r="H29" s="225">
        <f>'Screener Input'!G17-'Screener Input'!G18-'Screener Input'!G20-'Screener Input'!G21-'Screener Input'!G22-'Screener Input'!G23-'Screener Input'!G24+'Screener Input'!G25+'Screener Input'!G19</f>
        <v>287.65999999999985</v>
      </c>
      <c r="I29" s="225">
        <f>'Screener Input'!H17-'Screener Input'!H18-'Screener Input'!H20-'Screener Input'!H21-'Screener Input'!H22-'Screener Input'!H23-'Screener Input'!H24+'Screener Input'!H25+'Screener Input'!H19</f>
        <v>355.59999999999991</v>
      </c>
      <c r="J29" s="225">
        <f>'Screener Input'!I17-'Screener Input'!I18-'Screener Input'!I20-'Screener Input'!I21-'Screener Input'!I22-'Screener Input'!I23-'Screener Input'!I24+'Screener Input'!I25+'Screener Input'!I19</f>
        <v>467.88999999999965</v>
      </c>
      <c r="K29" s="225">
        <f>'Screener Input'!J17-'Screener Input'!J18-'Screener Input'!J20-'Screener Input'!J21-'Screener Input'!J22-'Screener Input'!J23-'Screener Input'!J24+'Screener Input'!J25+'Screener Input'!J19</f>
        <v>511.69000000000005</v>
      </c>
      <c r="L29" s="225">
        <f>'Screener Input'!K17-'Screener Input'!K18-'Screener Input'!K20-'Screener Input'!K21-'Screener Input'!K22-'Screener Input'!K23-'Screener Input'!K24+'Screener Input'!K25+'Screener Input'!K19</f>
        <v>467.94999999999987</v>
      </c>
      <c r="M29" s="225">
        <f>SUM('Screener Input'!H50:K50)+SUM('Screener Input'!H44:K44)</f>
        <v>459.28</v>
      </c>
      <c r="N29" s="225">
        <f>SUM('Screener Input'!D50:G50)</f>
        <v>473.84000000000003</v>
      </c>
      <c r="O29" s="332"/>
    </row>
    <row r="30" spans="1:15">
      <c r="A30" s="140" t="s">
        <v>246</v>
      </c>
      <c r="B30" s="140"/>
      <c r="C30" s="223">
        <f>'Screener Input'!B26</f>
        <v>18.489999999999998</v>
      </c>
      <c r="D30" s="223">
        <f>'Screener Input'!C26</f>
        <v>22.5</v>
      </c>
      <c r="E30" s="223">
        <f>'Screener Input'!D26</f>
        <v>29.68</v>
      </c>
      <c r="F30" s="223">
        <f>'Screener Input'!E26</f>
        <v>39.26</v>
      </c>
      <c r="G30" s="223">
        <f>'Screener Input'!F26</f>
        <v>44.62</v>
      </c>
      <c r="H30" s="223">
        <f>'Screener Input'!G26</f>
        <v>47</v>
      </c>
      <c r="I30" s="223">
        <f>'Screener Input'!H26</f>
        <v>55.88</v>
      </c>
      <c r="J30" s="223">
        <f>'Screener Input'!I26</f>
        <v>72.61</v>
      </c>
      <c r="K30" s="223">
        <f>'Screener Input'!J26</f>
        <v>81.39</v>
      </c>
      <c r="L30" s="223">
        <f>'Screener Input'!K26</f>
        <v>88.53</v>
      </c>
      <c r="M30" s="223">
        <f>SUM('Screener Input'!H45:K45)</f>
        <v>89.36</v>
      </c>
      <c r="N30" s="223"/>
    </row>
    <row r="31" spans="1:15">
      <c r="A31" s="140" t="s">
        <v>247</v>
      </c>
      <c r="B31" s="140"/>
      <c r="C31" s="223">
        <f t="shared" ref="C31:M31" si="9">C29-C30</f>
        <v>52.729999999999961</v>
      </c>
      <c r="D31" s="223">
        <f t="shared" si="9"/>
        <v>37.44</v>
      </c>
      <c r="E31" s="223">
        <f t="shared" si="9"/>
        <v>119.53</v>
      </c>
      <c r="F31" s="223">
        <f t="shared" si="9"/>
        <v>168.60999999999993</v>
      </c>
      <c r="G31" s="223">
        <f t="shared" si="9"/>
        <v>203.94000000000005</v>
      </c>
      <c r="H31" s="223">
        <f t="shared" si="9"/>
        <v>240.65999999999985</v>
      </c>
      <c r="I31" s="223">
        <f t="shared" si="9"/>
        <v>299.71999999999991</v>
      </c>
      <c r="J31" s="223">
        <f t="shared" si="9"/>
        <v>395.27999999999963</v>
      </c>
      <c r="K31" s="223">
        <f t="shared" si="9"/>
        <v>430.30000000000007</v>
      </c>
      <c r="L31" s="223">
        <f t="shared" si="9"/>
        <v>379.41999999999985</v>
      </c>
      <c r="M31" s="223">
        <f t="shared" si="9"/>
        <v>369.91999999999996</v>
      </c>
      <c r="N31" s="223"/>
    </row>
    <row r="32" spans="1:15">
      <c r="A32" s="140" t="s">
        <v>17</v>
      </c>
      <c r="B32" s="140"/>
      <c r="C32" s="223">
        <f>'Screener Input'!B27</f>
        <v>14.69</v>
      </c>
      <c r="D32" s="223">
        <f>'Screener Input'!C27</f>
        <v>25.97</v>
      </c>
      <c r="E32" s="223">
        <f>'Screener Input'!D27</f>
        <v>30.31</v>
      </c>
      <c r="F32" s="223">
        <f>'Screener Input'!E27</f>
        <v>48.7</v>
      </c>
      <c r="G32" s="223">
        <f>'Screener Input'!F27</f>
        <v>46.24</v>
      </c>
      <c r="H32" s="223">
        <f>'Screener Input'!G27</f>
        <v>41.49</v>
      </c>
      <c r="I32" s="223">
        <f>'Screener Input'!H27</f>
        <v>29.39</v>
      </c>
      <c r="J32" s="223">
        <f>'Screener Input'!I27</f>
        <v>34.46</v>
      </c>
      <c r="K32" s="223">
        <f>'Screener Input'!J27</f>
        <v>34</v>
      </c>
      <c r="L32" s="223">
        <f>'Screener Input'!K27</f>
        <v>24.1</v>
      </c>
      <c r="M32" s="223">
        <f>SUM('Screener Input'!H46:K46)</f>
        <v>20.47</v>
      </c>
      <c r="N32" s="223"/>
    </row>
    <row r="33" spans="1:14">
      <c r="A33" s="140" t="s">
        <v>248</v>
      </c>
      <c r="B33" s="140"/>
      <c r="C33" s="223">
        <f t="shared" ref="C33:L33" si="10">C31-C32</f>
        <v>38.039999999999964</v>
      </c>
      <c r="D33" s="223">
        <f t="shared" si="10"/>
        <v>11.469999999999999</v>
      </c>
      <c r="E33" s="223">
        <f t="shared" si="10"/>
        <v>89.22</v>
      </c>
      <c r="F33" s="223">
        <f t="shared" si="10"/>
        <v>119.90999999999993</v>
      </c>
      <c r="G33" s="223">
        <f t="shared" si="10"/>
        <v>157.70000000000005</v>
      </c>
      <c r="H33" s="223">
        <f t="shared" si="10"/>
        <v>199.16999999999985</v>
      </c>
      <c r="I33" s="223">
        <f t="shared" si="10"/>
        <v>270.32999999999993</v>
      </c>
      <c r="J33" s="223">
        <f t="shared" si="10"/>
        <v>360.81999999999965</v>
      </c>
      <c r="K33" s="223">
        <f t="shared" si="10"/>
        <v>396.30000000000007</v>
      </c>
      <c r="L33" s="223">
        <f t="shared" si="10"/>
        <v>355.31999999999982</v>
      </c>
      <c r="M33" s="223"/>
      <c r="N33" s="223"/>
    </row>
    <row r="34" spans="1:14">
      <c r="A34" s="140" t="s">
        <v>19</v>
      </c>
      <c r="B34" s="140"/>
      <c r="C34" s="223">
        <f>'Screener Input'!B29</f>
        <v>8.14</v>
      </c>
      <c r="D34" s="223">
        <f>'Screener Input'!C29</f>
        <v>3.37</v>
      </c>
      <c r="E34" s="223">
        <f>'Screener Input'!D29</f>
        <v>28.53</v>
      </c>
      <c r="F34" s="223">
        <f>'Screener Input'!E29</f>
        <v>38.06</v>
      </c>
      <c r="G34" s="223">
        <f>'Screener Input'!F29</f>
        <v>49.88</v>
      </c>
      <c r="H34" s="223">
        <f>'Screener Input'!G29</f>
        <v>67.819999999999993</v>
      </c>
      <c r="I34" s="223">
        <f>'Screener Input'!H29</f>
        <v>85.43</v>
      </c>
      <c r="J34" s="223">
        <f>'Screener Input'!I29</f>
        <v>124.71</v>
      </c>
      <c r="K34" s="223">
        <f>'Screener Input'!J29</f>
        <v>142.49</v>
      </c>
      <c r="L34" s="223">
        <f>'Screener Input'!K29</f>
        <v>126.72</v>
      </c>
      <c r="M34" s="223">
        <f>SUM('Screener Input'!H48:K48)</f>
        <v>124.39</v>
      </c>
      <c r="N34" s="223"/>
    </row>
    <row r="35" spans="1:14">
      <c r="A35" s="140" t="s">
        <v>228</v>
      </c>
      <c r="B35" s="140"/>
      <c r="C35" s="223">
        <f t="shared" ref="C35:L35" si="11">C33-C34</f>
        <v>29.899999999999963</v>
      </c>
      <c r="D35" s="223">
        <f t="shared" si="11"/>
        <v>8.0999999999999979</v>
      </c>
      <c r="E35" s="223">
        <f t="shared" si="11"/>
        <v>60.69</v>
      </c>
      <c r="F35" s="223">
        <f t="shared" si="11"/>
        <v>81.849999999999923</v>
      </c>
      <c r="G35" s="223">
        <f t="shared" si="11"/>
        <v>107.82000000000005</v>
      </c>
      <c r="H35" s="223">
        <f t="shared" si="11"/>
        <v>131.34999999999985</v>
      </c>
      <c r="I35" s="223">
        <f t="shared" si="11"/>
        <v>184.89999999999992</v>
      </c>
      <c r="J35" s="223">
        <f t="shared" si="11"/>
        <v>236.10999999999967</v>
      </c>
      <c r="K35" s="223">
        <f t="shared" si="11"/>
        <v>253.81000000000006</v>
      </c>
      <c r="L35" s="223">
        <f t="shared" si="11"/>
        <v>228.59999999999982</v>
      </c>
      <c r="M35" s="223">
        <f>SUM('Screener Input'!H49:K49)</f>
        <v>225.06</v>
      </c>
      <c r="N35" s="223">
        <f>SUM('Screener Input'!D49:G49)</f>
        <v>238.14000000000001</v>
      </c>
    </row>
    <row r="36" spans="1:14">
      <c r="A36" s="140" t="s">
        <v>249</v>
      </c>
      <c r="B36" s="140"/>
      <c r="C36" s="223">
        <f>'Screener Input'!B31</f>
        <v>0.2</v>
      </c>
      <c r="D36" s="223">
        <f>'Screener Input'!C31</f>
        <v>1.47</v>
      </c>
      <c r="E36" s="223">
        <f>'Screener Input'!D31</f>
        <v>14.72</v>
      </c>
      <c r="F36" s="223">
        <f>'Screener Input'!E31</f>
        <v>18.399999999999999</v>
      </c>
      <c r="G36" s="223">
        <f>'Screener Input'!F31</f>
        <v>22.08</v>
      </c>
      <c r="H36" s="223">
        <f>'Screener Input'!G31</f>
        <v>26.46</v>
      </c>
      <c r="I36" s="223">
        <f>'Screener Input'!H31</f>
        <v>31.78</v>
      </c>
      <c r="J36" s="223">
        <f>'Screener Input'!I31</f>
        <v>39.729999999999997</v>
      </c>
      <c r="K36" s="223">
        <f>'Screener Input'!J31</f>
        <v>47.67</v>
      </c>
      <c r="L36" s="223">
        <f>'Screener Input'!K31</f>
        <v>47.7</v>
      </c>
      <c r="M36" s="223"/>
      <c r="N36" s="223"/>
    </row>
    <row r="37" spans="1:14">
      <c r="A37" s="140" t="s">
        <v>3</v>
      </c>
      <c r="C37" s="223">
        <f>'Screener Input'!B90*'Screener Input'!B93</f>
        <v>337.29163401805198</v>
      </c>
      <c r="D37" s="223">
        <f>'Screener Input'!C90*'Screener Input'!C93</f>
        <v>239.050976346</v>
      </c>
      <c r="E37" s="223">
        <f>'Screener Input'!D90*'Screener Input'!D93</f>
        <v>588.95523332738401</v>
      </c>
      <c r="F37" s="223">
        <f>'Screener Input'!E90*'Screener Input'!E93</f>
        <v>1309.3830143099999</v>
      </c>
      <c r="G37" s="223">
        <f>'Screener Input'!F90*'Screener Input'!F93</f>
        <v>1387.4993428380001</v>
      </c>
      <c r="H37" s="223">
        <f>'Screener Input'!G90*'Screener Input'!G93</f>
        <v>2969.4250482017601</v>
      </c>
      <c r="I37" s="223">
        <f>'Screener Input'!H90*'Screener Input'!H93</f>
        <v>6088.1518776000003</v>
      </c>
      <c r="J37" s="223">
        <f>'Screener Input'!I90*'Screener Input'!I93</f>
        <v>7933.7834349306004</v>
      </c>
      <c r="K37" s="223">
        <f>'Screener Input'!J90*'Screener Input'!J93</f>
        <v>10238.535012791801</v>
      </c>
      <c r="L37" s="223">
        <f>'Screener Input'!K90*'Screener Input'!K93</f>
        <v>8977.7400203985799</v>
      </c>
      <c r="M37" s="223"/>
      <c r="N37" s="223"/>
    </row>
    <row r="38" spans="1:14">
      <c r="A38" s="141" t="s">
        <v>250</v>
      </c>
      <c r="B38" s="192">
        <f>'Screener Input'!B9</f>
        <v>5839.83</v>
      </c>
      <c r="C38" s="435"/>
      <c r="D38" s="436"/>
      <c r="E38" s="436"/>
      <c r="F38" s="436"/>
      <c r="G38" s="436"/>
      <c r="H38" s="436"/>
      <c r="I38" s="436"/>
      <c r="J38" s="436"/>
      <c r="K38" s="437"/>
      <c r="L38" s="226">
        <f>L35+L34+L32+L30</f>
        <v>467.94999999999982</v>
      </c>
      <c r="M38" s="126"/>
      <c r="N38" s="126"/>
    </row>
    <row r="39" spans="1:14">
      <c r="A39" s="141" t="s">
        <v>324</v>
      </c>
      <c r="C39" s="188"/>
      <c r="D39" s="188"/>
      <c r="E39" s="188"/>
      <c r="F39" s="188"/>
      <c r="G39" s="188"/>
      <c r="H39" s="188"/>
      <c r="I39" s="188"/>
      <c r="J39" s="188"/>
      <c r="K39" s="188"/>
      <c r="L39" s="126"/>
      <c r="N39" s="126"/>
    </row>
    <row r="40" spans="1:14">
      <c r="A40" s="142" t="s">
        <v>251</v>
      </c>
      <c r="B40" s="143"/>
      <c r="C40" s="223">
        <f>'Screener Input'!B57</f>
        <v>14.72</v>
      </c>
      <c r="D40" s="223">
        <f>'Screener Input'!C57</f>
        <v>14.72</v>
      </c>
      <c r="E40" s="223">
        <f>'Screener Input'!D57</f>
        <v>14.72</v>
      </c>
      <c r="F40" s="223">
        <f>'Screener Input'!E57</f>
        <v>14.72</v>
      </c>
      <c r="G40" s="223">
        <f>'Screener Input'!F57</f>
        <v>14.72</v>
      </c>
      <c r="H40" s="223">
        <f>'Screener Input'!G57</f>
        <v>15.12</v>
      </c>
      <c r="I40" s="223">
        <f>'Screener Input'!H57</f>
        <v>15.89</v>
      </c>
      <c r="J40" s="223">
        <f>'Screener Input'!I57</f>
        <v>15.89</v>
      </c>
      <c r="K40" s="223">
        <f>'Screener Input'!J57</f>
        <v>15.89</v>
      </c>
      <c r="L40" s="223">
        <f>'Screener Input'!K57</f>
        <v>15.9</v>
      </c>
      <c r="M40" s="223"/>
      <c r="N40" s="223"/>
    </row>
    <row r="41" spans="1:14">
      <c r="A41" s="142" t="s">
        <v>252</v>
      </c>
      <c r="B41" s="142"/>
      <c r="C41" s="225">
        <f>'Screener Input'!B58</f>
        <v>121.52</v>
      </c>
      <c r="D41" s="225">
        <f>'Screener Input'!C58</f>
        <v>127.92</v>
      </c>
      <c r="E41" s="225">
        <f>'Screener Input'!D58</f>
        <v>207.8</v>
      </c>
      <c r="F41" s="225">
        <f>'Screener Input'!E58</f>
        <v>267.35000000000002</v>
      </c>
      <c r="G41" s="225">
        <f>'Screener Input'!F58</f>
        <v>346.16</v>
      </c>
      <c r="H41" s="225">
        <f>'Screener Input'!G58</f>
        <v>489.04</v>
      </c>
      <c r="I41" s="225">
        <f>'Screener Input'!H58</f>
        <v>725.05</v>
      </c>
      <c r="J41" s="225">
        <f>'Screener Input'!I58</f>
        <v>956.01</v>
      </c>
      <c r="K41" s="225">
        <f>'Screener Input'!J58</f>
        <v>1159.23</v>
      </c>
      <c r="L41" s="225">
        <f>'Screener Input'!K58</f>
        <v>1334.48</v>
      </c>
      <c r="M41" s="225"/>
      <c r="N41" s="225"/>
    </row>
    <row r="42" spans="1:14">
      <c r="A42" s="142" t="s">
        <v>6</v>
      </c>
      <c r="B42" s="140"/>
      <c r="C42" s="223">
        <f t="shared" ref="C42:L42" si="12">C41+C40</f>
        <v>136.24</v>
      </c>
      <c r="D42" s="223">
        <f t="shared" si="12"/>
        <v>142.64000000000001</v>
      </c>
      <c r="E42" s="223">
        <f t="shared" si="12"/>
        <v>222.52</v>
      </c>
      <c r="F42" s="223">
        <f t="shared" si="12"/>
        <v>282.07000000000005</v>
      </c>
      <c r="G42" s="223">
        <f t="shared" si="12"/>
        <v>360.88000000000005</v>
      </c>
      <c r="H42" s="223">
        <f t="shared" si="12"/>
        <v>504.16</v>
      </c>
      <c r="I42" s="223">
        <f t="shared" si="12"/>
        <v>740.93999999999994</v>
      </c>
      <c r="J42" s="223">
        <f t="shared" si="12"/>
        <v>971.9</v>
      </c>
      <c r="K42" s="223">
        <f t="shared" si="12"/>
        <v>1175.1200000000001</v>
      </c>
      <c r="L42" s="223">
        <f t="shared" si="12"/>
        <v>1350.38</v>
      </c>
      <c r="M42" s="223"/>
      <c r="N42" s="223"/>
    </row>
    <row r="43" spans="1:14">
      <c r="A43" s="144" t="s">
        <v>7</v>
      </c>
      <c r="B43" s="145"/>
      <c r="C43" s="223"/>
      <c r="D43" s="223"/>
      <c r="E43" s="223"/>
      <c r="F43" s="223"/>
      <c r="G43" s="223"/>
      <c r="H43" s="223"/>
      <c r="I43" s="223"/>
      <c r="J43" s="223"/>
      <c r="K43" s="223"/>
      <c r="L43" s="226"/>
      <c r="M43" s="226"/>
      <c r="N43" s="226"/>
    </row>
    <row r="44" spans="1:14">
      <c r="A44" s="144" t="s">
        <v>8</v>
      </c>
      <c r="B44" s="145"/>
      <c r="C44" s="223"/>
      <c r="D44" s="223"/>
      <c r="E44" s="223"/>
      <c r="F44" s="223"/>
      <c r="G44" s="223"/>
      <c r="H44" s="223"/>
      <c r="I44" s="223"/>
      <c r="J44" s="223"/>
      <c r="K44" s="223"/>
      <c r="L44" s="226"/>
      <c r="M44" s="226"/>
      <c r="N44" s="226"/>
    </row>
    <row r="45" spans="1:14">
      <c r="A45" s="144" t="s">
        <v>253</v>
      </c>
      <c r="B45" s="142"/>
      <c r="C45" s="225">
        <f>'Screener Input'!B59</f>
        <v>207.73</v>
      </c>
      <c r="D45" s="225">
        <f>'Screener Input'!C59</f>
        <v>344.8</v>
      </c>
      <c r="E45" s="225">
        <f>'Screener Input'!D59</f>
        <v>287.97000000000003</v>
      </c>
      <c r="F45" s="225">
        <f>'Screener Input'!E59</f>
        <v>278.19</v>
      </c>
      <c r="G45" s="225">
        <f>'Screener Input'!F59</f>
        <v>320.16000000000003</v>
      </c>
      <c r="H45" s="225">
        <f>'Screener Input'!G59</f>
        <v>236.43</v>
      </c>
      <c r="I45" s="225">
        <f>'Screener Input'!H59</f>
        <v>243.43</v>
      </c>
      <c r="J45" s="225">
        <f>'Screener Input'!I59</f>
        <v>293.66000000000003</v>
      </c>
      <c r="K45" s="225">
        <f>'Screener Input'!J59</f>
        <v>213.16</v>
      </c>
      <c r="L45" s="225">
        <f>'Screener Input'!K59</f>
        <v>170.33</v>
      </c>
      <c r="M45" s="225"/>
      <c r="N45" s="225"/>
    </row>
    <row r="46" spans="1:14">
      <c r="A46" s="144" t="s">
        <v>254</v>
      </c>
      <c r="B46" s="142"/>
      <c r="C46" s="225">
        <f>'Screener Input'!B60</f>
        <v>102.88</v>
      </c>
      <c r="D46" s="225">
        <f>'Screener Input'!C60</f>
        <v>120.08</v>
      </c>
      <c r="E46" s="225">
        <f>'Screener Input'!D60</f>
        <v>299.70999999999998</v>
      </c>
      <c r="F46" s="225">
        <f>'Screener Input'!E60</f>
        <v>330.68</v>
      </c>
      <c r="G46" s="225">
        <f>'Screener Input'!F60</f>
        <v>366.52</v>
      </c>
      <c r="H46" s="225">
        <f>'Screener Input'!G60</f>
        <v>435.03</v>
      </c>
      <c r="I46" s="225">
        <f>'Screener Input'!H60</f>
        <v>577.58000000000004</v>
      </c>
      <c r="J46" s="225">
        <f>'Screener Input'!I60</f>
        <v>654.86</v>
      </c>
      <c r="K46" s="225">
        <f>'Screener Input'!J60</f>
        <v>655.16999999999996</v>
      </c>
      <c r="L46" s="225">
        <f>'Screener Input'!K60</f>
        <v>626.45000000000005</v>
      </c>
      <c r="M46" s="225"/>
      <c r="N46" s="225"/>
    </row>
    <row r="47" spans="1:14">
      <c r="A47" s="144" t="s">
        <v>255</v>
      </c>
      <c r="B47" s="142"/>
      <c r="C47" s="225">
        <f>'Screener Input'!B65</f>
        <v>155.46</v>
      </c>
      <c r="D47" s="225">
        <f>'Screener Input'!C65</f>
        <v>235.9</v>
      </c>
      <c r="E47" s="225">
        <f>'Screener Input'!D65</f>
        <v>315.25</v>
      </c>
      <c r="F47" s="225">
        <f>'Screener Input'!E65</f>
        <v>367.58</v>
      </c>
      <c r="G47" s="225">
        <f>'Screener Input'!F65</f>
        <v>419.7</v>
      </c>
      <c r="H47" s="225">
        <f>'Screener Input'!G65</f>
        <v>443.42</v>
      </c>
      <c r="I47" s="225">
        <f>'Screener Input'!H65</f>
        <v>624.03</v>
      </c>
      <c r="J47" s="225">
        <f>'Screener Input'!I65</f>
        <v>792</v>
      </c>
      <c r="K47" s="225">
        <f>'Screener Input'!J65</f>
        <v>857.81</v>
      </c>
      <c r="L47" s="225">
        <f>'Screener Input'!K65</f>
        <v>984.03</v>
      </c>
      <c r="M47" s="225"/>
      <c r="N47" s="225"/>
    </row>
    <row r="48" spans="1:14">
      <c r="A48" s="144" t="s">
        <v>11</v>
      </c>
      <c r="B48" s="142"/>
      <c r="C48" s="225">
        <f>'Screener Input'!B60</f>
        <v>102.88</v>
      </c>
      <c r="D48" s="225">
        <f>'Screener Input'!C60</f>
        <v>120.08</v>
      </c>
      <c r="E48" s="225">
        <f>'Screener Input'!D60</f>
        <v>299.70999999999998</v>
      </c>
      <c r="F48" s="225">
        <f>'Screener Input'!E60</f>
        <v>330.68</v>
      </c>
      <c r="G48" s="225">
        <f>'Screener Input'!F60</f>
        <v>366.52</v>
      </c>
      <c r="H48" s="225">
        <f>'Screener Input'!G60</f>
        <v>435.03</v>
      </c>
      <c r="I48" s="225">
        <f>'Screener Input'!H60</f>
        <v>577.58000000000004</v>
      </c>
      <c r="J48" s="225">
        <f>'Screener Input'!I60</f>
        <v>654.86</v>
      </c>
      <c r="K48" s="225">
        <f>'Screener Input'!J60</f>
        <v>655.16999999999996</v>
      </c>
      <c r="L48" s="225">
        <f>'Screener Input'!K60</f>
        <v>626.45000000000005</v>
      </c>
      <c r="M48" s="225"/>
      <c r="N48" s="225"/>
    </row>
    <row r="49" spans="1:14">
      <c r="A49" s="144" t="s">
        <v>12</v>
      </c>
      <c r="B49" s="142"/>
      <c r="C49" s="225">
        <f>'Screener Input'!B66</f>
        <v>446.85</v>
      </c>
      <c r="D49" s="225">
        <f>'Screener Input'!C66</f>
        <v>607.52</v>
      </c>
      <c r="E49" s="225">
        <f>'Screener Input'!D66</f>
        <v>810.2</v>
      </c>
      <c r="F49" s="225">
        <f>'Screener Input'!E66</f>
        <v>890.94</v>
      </c>
      <c r="G49" s="225">
        <f>'Screener Input'!F66</f>
        <v>1047.56</v>
      </c>
      <c r="H49" s="225">
        <f>'Screener Input'!G66</f>
        <v>1175.6199999999999</v>
      </c>
      <c r="I49" s="225">
        <f>'Screener Input'!H66</f>
        <v>1561.95</v>
      </c>
      <c r="J49" s="225">
        <f>'Screener Input'!I66</f>
        <v>1920.42</v>
      </c>
      <c r="K49" s="225">
        <f>'Screener Input'!J66</f>
        <v>2043.45</v>
      </c>
      <c r="L49" s="225">
        <f>'Screener Input'!K66</f>
        <v>2147.16</v>
      </c>
      <c r="M49" s="225"/>
      <c r="N49" s="225"/>
    </row>
    <row r="50" spans="1:14">
      <c r="A50" s="256" t="s">
        <v>256</v>
      </c>
      <c r="B50" s="256"/>
      <c r="C50" s="257">
        <f>'Screener Input'!B62</f>
        <v>259.23</v>
      </c>
      <c r="D50" s="257">
        <f>'Screener Input'!C62</f>
        <v>367.68</v>
      </c>
      <c r="E50" s="257">
        <f>'Screener Input'!D62</f>
        <v>491.49</v>
      </c>
      <c r="F50" s="257">
        <f>'Screener Input'!E62</f>
        <v>520.91999999999996</v>
      </c>
      <c r="G50" s="257">
        <f>'Screener Input'!F62</f>
        <v>619.97</v>
      </c>
      <c r="H50" s="257">
        <f>'Screener Input'!G62</f>
        <v>691.59</v>
      </c>
      <c r="I50" s="257">
        <f>'Screener Input'!H62</f>
        <v>860.08</v>
      </c>
      <c r="J50" s="257">
        <f>'Screener Input'!I62</f>
        <v>1120.51</v>
      </c>
      <c r="K50" s="257">
        <f>'Screener Input'!J62</f>
        <v>1177.29</v>
      </c>
      <c r="L50" s="257">
        <f>'Screener Input'!K62</f>
        <v>1145.1099999999999</v>
      </c>
      <c r="M50" s="223"/>
      <c r="N50" s="223"/>
    </row>
    <row r="51" spans="1:14">
      <c r="A51" s="140" t="s">
        <v>10</v>
      </c>
      <c r="B51" s="140"/>
      <c r="C51" s="223">
        <f>'Screener Input'!B63</f>
        <v>31.7</v>
      </c>
      <c r="D51" s="223">
        <f>'Screener Input'!C63</f>
        <v>2.98</v>
      </c>
      <c r="E51" s="223">
        <f>'Screener Input'!D63</f>
        <v>7.0000000000000007E-2</v>
      </c>
      <c r="F51" s="223">
        <f>'Screener Input'!E63</f>
        <v>2.36</v>
      </c>
      <c r="G51" s="223">
        <f>'Screener Input'!F63</f>
        <v>7.81</v>
      </c>
      <c r="H51" s="223">
        <f>'Screener Input'!G63</f>
        <v>40.53</v>
      </c>
      <c r="I51" s="223">
        <f>'Screener Input'!H63</f>
        <v>77.760000000000005</v>
      </c>
      <c r="J51" s="223">
        <f>'Screener Input'!I63</f>
        <v>7.83</v>
      </c>
      <c r="K51" s="223">
        <f>'Screener Input'!J63</f>
        <v>8.26</v>
      </c>
      <c r="L51" s="223">
        <f>'Screener Input'!K63</f>
        <v>17.600000000000001</v>
      </c>
      <c r="M51" s="223"/>
      <c r="N51" s="223"/>
    </row>
    <row r="52" spans="1:14">
      <c r="A52" s="144" t="s">
        <v>56</v>
      </c>
      <c r="B52" s="142"/>
      <c r="C52" s="225">
        <f>'Screener Input'!B65-'Screener Input'!B60</f>
        <v>52.580000000000013</v>
      </c>
      <c r="D52" s="225">
        <f>'Screener Input'!C65-'Screener Input'!C60</f>
        <v>115.82000000000001</v>
      </c>
      <c r="E52" s="225">
        <f>'Screener Input'!D65-'Screener Input'!D60</f>
        <v>15.54000000000002</v>
      </c>
      <c r="F52" s="225">
        <f>'Screener Input'!E65-'Screener Input'!E60</f>
        <v>36.899999999999977</v>
      </c>
      <c r="G52" s="225">
        <f>'Screener Input'!F65-'Screener Input'!F60</f>
        <v>53.180000000000007</v>
      </c>
      <c r="H52" s="225">
        <f>'Screener Input'!G65-'Screener Input'!G60</f>
        <v>8.3900000000000432</v>
      </c>
      <c r="I52" s="225">
        <f>'Screener Input'!H65-'Screener Input'!H60</f>
        <v>46.449999999999932</v>
      </c>
      <c r="J52" s="225">
        <f>'Screener Input'!I65-'Screener Input'!I60</f>
        <v>137.13999999999999</v>
      </c>
      <c r="K52" s="225">
        <f>'Screener Input'!J65-'Screener Input'!J60</f>
        <v>202.64</v>
      </c>
      <c r="L52" s="225">
        <f>'Screener Input'!K65-'Screener Input'!K60</f>
        <v>357.57999999999993</v>
      </c>
      <c r="M52" s="225"/>
      <c r="N52" s="225"/>
    </row>
    <row r="53" spans="1:14">
      <c r="A53" s="142" t="s">
        <v>234</v>
      </c>
      <c r="B53" s="142"/>
      <c r="C53" s="225">
        <f>'Screener Input'!B67</f>
        <v>51.61</v>
      </c>
      <c r="D53" s="225">
        <f>'Screener Input'!C67</f>
        <v>62.34</v>
      </c>
      <c r="E53" s="225">
        <f>'Screener Input'!D67</f>
        <v>94.25</v>
      </c>
      <c r="F53" s="225">
        <f>'Screener Input'!E67</f>
        <v>118.95</v>
      </c>
      <c r="G53" s="225">
        <f>'Screener Input'!F67</f>
        <v>143.63</v>
      </c>
      <c r="H53" s="225">
        <f>'Screener Input'!G67</f>
        <v>164.85</v>
      </c>
      <c r="I53" s="225">
        <f>'Screener Input'!H67</f>
        <v>207.1</v>
      </c>
      <c r="J53" s="225">
        <f>'Screener Input'!I67</f>
        <v>274.11</v>
      </c>
      <c r="K53" s="225">
        <f>'Screener Input'!J67</f>
        <v>338.92</v>
      </c>
      <c r="L53" s="225">
        <f>'Screener Input'!K67</f>
        <v>450.67</v>
      </c>
      <c r="M53" s="225"/>
      <c r="N53" s="225"/>
    </row>
    <row r="54" spans="1:14">
      <c r="A54" s="142" t="s">
        <v>233</v>
      </c>
      <c r="B54" s="142"/>
      <c r="C54" s="225">
        <f>'Screener Input'!B68</f>
        <v>70.75</v>
      </c>
      <c r="D54" s="225">
        <f>'Screener Input'!C68</f>
        <v>123.81</v>
      </c>
      <c r="E54" s="225">
        <f>'Screener Input'!D68</f>
        <v>154.65</v>
      </c>
      <c r="F54" s="225">
        <f>'Screener Input'!E68</f>
        <v>186.48</v>
      </c>
      <c r="G54" s="225">
        <f>'Screener Input'!F68</f>
        <v>219.71</v>
      </c>
      <c r="H54" s="225">
        <f>'Screener Input'!G68</f>
        <v>193.09</v>
      </c>
      <c r="I54" s="225">
        <f>'Screener Input'!H68</f>
        <v>303.32</v>
      </c>
      <c r="J54" s="225">
        <f>'Screener Input'!I68</f>
        <v>384.17</v>
      </c>
      <c r="K54" s="225">
        <f>'Screener Input'!J68</f>
        <v>372.02</v>
      </c>
      <c r="L54" s="225">
        <f>'Screener Input'!K68</f>
        <v>378.47</v>
      </c>
      <c r="M54" s="225"/>
      <c r="N54" s="225"/>
    </row>
    <row r="55" spans="1:14">
      <c r="A55" s="142" t="s">
        <v>257</v>
      </c>
      <c r="B55" s="142"/>
      <c r="C55" s="225">
        <f>'Screener Input'!B69</f>
        <v>5.4</v>
      </c>
      <c r="D55" s="225">
        <f>'Screener Input'!C69</f>
        <v>4.59</v>
      </c>
      <c r="E55" s="225">
        <f>'Screener Input'!D69</f>
        <v>3.77</v>
      </c>
      <c r="F55" s="225">
        <f>'Screener Input'!E69</f>
        <v>7.16</v>
      </c>
      <c r="G55" s="225">
        <f>'Screener Input'!F69</f>
        <v>4</v>
      </c>
      <c r="H55" s="225">
        <f>'Screener Input'!G69</f>
        <v>6.1</v>
      </c>
      <c r="I55" s="225">
        <f>'Screener Input'!H69</f>
        <v>11.16</v>
      </c>
      <c r="J55" s="225">
        <f>'Screener Input'!I69</f>
        <v>21.52</v>
      </c>
      <c r="K55" s="225">
        <f>'Screener Input'!J69</f>
        <v>51.96</v>
      </c>
      <c r="L55" s="225">
        <f>'Screener Input'!K69</f>
        <v>82.39</v>
      </c>
      <c r="M55" s="225"/>
      <c r="N55" s="225"/>
    </row>
    <row r="56" spans="1:14">
      <c r="A56" s="140" t="s">
        <v>258</v>
      </c>
      <c r="B56" s="145"/>
      <c r="C56" s="223"/>
      <c r="D56" s="223"/>
      <c r="E56" s="223"/>
      <c r="F56" s="223"/>
      <c r="G56" s="223"/>
      <c r="H56" s="223"/>
      <c r="I56" s="223"/>
      <c r="J56" s="223"/>
      <c r="K56" s="223"/>
      <c r="L56" s="226"/>
      <c r="M56" s="226"/>
      <c r="N56" s="226"/>
    </row>
    <row r="57" spans="1:14">
      <c r="A57" s="144" t="s">
        <v>259</v>
      </c>
      <c r="B57" s="140"/>
      <c r="C57" s="223">
        <f t="shared" ref="C57:L57" si="13">C42+C45</f>
        <v>343.97</v>
      </c>
      <c r="D57" s="223">
        <f t="shared" si="13"/>
        <v>487.44000000000005</v>
      </c>
      <c r="E57" s="223">
        <f t="shared" si="13"/>
        <v>510.49</v>
      </c>
      <c r="F57" s="223">
        <f t="shared" si="13"/>
        <v>560.26</v>
      </c>
      <c r="G57" s="223">
        <f t="shared" si="13"/>
        <v>681.04000000000008</v>
      </c>
      <c r="H57" s="223">
        <f t="shared" si="13"/>
        <v>740.59</v>
      </c>
      <c r="I57" s="223">
        <f t="shared" si="13"/>
        <v>984.36999999999989</v>
      </c>
      <c r="J57" s="223">
        <f t="shared" si="13"/>
        <v>1265.56</v>
      </c>
      <c r="K57" s="223">
        <f t="shared" si="13"/>
        <v>1388.2800000000002</v>
      </c>
      <c r="L57" s="223">
        <f t="shared" si="13"/>
        <v>1520.71</v>
      </c>
      <c r="M57" s="223"/>
      <c r="N57" s="223"/>
    </row>
    <row r="58" spans="1:14">
      <c r="A58" s="144" t="s">
        <v>260</v>
      </c>
      <c r="B58" s="140"/>
      <c r="C58" s="223">
        <f t="shared" ref="C58:L58" si="14">C49-C48</f>
        <v>343.97</v>
      </c>
      <c r="D58" s="223">
        <f t="shared" si="14"/>
        <v>487.44</v>
      </c>
      <c r="E58" s="223">
        <f t="shared" si="14"/>
        <v>510.49000000000007</v>
      </c>
      <c r="F58" s="223">
        <f t="shared" si="14"/>
        <v>560.26</v>
      </c>
      <c r="G58" s="223">
        <f t="shared" si="14"/>
        <v>681.04</v>
      </c>
      <c r="H58" s="223">
        <f t="shared" si="14"/>
        <v>740.58999999999992</v>
      </c>
      <c r="I58" s="223">
        <f t="shared" si="14"/>
        <v>984.37</v>
      </c>
      <c r="J58" s="223">
        <f t="shared" si="14"/>
        <v>1265.56</v>
      </c>
      <c r="K58" s="223">
        <f t="shared" si="14"/>
        <v>1388.2800000000002</v>
      </c>
      <c r="L58" s="223">
        <f t="shared" si="14"/>
        <v>1520.7099999999998</v>
      </c>
      <c r="M58" s="223"/>
      <c r="N58" s="223"/>
    </row>
    <row r="59" spans="1:14">
      <c r="A59" s="144" t="s">
        <v>261</v>
      </c>
      <c r="B59" s="140"/>
      <c r="C59" s="223">
        <f>'Screener Input'!B59+'Screener Input'!B60</f>
        <v>310.61</v>
      </c>
      <c r="D59" s="223">
        <f>'Screener Input'!C59+'Screener Input'!C60</f>
        <v>464.88</v>
      </c>
      <c r="E59" s="223">
        <f>'Screener Input'!D59+'Screener Input'!D60</f>
        <v>587.68000000000006</v>
      </c>
      <c r="F59" s="223">
        <f>'Screener Input'!E59+'Screener Input'!E60</f>
        <v>608.87</v>
      </c>
      <c r="G59" s="223">
        <f>'Screener Input'!F59+'Screener Input'!F60</f>
        <v>686.68000000000006</v>
      </c>
      <c r="H59" s="223">
        <f>'Screener Input'!G59+'Screener Input'!G60</f>
        <v>671.46</v>
      </c>
      <c r="I59" s="223">
        <f>'Screener Input'!H59+'Screener Input'!H60</f>
        <v>821.01</v>
      </c>
      <c r="J59" s="223">
        <f>'Screener Input'!I59+'Screener Input'!I60</f>
        <v>948.52</v>
      </c>
      <c r="K59" s="223">
        <f>'Screener Input'!J59+'Screener Input'!J60</f>
        <v>868.32999999999993</v>
      </c>
      <c r="L59" s="223">
        <f>'Screener Input'!K59+'Screener Input'!K60</f>
        <v>796.78000000000009</v>
      </c>
      <c r="M59" s="223"/>
      <c r="N59" s="223"/>
    </row>
    <row r="60" spans="1:14">
      <c r="A60" s="145" t="s">
        <v>12</v>
      </c>
      <c r="B60" s="146"/>
      <c r="C60" s="227">
        <f>'Screener Input'!B66</f>
        <v>446.85</v>
      </c>
      <c r="D60" s="227">
        <f>'Screener Input'!C66</f>
        <v>607.52</v>
      </c>
      <c r="E60" s="227">
        <f>'Screener Input'!D66</f>
        <v>810.2</v>
      </c>
      <c r="F60" s="227">
        <f>'Screener Input'!E66</f>
        <v>890.94</v>
      </c>
      <c r="G60" s="227">
        <f>'Screener Input'!F66</f>
        <v>1047.56</v>
      </c>
      <c r="H60" s="227">
        <f>'Screener Input'!G66</f>
        <v>1175.6199999999999</v>
      </c>
      <c r="I60" s="227">
        <f>'Screener Input'!H66</f>
        <v>1561.95</v>
      </c>
      <c r="J60" s="227">
        <f>'Screener Input'!I66</f>
        <v>1920.42</v>
      </c>
      <c r="K60" s="227">
        <f>'Screener Input'!J66</f>
        <v>2043.45</v>
      </c>
      <c r="L60" s="227">
        <f>'Screener Input'!K66</f>
        <v>2147.16</v>
      </c>
      <c r="M60" s="227"/>
      <c r="N60" s="227"/>
    </row>
    <row r="61" spans="1:14">
      <c r="A61" s="438"/>
      <c r="B61" s="438"/>
      <c r="C61" s="438"/>
      <c r="D61" s="438"/>
      <c r="E61" s="438"/>
      <c r="F61" s="438"/>
      <c r="G61" s="438"/>
      <c r="H61" s="438"/>
      <c r="I61" s="438"/>
      <c r="J61" s="438"/>
      <c r="K61" s="438"/>
      <c r="L61" s="126"/>
      <c r="M61" s="126"/>
      <c r="N61" s="126"/>
    </row>
    <row r="62" spans="1:14">
      <c r="A62" s="142" t="s">
        <v>54</v>
      </c>
      <c r="B62" s="140"/>
      <c r="C62" s="223">
        <f>'Screener Input'!B82</f>
        <v>-7.93</v>
      </c>
      <c r="D62" s="223">
        <f>'Screener Input'!C82</f>
        <v>-28.82</v>
      </c>
      <c r="E62" s="223">
        <f>'Screener Input'!D82</f>
        <v>159.4</v>
      </c>
      <c r="F62" s="223">
        <f>'Screener Input'!E82</f>
        <v>90.88</v>
      </c>
      <c r="G62" s="223">
        <f>'Screener Input'!F82</f>
        <v>97.63</v>
      </c>
      <c r="H62" s="223">
        <f>'Screener Input'!G82</f>
        <v>166.12</v>
      </c>
      <c r="I62" s="223">
        <f>'Screener Input'!H82</f>
        <v>180.27</v>
      </c>
      <c r="J62" s="223">
        <f>'Screener Input'!I82</f>
        <v>315.62</v>
      </c>
      <c r="K62" s="223">
        <f>'Screener Input'!J82</f>
        <v>337.68</v>
      </c>
      <c r="L62" s="223">
        <f>'Screener Input'!K82</f>
        <v>238.32</v>
      </c>
      <c r="M62" s="140"/>
      <c r="N62" s="140"/>
    </row>
    <row r="63" spans="1:14">
      <c r="A63" s="142" t="s">
        <v>22</v>
      </c>
      <c r="B63" s="143"/>
      <c r="C63" s="223"/>
      <c r="D63" s="223">
        <f t="shared" ref="D63:L63" si="15">D62-D23</f>
        <v>-131.04999999999998</v>
      </c>
      <c r="E63" s="223">
        <f t="shared" si="15"/>
        <v>8.8199999999999932</v>
      </c>
      <c r="F63" s="223">
        <f t="shared" si="15"/>
        <v>19.900000000000048</v>
      </c>
      <c r="G63" s="223">
        <f t="shared" si="15"/>
        <v>-51.490000000000066</v>
      </c>
      <c r="H63" s="223">
        <f t="shared" si="15"/>
        <v>14.780000000000001</v>
      </c>
      <c r="I63" s="223">
        <f t="shared" si="15"/>
        <v>-81.330000000000013</v>
      </c>
      <c r="J63" s="223">
        <f t="shared" si="15"/>
        <v>52.510000000000048</v>
      </c>
      <c r="K63" s="223">
        <f t="shared" si="15"/>
        <v>199.08000000000004</v>
      </c>
      <c r="L63" s="223">
        <f t="shared" si="15"/>
        <v>172.63000000000005</v>
      </c>
      <c r="M63" s="143"/>
      <c r="N63" s="143"/>
    </row>
    <row r="64" spans="1:14">
      <c r="A64" s="142" t="s">
        <v>262</v>
      </c>
      <c r="B64" s="147"/>
      <c r="C64" s="223">
        <f>'Screener Input'!B83</f>
        <v>-59.85</v>
      </c>
      <c r="D64" s="223">
        <f>'Screener Input'!C83</f>
        <v>-102.96</v>
      </c>
      <c r="E64" s="223">
        <f>'Screener Input'!D83</f>
        <v>-166.58</v>
      </c>
      <c r="F64" s="223">
        <f>'Screener Input'!E83</f>
        <v>-68.66</v>
      </c>
      <c r="G64" s="223">
        <f>'Screener Input'!F83</f>
        <v>-150.13999999999999</v>
      </c>
      <c r="H64" s="223">
        <f>'Screener Input'!G83</f>
        <v>-151.37</v>
      </c>
      <c r="I64" s="223">
        <f>'Screener Input'!H83</f>
        <v>-263.02</v>
      </c>
      <c r="J64" s="223">
        <f>'Screener Input'!I83</f>
        <v>-266.95</v>
      </c>
      <c r="K64" s="223">
        <f>'Screener Input'!J83</f>
        <v>-139.71</v>
      </c>
      <c r="L64" s="223">
        <f>'Screener Input'!K83</f>
        <v>-136.49</v>
      </c>
      <c r="M64" s="147"/>
      <c r="N64" s="147"/>
    </row>
    <row r="65" spans="1:14">
      <c r="A65" s="142" t="s">
        <v>263</v>
      </c>
      <c r="B65" s="147"/>
      <c r="C65" s="223">
        <f>'Screener Input'!B84</f>
        <v>51.05</v>
      </c>
      <c r="D65" s="223">
        <f>'Screener Input'!C84</f>
        <v>130.97</v>
      </c>
      <c r="E65" s="223">
        <f>'Screener Input'!D84</f>
        <v>5.33</v>
      </c>
      <c r="F65" s="223">
        <f>'Screener Input'!E84</f>
        <v>-19.420000000000002</v>
      </c>
      <c r="G65" s="223">
        <f>'Screener Input'!F84</f>
        <v>52.51</v>
      </c>
      <c r="H65" s="223">
        <f>'Screener Input'!G84</f>
        <v>-13.05</v>
      </c>
      <c r="I65" s="223">
        <f>'Screener Input'!H84</f>
        <v>87.43</v>
      </c>
      <c r="J65" s="223">
        <f>'Screener Input'!I84</f>
        <v>-38.72</v>
      </c>
      <c r="K65" s="223">
        <f>'Screener Input'!J84</f>
        <v>-167.88</v>
      </c>
      <c r="L65" s="223">
        <f>'Screener Input'!K84</f>
        <v>-71.989999999999995</v>
      </c>
      <c r="M65" s="147"/>
      <c r="N65" s="147"/>
    </row>
    <row r="66" spans="1:14">
      <c r="A66" s="142" t="s">
        <v>264</v>
      </c>
      <c r="B66" s="148"/>
      <c r="C66" s="325">
        <f t="shared" ref="C66:L66" si="16">C34/C33</f>
        <v>0.21398527865404859</v>
      </c>
      <c r="D66" s="325">
        <f t="shared" si="16"/>
        <v>0.29380993897122931</v>
      </c>
      <c r="E66" s="325">
        <f t="shared" si="16"/>
        <v>0.31977135171486215</v>
      </c>
      <c r="F66" s="325">
        <f t="shared" si="16"/>
        <v>0.31740472020682198</v>
      </c>
      <c r="G66" s="325">
        <f t="shared" si="16"/>
        <v>0.31629676601141399</v>
      </c>
      <c r="H66" s="325">
        <f t="shared" si="16"/>
        <v>0.34051312948737283</v>
      </c>
      <c r="I66" s="325">
        <f t="shared" si="16"/>
        <v>0.31602115932378955</v>
      </c>
      <c r="J66" s="325">
        <f t="shared" si="16"/>
        <v>0.34562939970068207</v>
      </c>
      <c r="K66" s="325">
        <f t="shared" si="16"/>
        <v>0.35955084531920256</v>
      </c>
      <c r="L66" s="325">
        <f t="shared" si="16"/>
        <v>0.35663627152988875</v>
      </c>
      <c r="M66" s="148"/>
      <c r="N66" s="148"/>
    </row>
    <row r="67" spans="1:14">
      <c r="A67" s="142" t="s">
        <v>265</v>
      </c>
      <c r="B67" s="143"/>
      <c r="C67" s="223">
        <f t="shared" ref="C67:L67" si="17">C31*(1-C66)</f>
        <v>41.446556256571988</v>
      </c>
      <c r="D67" s="223">
        <f t="shared" si="17"/>
        <v>26.439755884917172</v>
      </c>
      <c r="E67" s="223">
        <f t="shared" si="17"/>
        <v>81.307730329522528</v>
      </c>
      <c r="F67" s="223">
        <f t="shared" si="17"/>
        <v>115.09239012592769</v>
      </c>
      <c r="G67" s="223">
        <f t="shared" si="17"/>
        <v>139.43443753963226</v>
      </c>
      <c r="H67" s="223">
        <f t="shared" si="17"/>
        <v>158.71211025756875</v>
      </c>
      <c r="I67" s="223">
        <f t="shared" si="17"/>
        <v>205.00213812747373</v>
      </c>
      <c r="J67" s="223">
        <f t="shared" si="17"/>
        <v>258.65961088631417</v>
      </c>
      <c r="K67" s="223">
        <f t="shared" si="17"/>
        <v>275.58527125914719</v>
      </c>
      <c r="L67" s="223">
        <f t="shared" si="17"/>
        <v>244.1050658561295</v>
      </c>
      <c r="M67" s="143"/>
      <c r="N67" s="143"/>
    </row>
    <row r="68" spans="1:14">
      <c r="A68" s="432"/>
      <c r="B68" s="432"/>
      <c r="C68" s="432"/>
      <c r="D68" s="432"/>
      <c r="E68" s="432"/>
      <c r="F68" s="432"/>
      <c r="G68" s="432"/>
      <c r="H68" s="432"/>
      <c r="I68" s="432"/>
      <c r="J68" s="432"/>
      <c r="K68" s="432"/>
      <c r="L68" s="126"/>
      <c r="M68" s="126"/>
      <c r="N68" s="126"/>
    </row>
    <row r="69" spans="1:14">
      <c r="A69" s="149" t="s">
        <v>266</v>
      </c>
      <c r="C69" s="150"/>
      <c r="D69" s="326">
        <f t="shared" ref="D69:L69" si="18">D37+C36</f>
        <v>239.25097634599999</v>
      </c>
      <c r="E69" s="326">
        <f t="shared" si="18"/>
        <v>590.42523332738403</v>
      </c>
      <c r="F69" s="326">
        <f t="shared" si="18"/>
        <v>1324.1030143099999</v>
      </c>
      <c r="G69" s="326">
        <f t="shared" si="18"/>
        <v>1405.8993428380002</v>
      </c>
      <c r="H69" s="326">
        <f t="shared" si="18"/>
        <v>2991.50504820176</v>
      </c>
      <c r="I69" s="326">
        <f t="shared" si="18"/>
        <v>6114.6118776000003</v>
      </c>
      <c r="J69" s="326">
        <f t="shared" si="18"/>
        <v>7965.5634349306001</v>
      </c>
      <c r="K69" s="326">
        <f t="shared" si="18"/>
        <v>10278.2650127918</v>
      </c>
      <c r="L69" s="326">
        <f t="shared" si="18"/>
        <v>9025.4100203985799</v>
      </c>
      <c r="M69" s="150"/>
      <c r="N69" s="150"/>
    </row>
    <row r="70" spans="1:14">
      <c r="A70" s="134" t="s">
        <v>267</v>
      </c>
      <c r="B70" s="150"/>
      <c r="C70" s="327">
        <f t="shared" ref="C70:L70" si="19">C35-C36</f>
        <v>29.699999999999964</v>
      </c>
      <c r="D70" s="327">
        <f t="shared" si="19"/>
        <v>6.6299999999999981</v>
      </c>
      <c r="E70" s="327">
        <f t="shared" si="19"/>
        <v>45.97</v>
      </c>
      <c r="F70" s="327">
        <f t="shared" si="19"/>
        <v>63.449999999999925</v>
      </c>
      <c r="G70" s="327">
        <f t="shared" si="19"/>
        <v>85.740000000000052</v>
      </c>
      <c r="H70" s="327">
        <f t="shared" si="19"/>
        <v>104.88999999999984</v>
      </c>
      <c r="I70" s="327">
        <f t="shared" si="19"/>
        <v>153.11999999999992</v>
      </c>
      <c r="J70" s="327">
        <f t="shared" si="19"/>
        <v>196.37999999999968</v>
      </c>
      <c r="K70" s="327">
        <f t="shared" si="19"/>
        <v>206.14000000000004</v>
      </c>
      <c r="L70" s="327">
        <f t="shared" si="19"/>
        <v>180.89999999999981</v>
      </c>
      <c r="M70" s="150"/>
      <c r="N70" s="150"/>
    </row>
    <row r="71" spans="1:14">
      <c r="A71" s="213"/>
      <c r="B71" s="213"/>
      <c r="C71" s="213"/>
      <c r="D71" s="213"/>
      <c r="E71" s="213"/>
      <c r="F71" s="213"/>
      <c r="G71" s="213"/>
      <c r="H71" s="213"/>
      <c r="I71" s="213"/>
      <c r="J71" s="213"/>
      <c r="K71" s="213"/>
      <c r="L71" s="126"/>
      <c r="M71" s="126"/>
      <c r="N71" s="126"/>
    </row>
    <row r="72" spans="1:14">
      <c r="A72" s="151" t="s">
        <v>296</v>
      </c>
      <c r="B72" s="167"/>
      <c r="C72" s="167">
        <f>'Screener Input'!B90</f>
        <v>22.918946999999999</v>
      </c>
      <c r="D72" s="167">
        <f>'Screener Input'!C90</f>
        <v>16.243500000000001</v>
      </c>
      <c r="E72" s="167">
        <f>'Screener Input'!D90</f>
        <v>40.019474000000002</v>
      </c>
      <c r="F72" s="167">
        <f>'Screener Input'!E90</f>
        <v>88.972499999999997</v>
      </c>
      <c r="G72" s="167">
        <f>'Screener Input'!F90</f>
        <v>94.280500000000004</v>
      </c>
      <c r="H72" s="167">
        <f>'Screener Input'!G90</f>
        <v>196.43315799999999</v>
      </c>
      <c r="I72" s="167">
        <f>'Screener Input'!H90</f>
        <v>383.05200000000002</v>
      </c>
      <c r="J72" s="167">
        <f>'Screener Input'!I90</f>
        <v>499.17473699999999</v>
      </c>
      <c r="K72" s="167">
        <f>'Screener Input'!J90</f>
        <v>644.184211</v>
      </c>
      <c r="L72" s="167">
        <f>'Screener Input'!K90</f>
        <v>564.81428600000004</v>
      </c>
      <c r="M72" s="167"/>
      <c r="N72" s="167"/>
    </row>
    <row r="73" spans="1:14">
      <c r="A73" s="151" t="s">
        <v>30</v>
      </c>
      <c r="B73" s="167"/>
      <c r="C73" s="167">
        <f>SUM('Screener Input'!B57:B58)/'Screener Input'!B93</f>
        <v>9.2575001107584072</v>
      </c>
      <c r="D73" s="167">
        <f>SUM('Screener Input'!C57:C58)/'Screener Input'!C93</f>
        <v>9.6923797401539868</v>
      </c>
      <c r="E73" s="167">
        <f>SUM('Screener Input'!D57:D58)/'Screener Input'!D93</f>
        <v>15.120221114547567</v>
      </c>
      <c r="F73" s="167">
        <f>SUM('Screener Input'!E57:E58)/'Screener Input'!E93</f>
        <v>19.166640166189254</v>
      </c>
      <c r="G73" s="167">
        <f>SUM('Screener Input'!F57:F58)/'Screener Input'!F93</f>
        <v>24.521775102543263</v>
      </c>
      <c r="H73" s="167">
        <f>SUM('Screener Input'!G57:G58)/'Screener Input'!G93</f>
        <v>33.351150249525027</v>
      </c>
      <c r="I73" s="167">
        <f>SUM('Screener Input'!H57:H58)/'Screener Input'!H93</f>
        <v>46.618178157520539</v>
      </c>
      <c r="J73" s="167">
        <f>SUM('Screener Input'!I57:I58)/'Screener Input'!I93</f>
        <v>61.149630673595986</v>
      </c>
      <c r="K73" s="167">
        <f>SUM('Screener Input'!J57:J58)/'Screener Input'!J93</f>
        <v>73.935748530873681</v>
      </c>
      <c r="L73" s="167">
        <f>SUM('Screener Input'!K57:K58)/'Screener Input'!K93</f>
        <v>84.956115213371731</v>
      </c>
      <c r="M73" s="167"/>
      <c r="N73" s="167"/>
    </row>
    <row r="74" spans="1:14">
      <c r="A74" s="151" t="s">
        <v>28</v>
      </c>
      <c r="B74" s="152"/>
      <c r="C74" s="152">
        <f>('Screener Input'!B30/'Screener Input'!B93)</f>
        <v>2.0317032685824743</v>
      </c>
      <c r="D74" s="152">
        <f>('Screener Input'!C30/'Screener Input'!C93)</f>
        <v>0.55039453095378066</v>
      </c>
      <c r="E74" s="152">
        <f>('Screener Input'!D30/'Screener Input'!D93)</f>
        <v>4.1191254896812577</v>
      </c>
      <c r="F74" s="152">
        <f>('Screener Input'!E30/'Screener Input'!E93)</f>
        <v>5.4957913164866401</v>
      </c>
      <c r="G74" s="152">
        <f>('Screener Input'!F30/'Screener Input'!F93)</f>
        <v>7.101448448145633</v>
      </c>
      <c r="H74" s="152">
        <f>('Screener Input'!G30/'Screener Input'!G93)</f>
        <v>8.217391074254202</v>
      </c>
      <c r="I74" s="152">
        <f>('Screener Input'!H30/'Screener Input'!H93)</f>
        <v>11.048333312360795</v>
      </c>
      <c r="J74" s="152">
        <f>('Screener Input'!I30/'Screener Input'!I93)</f>
        <v>14.554732033874844</v>
      </c>
      <c r="K74" s="152">
        <f>('Screener Input'!J30/'Screener Input'!J93)</f>
        <v>15.906202418553146</v>
      </c>
      <c r="L74" s="152">
        <f>('Screener Input'!K30/'Screener Input'!K93)</f>
        <v>14.781979021115406</v>
      </c>
      <c r="M74" s="191">
        <f>SUM('Screener Input'!H49:K49)/'Screener Input'!K93</f>
        <v>14.159142826405487</v>
      </c>
      <c r="N74" s="152">
        <f>SUM('Screener Input'!D49:G49)/'Screener Input'!K93</f>
        <v>14.982041556385864</v>
      </c>
    </row>
    <row r="75" spans="1:14">
      <c r="A75" s="151" t="s">
        <v>26</v>
      </c>
      <c r="B75" s="152"/>
      <c r="C75" s="152">
        <f>'Screener Input'!B31/'Screener Input'!B93</f>
        <v>1.358998841861187E-2</v>
      </c>
      <c r="D75" s="152">
        <f>'Screener Input'!C31/'Screener Input'!C93</f>
        <v>9.9886414876797239E-2</v>
      </c>
      <c r="E75" s="152">
        <f>'Screener Input'!D31/'Screener Input'!D93</f>
        <v>1.0002231476098336</v>
      </c>
      <c r="F75" s="152">
        <f>'Screener Input'!E31/'Screener Input'!E93</f>
        <v>1.250278934512292</v>
      </c>
      <c r="G75" s="152">
        <f>'Screener Input'!F31/'Screener Input'!F93</f>
        <v>1.5003347214147502</v>
      </c>
      <c r="H75" s="152">
        <f>'Screener Input'!G31/'Screener Input'!G93</f>
        <v>1.7503797120010161</v>
      </c>
      <c r="I75" s="152">
        <f>'Screener Input'!H31/'Screener Input'!H93</f>
        <v>1.9995218261208774</v>
      </c>
      <c r="J75" s="152">
        <f>'Screener Input'!I31/'Screener Input'!I93</f>
        <v>2.4997168707294666</v>
      </c>
      <c r="K75" s="152">
        <f>'Screener Input'!J31/'Screener Input'!J93</f>
        <v>2.9992827391813162</v>
      </c>
      <c r="L75" s="152">
        <f>'Screener Input'!K31/'Screener Input'!K93</f>
        <v>3.0009380290568815</v>
      </c>
      <c r="M75" s="152"/>
      <c r="N75" s="152"/>
    </row>
    <row r="76" spans="1:14">
      <c r="A76" s="151" t="s">
        <v>31</v>
      </c>
      <c r="B76" s="152"/>
      <c r="C76" s="152">
        <f>'Screener Input'!B90/('Screener Input'!B30/'Screener Input'!B93)</f>
        <v>11.280656656122142</v>
      </c>
      <c r="D76" s="152">
        <f>'Screener Input'!C90/('Screener Input'!C30/'Screener Input'!C93)</f>
        <v>29.512466215555559</v>
      </c>
      <c r="E76" s="152">
        <f>'Screener Input'!D90/('Screener Input'!D30/'Screener Input'!D93)</f>
        <v>9.715526778742726</v>
      </c>
      <c r="F76" s="152">
        <f>'Screener Input'!E90/('Screener Input'!E30/'Screener Input'!E93)</f>
        <v>16.189206408382788</v>
      </c>
      <c r="G76" s="152">
        <f>'Screener Input'!F90/('Screener Input'!F30/'Screener Input'!F93)</f>
        <v>13.276235219959812</v>
      </c>
      <c r="H76" s="152">
        <f>'Screener Input'!G90/('Screener Input'!G30/'Screener Input'!G93)</f>
        <v>23.904564870405412</v>
      </c>
      <c r="I76" s="152">
        <f>'Screener Input'!H90/('Screener Input'!H30/'Screener Input'!H93)</f>
        <v>34.670568779043286</v>
      </c>
      <c r="J76" s="152">
        <f>'Screener Input'!I90/('Screener Input'!I30/'Screener Input'!I93)</f>
        <v>34.296387995204256</v>
      </c>
      <c r="K76" s="152">
        <f>'Screener Input'!J90/('Screener Input'!J30/'Screener Input'!J93)</f>
        <v>40.498932054870458</v>
      </c>
      <c r="L76" s="152">
        <f>'Screener Input'!K90/('Screener Input'!K30/'Screener Input'!K93)</f>
        <v>38.209652793660965</v>
      </c>
      <c r="M76" s="152"/>
      <c r="N76" s="152"/>
    </row>
    <row r="77" spans="1:14">
      <c r="A77" s="151" t="s">
        <v>268</v>
      </c>
      <c r="B77" s="151"/>
      <c r="C77" s="152"/>
      <c r="D77" s="152">
        <f>D76/(((('Screener Input'!C30/'Screener Input'!C93) - ('Screener Input'!B30/'Screener Input'!B93))/('Screener Input'!B30/'Screener Input'!B93))*100)</f>
        <v>-0.40478107332344548</v>
      </c>
      <c r="E77" s="152">
        <f>E76/(((('Screener Input'!D30/'Screener Input'!D93) - ('Screener Input'!C30/'Screener Input'!C93))/('Screener Input'!C30/'Screener Input'!C93))*100)</f>
        <v>1.4983961711313037E-2</v>
      </c>
      <c r="F77" s="152">
        <f>F76/(((('Screener Input'!E30/'Screener Input'!E93) - ('Screener Input'!D30/'Screener Input'!D93))/('Screener Input'!D30/'Screener Input'!D93))*100)</f>
        <v>0.48439767644430626</v>
      </c>
      <c r="G77" s="152">
        <f>G76/(((('Screener Input'!F30/'Screener Input'!F93) - ('Screener Input'!E30/'Screener Input'!E93))/('Screener Input'!E30/'Screener Input'!E93))*100)</f>
        <v>0.45441468666540386</v>
      </c>
      <c r="H77" s="152">
        <f>H76/(((('Screener Input'!G30/'Screener Input'!G93) - ('Screener Input'!F30/'Screener Input'!F93))/('Screener Input'!F30/'Screener Input'!F93))*100)</f>
        <v>1.521198591494807</v>
      </c>
      <c r="I77" s="152">
        <f>I76/(((('Screener Input'!H30/'Screener Input'!H93) - ('Screener Input'!G30/'Screener Input'!G93))/('Screener Input'!G30/'Screener Input'!G93))*100)</f>
        <v>1.0063844418626369</v>
      </c>
      <c r="J77" s="152">
        <f>J76/(((('Screener Input'!I30/'Screener Input'!I93) - ('Screener Input'!H30/'Screener Input'!H93))/('Screener Input'!H30/'Screener Input'!H93))*100)</f>
        <v>1.0806470001718764</v>
      </c>
      <c r="K77" s="152">
        <f>K76/(((('Screener Input'!J30/'Screener Input'!J93) - ('Screener Input'!I30/'Screener Input'!I93))/('Screener Input'!I30/'Screener Input'!I93))*100)</f>
        <v>4.361553981495895</v>
      </c>
      <c r="L77" s="152">
        <f>L76/(((('Screener Input'!K30/'Screener Input'!K93) - ('Screener Input'!J30/'Screener Input'!J93))/('Screener Input'!J30/'Screener Input'!J93))*100)</f>
        <v>-5.4061361208439402</v>
      </c>
      <c r="M77" s="152"/>
      <c r="N77" s="152"/>
    </row>
    <row r="78" spans="1:14">
      <c r="A78" s="142" t="s">
        <v>269</v>
      </c>
      <c r="C78" s="153">
        <f t="shared" ref="C78:L78" si="20">C37/C42</f>
        <v>2.4757166325458893</v>
      </c>
      <c r="D78" s="153">
        <f t="shared" si="20"/>
        <v>1.6759042088194054</v>
      </c>
      <c r="E78" s="153">
        <f t="shared" si="20"/>
        <v>2.6467519024239796</v>
      </c>
      <c r="F78" s="153">
        <f t="shared" si="20"/>
        <v>4.6420498965150481</v>
      </c>
      <c r="G78" s="153">
        <f t="shared" si="20"/>
        <v>3.8447665230492127</v>
      </c>
      <c r="H78" s="153">
        <f t="shared" si="20"/>
        <v>5.8898465729168521</v>
      </c>
      <c r="I78" s="153">
        <f t="shared" si="20"/>
        <v>8.2167947169811324</v>
      </c>
      <c r="J78" s="153">
        <f t="shared" si="20"/>
        <v>8.1631684689068837</v>
      </c>
      <c r="K78" s="153">
        <f t="shared" si="20"/>
        <v>8.7127570059158206</v>
      </c>
      <c r="L78" s="153">
        <f t="shared" si="20"/>
        <v>6.6483064177480262</v>
      </c>
      <c r="M78" s="153"/>
      <c r="N78" s="153"/>
    </row>
    <row r="79" spans="1:14">
      <c r="A79" s="145" t="s">
        <v>270</v>
      </c>
      <c r="B79" s="143"/>
      <c r="C79" s="143">
        <f t="shared" ref="C79:L79" si="21">C37/C62</f>
        <v>-42.533623457509712</v>
      </c>
      <c r="D79" s="143">
        <f t="shared" si="21"/>
        <v>-8.2946209696738382</v>
      </c>
      <c r="E79" s="143">
        <f t="shared" si="21"/>
        <v>3.6948258050651441</v>
      </c>
      <c r="F79" s="143">
        <f t="shared" si="21"/>
        <v>14.407823660981514</v>
      </c>
      <c r="G79" s="143">
        <f t="shared" si="21"/>
        <v>14.211813406104682</v>
      </c>
      <c r="H79" s="143">
        <f t="shared" si="21"/>
        <v>17.875180882505177</v>
      </c>
      <c r="I79" s="143">
        <f t="shared" si="21"/>
        <v>33.772407375603258</v>
      </c>
      <c r="J79" s="143">
        <f t="shared" si="21"/>
        <v>25.137137807903809</v>
      </c>
      <c r="K79" s="143">
        <f t="shared" si="21"/>
        <v>30.320229248968847</v>
      </c>
      <c r="L79" s="143">
        <f t="shared" si="21"/>
        <v>37.670946711977926</v>
      </c>
      <c r="M79" s="143"/>
      <c r="N79" s="143"/>
    </row>
    <row r="80" spans="1:14">
      <c r="A80" s="145" t="s">
        <v>271</v>
      </c>
      <c r="B80" s="143"/>
      <c r="C80" s="143"/>
      <c r="D80" s="143">
        <f t="shared" ref="D80:L80" si="22">D37/D63</f>
        <v>-1.8241203841739797</v>
      </c>
      <c r="E80" s="143">
        <f t="shared" si="22"/>
        <v>66.774969765009573</v>
      </c>
      <c r="F80" s="143">
        <f t="shared" si="22"/>
        <v>65.7981414226129</v>
      </c>
      <c r="G80" s="143">
        <f t="shared" si="22"/>
        <v>-26.946967233210298</v>
      </c>
      <c r="H80" s="143">
        <f t="shared" si="22"/>
        <v>200.90832531811637</v>
      </c>
      <c r="I80" s="143">
        <f t="shared" si="22"/>
        <v>-74.8573942899299</v>
      </c>
      <c r="J80" s="143">
        <f t="shared" si="22"/>
        <v>151.09090525481992</v>
      </c>
      <c r="K80" s="143">
        <f t="shared" si="22"/>
        <v>51.429249612174999</v>
      </c>
      <c r="L80" s="143">
        <f t="shared" si="22"/>
        <v>52.005676999354556</v>
      </c>
      <c r="M80" s="143"/>
      <c r="N80" s="143"/>
    </row>
    <row r="81" spans="1:14">
      <c r="A81" s="145" t="s">
        <v>272</v>
      </c>
      <c r="B81" s="143"/>
      <c r="C81" s="143">
        <f t="shared" ref="C81:L81" si="23">C37/C26</f>
        <v>0.96897823556566409</v>
      </c>
      <c r="D81" s="143">
        <f t="shared" si="23"/>
        <v>0.55528682078048786</v>
      </c>
      <c r="E81" s="143">
        <f t="shared" si="23"/>
        <v>0.61783921670850672</v>
      </c>
      <c r="F81" s="143">
        <f t="shared" si="23"/>
        <v>0.99722246583094065</v>
      </c>
      <c r="G81" s="143">
        <f t="shared" si="23"/>
        <v>0.87635042844113775</v>
      </c>
      <c r="H81" s="143">
        <f t="shared" si="23"/>
        <v>1.6170608710957084</v>
      </c>
      <c r="I81" s="143">
        <f t="shared" si="23"/>
        <v>2.7839314632194578</v>
      </c>
      <c r="J81" s="143">
        <f t="shared" si="23"/>
        <v>3.2873204064433077</v>
      </c>
      <c r="K81" s="143">
        <f t="shared" si="23"/>
        <v>4.0156944391114795</v>
      </c>
      <c r="L81" s="143">
        <f t="shared" si="23"/>
        <v>3.312085892569387</v>
      </c>
      <c r="M81" s="143"/>
      <c r="N81" s="143"/>
    </row>
    <row r="82" spans="1:14">
      <c r="A82" s="145" t="s">
        <v>273</v>
      </c>
      <c r="B82" s="143"/>
      <c r="C82" s="143">
        <f t="shared" ref="C82:L82" si="24">(C37-C45+C8)/C29</f>
        <v>1.8949962653475438</v>
      </c>
      <c r="D82" s="143">
        <f t="shared" si="24"/>
        <v>-1.6876713989656325</v>
      </c>
      <c r="E82" s="143">
        <f t="shared" si="24"/>
        <v>2.0424585036350376</v>
      </c>
      <c r="F82" s="143">
        <f t="shared" si="24"/>
        <v>4.9952038019435241</v>
      </c>
      <c r="G82" s="143">
        <f t="shared" si="24"/>
        <v>4.3101840313727058</v>
      </c>
      <c r="H82" s="143">
        <f t="shared" si="24"/>
        <v>9.5219879308967581</v>
      </c>
      <c r="I82" s="143">
        <f t="shared" si="24"/>
        <v>16.467609329583805</v>
      </c>
      <c r="J82" s="143">
        <f t="shared" si="24"/>
        <v>16.374881777619969</v>
      </c>
      <c r="K82" s="143">
        <f t="shared" si="24"/>
        <v>19.694219181128808</v>
      </c>
      <c r="L82" s="143">
        <f t="shared" si="24"/>
        <v>18.997328818033083</v>
      </c>
      <c r="M82" s="143"/>
      <c r="N82" s="143"/>
    </row>
    <row r="83" spans="1:14">
      <c r="A83" s="140" t="s">
        <v>274</v>
      </c>
      <c r="B83" s="154"/>
      <c r="C83" s="154">
        <f t="shared" ref="C83:L83" si="25">C36/C37</f>
        <v>5.929586738261523E-4</v>
      </c>
      <c r="D83" s="154">
        <f t="shared" si="25"/>
        <v>6.1493160265212081E-3</v>
      </c>
      <c r="E83" s="154">
        <f t="shared" si="25"/>
        <v>2.4993410648271729E-2</v>
      </c>
      <c r="F83" s="154">
        <f t="shared" si="25"/>
        <v>1.4052419955742414E-2</v>
      </c>
      <c r="G83" s="154">
        <f t="shared" si="25"/>
        <v>1.5913521050638788E-2</v>
      </c>
      <c r="H83" s="154">
        <f t="shared" si="25"/>
        <v>8.9108159224371691E-3</v>
      </c>
      <c r="I83" s="154">
        <f t="shared" si="25"/>
        <v>5.2199749018955058E-3</v>
      </c>
      <c r="J83" s="154">
        <f t="shared" si="25"/>
        <v>5.0076990789889803E-3</v>
      </c>
      <c r="K83" s="154">
        <f t="shared" si="25"/>
        <v>4.6559395402215407E-3</v>
      </c>
      <c r="L83" s="154">
        <f t="shared" si="25"/>
        <v>5.3131411570862454E-3</v>
      </c>
      <c r="M83" s="154"/>
      <c r="N83" s="154"/>
    </row>
    <row r="84" spans="1:14">
      <c r="A84" s="155" t="s">
        <v>275</v>
      </c>
      <c r="B84" s="156"/>
      <c r="C84" s="157">
        <f t="shared" ref="C84:L84" si="26">C37+C8-C45</f>
        <v>134.96163401805197</v>
      </c>
      <c r="D84" s="157">
        <f t="shared" si="26"/>
        <v>-101.15902365400001</v>
      </c>
      <c r="E84" s="157">
        <f t="shared" si="26"/>
        <v>304.75523332738396</v>
      </c>
      <c r="F84" s="157">
        <f t="shared" si="26"/>
        <v>1038.3530143099999</v>
      </c>
      <c r="G84" s="157">
        <f t="shared" si="26"/>
        <v>1071.339342838</v>
      </c>
      <c r="H84" s="157">
        <f t="shared" si="26"/>
        <v>2739.0950482017602</v>
      </c>
      <c r="I84" s="157">
        <f t="shared" si="26"/>
        <v>5855.8818775999998</v>
      </c>
      <c r="J84" s="157">
        <f t="shared" si="26"/>
        <v>7661.643434930601</v>
      </c>
      <c r="K84" s="157">
        <f t="shared" si="26"/>
        <v>10077.3350127918</v>
      </c>
      <c r="L84" s="157">
        <f t="shared" si="26"/>
        <v>8889.8000203985794</v>
      </c>
      <c r="M84" s="157"/>
      <c r="N84" s="157"/>
    </row>
    <row r="85" spans="1:14">
      <c r="A85" s="432"/>
      <c r="B85" s="432"/>
      <c r="C85" s="432"/>
      <c r="D85" s="432"/>
      <c r="E85" s="432"/>
      <c r="F85" s="432"/>
      <c r="G85" s="432"/>
      <c r="H85" s="432"/>
      <c r="I85" s="432"/>
      <c r="J85" s="432"/>
      <c r="K85" s="432"/>
      <c r="L85" s="126" t="s">
        <v>276</v>
      </c>
      <c r="M85" s="126"/>
      <c r="N85" s="126"/>
    </row>
    <row r="86" spans="1:14">
      <c r="A86" s="140" t="s">
        <v>277</v>
      </c>
      <c r="B86" s="143"/>
      <c r="C86" s="143">
        <f t="shared" ref="C86:K86" si="27">C52/C60</f>
        <v>0.11766812129349896</v>
      </c>
      <c r="D86" s="143">
        <f t="shared" si="27"/>
        <v>0.19064392941796157</v>
      </c>
      <c r="E86" s="143">
        <f t="shared" si="27"/>
        <v>1.9180449271784767E-2</v>
      </c>
      <c r="F86" s="143">
        <f t="shared" si="27"/>
        <v>4.1416930433025766E-2</v>
      </c>
      <c r="G86" s="143">
        <f t="shared" si="27"/>
        <v>5.0765588605903252E-2</v>
      </c>
      <c r="H86" s="143">
        <f t="shared" si="27"/>
        <v>7.1366598050390806E-3</v>
      </c>
      <c r="I86" s="143">
        <f t="shared" si="27"/>
        <v>2.9738467940715087E-2</v>
      </c>
      <c r="J86" s="143">
        <f t="shared" si="27"/>
        <v>7.1411462076004198E-2</v>
      </c>
      <c r="K86" s="143">
        <f t="shared" si="27"/>
        <v>9.9165626758667927E-2</v>
      </c>
      <c r="L86" s="140">
        <v>1.2</v>
      </c>
      <c r="M86" s="140"/>
      <c r="N86" s="140"/>
    </row>
    <row r="87" spans="1:14">
      <c r="A87" s="140" t="s">
        <v>278</v>
      </c>
      <c r="B87" s="143"/>
      <c r="C87" s="143">
        <f t="shared" ref="C87:K87" si="28">C70/C60</f>
        <v>6.6465256797583E-2</v>
      </c>
      <c r="D87" s="143">
        <f t="shared" si="28"/>
        <v>1.091322096391888E-2</v>
      </c>
      <c r="E87" s="143">
        <f t="shared" si="28"/>
        <v>5.6739076771167608E-2</v>
      </c>
      <c r="F87" s="143">
        <f t="shared" si="28"/>
        <v>7.1216916964105231E-2</v>
      </c>
      <c r="G87" s="143">
        <f t="shared" si="28"/>
        <v>8.1847340486463832E-2</v>
      </c>
      <c r="H87" s="143">
        <f t="shared" si="28"/>
        <v>8.9221006787907536E-2</v>
      </c>
      <c r="I87" s="143">
        <f t="shared" si="28"/>
        <v>9.8031307020071012E-2</v>
      </c>
      <c r="J87" s="143">
        <f t="shared" si="28"/>
        <v>0.10225888086980955</v>
      </c>
      <c r="K87" s="143">
        <f t="shared" si="28"/>
        <v>0.10087841640363113</v>
      </c>
      <c r="L87" s="140">
        <v>1.4</v>
      </c>
      <c r="M87" s="140"/>
      <c r="N87" s="140"/>
    </row>
    <row r="88" spans="1:14">
      <c r="A88" s="140" t="s">
        <v>279</v>
      </c>
      <c r="B88" s="143"/>
      <c r="C88" s="143">
        <f t="shared" ref="C88:K88" si="29">C31/C60</f>
        <v>0.11800380440863815</v>
      </c>
      <c r="D88" s="143">
        <f t="shared" si="29"/>
        <v>6.1627600737424279E-2</v>
      </c>
      <c r="E88" s="143">
        <f t="shared" si="29"/>
        <v>0.14753147371019501</v>
      </c>
      <c r="F88" s="143">
        <f t="shared" si="29"/>
        <v>0.18924955664803456</v>
      </c>
      <c r="G88" s="143">
        <f t="shared" si="29"/>
        <v>0.19468097292756506</v>
      </c>
      <c r="H88" s="143">
        <f t="shared" si="29"/>
        <v>0.20470900461033317</v>
      </c>
      <c r="I88" s="143">
        <f t="shared" si="29"/>
        <v>0.1918883446973334</v>
      </c>
      <c r="J88" s="143">
        <f t="shared" si="29"/>
        <v>0.20582997469303571</v>
      </c>
      <c r="K88" s="143">
        <f t="shared" si="29"/>
        <v>0.21057525263647267</v>
      </c>
      <c r="L88" s="140">
        <v>3.3</v>
      </c>
      <c r="M88" s="140"/>
      <c r="N88" s="140"/>
    </row>
    <row r="89" spans="1:14">
      <c r="A89" s="140" t="s">
        <v>280</v>
      </c>
      <c r="B89" s="143"/>
      <c r="C89" s="143">
        <f t="shared" ref="C89:L89" si="30">C37/C59</f>
        <v>1.0859007566338881</v>
      </c>
      <c r="D89" s="143">
        <f t="shared" si="30"/>
        <v>0.51422082332214769</v>
      </c>
      <c r="E89" s="143">
        <f t="shared" si="30"/>
        <v>1.0021699450847126</v>
      </c>
      <c r="F89" s="143">
        <f t="shared" si="30"/>
        <v>2.1505132693514213</v>
      </c>
      <c r="G89" s="143">
        <f t="shared" si="30"/>
        <v>2.0205908761548317</v>
      </c>
      <c r="H89" s="143">
        <f t="shared" si="30"/>
        <v>4.4223409409373007</v>
      </c>
      <c r="I89" s="143">
        <f t="shared" si="30"/>
        <v>7.4154418065553411</v>
      </c>
      <c r="J89" s="143">
        <f t="shared" si="30"/>
        <v>8.3643818105370471</v>
      </c>
      <c r="K89" s="143">
        <f t="shared" si="30"/>
        <v>11.791064471792753</v>
      </c>
      <c r="L89" s="143">
        <f t="shared" si="30"/>
        <v>11.267526820952558</v>
      </c>
      <c r="M89" s="143"/>
      <c r="N89" s="143"/>
    </row>
    <row r="90" spans="1:14">
      <c r="A90" s="140" t="s">
        <v>281</v>
      </c>
      <c r="B90" s="143"/>
      <c r="C90" s="143">
        <f t="shared" ref="C90:K90" si="31">C26/C60</f>
        <v>0.7789862369922792</v>
      </c>
      <c r="D90" s="143">
        <f t="shared" si="31"/>
        <v>0.70861864629971028</v>
      </c>
      <c r="E90" s="143">
        <f t="shared" si="31"/>
        <v>1.1765613428783015</v>
      </c>
      <c r="F90" s="143">
        <f t="shared" si="31"/>
        <v>1.4737580532920285</v>
      </c>
      <c r="G90" s="143">
        <f t="shared" si="31"/>
        <v>1.5113883691626255</v>
      </c>
      <c r="H90" s="143">
        <f t="shared" si="31"/>
        <v>1.5619928208094453</v>
      </c>
      <c r="I90" s="143">
        <f t="shared" si="31"/>
        <v>1.4001024360574921</v>
      </c>
      <c r="J90" s="143">
        <f t="shared" si="31"/>
        <v>1.2567302985805187</v>
      </c>
      <c r="K90" s="143">
        <f t="shared" si="31"/>
        <v>1.2477085321392742</v>
      </c>
      <c r="L90" s="140">
        <v>1</v>
      </c>
      <c r="M90" s="140"/>
      <c r="N90" s="140"/>
    </row>
    <row r="91" spans="1:14">
      <c r="A91" s="142"/>
      <c r="B91" s="143"/>
      <c r="C91" s="143"/>
      <c r="D91" s="143"/>
      <c r="E91" s="143"/>
      <c r="F91" s="143"/>
      <c r="G91" s="143"/>
      <c r="H91" s="143"/>
      <c r="I91" s="143"/>
      <c r="J91" s="143"/>
      <c r="K91" s="143"/>
      <c r="L91" s="143"/>
      <c r="M91" s="143"/>
      <c r="N91" s="143"/>
    </row>
    <row r="92" spans="1:14">
      <c r="A92" s="126" t="s">
        <v>357</v>
      </c>
      <c r="B92" s="126"/>
      <c r="C92" s="224">
        <f>SUM('Screener Output.v0'!C35:C35)/SUM('Screener Output.v0'!C40:C41)</f>
        <v>0.21946564885496156</v>
      </c>
      <c r="D92" s="224">
        <f>SUM('Screener Output.v0'!D35:D35)/SUM('Screener Output.v0'!D40:D41)</f>
        <v>5.6786315199102613E-2</v>
      </c>
      <c r="E92" s="224">
        <f>SUM('Screener Output.v0'!E35:E35)/SUM('Screener Output.v0'!E40:E41)</f>
        <v>0.27273952903109833</v>
      </c>
      <c r="F92" s="224">
        <f>SUM('Screener Output.v0'!F35:F35)/SUM('Screener Output.v0'!F40:F41)</f>
        <v>0.29017619739780875</v>
      </c>
      <c r="G92" s="224">
        <f>SUM('Screener Output.v0'!G35:G35)/SUM('Screener Output.v0'!G40:G41)</f>
        <v>0.29876967412990479</v>
      </c>
      <c r="H92" s="224">
        <f>SUM('Screener Output.v0'!H35:H35)/SUM('Screener Output.v0'!H40:H41)</f>
        <v>0.26053237067597557</v>
      </c>
      <c r="I92" s="224">
        <f>SUM('Screener Output.v0'!I35:I35)/SUM('Screener Output.v0'!I40:I41)</f>
        <v>0.24954787162253345</v>
      </c>
      <c r="J92" s="224">
        <f>SUM('Screener Output.v0'!J35:J35)/SUM('Screener Output.v0'!J40:J41)</f>
        <v>0.24293651610247935</v>
      </c>
      <c r="K92" s="224">
        <f>SUM('Screener Output.v0'!K35:K35)/SUM('Screener Output.v0'!K40:K41)</f>
        <v>0.21598645244740966</v>
      </c>
      <c r="L92" s="224">
        <f>SUM('Screener Output.v0'!L35:L35)/SUM('Screener Output.v0'!L40:L41)</f>
        <v>0.16928568254861581</v>
      </c>
      <c r="M92" s="224"/>
      <c r="N92" s="224"/>
    </row>
    <row r="93" spans="1:14">
      <c r="A93" s="126" t="s">
        <v>560</v>
      </c>
      <c r="B93" s="126"/>
      <c r="C93" s="224">
        <f>C31/(C60-C48)</f>
        <v>0.15329825275460057</v>
      </c>
      <c r="D93" s="224">
        <f t="shared" ref="D93:L93" si="32">D31/(D60-D48)</f>
        <v>7.6809453471196457E-2</v>
      </c>
      <c r="E93" s="224">
        <f t="shared" si="32"/>
        <v>0.2341475836940978</v>
      </c>
      <c r="F93" s="224">
        <f t="shared" si="32"/>
        <v>0.30094955913325944</v>
      </c>
      <c r="G93" s="224">
        <f t="shared" si="32"/>
        <v>0.29945377657699995</v>
      </c>
      <c r="H93" s="224">
        <f t="shared" si="32"/>
        <v>0.32495712877570571</v>
      </c>
      <c r="I93" s="224">
        <f t="shared" si="32"/>
        <v>0.30447900687749518</v>
      </c>
      <c r="J93" s="224">
        <f t="shared" si="32"/>
        <v>0.31233604096210343</v>
      </c>
      <c r="K93" s="224">
        <f t="shared" si="32"/>
        <v>0.30995188290546577</v>
      </c>
      <c r="L93" s="224">
        <f t="shared" si="32"/>
        <v>0.24950187741252433</v>
      </c>
      <c r="M93" s="224">
        <f>M31/(L60-L48)</f>
        <v>0.24325479545738504</v>
      </c>
      <c r="N93" s="224"/>
    </row>
    <row r="94" spans="1:14">
      <c r="A94" s="228" t="s">
        <v>471</v>
      </c>
      <c r="B94" s="126"/>
      <c r="C94" s="246">
        <f>C4</f>
        <v>38777</v>
      </c>
      <c r="D94" s="246">
        <f t="shared" ref="D94:L94" si="33">D4</f>
        <v>39142</v>
      </c>
      <c r="E94" s="246">
        <f t="shared" si="33"/>
        <v>40603</v>
      </c>
      <c r="F94" s="246">
        <f t="shared" si="33"/>
        <v>40969</v>
      </c>
      <c r="G94" s="246">
        <f t="shared" si="33"/>
        <v>41334</v>
      </c>
      <c r="H94" s="246">
        <f t="shared" si="33"/>
        <v>41699</v>
      </c>
      <c r="I94" s="246">
        <f t="shared" si="33"/>
        <v>42064</v>
      </c>
      <c r="J94" s="246">
        <f t="shared" si="33"/>
        <v>42430</v>
      </c>
      <c r="K94" s="246">
        <f t="shared" si="33"/>
        <v>42795</v>
      </c>
      <c r="L94" s="246">
        <f t="shared" si="33"/>
        <v>43160</v>
      </c>
      <c r="M94" s="224"/>
      <c r="N94" s="224"/>
    </row>
    <row r="95" spans="1:14">
      <c r="A95" s="126" t="s">
        <v>469</v>
      </c>
      <c r="B95" s="126"/>
      <c r="C95" s="224">
        <f>(C26-C7)/C26</f>
        <v>0.85173374701944893</v>
      </c>
      <c r="D95" s="224">
        <f t="shared" ref="D95:L95" si="34">(D26-D7)/D26</f>
        <v>0.85519163763066197</v>
      </c>
      <c r="E95" s="224">
        <f t="shared" si="34"/>
        <v>0.9011277209546289</v>
      </c>
      <c r="F95" s="224">
        <f t="shared" si="34"/>
        <v>0.90940801047957776</v>
      </c>
      <c r="G95" s="224">
        <f t="shared" si="34"/>
        <v>0.90928268709695748</v>
      </c>
      <c r="H95" s="224">
        <f t="shared" si="34"/>
        <v>0.91022757595395121</v>
      </c>
      <c r="I95" s="224">
        <f t="shared" si="34"/>
        <v>0.90529930632084832</v>
      </c>
      <c r="J95" s="224">
        <f t="shared" si="34"/>
        <v>0.88642399883983503</v>
      </c>
      <c r="K95" s="224">
        <f t="shared" si="34"/>
        <v>0.86707090832787503</v>
      </c>
      <c r="L95" s="224">
        <f t="shared" si="34"/>
        <v>0.83373791780417617</v>
      </c>
      <c r="M95" s="224"/>
      <c r="N95" s="224"/>
    </row>
    <row r="96" spans="1:14">
      <c r="A96" s="126" t="s">
        <v>470</v>
      </c>
      <c r="B96" s="126"/>
      <c r="C96" s="224">
        <f>1-C95</f>
        <v>0.14826625298055107</v>
      </c>
      <c r="D96" s="224">
        <f t="shared" ref="D96:L96" si="35">1-D95</f>
        <v>0.14480836236933803</v>
      </c>
      <c r="E96" s="224">
        <f t="shared" si="35"/>
        <v>9.8872279045371103E-2</v>
      </c>
      <c r="F96" s="224">
        <f t="shared" si="35"/>
        <v>9.0591989520422245E-2</v>
      </c>
      <c r="G96" s="224">
        <f t="shared" si="35"/>
        <v>9.0717312903042524E-2</v>
      </c>
      <c r="H96" s="224">
        <f t="shared" si="35"/>
        <v>8.9772424046048793E-2</v>
      </c>
      <c r="I96" s="224">
        <f t="shared" si="35"/>
        <v>9.4700693679151682E-2</v>
      </c>
      <c r="J96" s="224">
        <f t="shared" si="35"/>
        <v>0.11357600116016497</v>
      </c>
      <c r="K96" s="224">
        <f t="shared" si="35"/>
        <v>0.13292909167212497</v>
      </c>
      <c r="L96" s="224">
        <f t="shared" si="35"/>
        <v>0.16626208219582383</v>
      </c>
      <c r="M96" s="224"/>
      <c r="N96" s="224"/>
    </row>
    <row r="97" spans="1:14">
      <c r="A97" s="126"/>
      <c r="B97" s="126"/>
      <c r="C97" s="224"/>
      <c r="D97" s="224"/>
      <c r="E97" s="224"/>
      <c r="F97" s="224"/>
      <c r="G97" s="224"/>
      <c r="H97" s="224"/>
      <c r="I97" s="224"/>
      <c r="J97" s="224"/>
      <c r="K97" s="224"/>
      <c r="L97" s="224"/>
      <c r="M97" s="224"/>
      <c r="N97" s="224"/>
    </row>
    <row r="98" spans="1:14">
      <c r="A98" s="126"/>
      <c r="B98" s="126"/>
      <c r="C98" s="224"/>
      <c r="D98" s="224"/>
      <c r="E98" s="224"/>
      <c r="F98" s="224"/>
      <c r="G98" s="224"/>
      <c r="H98" s="224"/>
      <c r="I98" s="224"/>
      <c r="J98" s="224"/>
      <c r="K98" s="224"/>
      <c r="L98" s="224"/>
      <c r="M98" s="224"/>
      <c r="N98" s="224"/>
    </row>
    <row r="99" spans="1:14">
      <c r="A99" s="228" t="s">
        <v>465</v>
      </c>
      <c r="B99" s="126"/>
      <c r="C99" s="246">
        <f t="shared" ref="C99:L99" si="36">C4</f>
        <v>38777</v>
      </c>
      <c r="D99" s="246">
        <f t="shared" si="36"/>
        <v>39142</v>
      </c>
      <c r="E99" s="246">
        <f t="shared" si="36"/>
        <v>40603</v>
      </c>
      <c r="F99" s="246">
        <f t="shared" si="36"/>
        <v>40969</v>
      </c>
      <c r="G99" s="246">
        <f t="shared" si="36"/>
        <v>41334</v>
      </c>
      <c r="H99" s="246">
        <f t="shared" si="36"/>
        <v>41699</v>
      </c>
      <c r="I99" s="246">
        <f t="shared" si="36"/>
        <v>42064</v>
      </c>
      <c r="J99" s="246">
        <f t="shared" si="36"/>
        <v>42430</v>
      </c>
      <c r="K99" s="246">
        <f t="shared" si="36"/>
        <v>42795</v>
      </c>
      <c r="L99" s="246">
        <f t="shared" si="36"/>
        <v>43160</v>
      </c>
      <c r="M99" s="224"/>
      <c r="N99" s="224"/>
    </row>
    <row r="100" spans="1:14">
      <c r="A100" s="126" t="s">
        <v>251</v>
      </c>
      <c r="B100" s="126"/>
      <c r="C100" s="224">
        <f t="shared" ref="C100:L100" si="37">C42/(C10+C42+C45)</f>
        <v>0.30488978404386258</v>
      </c>
      <c r="D100" s="224">
        <f t="shared" si="37"/>
        <v>0.23479062417698185</v>
      </c>
      <c r="E100" s="224">
        <f t="shared" si="37"/>
        <v>0.27464823500370278</v>
      </c>
      <c r="F100" s="224">
        <f t="shared" si="37"/>
        <v>0.31659819965429775</v>
      </c>
      <c r="G100" s="224">
        <f t="shared" si="37"/>
        <v>0.34449578067127418</v>
      </c>
      <c r="H100" s="224">
        <f t="shared" si="37"/>
        <v>0.42884605569826983</v>
      </c>
      <c r="I100" s="224">
        <f t="shared" si="37"/>
        <v>0.47436857773936419</v>
      </c>
      <c r="J100" s="224">
        <f t="shared" si="37"/>
        <v>0.50608721008945956</v>
      </c>
      <c r="K100" s="224">
        <f t="shared" si="37"/>
        <v>0.57506667645403609</v>
      </c>
      <c r="L100" s="224">
        <f t="shared" si="37"/>
        <v>0.62891447307140591</v>
      </c>
      <c r="M100" s="224"/>
      <c r="N100" s="224"/>
    </row>
    <row r="101" spans="1:14">
      <c r="A101" s="126" t="s">
        <v>461</v>
      </c>
      <c r="B101" s="126"/>
      <c r="C101" s="224">
        <f t="shared" ref="C101:L101" si="38">C10/(C10+C42+C45)</f>
        <v>0.23023385923688036</v>
      </c>
      <c r="D101" s="224">
        <f t="shared" si="38"/>
        <v>0.19765604424545694</v>
      </c>
      <c r="E101" s="224">
        <f t="shared" si="38"/>
        <v>0.36992100715872617</v>
      </c>
      <c r="F101" s="224">
        <f t="shared" si="38"/>
        <v>0.37115855164208589</v>
      </c>
      <c r="G101" s="224">
        <f t="shared" si="38"/>
        <v>0.34987972049333682</v>
      </c>
      <c r="H101" s="224">
        <f t="shared" si="38"/>
        <v>0.37004304111872877</v>
      </c>
      <c r="I101" s="224">
        <f t="shared" si="38"/>
        <v>0.36978136303979003</v>
      </c>
      <c r="J101" s="224">
        <f t="shared" si="38"/>
        <v>0.34099832328344842</v>
      </c>
      <c r="K101" s="224">
        <f t="shared" si="38"/>
        <v>0.32061954048300667</v>
      </c>
      <c r="L101" s="224">
        <f t="shared" si="38"/>
        <v>0.29175748430484916</v>
      </c>
      <c r="M101" s="224"/>
      <c r="N101" s="224"/>
    </row>
    <row r="102" spans="1:14">
      <c r="A102" s="126" t="s">
        <v>462</v>
      </c>
      <c r="B102" s="126"/>
      <c r="C102" s="224">
        <f t="shared" ref="C102:L102" si="39">C45/(C10+C42+C45)</f>
        <v>0.46487635671925698</v>
      </c>
      <c r="D102" s="224">
        <f t="shared" si="39"/>
        <v>0.56755333157756127</v>
      </c>
      <c r="E102" s="224">
        <f t="shared" si="39"/>
        <v>0.355430757837571</v>
      </c>
      <c r="F102" s="224">
        <f t="shared" si="39"/>
        <v>0.31224324870361636</v>
      </c>
      <c r="G102" s="224">
        <f t="shared" si="39"/>
        <v>0.30562449883538889</v>
      </c>
      <c r="H102" s="224">
        <f t="shared" si="39"/>
        <v>0.20111090318300129</v>
      </c>
      <c r="I102" s="224">
        <f t="shared" si="39"/>
        <v>0.15585005922084574</v>
      </c>
      <c r="J102" s="224">
        <f t="shared" si="39"/>
        <v>0.15291446662709199</v>
      </c>
      <c r="K102" s="224">
        <f t="shared" si="39"/>
        <v>0.10431378306295724</v>
      </c>
      <c r="L102" s="224">
        <f t="shared" si="39"/>
        <v>7.9328042623744849E-2</v>
      </c>
      <c r="M102" s="224"/>
      <c r="N102" s="224"/>
    </row>
    <row r="103" spans="1:14">
      <c r="A103" s="126"/>
      <c r="B103" s="126"/>
      <c r="C103" s="224"/>
      <c r="D103" s="224"/>
      <c r="E103" s="224"/>
      <c r="F103" s="224"/>
      <c r="G103" s="224"/>
      <c r="H103" s="224"/>
      <c r="I103" s="224"/>
      <c r="J103" s="224"/>
      <c r="K103" s="224"/>
      <c r="L103" s="224"/>
      <c r="M103" s="224"/>
      <c r="N103" s="224"/>
    </row>
    <row r="104" spans="1:14">
      <c r="A104" s="126"/>
      <c r="B104" s="126"/>
      <c r="C104" s="224"/>
      <c r="D104" s="224"/>
      <c r="E104" s="224"/>
      <c r="F104" s="224"/>
      <c r="G104" s="224"/>
      <c r="H104" s="224"/>
      <c r="I104" s="224"/>
      <c r="J104" s="224"/>
      <c r="K104" s="224"/>
      <c r="L104" s="224"/>
      <c r="M104" s="224"/>
      <c r="N104" s="224"/>
    </row>
    <row r="105" spans="1:14">
      <c r="A105" s="126"/>
      <c r="B105" s="126"/>
      <c r="C105" s="246"/>
      <c r="D105" s="246">
        <f t="shared" ref="D105:L105" si="40">D4</f>
        <v>39142</v>
      </c>
      <c r="E105" s="246">
        <f t="shared" si="40"/>
        <v>40603</v>
      </c>
      <c r="F105" s="246">
        <f t="shared" si="40"/>
        <v>40969</v>
      </c>
      <c r="G105" s="246">
        <f t="shared" si="40"/>
        <v>41334</v>
      </c>
      <c r="H105" s="246">
        <f t="shared" si="40"/>
        <v>41699</v>
      </c>
      <c r="I105" s="246">
        <f t="shared" si="40"/>
        <v>42064</v>
      </c>
      <c r="J105" s="246">
        <f t="shared" si="40"/>
        <v>42430</v>
      </c>
      <c r="K105" s="246">
        <f t="shared" si="40"/>
        <v>42795</v>
      </c>
      <c r="L105" s="246">
        <f t="shared" si="40"/>
        <v>43160</v>
      </c>
      <c r="M105" s="224"/>
      <c r="N105" s="224"/>
    </row>
    <row r="106" spans="1:14">
      <c r="A106" s="274" t="s">
        <v>440</v>
      </c>
      <c r="B106" s="126"/>
      <c r="C106" s="224"/>
      <c r="D106" s="249">
        <f t="shared" ref="D106:L106" si="41">D11-C11</f>
        <v>63.239999999999995</v>
      </c>
      <c r="E106" s="249">
        <f t="shared" si="41"/>
        <v>-100.27999999999999</v>
      </c>
      <c r="F106" s="249">
        <f t="shared" si="41"/>
        <v>21.359999999999957</v>
      </c>
      <c r="G106" s="249">
        <f t="shared" si="41"/>
        <v>16.28000000000003</v>
      </c>
      <c r="H106" s="249">
        <f t="shared" si="41"/>
        <v>-44.789999999999964</v>
      </c>
      <c r="I106" s="249">
        <f t="shared" si="41"/>
        <v>38.059999999999889</v>
      </c>
      <c r="J106" s="249">
        <f t="shared" si="41"/>
        <v>90.690000000000055</v>
      </c>
      <c r="K106" s="249">
        <f t="shared" si="41"/>
        <v>65.5</v>
      </c>
      <c r="L106" s="249">
        <f t="shared" si="41"/>
        <v>154.93999999999994</v>
      </c>
      <c r="M106" s="224"/>
      <c r="N106" s="224"/>
    </row>
    <row r="107" spans="1:14">
      <c r="A107" s="274" t="s">
        <v>358</v>
      </c>
      <c r="B107" s="126"/>
      <c r="C107" s="224"/>
      <c r="D107" s="249">
        <f t="shared" ref="D107:L107" si="42">C35</f>
        <v>29.899999999999963</v>
      </c>
      <c r="E107" s="249">
        <f t="shared" si="42"/>
        <v>8.0999999999999979</v>
      </c>
      <c r="F107" s="249">
        <f t="shared" si="42"/>
        <v>60.69</v>
      </c>
      <c r="G107" s="249">
        <f t="shared" si="42"/>
        <v>81.849999999999923</v>
      </c>
      <c r="H107" s="249">
        <f t="shared" si="42"/>
        <v>107.82000000000005</v>
      </c>
      <c r="I107" s="249">
        <f t="shared" si="42"/>
        <v>131.34999999999985</v>
      </c>
      <c r="J107" s="249">
        <f t="shared" si="42"/>
        <v>184.89999999999992</v>
      </c>
      <c r="K107" s="249">
        <f t="shared" si="42"/>
        <v>236.10999999999967</v>
      </c>
      <c r="L107" s="249">
        <f t="shared" si="42"/>
        <v>253.81000000000006</v>
      </c>
      <c r="M107" s="224"/>
      <c r="N107" s="224"/>
    </row>
    <row r="108" spans="1:14">
      <c r="B108" s="126"/>
      <c r="C108" s="224"/>
      <c r="E108" s="249"/>
      <c r="F108" s="249"/>
      <c r="G108" s="249"/>
      <c r="H108" s="249"/>
      <c r="I108" s="249"/>
      <c r="J108" s="249"/>
      <c r="K108" s="249"/>
      <c r="L108" s="249"/>
      <c r="M108" s="224"/>
      <c r="N108" s="224"/>
    </row>
    <row r="109" spans="1:14">
      <c r="A109" s="274"/>
      <c r="B109" s="126"/>
      <c r="C109" s="224"/>
      <c r="D109" s="249"/>
      <c r="E109" s="249"/>
      <c r="F109" s="249"/>
      <c r="G109" s="249"/>
      <c r="H109" s="249"/>
      <c r="I109" s="249"/>
      <c r="J109" s="249"/>
      <c r="K109" s="249"/>
      <c r="L109" s="249"/>
      <c r="M109" s="224"/>
      <c r="N109" s="224"/>
    </row>
    <row r="110" spans="1:14">
      <c r="A110" s="126"/>
      <c r="B110" s="126"/>
      <c r="C110" s="224"/>
      <c r="D110" s="224"/>
      <c r="E110" s="224"/>
      <c r="F110" s="224"/>
      <c r="G110" s="224"/>
      <c r="H110" s="224"/>
      <c r="I110" s="224"/>
      <c r="J110" s="224"/>
      <c r="K110" s="224"/>
      <c r="L110" s="224"/>
      <c r="M110" s="224"/>
      <c r="N110" s="224"/>
    </row>
    <row r="111" spans="1:14">
      <c r="A111" s="126"/>
      <c r="B111" s="126"/>
      <c r="C111" s="246">
        <f t="shared" ref="C111:L111" si="43">C4</f>
        <v>38777</v>
      </c>
      <c r="D111" s="246">
        <f t="shared" si="43"/>
        <v>39142</v>
      </c>
      <c r="E111" s="246">
        <f t="shared" si="43"/>
        <v>40603</v>
      </c>
      <c r="F111" s="246">
        <f t="shared" si="43"/>
        <v>40969</v>
      </c>
      <c r="G111" s="246">
        <f t="shared" si="43"/>
        <v>41334</v>
      </c>
      <c r="H111" s="246">
        <f t="shared" si="43"/>
        <v>41699</v>
      </c>
      <c r="I111" s="246">
        <f t="shared" si="43"/>
        <v>42064</v>
      </c>
      <c r="J111" s="246">
        <f t="shared" si="43"/>
        <v>42430</v>
      </c>
      <c r="K111" s="246">
        <f t="shared" si="43"/>
        <v>42795</v>
      </c>
      <c r="L111" s="246">
        <f t="shared" si="43"/>
        <v>43160</v>
      </c>
      <c r="M111" s="224"/>
      <c r="N111" s="224"/>
    </row>
    <row r="112" spans="1:14">
      <c r="A112" s="126" t="s">
        <v>434</v>
      </c>
      <c r="B112" s="126"/>
      <c r="C112" s="249">
        <f t="shared" ref="C112:L112" si="44">(C7/C26)*365</f>
        <v>54.11718233790112</v>
      </c>
      <c r="D112" s="249">
        <f t="shared" si="44"/>
        <v>52.855052264808371</v>
      </c>
      <c r="E112" s="249">
        <f t="shared" si="44"/>
        <v>36.088381851560456</v>
      </c>
      <c r="F112" s="249">
        <f t="shared" si="44"/>
        <v>33.066076174954112</v>
      </c>
      <c r="G112" s="249">
        <f t="shared" si="44"/>
        <v>33.111819209610488</v>
      </c>
      <c r="H112" s="249">
        <f t="shared" si="44"/>
        <v>32.766934776807837</v>
      </c>
      <c r="I112" s="249">
        <f t="shared" si="44"/>
        <v>34.565753192890362</v>
      </c>
      <c r="J112" s="249">
        <f t="shared" si="44"/>
        <v>41.455240423460197</v>
      </c>
      <c r="K112" s="249">
        <f t="shared" si="44"/>
        <v>48.519118460325615</v>
      </c>
      <c r="L112" s="249">
        <f t="shared" si="44"/>
        <v>60.685660001475689</v>
      </c>
      <c r="M112" s="224"/>
      <c r="N112" s="224"/>
    </row>
    <row r="113" spans="1:14">
      <c r="A113" s="126" t="s">
        <v>435</v>
      </c>
      <c r="B113" s="126"/>
      <c r="C113" s="264">
        <f>C27/C54</f>
        <v>2.1703180212014135</v>
      </c>
      <c r="D113" s="264">
        <f t="shared" ref="D113:L113" si="45">D27/AVERAGE(C54:D54)</f>
        <v>2.395045230263158</v>
      </c>
      <c r="E113" s="264">
        <f t="shared" si="45"/>
        <v>3.8304963010845361</v>
      </c>
      <c r="F113" s="264">
        <f t="shared" si="45"/>
        <v>3.6369126139594878</v>
      </c>
      <c r="G113" s="264">
        <f t="shared" si="45"/>
        <v>3.3644846008025797</v>
      </c>
      <c r="H113" s="264">
        <f t="shared" si="45"/>
        <v>3.6349321705426356</v>
      </c>
      <c r="I113" s="264">
        <f t="shared" si="45"/>
        <v>3.3328095727322178</v>
      </c>
      <c r="J113" s="264">
        <f t="shared" si="45"/>
        <v>2.6533331393911186</v>
      </c>
      <c r="K113" s="264">
        <f t="shared" si="45"/>
        <v>2.3983390417752148</v>
      </c>
      <c r="L113" s="264">
        <f t="shared" si="45"/>
        <v>2.8599981345520926</v>
      </c>
      <c r="M113" s="224"/>
      <c r="N113" s="224"/>
    </row>
    <row r="114" spans="1:14">
      <c r="A114" s="274" t="s">
        <v>219</v>
      </c>
      <c r="B114" s="126"/>
      <c r="C114" s="224">
        <f>C6/C26</f>
        <v>0.20325203252032523</v>
      </c>
      <c r="D114" s="224">
        <f t="shared" ref="D114:L114" si="46">D6/D26</f>
        <v>0.28759581881533103</v>
      </c>
      <c r="E114" s="224">
        <f t="shared" si="46"/>
        <v>0.16223446105428796</v>
      </c>
      <c r="F114" s="224">
        <f t="shared" si="46"/>
        <v>0.14202264990137314</v>
      </c>
      <c r="G114" s="224">
        <f t="shared" si="46"/>
        <v>0.13876976131676846</v>
      </c>
      <c r="H114" s="224">
        <f t="shared" si="46"/>
        <v>0.1051510910467187</v>
      </c>
      <c r="I114" s="224">
        <f t="shared" si="46"/>
        <v>0.13869924870478167</v>
      </c>
      <c r="J114" s="224">
        <f t="shared" si="46"/>
        <v>0.15917876898216249</v>
      </c>
      <c r="K114" s="224">
        <f t="shared" si="46"/>
        <v>0.14591136753175948</v>
      </c>
      <c r="L114" s="224">
        <f t="shared" si="46"/>
        <v>0.13962591308197447</v>
      </c>
      <c r="M114" s="224"/>
      <c r="N114" s="224"/>
    </row>
    <row r="115" spans="1:14">
      <c r="A115" s="126"/>
      <c r="B115" s="126"/>
      <c r="C115" s="224"/>
      <c r="D115" s="224"/>
      <c r="E115" s="224"/>
      <c r="F115" s="224"/>
      <c r="G115" s="224"/>
      <c r="H115" s="224"/>
      <c r="I115" s="224"/>
      <c r="J115" s="224"/>
      <c r="K115" s="224"/>
      <c r="L115" s="224"/>
      <c r="M115" s="224"/>
      <c r="N115" s="224"/>
    </row>
    <row r="116" spans="1:14">
      <c r="A116" s="126"/>
      <c r="B116" s="126"/>
      <c r="C116" s="246">
        <f t="shared" ref="C116:L116" si="47">C4</f>
        <v>38777</v>
      </c>
      <c r="D116" s="246">
        <f t="shared" si="47"/>
        <v>39142</v>
      </c>
      <c r="E116" s="246">
        <f t="shared" si="47"/>
        <v>40603</v>
      </c>
      <c r="F116" s="246">
        <f t="shared" si="47"/>
        <v>40969</v>
      </c>
      <c r="G116" s="246">
        <f t="shared" si="47"/>
        <v>41334</v>
      </c>
      <c r="H116" s="246">
        <f t="shared" si="47"/>
        <v>41699</v>
      </c>
      <c r="I116" s="246">
        <f t="shared" si="47"/>
        <v>42064</v>
      </c>
      <c r="J116" s="246">
        <f t="shared" si="47"/>
        <v>42430</v>
      </c>
      <c r="K116" s="246">
        <f t="shared" si="47"/>
        <v>42795</v>
      </c>
      <c r="L116" s="246">
        <f t="shared" si="47"/>
        <v>43160</v>
      </c>
      <c r="M116" s="224"/>
      <c r="N116" s="224"/>
    </row>
    <row r="117" spans="1:14">
      <c r="A117" s="126" t="s">
        <v>326</v>
      </c>
      <c r="B117" s="126"/>
      <c r="C117" s="264">
        <f t="shared" ref="C117:L117" si="48">C45/C35</f>
        <v>6.9474916387959951</v>
      </c>
      <c r="D117" s="264">
        <f t="shared" si="48"/>
        <v>42.567901234567913</v>
      </c>
      <c r="E117" s="264">
        <f t="shared" si="48"/>
        <v>4.7449332674246172</v>
      </c>
      <c r="F117" s="264">
        <f t="shared" si="48"/>
        <v>3.3987782529016526</v>
      </c>
      <c r="G117" s="264">
        <f t="shared" si="48"/>
        <v>2.9693934335002772</v>
      </c>
      <c r="H117" s="264">
        <f t="shared" si="48"/>
        <v>1.800000000000002</v>
      </c>
      <c r="I117" s="264">
        <f t="shared" si="48"/>
        <v>1.3165494862087621</v>
      </c>
      <c r="J117" s="264">
        <f t="shared" si="48"/>
        <v>1.2437423234932889</v>
      </c>
      <c r="K117" s="264">
        <f t="shared" si="48"/>
        <v>0.83984082581458552</v>
      </c>
      <c r="L117" s="264">
        <f t="shared" si="48"/>
        <v>0.74510061242344772</v>
      </c>
      <c r="M117" s="224"/>
      <c r="N117" s="224"/>
    </row>
    <row r="118" spans="1:14">
      <c r="A118" s="126" t="s">
        <v>208</v>
      </c>
      <c r="B118" s="126"/>
      <c r="C118" s="264">
        <f t="shared" ref="C118:L118" si="49">C62/C35</f>
        <v>-0.26521739130434813</v>
      </c>
      <c r="D118" s="264">
        <f t="shared" si="49"/>
        <v>-3.5580246913580256</v>
      </c>
      <c r="E118" s="264">
        <f t="shared" si="49"/>
        <v>2.6264623496457409</v>
      </c>
      <c r="F118" s="264">
        <f t="shared" si="49"/>
        <v>1.1103237629810638</v>
      </c>
      <c r="G118" s="264">
        <f t="shared" si="49"/>
        <v>0.90549063253570716</v>
      </c>
      <c r="H118" s="264">
        <f t="shared" si="49"/>
        <v>1.2647125999238691</v>
      </c>
      <c r="I118" s="264">
        <f t="shared" si="49"/>
        <v>0.97495943753380254</v>
      </c>
      <c r="J118" s="264">
        <f t="shared" si="49"/>
        <v>1.3367498199991548</v>
      </c>
      <c r="K118" s="264">
        <f t="shared" si="49"/>
        <v>1.3304440329380243</v>
      </c>
      <c r="L118" s="264">
        <f t="shared" si="49"/>
        <v>1.0425196850393708</v>
      </c>
      <c r="M118" s="224"/>
      <c r="N118" s="224"/>
    </row>
    <row r="119" spans="1:14">
      <c r="A119" s="126" t="s">
        <v>424</v>
      </c>
      <c r="B119" s="126"/>
      <c r="C119" s="224">
        <f t="shared" ref="C119:L119" si="50">C35/C11</f>
        <v>0.56865728413845484</v>
      </c>
      <c r="D119" s="224">
        <f t="shared" si="50"/>
        <v>6.9936107753410443E-2</v>
      </c>
      <c r="E119" s="224">
        <f t="shared" si="50"/>
        <v>3.9054054054053999</v>
      </c>
      <c r="F119" s="224">
        <f t="shared" si="50"/>
        <v>2.2181571815718151</v>
      </c>
      <c r="G119" s="224">
        <f t="shared" si="50"/>
        <v>2.0274539300488912</v>
      </c>
      <c r="H119" s="224">
        <f t="shared" si="50"/>
        <v>15.655542312276422</v>
      </c>
      <c r="I119" s="224">
        <f t="shared" si="50"/>
        <v>3.9806243272335888</v>
      </c>
      <c r="J119" s="224">
        <f t="shared" si="50"/>
        <v>1.7216712848184315</v>
      </c>
      <c r="K119" s="224">
        <f t="shared" si="50"/>
        <v>1.2525167785234903</v>
      </c>
      <c r="L119" s="224">
        <f t="shared" si="50"/>
        <v>0.63929749986017081</v>
      </c>
      <c r="M119" s="224"/>
      <c r="N119" s="224"/>
    </row>
    <row r="120" spans="1:14">
      <c r="A120" s="126" t="s">
        <v>425</v>
      </c>
      <c r="B120" s="126"/>
      <c r="C120" s="259">
        <f>C26/C50</f>
        <v>1.3427843999537088</v>
      </c>
      <c r="D120" s="259">
        <f t="shared" ref="D120:L120" si="51">D26/AVERAGE(C50:D50)</f>
        <v>1.3734028807962864</v>
      </c>
      <c r="E120" s="259">
        <f t="shared" si="51"/>
        <v>2.2190020601277975</v>
      </c>
      <c r="F120" s="259">
        <f t="shared" si="51"/>
        <v>2.5938700724014976</v>
      </c>
      <c r="G120" s="259">
        <f t="shared" si="51"/>
        <v>2.7754998290808057</v>
      </c>
      <c r="H120" s="259">
        <f t="shared" si="51"/>
        <v>2.8001921376071244</v>
      </c>
      <c r="I120" s="259">
        <f t="shared" si="51"/>
        <v>2.8187565655068405</v>
      </c>
      <c r="J120" s="259">
        <f t="shared" si="51"/>
        <v>2.437102075644126</v>
      </c>
      <c r="K120" s="259">
        <f t="shared" si="51"/>
        <v>2.2191922708677865</v>
      </c>
      <c r="L120" s="259">
        <f t="shared" si="51"/>
        <v>2.3343093351705138</v>
      </c>
      <c r="M120" s="224"/>
      <c r="N120" s="224"/>
    </row>
    <row r="121" spans="1:14">
      <c r="A121" s="126" t="s">
        <v>441</v>
      </c>
      <c r="B121" s="126"/>
      <c r="C121" s="259">
        <f t="shared" ref="C121:L121" si="52">C10/C9</f>
        <v>0.66177794931171996</v>
      </c>
      <c r="D121" s="259">
        <f t="shared" si="52"/>
        <v>0.50902924968206864</v>
      </c>
      <c r="E121" s="259">
        <f t="shared" si="52"/>
        <v>0.95070578905630443</v>
      </c>
      <c r="F121" s="259">
        <f t="shared" si="52"/>
        <v>0.89961368953697163</v>
      </c>
      <c r="G121" s="259">
        <f t="shared" si="52"/>
        <v>0.87329044555634971</v>
      </c>
      <c r="H121" s="259">
        <f t="shared" si="52"/>
        <v>0.98107888683415267</v>
      </c>
      <c r="I121" s="259">
        <f t="shared" si="52"/>
        <v>0.92556447606685588</v>
      </c>
      <c r="J121" s="259">
        <f t="shared" si="52"/>
        <v>0.82684343434343432</v>
      </c>
      <c r="K121" s="259">
        <f t="shared" si="52"/>
        <v>0.76377053193597655</v>
      </c>
      <c r="L121" s="259">
        <f t="shared" si="52"/>
        <v>0.63661676981392845</v>
      </c>
      <c r="M121" s="224"/>
      <c r="N121" s="224"/>
    </row>
    <row r="122" spans="1:14">
      <c r="A122" s="126"/>
      <c r="B122" s="126"/>
      <c r="C122" s="224"/>
      <c r="D122" s="224"/>
      <c r="E122" s="224"/>
      <c r="F122" s="224"/>
      <c r="G122" s="224"/>
      <c r="H122" s="224"/>
      <c r="I122" s="224"/>
      <c r="J122" s="224"/>
      <c r="K122" s="224"/>
      <c r="L122" s="224"/>
      <c r="M122" s="224"/>
      <c r="N122" s="224"/>
    </row>
    <row r="123" spans="1:14">
      <c r="A123" s="126"/>
      <c r="B123" s="126"/>
      <c r="C123" s="224"/>
      <c r="D123" s="224"/>
      <c r="E123" s="224"/>
      <c r="F123" s="224"/>
      <c r="G123" s="224"/>
      <c r="H123" s="224"/>
      <c r="I123" s="224"/>
      <c r="J123" s="224"/>
      <c r="K123" s="224"/>
      <c r="L123" s="224"/>
      <c r="M123" s="224"/>
      <c r="N123" s="224"/>
    </row>
    <row r="124" spans="1:14">
      <c r="A124" s="126"/>
      <c r="B124" s="126"/>
      <c r="C124" s="224"/>
      <c r="D124" s="224"/>
      <c r="E124" s="224"/>
      <c r="F124" s="224"/>
      <c r="G124" s="224"/>
      <c r="H124" s="224"/>
      <c r="I124" s="224"/>
      <c r="J124" s="224"/>
      <c r="K124" s="224"/>
      <c r="L124" s="224"/>
      <c r="M124" s="224"/>
      <c r="N124" s="224"/>
    </row>
    <row r="125" spans="1:14">
      <c r="A125" s="228" t="s">
        <v>421</v>
      </c>
      <c r="B125" s="126"/>
      <c r="C125" s="240">
        <f t="shared" ref="C125:L125" si="53">C4</f>
        <v>38777</v>
      </c>
      <c r="D125" s="240">
        <f t="shared" si="53"/>
        <v>39142</v>
      </c>
      <c r="E125" s="240">
        <f t="shared" si="53"/>
        <v>40603</v>
      </c>
      <c r="F125" s="240">
        <f t="shared" si="53"/>
        <v>40969</v>
      </c>
      <c r="G125" s="240">
        <f t="shared" si="53"/>
        <v>41334</v>
      </c>
      <c r="H125" s="240">
        <f t="shared" si="53"/>
        <v>41699</v>
      </c>
      <c r="I125" s="240">
        <f t="shared" si="53"/>
        <v>42064</v>
      </c>
      <c r="J125" s="240">
        <f t="shared" si="53"/>
        <v>42430</v>
      </c>
      <c r="K125" s="240">
        <f t="shared" si="53"/>
        <v>42795</v>
      </c>
      <c r="L125" s="240">
        <f t="shared" si="53"/>
        <v>43160</v>
      </c>
      <c r="M125" s="126" t="s">
        <v>468</v>
      </c>
      <c r="N125" s="126"/>
    </row>
    <row r="126" spans="1:14">
      <c r="A126" s="126" t="s">
        <v>458</v>
      </c>
      <c r="B126" s="126"/>
      <c r="C126" s="224">
        <f t="shared" ref="C126:M126" si="54">C29/C26</f>
        <v>0.20460225803671453</v>
      </c>
      <c r="D126" s="224">
        <f t="shared" si="54"/>
        <v>0.13923344947735192</v>
      </c>
      <c r="E126" s="224">
        <f t="shared" si="54"/>
        <v>0.15652766850249147</v>
      </c>
      <c r="F126" s="224">
        <f t="shared" si="54"/>
        <v>0.15831321447339355</v>
      </c>
      <c r="G126" s="224">
        <f t="shared" si="54"/>
        <v>0.15699154281960756</v>
      </c>
      <c r="H126" s="224">
        <f t="shared" si="54"/>
        <v>0.15665111010668126</v>
      </c>
      <c r="I126" s="224">
        <f t="shared" si="54"/>
        <v>0.16260534366154672</v>
      </c>
      <c r="J126" s="224">
        <f t="shared" si="54"/>
        <v>0.19386769976589516</v>
      </c>
      <c r="K126" s="224">
        <f t="shared" si="54"/>
        <v>0.20069186509415093</v>
      </c>
      <c r="L126" s="224">
        <f t="shared" si="54"/>
        <v>0.17263705452667302</v>
      </c>
      <c r="M126" s="224">
        <f t="shared" si="54"/>
        <v>0.16765409114968333</v>
      </c>
      <c r="N126" s="126"/>
    </row>
    <row r="127" spans="1:14">
      <c r="A127" s="126" t="s">
        <v>418</v>
      </c>
      <c r="B127" s="126"/>
      <c r="C127" s="253">
        <f t="shared" ref="C127:M127" si="55">C35/C25</f>
        <v>8.5680717540189605E-2</v>
      </c>
      <c r="D127" s="253">
        <f t="shared" si="55"/>
        <v>1.8770856507230253E-2</v>
      </c>
      <c r="E127" s="253">
        <f t="shared" si="55"/>
        <v>6.3645039168597997E-2</v>
      </c>
      <c r="F127" s="253">
        <f t="shared" si="55"/>
        <v>6.2267021681247564E-2</v>
      </c>
      <c r="G127" s="253">
        <f t="shared" si="55"/>
        <v>6.7969060271951917E-2</v>
      </c>
      <c r="H127" s="253">
        <f t="shared" si="55"/>
        <v>7.1456549413006262E-2</v>
      </c>
      <c r="I127" s="253">
        <f t="shared" si="55"/>
        <v>8.4271071186038965E-2</v>
      </c>
      <c r="J127" s="253">
        <f t="shared" si="55"/>
        <v>9.7409937785698841E-2</v>
      </c>
      <c r="K127" s="253">
        <f t="shared" si="55"/>
        <v>9.8951652832954526E-2</v>
      </c>
      <c r="L127" s="253">
        <f t="shared" si="55"/>
        <v>8.3976504211682443E-2</v>
      </c>
      <c r="M127" s="253">
        <f t="shared" si="55"/>
        <v>8.1843868982897375E-2</v>
      </c>
      <c r="N127" s="126"/>
    </row>
    <row r="128" spans="1:14">
      <c r="A128" s="126"/>
      <c r="B128" s="126"/>
      <c r="C128" s="253"/>
      <c r="D128" s="253"/>
      <c r="E128" s="253"/>
      <c r="F128" s="253"/>
      <c r="G128" s="253"/>
      <c r="H128" s="253"/>
      <c r="I128" s="253"/>
      <c r="J128" s="253"/>
      <c r="K128" s="253"/>
      <c r="L128" s="253"/>
      <c r="M128" s="126"/>
      <c r="N128" s="126"/>
    </row>
    <row r="129" spans="1:14">
      <c r="A129" s="228" t="s">
        <v>245</v>
      </c>
      <c r="B129" s="126"/>
      <c r="C129" s="246">
        <f>C125</f>
        <v>38777</v>
      </c>
      <c r="D129" s="246">
        <f t="shared" ref="D129:L129" si="56">D125</f>
        <v>39142</v>
      </c>
      <c r="E129" s="246">
        <f t="shared" si="56"/>
        <v>40603</v>
      </c>
      <c r="F129" s="246">
        <f t="shared" si="56"/>
        <v>40969</v>
      </c>
      <c r="G129" s="246">
        <f t="shared" si="56"/>
        <v>41334</v>
      </c>
      <c r="H129" s="246">
        <f t="shared" si="56"/>
        <v>41699</v>
      </c>
      <c r="I129" s="246">
        <f t="shared" si="56"/>
        <v>42064</v>
      </c>
      <c r="J129" s="246">
        <f t="shared" si="56"/>
        <v>42430</v>
      </c>
      <c r="K129" s="246">
        <f t="shared" si="56"/>
        <v>42795</v>
      </c>
      <c r="L129" s="246">
        <f t="shared" si="56"/>
        <v>43160</v>
      </c>
      <c r="M129" s="126" t="s">
        <v>468</v>
      </c>
      <c r="N129" s="126"/>
    </row>
    <row r="130" spans="1:14">
      <c r="A130" s="126" t="s">
        <v>18</v>
      </c>
      <c r="B130" s="126"/>
      <c r="C130" s="224">
        <f>C30/C29</f>
        <v>0.25961808480763843</v>
      </c>
      <c r="D130" s="224">
        <f t="shared" ref="D130:L130" si="57">D30/D29</f>
        <v>0.37537537537537541</v>
      </c>
      <c r="E130" s="224">
        <f t="shared" si="57"/>
        <v>0.19891428188459218</v>
      </c>
      <c r="F130" s="224">
        <f t="shared" si="57"/>
        <v>0.18886804252657918</v>
      </c>
      <c r="G130" s="224">
        <f t="shared" si="57"/>
        <v>0.17951400064370771</v>
      </c>
      <c r="H130" s="224">
        <f t="shared" si="57"/>
        <v>0.16338733226726004</v>
      </c>
      <c r="I130" s="224">
        <f t="shared" si="57"/>
        <v>0.1571428571428572</v>
      </c>
      <c r="J130" s="224">
        <f t="shared" si="57"/>
        <v>0.1551860480027358</v>
      </c>
      <c r="K130" s="224">
        <f t="shared" si="57"/>
        <v>0.15906115030584922</v>
      </c>
      <c r="L130" s="224">
        <f t="shared" si="57"/>
        <v>0.18918687894005776</v>
      </c>
      <c r="M130" s="224">
        <f>M30/M29</f>
        <v>0.19456540672356734</v>
      </c>
      <c r="N130" s="126"/>
    </row>
    <row r="131" spans="1:14">
      <c r="A131" s="126" t="s">
        <v>17</v>
      </c>
      <c r="B131" s="126"/>
      <c r="C131" s="224">
        <f>C32/C29</f>
        <v>0.2062622858747544</v>
      </c>
      <c r="D131" s="224">
        <f t="shared" ref="D131:L131" si="58">D32/D29</f>
        <v>0.43326659993326661</v>
      </c>
      <c r="E131" s="224">
        <f t="shared" si="58"/>
        <v>0.20313651900006699</v>
      </c>
      <c r="F131" s="224">
        <f t="shared" si="58"/>
        <v>0.23428104103526254</v>
      </c>
      <c r="G131" s="224">
        <f t="shared" si="58"/>
        <v>0.18603154168007721</v>
      </c>
      <c r="H131" s="224">
        <f t="shared" si="58"/>
        <v>0.14423277480358765</v>
      </c>
      <c r="I131" s="224">
        <f t="shared" si="58"/>
        <v>8.2649043869516339E-2</v>
      </c>
      <c r="J131" s="224">
        <f t="shared" si="58"/>
        <v>7.3649789480433492E-2</v>
      </c>
      <c r="K131" s="224">
        <f t="shared" si="58"/>
        <v>6.6446481267955201E-2</v>
      </c>
      <c r="L131" s="224">
        <f t="shared" si="58"/>
        <v>5.1501228763756832E-2</v>
      </c>
      <c r="M131" s="224">
        <f>M32/M29</f>
        <v>4.4569761365615745E-2</v>
      </c>
      <c r="N131" s="126"/>
    </row>
    <row r="132" spans="1:14">
      <c r="A132" s="126" t="s">
        <v>419</v>
      </c>
      <c r="B132" s="126"/>
      <c r="C132" s="224">
        <f>C34/C29</f>
        <v>0.11429373771412532</v>
      </c>
      <c r="D132" s="224">
        <f t="shared" ref="D132:L132" si="59">D34/D29</f>
        <v>5.6222889556222892E-2</v>
      </c>
      <c r="E132" s="224">
        <f t="shared" si="59"/>
        <v>0.19120702365793177</v>
      </c>
      <c r="F132" s="224">
        <f t="shared" si="59"/>
        <v>0.18309520373310251</v>
      </c>
      <c r="G132" s="224">
        <f t="shared" si="59"/>
        <v>0.20067589314451234</v>
      </c>
      <c r="H132" s="224">
        <f t="shared" si="59"/>
        <v>0.23576444413543776</v>
      </c>
      <c r="I132" s="224">
        <f t="shared" si="59"/>
        <v>0.24024184476940391</v>
      </c>
      <c r="J132" s="224">
        <f t="shared" si="59"/>
        <v>0.26653700656137147</v>
      </c>
      <c r="K132" s="224">
        <f t="shared" si="59"/>
        <v>0.2784693857609099</v>
      </c>
      <c r="L132" s="224">
        <f t="shared" si="59"/>
        <v>0.27079816219681596</v>
      </c>
      <c r="M132" s="224">
        <f>M34/M29</f>
        <v>0.27083696220170705</v>
      </c>
      <c r="N132" s="126"/>
    </row>
    <row r="133" spans="1:14">
      <c r="A133" s="126" t="s">
        <v>420</v>
      </c>
      <c r="B133" s="126"/>
      <c r="C133" s="224">
        <f>C35/C29</f>
        <v>0.41982589160348188</v>
      </c>
      <c r="D133" s="224">
        <f t="shared" ref="D133:L133" si="60">D35/D29</f>
        <v>0.13513513513513511</v>
      </c>
      <c r="E133" s="224">
        <f t="shared" si="60"/>
        <v>0.40674217545740898</v>
      </c>
      <c r="F133" s="224">
        <f t="shared" si="60"/>
        <v>0.39375571270505583</v>
      </c>
      <c r="G133" s="224">
        <f t="shared" si="60"/>
        <v>0.43377856453170272</v>
      </c>
      <c r="H133" s="224">
        <f t="shared" si="60"/>
        <v>0.45661544879371452</v>
      </c>
      <c r="I133" s="224">
        <f t="shared" si="60"/>
        <v>0.51996625421822262</v>
      </c>
      <c r="J133" s="224">
        <f t="shared" si="60"/>
        <v>0.50462715595545926</v>
      </c>
      <c r="K133" s="224">
        <f t="shared" si="60"/>
        <v>0.49602298266528566</v>
      </c>
      <c r="L133" s="224">
        <f t="shared" si="60"/>
        <v>0.48851373009936933</v>
      </c>
      <c r="M133" s="224">
        <f>M35/M29</f>
        <v>0.49002786970910994</v>
      </c>
      <c r="N133" s="126"/>
    </row>
    <row r="134" spans="1:14">
      <c r="A134" s="126" t="s">
        <v>57</v>
      </c>
      <c r="B134" s="126"/>
      <c r="C134" s="224">
        <f>SUM(C130:C133)</f>
        <v>1</v>
      </c>
      <c r="D134" s="224">
        <f t="shared" ref="D134:M134" si="61">SUM(D130:D133)</f>
        <v>1</v>
      </c>
      <c r="E134" s="224">
        <f t="shared" si="61"/>
        <v>0.99999999999999989</v>
      </c>
      <c r="F134" s="224">
        <f t="shared" si="61"/>
        <v>1</v>
      </c>
      <c r="G134" s="224">
        <f t="shared" si="61"/>
        <v>1</v>
      </c>
      <c r="H134" s="224">
        <f t="shared" si="61"/>
        <v>1</v>
      </c>
      <c r="I134" s="224">
        <f t="shared" si="61"/>
        <v>1</v>
      </c>
      <c r="J134" s="224">
        <f t="shared" si="61"/>
        <v>1</v>
      </c>
      <c r="K134" s="224">
        <f t="shared" si="61"/>
        <v>1</v>
      </c>
      <c r="L134" s="224">
        <f t="shared" si="61"/>
        <v>1</v>
      </c>
      <c r="M134" s="224">
        <f t="shared" si="61"/>
        <v>1</v>
      </c>
      <c r="N134" s="126"/>
    </row>
    <row r="135" spans="1:14">
      <c r="A135" s="126"/>
      <c r="B135" s="126"/>
      <c r="C135" s="126"/>
      <c r="D135" s="126"/>
      <c r="E135" s="126"/>
      <c r="F135" s="126"/>
      <c r="G135" s="126"/>
      <c r="H135" s="126"/>
      <c r="I135" s="126"/>
      <c r="J135" s="126"/>
      <c r="K135" s="126"/>
      <c r="L135" s="126"/>
      <c r="M135" s="126"/>
      <c r="N135" s="126"/>
    </row>
    <row r="136" spans="1:14">
      <c r="A136" s="126"/>
      <c r="B136" s="126"/>
      <c r="C136" s="126"/>
      <c r="D136" s="126"/>
      <c r="E136" s="126"/>
      <c r="F136" s="126"/>
      <c r="G136" s="126"/>
      <c r="H136" s="126"/>
      <c r="I136" s="126"/>
      <c r="J136" s="126"/>
      <c r="K136" s="126"/>
      <c r="L136" s="126"/>
      <c r="M136" s="126"/>
      <c r="N136" s="126"/>
    </row>
    <row r="137" spans="1:14">
      <c r="A137" s="228" t="s">
        <v>412</v>
      </c>
      <c r="B137" s="126"/>
      <c r="C137" s="240">
        <f t="shared" ref="C137:L137" si="62">C4</f>
        <v>38777</v>
      </c>
      <c r="D137" s="240">
        <f t="shared" si="62"/>
        <v>39142</v>
      </c>
      <c r="E137" s="240">
        <f t="shared" si="62"/>
        <v>40603</v>
      </c>
      <c r="F137" s="240">
        <f t="shared" si="62"/>
        <v>40969</v>
      </c>
      <c r="G137" s="240">
        <f t="shared" si="62"/>
        <v>41334</v>
      </c>
      <c r="H137" s="240">
        <f t="shared" si="62"/>
        <v>41699</v>
      </c>
      <c r="I137" s="240">
        <f t="shared" si="62"/>
        <v>42064</v>
      </c>
      <c r="J137" s="240">
        <f t="shared" si="62"/>
        <v>42430</v>
      </c>
      <c r="K137" s="240">
        <f t="shared" si="62"/>
        <v>42795</v>
      </c>
      <c r="L137" s="240">
        <f t="shared" si="62"/>
        <v>43160</v>
      </c>
      <c r="M137" s="126"/>
      <c r="N137" s="126"/>
    </row>
    <row r="138" spans="1:14" ht="39">
      <c r="A138" s="258" t="s">
        <v>413</v>
      </c>
      <c r="B138" s="126"/>
      <c r="C138" s="259">
        <f>C26/C50</f>
        <v>1.3427843999537088</v>
      </c>
      <c r="D138" s="259">
        <f t="shared" ref="D138:L138" si="63">D26/AVERAGE(C50:D50)</f>
        <v>1.3734028807962864</v>
      </c>
      <c r="E138" s="259">
        <f t="shared" si="63"/>
        <v>2.2190020601277975</v>
      </c>
      <c r="F138" s="259">
        <f t="shared" si="63"/>
        <v>2.5938700724014976</v>
      </c>
      <c r="G138" s="259">
        <f t="shared" si="63"/>
        <v>2.7754998290808057</v>
      </c>
      <c r="H138" s="259">
        <f t="shared" si="63"/>
        <v>2.8001921376071244</v>
      </c>
      <c r="I138" s="259">
        <f t="shared" si="63"/>
        <v>2.8187565655068405</v>
      </c>
      <c r="J138" s="259">
        <f t="shared" si="63"/>
        <v>2.437102075644126</v>
      </c>
      <c r="K138" s="259">
        <f t="shared" si="63"/>
        <v>2.2191922708677865</v>
      </c>
      <c r="L138" s="259">
        <f t="shared" si="63"/>
        <v>2.3343093351705138</v>
      </c>
      <c r="M138" s="126"/>
      <c r="N138" s="126"/>
    </row>
    <row r="139" spans="1:14">
      <c r="A139" s="260" t="s">
        <v>414</v>
      </c>
      <c r="B139" s="126"/>
      <c r="C139" s="224">
        <f t="shared" ref="C139:L139" si="64">C35/C26</f>
        <v>8.5897325404349356E-2</v>
      </c>
      <c r="D139" s="224">
        <f t="shared" si="64"/>
        <v>1.8815331010452956E-2</v>
      </c>
      <c r="E139" s="224">
        <f t="shared" si="64"/>
        <v>6.3666404405979538E-2</v>
      </c>
      <c r="F139" s="224">
        <f t="shared" si="64"/>
        <v>6.2336732595599437E-2</v>
      </c>
      <c r="G139" s="224">
        <f t="shared" si="64"/>
        <v>6.809956608790671E-2</v>
      </c>
      <c r="H139" s="224">
        <f t="shared" si="64"/>
        <v>7.1529316945395854E-2</v>
      </c>
      <c r="I139" s="224">
        <f t="shared" si="64"/>
        <v>8.4549291459561263E-2</v>
      </c>
      <c r="J139" s="224">
        <f t="shared" si="64"/>
        <v>9.7830905964490539E-2</v>
      </c>
      <c r="K139" s="224">
        <f t="shared" si="64"/>
        <v>9.954777752065988E-2</v>
      </c>
      <c r="L139" s="224">
        <f t="shared" si="64"/>
        <v>8.4335571460193257E-2</v>
      </c>
      <c r="M139" s="224"/>
      <c r="N139" s="126"/>
    </row>
    <row r="140" spans="1:14" ht="26.25">
      <c r="A140" s="258" t="s">
        <v>415</v>
      </c>
      <c r="B140" s="126"/>
      <c r="C140" s="224">
        <f t="shared" ref="C140:L140" si="65">C36/C35</f>
        <v>6.6889632107023497E-3</v>
      </c>
      <c r="D140" s="224">
        <f t="shared" si="65"/>
        <v>0.18148148148148152</v>
      </c>
      <c r="E140" s="224">
        <f t="shared" si="65"/>
        <v>0.24254407645411108</v>
      </c>
      <c r="F140" s="224">
        <f t="shared" si="65"/>
        <v>0.22480146609651822</v>
      </c>
      <c r="G140" s="224">
        <f t="shared" si="65"/>
        <v>0.20478575403450183</v>
      </c>
      <c r="H140" s="224">
        <f t="shared" si="65"/>
        <v>0.20144651693947491</v>
      </c>
      <c r="I140" s="224">
        <f t="shared" si="65"/>
        <v>0.17187669010275833</v>
      </c>
      <c r="J140" s="224">
        <f t="shared" si="65"/>
        <v>0.16826902714836328</v>
      </c>
      <c r="K140" s="224">
        <f t="shared" si="65"/>
        <v>0.18781765887868876</v>
      </c>
      <c r="L140" s="224">
        <f t="shared" si="65"/>
        <v>0.20866141732283483</v>
      </c>
      <c r="M140" s="126"/>
      <c r="N140" s="126"/>
    </row>
    <row r="141" spans="1:14" ht="26.25">
      <c r="A141" s="258" t="s">
        <v>416</v>
      </c>
      <c r="B141" s="126"/>
      <c r="C141" s="224">
        <f t="shared" ref="C141:L141" si="66">C30/C50</f>
        <v>7.1326621147243752E-2</v>
      </c>
      <c r="D141" s="224">
        <f t="shared" si="66"/>
        <v>6.1194516971279374E-2</v>
      </c>
      <c r="E141" s="224">
        <f t="shared" si="66"/>
        <v>6.0387800362164033E-2</v>
      </c>
      <c r="F141" s="224">
        <f t="shared" si="66"/>
        <v>7.536665898794441E-2</v>
      </c>
      <c r="G141" s="224">
        <f t="shared" si="66"/>
        <v>7.1971224414084545E-2</v>
      </c>
      <c r="H141" s="224">
        <f t="shared" si="66"/>
        <v>6.7959340071429605E-2</v>
      </c>
      <c r="I141" s="224">
        <f t="shared" si="66"/>
        <v>6.4970700399962791E-2</v>
      </c>
      <c r="J141" s="224">
        <f t="shared" si="66"/>
        <v>6.4800849613122602E-2</v>
      </c>
      <c r="K141" s="224">
        <f t="shared" si="66"/>
        <v>6.9133348622684304E-2</v>
      </c>
      <c r="L141" s="224">
        <f t="shared" si="66"/>
        <v>7.7311350001309925E-2</v>
      </c>
      <c r="M141" s="126"/>
      <c r="N141" s="126"/>
    </row>
    <row r="142" spans="1:14">
      <c r="A142" s="258" t="s">
        <v>412</v>
      </c>
      <c r="B142" s="126"/>
      <c r="C142" s="224"/>
      <c r="D142" s="224"/>
      <c r="E142" s="261">
        <f t="shared" ref="E142" si="67">AVERAGE(C138:E138)*AVERAGE(C139:E139)*(1-AVERAGE(C140:E140))-AVERAGE(C141:E141)</f>
        <v>1.477225713999937E-2</v>
      </c>
      <c r="F142" s="261">
        <f t="shared" ref="F142" si="68">AVERAGE(D138:F138)*AVERAGE(D139:F139)*(1-AVERAGE(D140:F140))-AVERAGE(D141:F141)</f>
        <v>1.2364600432732978E-2</v>
      </c>
      <c r="G142" s="261">
        <f t="shared" ref="G142:K142" si="69">AVERAGE(E138:G138)*AVERAGE(E139:G139)*(1-AVERAGE(E140:G140))-AVERAGE(E141:G141)</f>
        <v>5.7749681003801664E-2</v>
      </c>
      <c r="H142" s="261">
        <f t="shared" si="69"/>
        <v>7.3001842151158403E-2</v>
      </c>
      <c r="I142" s="261">
        <f t="shared" si="69"/>
        <v>0.10050109145994965</v>
      </c>
      <c r="J142" s="261">
        <f t="shared" si="69"/>
        <v>0.12033757764240766</v>
      </c>
      <c r="K142" s="261">
        <f t="shared" si="69"/>
        <v>0.12664778084828548</v>
      </c>
      <c r="L142" s="261">
        <f>AVERAGE(J138:L138)*AVERAGE(J139:L139)*(1-AVERAGE(J140:L140))-AVERAGE(J141:L141)</f>
        <v>0.10720962898952117</v>
      </c>
      <c r="M142" s="126"/>
      <c r="N142" s="126"/>
    </row>
    <row r="143" spans="1:14">
      <c r="A143" s="258"/>
      <c r="B143" s="126"/>
      <c r="C143" s="224"/>
      <c r="D143" s="224"/>
      <c r="E143" s="224"/>
      <c r="F143" s="224"/>
      <c r="G143" s="224"/>
      <c r="H143" s="224"/>
      <c r="I143" s="224"/>
      <c r="J143" s="224"/>
      <c r="K143" s="224"/>
      <c r="L143" s="224"/>
      <c r="M143" s="126"/>
      <c r="N143" s="126"/>
    </row>
    <row r="144" spans="1:14">
      <c r="A144" s="258"/>
      <c r="B144" s="126"/>
      <c r="C144" s="224"/>
      <c r="D144" s="224"/>
      <c r="E144" s="224"/>
      <c r="F144" s="224"/>
      <c r="G144" s="224"/>
      <c r="H144" s="224"/>
      <c r="I144" s="224"/>
      <c r="J144" s="224"/>
      <c r="K144" s="224"/>
      <c r="L144" s="224"/>
      <c r="M144" s="126"/>
      <c r="N144" s="126"/>
    </row>
    <row r="145" spans="1:14">
      <c r="A145" s="258"/>
      <c r="B145" s="126"/>
      <c r="C145" s="224"/>
      <c r="D145" s="224"/>
      <c r="E145" s="224"/>
      <c r="F145" s="224"/>
      <c r="G145" s="224"/>
      <c r="H145" s="224"/>
      <c r="I145" s="224"/>
      <c r="J145" s="224"/>
      <c r="K145" s="224"/>
      <c r="L145" s="224"/>
      <c r="M145" s="126"/>
      <c r="N145" s="126"/>
    </row>
    <row r="146" spans="1:14">
      <c r="A146" s="258"/>
      <c r="B146" s="126"/>
      <c r="C146" s="224"/>
      <c r="D146" s="224"/>
      <c r="E146" s="224"/>
      <c r="F146" s="224"/>
      <c r="G146" s="224"/>
      <c r="H146" s="224"/>
      <c r="I146" s="224"/>
      <c r="J146" s="224"/>
      <c r="K146" s="224"/>
      <c r="L146" s="224"/>
      <c r="M146" s="126"/>
      <c r="N146" s="126"/>
    </row>
    <row r="147" spans="1:14">
      <c r="A147" s="258"/>
      <c r="B147" s="126"/>
      <c r="C147" s="224"/>
      <c r="D147" s="224"/>
      <c r="E147" s="224"/>
      <c r="F147" s="224"/>
      <c r="G147" s="224"/>
      <c r="H147" s="224"/>
      <c r="I147" s="224"/>
      <c r="J147" s="224"/>
      <c r="K147" s="224"/>
      <c r="L147" s="224"/>
      <c r="M147" s="126"/>
      <c r="N147" s="126"/>
    </row>
    <row r="148" spans="1:14">
      <c r="A148" s="258"/>
      <c r="B148" s="126"/>
      <c r="C148" s="224"/>
      <c r="D148" s="224"/>
      <c r="E148" s="224"/>
      <c r="F148" s="224"/>
      <c r="G148" s="224"/>
      <c r="H148" s="224"/>
      <c r="I148" s="224"/>
      <c r="J148" s="224"/>
      <c r="K148" s="224"/>
      <c r="L148" s="224"/>
      <c r="M148" s="126"/>
      <c r="N148" s="126"/>
    </row>
    <row r="149" spans="1:14">
      <c r="A149" s="258"/>
      <c r="B149" s="126"/>
      <c r="C149" s="224"/>
      <c r="D149" s="224"/>
      <c r="E149" s="224"/>
      <c r="F149" s="224"/>
      <c r="G149" s="224"/>
      <c r="H149" s="224"/>
      <c r="I149" s="224"/>
      <c r="J149" s="224"/>
      <c r="K149" s="224"/>
      <c r="L149" s="224"/>
      <c r="M149" s="126"/>
      <c r="N149" s="126"/>
    </row>
    <row r="150" spans="1:14">
      <c r="A150" s="258"/>
      <c r="B150" s="126"/>
      <c r="C150" s="224"/>
      <c r="D150" s="224"/>
      <c r="E150" s="224"/>
      <c r="F150" s="224"/>
      <c r="G150" s="224"/>
      <c r="H150" s="224"/>
      <c r="I150" s="224"/>
      <c r="J150" s="224"/>
      <c r="K150" s="224"/>
      <c r="L150" s="224"/>
      <c r="M150" s="126"/>
      <c r="N150" s="126"/>
    </row>
    <row r="151" spans="1:14">
      <c r="A151" s="258"/>
      <c r="B151" s="126"/>
      <c r="C151" s="224"/>
      <c r="D151" s="224"/>
      <c r="E151" s="224"/>
      <c r="F151" s="224"/>
      <c r="G151" s="224"/>
      <c r="H151" s="224"/>
      <c r="I151" s="224"/>
      <c r="J151" s="224"/>
      <c r="K151" s="224"/>
      <c r="L151" s="224"/>
      <c r="M151" s="126"/>
      <c r="N151" s="126"/>
    </row>
    <row r="152" spans="1:14">
      <c r="A152" s="258"/>
      <c r="B152" s="126"/>
      <c r="C152" s="224"/>
      <c r="D152" s="224"/>
      <c r="E152" s="224"/>
      <c r="F152" s="224"/>
      <c r="G152" s="224"/>
      <c r="H152" s="224"/>
      <c r="I152" s="224"/>
      <c r="J152" s="224"/>
      <c r="K152" s="224"/>
      <c r="L152" s="224"/>
      <c r="M152" s="126"/>
      <c r="N152" s="126"/>
    </row>
    <row r="153" spans="1:14">
      <c r="A153" s="126"/>
      <c r="B153" s="126"/>
      <c r="C153" s="126"/>
      <c r="D153" s="126"/>
      <c r="E153" s="126"/>
      <c r="F153" s="126"/>
      <c r="G153" s="126"/>
      <c r="H153" s="126"/>
      <c r="I153" s="126"/>
      <c r="J153" s="126"/>
      <c r="K153" s="126"/>
      <c r="L153" s="126"/>
      <c r="M153" s="126"/>
      <c r="N153" s="126"/>
    </row>
    <row r="155" spans="1:14">
      <c r="A155" s="228" t="s">
        <v>328</v>
      </c>
      <c r="C155" s="239">
        <f t="shared" ref="C155:L155" si="70">C4</f>
        <v>38777</v>
      </c>
      <c r="D155" s="239">
        <f t="shared" si="70"/>
        <v>39142</v>
      </c>
      <c r="E155" s="239">
        <f t="shared" si="70"/>
        <v>40603</v>
      </c>
      <c r="F155" s="239">
        <f t="shared" si="70"/>
        <v>40969</v>
      </c>
      <c r="G155" s="239">
        <f t="shared" si="70"/>
        <v>41334</v>
      </c>
      <c r="H155" s="239">
        <f t="shared" si="70"/>
        <v>41699</v>
      </c>
      <c r="I155" s="239">
        <f t="shared" si="70"/>
        <v>42064</v>
      </c>
      <c r="J155" s="239">
        <f t="shared" si="70"/>
        <v>42430</v>
      </c>
      <c r="K155" s="239">
        <f t="shared" si="70"/>
        <v>42795</v>
      </c>
      <c r="L155" s="239">
        <f t="shared" si="70"/>
        <v>43160</v>
      </c>
      <c r="M155" s="239"/>
      <c r="N155" s="239"/>
    </row>
    <row r="156" spans="1:14">
      <c r="A156" s="126" t="s">
        <v>359</v>
      </c>
      <c r="C156" s="229">
        <f>'Screener Input'!B62</f>
        <v>259.23</v>
      </c>
      <c r="D156" s="229">
        <f>'Screener Input'!C62</f>
        <v>367.68</v>
      </c>
      <c r="E156" s="229">
        <f>'Screener Input'!D62</f>
        <v>491.49</v>
      </c>
      <c r="F156" s="229">
        <f>'Screener Input'!E62</f>
        <v>520.91999999999996</v>
      </c>
      <c r="G156" s="229">
        <f>'Screener Input'!F62</f>
        <v>619.97</v>
      </c>
      <c r="H156" s="229">
        <f>'Screener Input'!G62</f>
        <v>691.59</v>
      </c>
      <c r="I156" s="229">
        <f>'Screener Input'!H62</f>
        <v>860.08</v>
      </c>
      <c r="J156" s="229">
        <f>'Screener Input'!I62</f>
        <v>1120.51</v>
      </c>
      <c r="K156" s="229">
        <f>'Screener Input'!J62</f>
        <v>1177.29</v>
      </c>
      <c r="L156" s="229">
        <f>'Screener Input'!K62</f>
        <v>1145.1099999999999</v>
      </c>
      <c r="M156" s="229"/>
      <c r="N156" s="229"/>
    </row>
    <row r="157" spans="1:14">
      <c r="A157" s="126" t="s">
        <v>359</v>
      </c>
      <c r="B157" s="126"/>
      <c r="C157" s="224">
        <f>'Screener Input'!B62/'Screener Input'!B66</f>
        <v>0.58012755958375295</v>
      </c>
      <c r="D157" s="224">
        <f>'Screener Input'!C62/'Screener Input'!C66</f>
        <v>0.6052146431393205</v>
      </c>
      <c r="E157" s="224">
        <f>'Screener Input'!D62/'Screener Input'!D66</f>
        <v>0.60662799308812632</v>
      </c>
      <c r="F157" s="224">
        <f>'Screener Input'!E62/'Screener Input'!E66</f>
        <v>0.58468583743012992</v>
      </c>
      <c r="G157" s="224">
        <f>'Screener Input'!F62/'Screener Input'!F66</f>
        <v>0.59182290274542748</v>
      </c>
      <c r="H157" s="224">
        <f>'Screener Input'!G62/'Screener Input'!G66</f>
        <v>0.58827682414385607</v>
      </c>
      <c r="I157" s="224">
        <f>'Screener Input'!H62/'Screener Input'!H66</f>
        <v>0.55064502704952145</v>
      </c>
      <c r="J157" s="224">
        <f>'Screener Input'!I62/'Screener Input'!I66</f>
        <v>0.58347132398121238</v>
      </c>
      <c r="K157" s="224">
        <f>'Screener Input'!J62/'Screener Input'!J66</f>
        <v>0.57612860603391325</v>
      </c>
      <c r="L157" s="224">
        <f>'Screener Input'!K62/'Screener Input'!K66</f>
        <v>0.53331377261126323</v>
      </c>
      <c r="M157" s="224"/>
      <c r="N157" s="224"/>
    </row>
    <row r="158" spans="1:14">
      <c r="A158" s="126" t="s">
        <v>360</v>
      </c>
      <c r="B158" s="126"/>
      <c r="C158" s="224">
        <f>'Screener Input'!B64/'Screener Input'!B66</f>
        <v>1.0294282197605461E-3</v>
      </c>
      <c r="D158" s="224">
        <f>'Screener Input'!C64/'Screener Input'!C66</f>
        <v>1.5801948907031868E-3</v>
      </c>
      <c r="E158" s="224">
        <f>'Screener Input'!D64/'Screener Input'!D66</f>
        <v>4.1841520612194523E-3</v>
      </c>
      <c r="F158" s="224">
        <f>'Screener Input'!E64/'Screener Input'!E66</f>
        <v>8.979280310683098E-5</v>
      </c>
      <c r="G158" s="224">
        <f>'Screener Input'!F64/'Screener Input'!F66</f>
        <v>7.6367940738477998E-5</v>
      </c>
      <c r="H158" s="224">
        <f>'Screener Input'!G64/'Screener Input'!G66</f>
        <v>6.8049199571290048E-5</v>
      </c>
      <c r="I158" s="224">
        <f>'Screener Input'!H64/'Screener Input'!H66</f>
        <v>5.1218028746118634E-5</v>
      </c>
      <c r="J158" s="224">
        <f>'Screener Input'!I64/'Screener Input'!I66</f>
        <v>4.1657554076712386E-5</v>
      </c>
      <c r="K158" s="224">
        <f>'Screener Input'!J64/'Screener Input'!J66</f>
        <v>4.4043162299053068E-5</v>
      </c>
      <c r="L158" s="224">
        <f>'Screener Input'!K64/'Screener Input'!K66</f>
        <v>1.9560722070083273E-4</v>
      </c>
      <c r="M158" s="224"/>
      <c r="N158" s="224"/>
    </row>
    <row r="159" spans="1:14">
      <c r="A159" s="126" t="s">
        <v>363</v>
      </c>
      <c r="B159" s="126"/>
      <c r="C159" s="224">
        <f>'Screener Input'!B68/'Screener Input'!B66</f>
        <v>0.15833053597404051</v>
      </c>
      <c r="D159" s="224">
        <f>'Screener Input'!C68/'Screener Input'!C66</f>
        <v>0.20379575981037662</v>
      </c>
      <c r="E159" s="224">
        <f>'Screener Input'!D68/'Screener Input'!D66</f>
        <v>0.19087879535917057</v>
      </c>
      <c r="F159" s="224">
        <f>'Screener Input'!E68/'Screener Input'!E66</f>
        <v>0.209307024042023</v>
      </c>
      <c r="G159" s="224">
        <f>'Screener Input'!F68/'Screener Input'!F66</f>
        <v>0.20973500324563751</v>
      </c>
      <c r="H159" s="224">
        <f>'Screener Input'!G68/'Screener Input'!G66</f>
        <v>0.16424524931525494</v>
      </c>
      <c r="I159" s="224">
        <f>'Screener Input'!H68/'Screener Input'!H66</f>
        <v>0.19419315599090878</v>
      </c>
      <c r="J159" s="224">
        <f>'Screener Input'!I68/'Screener Input'!I66</f>
        <v>0.20004478187063246</v>
      </c>
      <c r="K159" s="224">
        <f>'Screener Input'!J68/'Screener Input'!J66</f>
        <v>0.18205485820548581</v>
      </c>
      <c r="L159" s="224">
        <f>'Screener Input'!K68/'Screener Input'!K66</f>
        <v>0.17626539242534328</v>
      </c>
      <c r="M159" s="224"/>
      <c r="N159" s="224"/>
    </row>
    <row r="160" spans="1:14">
      <c r="A160" s="126" t="s">
        <v>364</v>
      </c>
      <c r="B160" s="126"/>
      <c r="C160" s="224">
        <f>'Screener Input'!B67/'Screener Input'!B66</f>
        <v>0.11549737048226473</v>
      </c>
      <c r="D160" s="224">
        <f>'Screener Input'!C67/'Screener Input'!C66</f>
        <v>0.1026139057150382</v>
      </c>
      <c r="E160" s="224">
        <f>'Screener Input'!D67/'Screener Input'!D66</f>
        <v>0.11632930140705998</v>
      </c>
      <c r="F160" s="224">
        <f>'Screener Input'!E67/'Screener Input'!E66</f>
        <v>0.13351067411946932</v>
      </c>
      <c r="G160" s="224">
        <f>'Screener Input'!F67/'Screener Input'!F66</f>
        <v>0.13710909160334492</v>
      </c>
      <c r="H160" s="224">
        <f>'Screener Input'!G67/'Screener Input'!G66</f>
        <v>0.14022388186658954</v>
      </c>
      <c r="I160" s="224">
        <f>'Screener Input'!H67/'Screener Input'!H66</f>
        <v>0.13259067191651461</v>
      </c>
      <c r="J160" s="224">
        <f>'Screener Input'!I67/'Screener Input'!I66</f>
        <v>0.1427344018495954</v>
      </c>
      <c r="K160" s="224">
        <f>'Screener Input'!J67/'Screener Input'!J66</f>
        <v>0.16585676184883408</v>
      </c>
      <c r="L160" s="224">
        <f>'Screener Input'!K67/'Screener Input'!K66</f>
        <v>0.20989120512677212</v>
      </c>
      <c r="M160" s="224"/>
      <c r="N160" s="224"/>
    </row>
    <row r="161" spans="1:14">
      <c r="A161" s="126" t="s">
        <v>365</v>
      </c>
      <c r="B161" s="126"/>
      <c r="C161" s="224">
        <f>'Screener Input'!B69/'Screener Input'!B66</f>
        <v>1.2084592145015106E-2</v>
      </c>
      <c r="D161" s="224">
        <f>'Screener Input'!C69/'Screener Input'!C66</f>
        <v>7.5553068211746113E-3</v>
      </c>
      <c r="E161" s="224">
        <f>'Screener Input'!D69/'Screener Input'!D66</f>
        <v>4.6531720562823994E-3</v>
      </c>
      <c r="F161" s="224">
        <f>'Screener Input'!E69/'Screener Input'!E66</f>
        <v>8.0364558780613733E-3</v>
      </c>
      <c r="G161" s="224">
        <f>'Screener Input'!F69/'Screener Input'!F66</f>
        <v>3.8183970369238996E-3</v>
      </c>
      <c r="H161" s="224">
        <f>'Screener Input'!G69/'Screener Input'!G66</f>
        <v>5.1887514673108663E-3</v>
      </c>
      <c r="I161" s="224">
        <f>'Screener Input'!H69/'Screener Input'!H66</f>
        <v>7.1449150100835494E-3</v>
      </c>
      <c r="J161" s="224">
        <f>'Screener Input'!I69/'Screener Input'!I66</f>
        <v>1.1205882046635631E-2</v>
      </c>
      <c r="K161" s="224">
        <f>'Screener Input'!J69/'Screener Input'!J66</f>
        <v>2.5427585700653305E-2</v>
      </c>
      <c r="L161" s="224">
        <f>'Screener Input'!K69/'Screener Input'!K66</f>
        <v>3.8371616460813357E-2</v>
      </c>
      <c r="M161" s="224"/>
      <c r="N161" s="224"/>
    </row>
    <row r="162" spans="1:14">
      <c r="A162" s="126" t="s">
        <v>361</v>
      </c>
      <c r="B162" s="126"/>
      <c r="C162" s="224">
        <f>('Screener Input'!B66-'Screener Input'!B62-'Screener Input'!B64-'Screener Input'!B68-'Screener Input'!B67-'Screener Input'!B69)/'Screener Input'!B66</f>
        <v>0.13293051359516617</v>
      </c>
      <c r="D162" s="224">
        <f>('Screener Input'!C66-'Screener Input'!C62-'Screener Input'!C64-'Screener Input'!C68-'Screener Input'!C67-'Screener Input'!C69)/'Screener Input'!C66</f>
        <v>7.9240189623386817E-2</v>
      </c>
      <c r="E162" s="224">
        <f>('Screener Input'!D66-'Screener Input'!D62-'Screener Input'!D64-'Screener Input'!D68-'Screener Input'!D67-'Screener Input'!D69)/'Screener Input'!D66</f>
        <v>7.7326586028141242E-2</v>
      </c>
      <c r="F162" s="224">
        <f>('Screener Input'!E66-'Screener Input'!E62-'Screener Input'!E64-'Screener Input'!E68-'Screener Input'!E67-'Screener Input'!E69)/'Screener Input'!E66</f>
        <v>6.4370215727209593E-2</v>
      </c>
      <c r="G162" s="224">
        <f>('Screener Input'!F66-'Screener Input'!F62-'Screener Input'!F64-'Screener Input'!F68-'Screener Input'!F67-'Screener Input'!F69)/'Screener Input'!F66</f>
        <v>5.7438237427927689E-2</v>
      </c>
      <c r="H162" s="224">
        <f>('Screener Input'!G66-'Screener Input'!G62-'Screener Input'!G64-'Screener Input'!G68-'Screener Input'!G67-'Screener Input'!G69)/'Screener Input'!G66</f>
        <v>0.1019972440074173</v>
      </c>
      <c r="I162" s="224">
        <f>('Screener Input'!H66-'Screener Input'!H62-'Screener Input'!H64-'Screener Input'!H68-'Screener Input'!H67-'Screener Input'!H69)/'Screener Input'!H66</f>
        <v>0.11537501200422547</v>
      </c>
      <c r="J162" s="224">
        <f>('Screener Input'!I66-'Screener Input'!I62-'Screener Input'!I64-'Screener Input'!I68-'Screener Input'!I67-'Screener Input'!I69)/'Screener Input'!I66</f>
        <v>6.2501952697847349E-2</v>
      </c>
      <c r="K162" s="224">
        <f>('Screener Input'!J66-'Screener Input'!J62-'Screener Input'!J64-'Screener Input'!J68-'Screener Input'!J67-'Screener Input'!J69)/'Screener Input'!J66</f>
        <v>5.0488145048814527E-2</v>
      </c>
      <c r="L162" s="224">
        <f>('Screener Input'!K66-'Screener Input'!K62-'Screener Input'!K64-'Screener Input'!K68-'Screener Input'!K67-'Screener Input'!K69)/'Screener Input'!K66</f>
        <v>4.1962406155107192E-2</v>
      </c>
      <c r="M162" s="224"/>
      <c r="N162" s="224"/>
    </row>
    <row r="164" spans="1:14">
      <c r="A164" s="230" t="s">
        <v>366</v>
      </c>
      <c r="C164" s="239">
        <f t="shared" ref="C164:L164" si="71">C4</f>
        <v>38777</v>
      </c>
      <c r="D164" s="239">
        <f t="shared" si="71"/>
        <v>39142</v>
      </c>
      <c r="E164" s="239">
        <f t="shared" si="71"/>
        <v>40603</v>
      </c>
      <c r="F164" s="239">
        <f t="shared" si="71"/>
        <v>40969</v>
      </c>
      <c r="G164" s="239">
        <f t="shared" si="71"/>
        <v>41334</v>
      </c>
      <c r="H164" s="239">
        <f t="shared" si="71"/>
        <v>41699</v>
      </c>
      <c r="I164" s="239">
        <f t="shared" si="71"/>
        <v>42064</v>
      </c>
      <c r="J164" s="239">
        <f t="shared" si="71"/>
        <v>42430</v>
      </c>
      <c r="K164" s="239">
        <f t="shared" si="71"/>
        <v>42795</v>
      </c>
      <c r="L164" s="239">
        <f t="shared" si="71"/>
        <v>43160</v>
      </c>
      <c r="M164" s="239"/>
      <c r="N164" s="239"/>
    </row>
    <row r="165" spans="1:14">
      <c r="A165" s="126" t="s">
        <v>367</v>
      </c>
      <c r="C165" s="231">
        <f>SUM('Screener Input'!B57:B58)/'Screener Input'!B61</f>
        <v>0.30488978404386258</v>
      </c>
      <c r="D165" s="231">
        <f>SUM('Screener Input'!C57:C58)/'Screener Input'!C61</f>
        <v>0.23479062417698185</v>
      </c>
      <c r="E165" s="231">
        <f>SUM('Screener Input'!D57:D58)/'Screener Input'!D61</f>
        <v>0.27464823500370278</v>
      </c>
      <c r="F165" s="231">
        <f>SUM('Screener Input'!E57:E58)/'Screener Input'!E61</f>
        <v>0.31659819965429775</v>
      </c>
      <c r="G165" s="231">
        <f>SUM('Screener Input'!F57:F58)/'Screener Input'!F61</f>
        <v>0.34449578067127429</v>
      </c>
      <c r="H165" s="231">
        <f>SUM('Screener Input'!G57:G58)/'Screener Input'!G61</f>
        <v>0.42884605569826989</v>
      </c>
      <c r="I165" s="231">
        <f>SUM('Screener Input'!H57:H58)/'Screener Input'!H61</f>
        <v>0.47436857773936419</v>
      </c>
      <c r="J165" s="231">
        <f>SUM('Screener Input'!I57:I58)/'Screener Input'!I61</f>
        <v>0.50608721008945956</v>
      </c>
      <c r="K165" s="231">
        <f>SUM('Screener Input'!J57:J58)/'Screener Input'!J61</f>
        <v>0.57506667645403609</v>
      </c>
      <c r="L165" s="231">
        <f>SUM('Screener Input'!K57:K58)/'Screener Input'!K61</f>
        <v>0.62891447307140602</v>
      </c>
      <c r="M165" s="231"/>
      <c r="N165" s="231"/>
    </row>
    <row r="166" spans="1:14">
      <c r="A166" s="126" t="s">
        <v>361</v>
      </c>
      <c r="C166" s="232">
        <f>1-C165</f>
        <v>0.69511021595613742</v>
      </c>
      <c r="D166" s="232">
        <f t="shared" ref="D166:L166" si="72">1-D165</f>
        <v>0.76520937582301818</v>
      </c>
      <c r="E166" s="232">
        <f t="shared" si="72"/>
        <v>0.72535176499629728</v>
      </c>
      <c r="F166" s="232">
        <f t="shared" si="72"/>
        <v>0.6834018003457023</v>
      </c>
      <c r="G166" s="232">
        <f t="shared" si="72"/>
        <v>0.65550421932872571</v>
      </c>
      <c r="H166" s="232">
        <f t="shared" si="72"/>
        <v>0.57115394430173017</v>
      </c>
      <c r="I166" s="232">
        <f t="shared" si="72"/>
        <v>0.52563142226063575</v>
      </c>
      <c r="J166" s="232">
        <f t="shared" si="72"/>
        <v>0.49391278991054044</v>
      </c>
      <c r="K166" s="232">
        <f t="shared" si="72"/>
        <v>0.42493332354596391</v>
      </c>
      <c r="L166" s="232">
        <f t="shared" si="72"/>
        <v>0.37108552692859398</v>
      </c>
      <c r="M166" s="232"/>
      <c r="N166" s="232"/>
    </row>
    <row r="170" spans="1:14">
      <c r="A170" s="230" t="s">
        <v>370</v>
      </c>
      <c r="C170" s="239">
        <f t="shared" ref="C170:L170" si="73">C4</f>
        <v>38777</v>
      </c>
      <c r="D170" s="239">
        <f t="shared" si="73"/>
        <v>39142</v>
      </c>
      <c r="E170" s="239">
        <f t="shared" si="73"/>
        <v>40603</v>
      </c>
      <c r="F170" s="239">
        <f t="shared" si="73"/>
        <v>40969</v>
      </c>
      <c r="G170" s="239">
        <f t="shared" si="73"/>
        <v>41334</v>
      </c>
      <c r="H170" s="239">
        <f t="shared" si="73"/>
        <v>41699</v>
      </c>
      <c r="I170" s="239">
        <f t="shared" si="73"/>
        <v>42064</v>
      </c>
      <c r="J170" s="239">
        <f t="shared" si="73"/>
        <v>42430</v>
      </c>
      <c r="K170" s="239">
        <f t="shared" si="73"/>
        <v>42795</v>
      </c>
      <c r="L170" s="239">
        <f t="shared" si="73"/>
        <v>43160</v>
      </c>
      <c r="M170" s="239"/>
      <c r="N170" s="239"/>
    </row>
    <row r="171" spans="1:14">
      <c r="A171" s="126" t="s">
        <v>362</v>
      </c>
      <c r="B171" s="126"/>
      <c r="C171" s="224">
        <f>IF(('Screener Input'!B18-'Screener Input'!B19)/('Screener Input'!B$17+'Screener Input'!B$25)&lt;0, 0, ('Screener Input'!B18-'Screener Input'!B19)/('Screener Input'!B$17+'Screener Input'!B$25))</f>
        <v>0.39748402441470621</v>
      </c>
      <c r="D171" s="224">
        <f>IF(('Screener Input'!C18-'Screener Input'!C19)/('Screener Input'!C$17+'Screener Input'!C$25)&lt;0, 0, ('Screener Input'!C18-'Screener Input'!C19)/('Screener Input'!C$17+'Screener Input'!C$25))</f>
        <v>0.43525213199851687</v>
      </c>
      <c r="E171" s="224">
        <f>IF(('Screener Input'!D18-'Screener Input'!D19)/('Screener Input'!D$17+'Screener Input'!D$25)&lt;0, 0, ('Screener Input'!D18-'Screener Input'!D19)/('Screener Input'!D$17+'Screener Input'!D$25))</f>
        <v>0.56375515169311119</v>
      </c>
      <c r="F171" s="224">
        <f>IF(('Screener Input'!E18-'Screener Input'!E19)/('Screener Input'!E$17+'Screener Input'!E$25)&lt;0, 0, ('Screener Input'!E18-'Screener Input'!E19)/('Screener Input'!E$17+'Screener Input'!E$25))</f>
        <v>0.45532902244199319</v>
      </c>
      <c r="G171" s="224">
        <f>IF(('Screener Input'!F18-'Screener Input'!F19)/('Screener Input'!F$17+'Screener Input'!F$25)&lt;0, 0, ('Screener Input'!F18-'Screener Input'!F19)/('Screener Input'!F$17+'Screener Input'!F$25))</f>
        <v>0.41776827984441878</v>
      </c>
      <c r="H171" s="224">
        <f>IF(('Screener Input'!G18-'Screener Input'!G19)/('Screener Input'!G$17+'Screener Input'!G$25)&lt;0, 0, ('Screener Input'!G18-'Screener Input'!G19)/('Screener Input'!G$17+'Screener Input'!G$25))</f>
        <v>0.42649794905830773</v>
      </c>
      <c r="I171" s="224">
        <f>IF(('Screener Input'!H18-'Screener Input'!H19)/('Screener Input'!H$17+'Screener Input'!H$25)&lt;0, 0, ('Screener Input'!H18-'Screener Input'!H19)/('Screener Input'!H$17+'Screener Input'!H$25))</f>
        <v>0.33515183833080386</v>
      </c>
      <c r="J171" s="224">
        <f>IF(('Screener Input'!I18-'Screener Input'!I19)/('Screener Input'!I$17+'Screener Input'!I$25)&lt;0, 0, ('Screener Input'!I18-'Screener Input'!I19)/('Screener Input'!I$17+'Screener Input'!I$25))</f>
        <v>0.3491715761506346</v>
      </c>
      <c r="K171" s="224">
        <f>IF(('Screener Input'!J18-'Screener Input'!J19)/('Screener Input'!J$17+'Screener Input'!J$25)&lt;0, 0, ('Screener Input'!J18-'Screener Input'!J19)/('Screener Input'!J$17+'Screener Input'!J$25))</f>
        <v>0.35845363919547441</v>
      </c>
      <c r="L171" s="224">
        <f>IF(('Screener Input'!K18-'Screener Input'!K19)/('Screener Input'!K$17+'Screener Input'!K$25)&lt;0, 0, ('Screener Input'!K18-'Screener Input'!K19)/('Screener Input'!K$17+'Screener Input'!K$25))</f>
        <v>0.38951359016086318</v>
      </c>
      <c r="M171" s="224"/>
      <c r="N171" s="224"/>
    </row>
    <row r="172" spans="1:14">
      <c r="A172" s="159" t="s">
        <v>283</v>
      </c>
      <c r="B172" s="126"/>
      <c r="C172" s="224">
        <f>IF(('Screener Input'!B20)/('Screener Input'!B$17+'Screener Input'!B$25)&lt;0, 0, ('Screener Input'!B20)/('Screener Input'!B$17+'Screener Input'!B$25))</f>
        <v>0.17416969940109467</v>
      </c>
      <c r="D172" s="224">
        <f>IF(('Screener Input'!C20)/('Screener Input'!C$17+'Screener Input'!C$25)&lt;0, 0, ('Screener Input'!C20)/('Screener Input'!C$17+'Screener Input'!C$25))</f>
        <v>0.17519466073414905</v>
      </c>
      <c r="E172" s="224">
        <f>IF(('Screener Input'!D20)/('Screener Input'!D$17+'Screener Input'!D$25)&lt;0, 0, ('Screener Input'!D20)/('Screener Input'!D$17+'Screener Input'!D$25))</f>
        <v>9.9657078137944777E-2</v>
      </c>
      <c r="F172" s="224">
        <f>IF(('Screener Input'!E20)/('Screener Input'!E$17+'Screener Input'!E$25)&lt;0, 0, ('Screener Input'!E20)/('Screener Input'!E$17+'Screener Input'!E$25))</f>
        <v>0.16143780905287183</v>
      </c>
      <c r="G172" s="224">
        <f>IF(('Screener Input'!F20)/('Screener Input'!F$17+'Screener Input'!F$25)&lt;0, 0, ('Screener Input'!F20)/('Screener Input'!F$17+'Screener Input'!F$25))</f>
        <v>0.19435671463963539</v>
      </c>
      <c r="H172" s="224">
        <f>IF(('Screener Input'!G20)/('Screener Input'!G$17+'Screener Input'!G$25)&lt;0, 0, ('Screener Input'!G20)/('Screener Input'!G$17+'Screener Input'!G$25))</f>
        <v>0.20305410786756467</v>
      </c>
      <c r="I172" s="224">
        <f>IF(('Screener Input'!H20)/('Screener Input'!H$17+'Screener Input'!H$25)&lt;0, 0, ('Screener Input'!H20)/('Screener Input'!H$17+'Screener Input'!H$25))</f>
        <v>0.2212058647925583</v>
      </c>
      <c r="J172" s="224">
        <f>IF(('Screener Input'!I20)/('Screener Input'!I$17+'Screener Input'!I$25)&lt;0, 0, ('Screener Input'!I20)/('Screener Input'!I$17+'Screener Input'!I$25))</f>
        <v>0.19822763503143723</v>
      </c>
      <c r="K172" s="224">
        <f>IF(('Screener Input'!J20)/('Screener Input'!J$17+'Screener Input'!J$25)&lt;0, 0, ('Screener Input'!J20)/('Screener Input'!J$17+'Screener Input'!J$25))</f>
        <v>0.1746673476309849</v>
      </c>
      <c r="L172" s="224">
        <f>IF(('Screener Input'!K20)/('Screener Input'!K$17+'Screener Input'!K$25)&lt;0, 0, ('Screener Input'!K20)/('Screener Input'!K$17+'Screener Input'!K$25))</f>
        <v>0.19081695252719319</v>
      </c>
      <c r="M172" s="224"/>
      <c r="N172" s="224"/>
    </row>
    <row r="173" spans="1:14">
      <c r="A173" s="159" t="s">
        <v>284</v>
      </c>
      <c r="B173" s="126"/>
      <c r="C173" s="224">
        <f>IF(('Screener Input'!B21)/('Screener Input'!B$17+'Screener Input'!B$25)&lt;0, 0, ('Screener Input'!B21)/('Screener Input'!B$17+'Screener Input'!B$25))</f>
        <v>2.9973923259879076E-2</v>
      </c>
      <c r="D173" s="224">
        <f>IF(('Screener Input'!C21)/('Screener Input'!C$17+'Screener Input'!C$25)&lt;0, 0, ('Screener Input'!C21)/('Screener Input'!C$17+'Screener Input'!C$25))</f>
        <v>3.1261586948461255E-2</v>
      </c>
      <c r="E173" s="224">
        <f>IF(('Screener Input'!D21)/('Screener Input'!D$17+'Screener Input'!D$25)&lt;0, 0, ('Screener Input'!D21)/('Screener Input'!D$17+'Screener Input'!D$25))</f>
        <v>1.9222500707866227E-2</v>
      </c>
      <c r="F173" s="224">
        <f>IF(('Screener Input'!E21)/('Screener Input'!E$17+'Screener Input'!E$25)&lt;0, 0, ('Screener Input'!E21)/('Screener Input'!E$17+'Screener Input'!E$25))</f>
        <v>7.2415367059718516E-2</v>
      </c>
      <c r="G173" s="224">
        <f>IF(('Screener Input'!F21)/('Screener Input'!F$17+'Screener Input'!F$25)&lt;0, 0, ('Screener Input'!F21)/('Screener Input'!F$17+'Screener Input'!F$25))</f>
        <v>7.6580239675725428E-2</v>
      </c>
      <c r="H173" s="224">
        <f>IF(('Screener Input'!G21)/('Screener Input'!G$17+'Screener Input'!G$25)&lt;0, 0, ('Screener Input'!G21)/('Screener Input'!G$17+'Screener Input'!G$25))</f>
        <v>3.8728524954030619E-2</v>
      </c>
      <c r="I173" s="224">
        <f>IF(('Screener Input'!H21)/('Screener Input'!H$17+'Screener Input'!H$25)&lt;0, 0, ('Screener Input'!H21)/('Screener Input'!H$17+'Screener Input'!H$25))</f>
        <v>8.9854200564237902E-2</v>
      </c>
      <c r="J173" s="224">
        <f>IF(('Screener Input'!I21)/('Screener Input'!I$17+'Screener Input'!I$25)&lt;0, 0, ('Screener Input'!I21)/('Screener Input'!I$17+'Screener Input'!I$25))</f>
        <v>5.0683202138719741E-2</v>
      </c>
      <c r="K173" s="224">
        <f>IF(('Screener Input'!J21)/('Screener Input'!J$17+'Screener Input'!J$25)&lt;0, 0, ('Screener Input'!J21)/('Screener Input'!J$17+'Screener Input'!J$25))</f>
        <v>4.3419272589756683E-2</v>
      </c>
      <c r="L173" s="224">
        <f>IF(('Screener Input'!K21)/('Screener Input'!K$17+'Screener Input'!K$25)&lt;0, 0, ('Screener Input'!K21)/('Screener Input'!K$17+'Screener Input'!K$25))</f>
        <v>2.7187668751997473E-2</v>
      </c>
      <c r="M173" s="224"/>
      <c r="N173" s="224"/>
    </row>
    <row r="174" spans="1:14">
      <c r="A174" s="159" t="s">
        <v>16</v>
      </c>
      <c r="B174" s="126"/>
      <c r="C174" s="224">
        <f>IF(('Screener Input'!B22)/('Screener Input'!B$17+'Screener Input'!B$25)&lt;0, 0, ('Screener Input'!B22)/('Screener Input'!B$17+'Screener Input'!B$25))</f>
        <v>6.8601885548901065E-2</v>
      </c>
      <c r="D174" s="224">
        <f>IF(('Screener Input'!C22)/('Screener Input'!C$17+'Screener Input'!C$25)&lt;0, 0, ('Screener Input'!C22)/('Screener Input'!C$17+'Screener Input'!C$25))</f>
        <v>7.5778642936596224E-2</v>
      </c>
      <c r="E174" s="224">
        <f>IF(('Screener Input'!D22)/('Screener Input'!D$17+'Screener Input'!D$25)&lt;0, 0, ('Screener Input'!D22)/('Screener Input'!D$17+'Screener Input'!D$25))</f>
        <v>7.9784389190096158E-2</v>
      </c>
      <c r="F174" s="224">
        <f>IF(('Screener Input'!E22)/('Screener Input'!E$17+'Screener Input'!E$25)&lt;0, 0, ('Screener Input'!E22)/('Screener Input'!E$17+'Screener Input'!E$25))</f>
        <v>8.1544313427158607E-2</v>
      </c>
      <c r="G174" s="224">
        <f>IF(('Screener Input'!F22)/('Screener Input'!F$17+'Screener Input'!F$25)&lt;0, 0, ('Screener Input'!F22)/('Screener Input'!F$17+'Screener Input'!F$25))</f>
        <v>8.5985715276333127E-2</v>
      </c>
      <c r="H174" s="224">
        <f>IF(('Screener Input'!G22)/('Screener Input'!G$17+'Screener Input'!G$25)&lt;0, 0, ('Screener Input'!G22)/('Screener Input'!G$17+'Screener Input'!G$25))</f>
        <v>9.3162802337094314E-2</v>
      </c>
      <c r="I174" s="224">
        <f>IF(('Screener Input'!H22)/('Screener Input'!H$17+'Screener Input'!H$25)&lt;0, 0, ('Screener Input'!H22)/('Screener Input'!H$17+'Screener Input'!H$25))</f>
        <v>9.4489337362301806E-2</v>
      </c>
      <c r="J174" s="224">
        <f>IF(('Screener Input'!I22)/('Screener Input'!I$17+'Screener Input'!I$25)&lt;0, 0, ('Screener Input'!I22)/('Screener Input'!I$17+'Screener Input'!I$25))</f>
        <v>0.10408106011848772</v>
      </c>
      <c r="K174" s="224">
        <f>IF(('Screener Input'!J22)/('Screener Input'!J$17+'Screener Input'!J$25)&lt;0, 0, ('Screener Input'!J22)/('Screener Input'!J$17+'Screener Input'!J$25))</f>
        <v>0.1125579436956869</v>
      </c>
      <c r="L174" s="224">
        <f>IF(('Screener Input'!K22)/('Screener Input'!K$17+'Screener Input'!K$25)&lt;0, 0, ('Screener Input'!K22)/('Screener Input'!K$17+'Screener Input'!K$25))</f>
        <v>0.11668913632038909</v>
      </c>
      <c r="M174" s="224"/>
      <c r="N174" s="224"/>
    </row>
    <row r="175" spans="1:14">
      <c r="A175" s="159" t="s">
        <v>285</v>
      </c>
      <c r="B175" s="126"/>
      <c r="C175" s="224">
        <f>IF(('Screener Input'!B23)/('Screener Input'!B$17+'Screener Input'!B$25)&lt;0, 0, ('Screener Input'!B23)/('Screener Input'!B$17+'Screener Input'!B$25))</f>
        <v>0.12135713671662322</v>
      </c>
      <c r="D175" s="224">
        <f>IF(('Screener Input'!C23)/('Screener Input'!C$17+'Screener Input'!C$25)&lt;0, 0, ('Screener Input'!C23)/('Screener Input'!C$17+'Screener Input'!C$25))</f>
        <v>0.1388579903596589</v>
      </c>
      <c r="E175" s="224">
        <f>IF(('Screener Input'!D23)/('Screener Input'!D$17+'Screener Input'!D$25)&lt;0, 0, ('Screener Input'!D23)/('Screener Input'!D$17+'Screener Input'!D$25))</f>
        <v>7.566303470117558E-2</v>
      </c>
      <c r="F175" s="224">
        <f>IF(('Screener Input'!E23)/('Screener Input'!E$17+'Screener Input'!E$25)&lt;0, 0, ('Screener Input'!E23)/('Screener Input'!E$17+'Screener Input'!E$25))</f>
        <v>6.6230505895777864E-2</v>
      </c>
      <c r="G175" s="224">
        <f>IF(('Screener Input'!F23)/('Screener Input'!F$17+'Screener Input'!F$25)&lt;0, 0, ('Screener Input'!F23)/('Screener Input'!F$17+'Screener Input'!F$25))</f>
        <v>6.3033076763053877E-2</v>
      </c>
      <c r="H175" s="224">
        <f>IF(('Screener Input'!G23)/('Screener Input'!G$17+'Screener Input'!G$25)&lt;0, 0, ('Screener Input'!G23)/('Screener Input'!G$17+'Screener Input'!G$25))</f>
        <v>8.1183562001545015E-2</v>
      </c>
      <c r="I175" s="224">
        <f>IF(('Screener Input'!H23)/('Screener Input'!H$17+'Screener Input'!H$25)&lt;0, 0, ('Screener Input'!H23)/('Screener Input'!H$17+'Screener Input'!H$25))</f>
        <v>8.5118795320198171E-2</v>
      </c>
      <c r="J175" s="224">
        <f>IF(('Screener Input'!I23)/('Screener Input'!I$17+'Screener Input'!I$25)&lt;0, 0, ('Screener Input'!I23)/('Screener Input'!I$17+'Screener Input'!I$25))</f>
        <v>9.3016155915309359E-2</v>
      </c>
      <c r="K175" s="224">
        <f>IF(('Screener Input'!J23)/('Screener Input'!J$17+'Screener Input'!J$25)&lt;0, 0, ('Screener Input'!J23)/('Screener Input'!J$17+'Screener Input'!J$25))</f>
        <v>9.674501654977212E-2</v>
      </c>
      <c r="L175" s="224">
        <f>IF(('Screener Input'!K23)/('Screener Input'!K$17+'Screener Input'!K$25)&lt;0, 0, ('Screener Input'!K23)/('Screener Input'!K$17+'Screener Input'!K$25))</f>
        <v>9.0930464074880882E-2</v>
      </c>
      <c r="M175" s="224"/>
      <c r="N175" s="224"/>
    </row>
    <row r="176" spans="1:14">
      <c r="A176" s="159" t="s">
        <v>286</v>
      </c>
      <c r="B176" s="126"/>
      <c r="C176" s="224">
        <f>IF(('Screener Input'!B24)/('Screener Input'!B$17+'Screener Input'!B$25)&lt;0, 0, ('Screener Input'!B24)/('Screener Input'!B$17+'Screener Input'!B$25))</f>
        <v>4.3270195145714537E-3</v>
      </c>
      <c r="D176" s="224">
        <f>IF(('Screener Input'!C24)/('Screener Input'!C$17+'Screener Input'!C$25)&lt;0, 0, ('Screener Input'!C24)/('Screener Input'!C$17+'Screener Input'!C$25))</f>
        <v>4.7506488691138301E-3</v>
      </c>
      <c r="E176" s="224">
        <f>IF(('Screener Input'!D24)/('Screener Input'!D$17+'Screener Input'!D$25)&lt;0, 0, ('Screener Input'!D24)/('Screener Input'!D$17+'Screener Input'!D$25))</f>
        <v>5.4427047830783266E-3</v>
      </c>
      <c r="F176" s="224">
        <f>IF(('Screener Input'!E24)/('Screener Input'!E$17+'Screener Input'!E$25)&lt;0, 0, ('Screener Input'!E24)/('Screener Input'!E$17+'Screener Input'!E$25))</f>
        <v>4.906808672499049E-3</v>
      </c>
      <c r="G176" s="224">
        <f>IF(('Screener Input'!F24)/('Screener Input'!F$17+'Screener Input'!F$25)&lt;0, 0, ('Screener Input'!F24)/('Screener Input'!F$17+'Screener Input'!F$25))</f>
        <v>5.5852891301195855E-3</v>
      </c>
      <c r="H176" s="224">
        <f>IF(('Screener Input'!G24)/('Screener Input'!G$17+'Screener Input'!G$25)&lt;0, 0, ('Screener Input'!G24)/('Screener Input'!G$17+'Screener Input'!G$25))</f>
        <v>8.8130650969981187E-4</v>
      </c>
      <c r="I176" s="224">
        <f>IF(('Screener Input'!H24)/('Screener Input'!H$17+'Screener Input'!H$25)&lt;0, 0, ('Screener Input'!H24)/('Screener Input'!H$17+'Screener Input'!H$25))</f>
        <v>1.2109693679897546E-2</v>
      </c>
      <c r="J176" s="224">
        <f>IF(('Screener Input'!I24)/('Screener Input'!I$17+'Screener Input'!I$25)&lt;0, 0, ('Screener Input'!I24)/('Screener Input'!I$17+'Screener Input'!I$25))</f>
        <v>1.1786887139627377E-2</v>
      </c>
      <c r="K176" s="224">
        <f>IF(('Screener Input'!J24)/('Screener Input'!J$17+'Screener Input'!J$25)&lt;0, 0, ('Screener Input'!J24)/('Screener Input'!J$17+'Screener Input'!J$25))</f>
        <v>1.4666723846876594E-2</v>
      </c>
      <c r="L176" s="224">
        <f>IF(('Screener Input'!K24)/('Screener Input'!K$17+'Screener Input'!K$25)&lt;0, 0, ('Screener Input'!K24)/('Screener Input'!K$17+'Screener Input'!K$25))</f>
        <v>1.2960153405897458E-2</v>
      </c>
      <c r="M176" s="224"/>
      <c r="N176" s="224"/>
    </row>
    <row r="177" spans="1:14">
      <c r="A177" s="163" t="s">
        <v>18</v>
      </c>
      <c r="B177" s="126"/>
      <c r="C177" s="224">
        <f>IF(('Screener Input'!B26)/('Screener Input'!B$17+'Screener Input'!B$25)&lt;0, 0, ('Screener Input'!B26)/('Screener Input'!B$17+'Screener Input'!B$25))</f>
        <v>5.2984497234719319E-2</v>
      </c>
      <c r="D177" s="224">
        <f>IF(('Screener Input'!C26)/('Screener Input'!C$17+'Screener Input'!C$25)&lt;0, 0, ('Screener Input'!C26)/('Screener Input'!C$17+'Screener Input'!C$25))</f>
        <v>5.2141268075639603E-2</v>
      </c>
      <c r="E177" s="224">
        <f>IF(('Screener Input'!D26)/('Screener Input'!D$17+'Screener Input'!D$25)&lt;0, 0, ('Screener Input'!D26)/('Screener Input'!D$17+'Screener Input'!D$25))</f>
        <v>3.1125140262382413E-2</v>
      </c>
      <c r="F177" s="224">
        <f>IF(('Screener Input'!E26)/('Screener Input'!E$17+'Screener Input'!E$25)&lt;0, 0, ('Screener Input'!E26)/('Screener Input'!E$17+'Screener Input'!E$25))</f>
        <v>2.9866869532141498E-2</v>
      </c>
      <c r="G177" s="224">
        <f>IF(('Screener Input'!F26)/('Screener Input'!F$17+'Screener Input'!F$25)&lt;0, 0, ('Screener Input'!F26)/('Screener Input'!F$17+'Screener Input'!F$25))</f>
        <v>2.8128171668841524E-2</v>
      </c>
      <c r="H177" s="224">
        <f>IF(('Screener Input'!G26)/('Screener Input'!G$17+'Screener Input'!G$25)&lt;0, 0, ('Screener Input'!G26)/('Screener Input'!G$17+'Screener Input'!G$25))</f>
        <v>2.556876910857479E-2</v>
      </c>
      <c r="I177" s="224">
        <f>IF(('Screener Input'!H26)/('Screener Input'!H$17+'Screener Input'!H$25)&lt;0, 0, ('Screener Input'!H26)/('Screener Input'!H$17+'Screener Input'!H$25))</f>
        <v>2.5468185277857543E-2</v>
      </c>
      <c r="J177" s="224">
        <f>IF(('Screener Input'!I26)/('Screener Input'!I$17+'Screener Input'!I$25)&lt;0, 0, ('Screener Input'!I26)/('Screener Input'!I$17+'Screener Input'!I$25))</f>
        <v>2.9956103437463903E-2</v>
      </c>
      <c r="K177" s="224">
        <f>IF(('Screener Input'!J26)/('Screener Input'!J$17+'Screener Input'!J$25)&lt;0, 0, ('Screener Input'!J26)/('Screener Input'!J$17+'Screener Input'!J$25))</f>
        <v>3.1731117860108612E-2</v>
      </c>
      <c r="L177" s="224">
        <f>IF(('Screener Input'!K26)/('Screener Input'!K$17+'Screener Input'!K$25)&lt;0, 0, ('Screener Input'!K26)/('Screener Input'!K$17+'Screener Input'!K$25))</f>
        <v>3.2521609439458671E-2</v>
      </c>
      <c r="M177" s="224"/>
      <c r="N177" s="224"/>
    </row>
    <row r="178" spans="1:14">
      <c r="A178" s="163" t="s">
        <v>17</v>
      </c>
      <c r="B178" s="126"/>
      <c r="C178" s="224">
        <f>IF(('Screener Input'!B27)/('Screener Input'!B$17+'Screener Input'!B$25)&lt;0, 0, ('Screener Input'!B27)/('Screener Input'!B$17+'Screener Input'!B$25))</f>
        <v>4.209530905235407E-2</v>
      </c>
      <c r="D178" s="224">
        <f>IF(('Screener Input'!C27)/('Screener Input'!C$17+'Screener Input'!C$25)&lt;0, 0, ('Screener Input'!C27)/('Screener Input'!C$17+'Screener Input'!C$25))</f>
        <v>6.0182610307749351E-2</v>
      </c>
      <c r="E178" s="224">
        <f>IF(('Screener Input'!D27)/('Screener Input'!D$17+'Screener Input'!D$25)&lt;0, 0, ('Screener Input'!D27)/('Screener Input'!D$17+'Screener Input'!D$25))</f>
        <v>3.1785815409461286E-2</v>
      </c>
      <c r="F178" s="224">
        <f>IF(('Screener Input'!E27)/('Screener Input'!E$17+'Screener Input'!E$25)&lt;0, 0, ('Screener Input'!E27)/('Screener Input'!E$17+'Screener Input'!E$25))</f>
        <v>3.7048307341194374E-2</v>
      </c>
      <c r="G178" s="224">
        <f>IF(('Screener Input'!F27)/('Screener Input'!F$17+'Screener Input'!F$25)&lt;0, 0, ('Screener Input'!F27)/('Screener Input'!F$17+'Screener Input'!F$25))</f>
        <v>2.9149409636199736E-2</v>
      </c>
      <c r="H178" s="224">
        <f>IF(('Screener Input'!G27)/('Screener Input'!G$17+'Screener Input'!G$25)&lt;0, 0, ('Screener Input'!G27)/('Screener Input'!G$17+'Screener Input'!G$25))</f>
        <v>2.2571238942867406E-2</v>
      </c>
      <c r="I178" s="224">
        <f>IF(('Screener Input'!H27)/('Screener Input'!H$17+'Screener Input'!H$25)&lt;0, 0, ('Screener Input'!H27)/('Screener Input'!H$17+'Screener Input'!H$25))</f>
        <v>1.339495285104211E-2</v>
      </c>
      <c r="J178" s="224">
        <f>IF(('Screener Input'!I27)/('Screener Input'!I$17+'Screener Input'!I$25)&lt;0, 0, ('Screener Input'!I27)/('Screener Input'!I$17+'Screener Input'!I$25))</f>
        <v>1.4216875422875723E-2</v>
      </c>
      <c r="K178" s="224">
        <f>IF(('Screener Input'!J27)/('Screener Input'!J$17+'Screener Input'!J$25)&lt;0, 0, ('Screener Input'!J27)/('Screener Input'!J$17+'Screener Input'!J$25))</f>
        <v>1.3255412301802345E-2</v>
      </c>
      <c r="L178" s="224">
        <f>IF(('Screener Input'!K27)/('Screener Input'!K$17+'Screener Input'!K$25)&lt;0, 0, ('Screener Input'!K27)/('Screener Input'!K$17+'Screener Input'!K$25))</f>
        <v>8.853166017067142E-3</v>
      </c>
      <c r="M178" s="224"/>
      <c r="N178" s="224"/>
    </row>
    <row r="179" spans="1:14">
      <c r="A179" s="163" t="s">
        <v>19</v>
      </c>
      <c r="B179" s="126"/>
      <c r="C179" s="224">
        <f>IF(('Screener Input'!B29)/('Screener Input'!B$17+'Screener Input'!B$25)&lt;0, 0, ('Screener Input'!B29)/('Screener Input'!B$17+'Screener Input'!B$25))</f>
        <v>2.3325787316961347E-2</v>
      </c>
      <c r="D179" s="224">
        <f>IF(('Screener Input'!C29)/('Screener Input'!C$17+'Screener Input'!C$25)&lt;0, 0, ('Screener Input'!C29)/('Screener Input'!C$17+'Screener Input'!C$25))</f>
        <v>7.8096032628846871E-3</v>
      </c>
      <c r="E179" s="224">
        <f>IF(('Screener Input'!D29)/('Screener Input'!D$17+'Screener Input'!D$25)&lt;0, 0, ('Screener Input'!D29)/('Screener Input'!D$17+'Screener Input'!D$25))</f>
        <v>2.9919145946286061E-2</v>
      </c>
      <c r="F179" s="224">
        <f>IF(('Screener Input'!E29)/('Screener Input'!E$17+'Screener Input'!E$25)&lt;0, 0, ('Screener Input'!E29)/('Screener Input'!E$17+'Screener Input'!E$25))</f>
        <v>2.8953974895397493E-2</v>
      </c>
      <c r="G179" s="224">
        <f>IF(('Screener Input'!F29)/('Screener Input'!F$17+'Screener Input'!F$25)&lt;0, 0, ('Screener Input'!F29)/('Screener Input'!F$17+'Screener Input'!F$25))</f>
        <v>3.1444043093720647E-2</v>
      </c>
      <c r="H179" s="224">
        <f>IF(('Screener Input'!G29)/('Screener Input'!G$17+'Screener Input'!G$25)&lt;0, 0, ('Screener Input'!G29)/('Screener Input'!G$17+'Screener Input'!G$25))</f>
        <v>3.6895189807309402E-2</v>
      </c>
      <c r="I179" s="224">
        <f>IF(('Screener Input'!H29)/('Screener Input'!H$17+'Screener Input'!H$25)&lt;0, 0, ('Screener Input'!H29)/('Screener Input'!H$17+'Screener Input'!H$25))</f>
        <v>3.8936060635063885E-2</v>
      </c>
      <c r="J179" s="224">
        <f>IF(('Screener Input'!I29)/('Screener Input'!I$17+'Screener Input'!I$25)&lt;0, 0, ('Screener Input'!I29)/('Screener Input'!I$17+'Screener Input'!I$25))</f>
        <v>5.1450566859745535E-2</v>
      </c>
      <c r="K179" s="224">
        <f>IF(('Screener Input'!J29)/('Screener Input'!J$17+'Screener Input'!J$25)&lt;0, 0, ('Screener Input'!J29)/('Screener Input'!J$17+'Screener Input'!J$25))</f>
        <v>5.5551873496582832E-2</v>
      </c>
      <c r="L179" s="224">
        <f>IF(('Screener Input'!K29)/('Screener Input'!K$17+'Screener Input'!K$25)&lt;0, 0, ('Screener Input'!K29)/('Screener Input'!K$17+'Screener Input'!K$25))</f>
        <v>4.655075509057046E-2</v>
      </c>
      <c r="M179" s="224"/>
      <c r="N179" s="224"/>
    </row>
    <row r="180" spans="1:14">
      <c r="A180" s="163" t="s">
        <v>287</v>
      </c>
      <c r="B180" s="126"/>
      <c r="C180" s="253">
        <f>1-SUM(C171:C179)</f>
        <v>8.5680717540189799E-2</v>
      </c>
      <c r="D180" s="253">
        <f t="shared" ref="D180:L180" si="74">1-SUM(D171:D179)</f>
        <v>1.8770856507230427E-2</v>
      </c>
      <c r="E180" s="253">
        <f t="shared" si="74"/>
        <v>6.3645039168597983E-2</v>
      </c>
      <c r="F180" s="253">
        <f t="shared" si="74"/>
        <v>6.2267021681247647E-2</v>
      </c>
      <c r="G180" s="253">
        <f t="shared" si="74"/>
        <v>6.7969060271951931E-2</v>
      </c>
      <c r="H180" s="253">
        <f t="shared" si="74"/>
        <v>7.1456549413006387E-2</v>
      </c>
      <c r="I180" s="253">
        <f t="shared" si="74"/>
        <v>8.4271071186038826E-2</v>
      </c>
      <c r="J180" s="253">
        <f t="shared" si="74"/>
        <v>9.740993778569873E-2</v>
      </c>
      <c r="K180" s="253">
        <f t="shared" si="74"/>
        <v>9.8951652832954595E-2</v>
      </c>
      <c r="L180" s="253">
        <f t="shared" si="74"/>
        <v>8.3976504211682235E-2</v>
      </c>
      <c r="M180" s="253"/>
      <c r="N180" s="253"/>
    </row>
    <row r="181" spans="1:14">
      <c r="A181" s="159"/>
      <c r="B181" s="126"/>
      <c r="C181" s="224">
        <f>SUM(C171:C180)</f>
        <v>1</v>
      </c>
      <c r="D181" s="224">
        <f t="shared" ref="D181:L181" si="75">SUM(D171:D180)</f>
        <v>1</v>
      </c>
      <c r="E181" s="224">
        <f t="shared" si="75"/>
        <v>1</v>
      </c>
      <c r="F181" s="224">
        <f t="shared" si="75"/>
        <v>1</v>
      </c>
      <c r="G181" s="224">
        <f t="shared" si="75"/>
        <v>1</v>
      </c>
      <c r="H181" s="224">
        <f t="shared" si="75"/>
        <v>1</v>
      </c>
      <c r="I181" s="224">
        <f t="shared" si="75"/>
        <v>1</v>
      </c>
      <c r="J181" s="224">
        <f t="shared" si="75"/>
        <v>1</v>
      </c>
      <c r="K181" s="224">
        <f t="shared" si="75"/>
        <v>1</v>
      </c>
      <c r="L181" s="224">
        <f t="shared" si="75"/>
        <v>1</v>
      </c>
      <c r="M181" s="224"/>
      <c r="N181" s="224"/>
    </row>
    <row r="182" spans="1:14">
      <c r="A182" s="159"/>
      <c r="B182" s="126"/>
      <c r="C182" s="224"/>
      <c r="D182" s="224"/>
      <c r="E182" s="224"/>
      <c r="F182" s="224"/>
      <c r="G182" s="224"/>
      <c r="H182" s="224"/>
      <c r="I182" s="224"/>
      <c r="J182" s="224"/>
      <c r="K182" s="224"/>
      <c r="L182" s="224"/>
      <c r="M182" s="224"/>
      <c r="N182" s="224"/>
    </row>
    <row r="183" spans="1:14">
      <c r="A183" s="230" t="s">
        <v>376</v>
      </c>
      <c r="B183" s="126"/>
      <c r="C183" s="246">
        <f t="shared" ref="C183:L183" si="76">C4</f>
        <v>38777</v>
      </c>
      <c r="D183" s="246">
        <f t="shared" si="76"/>
        <v>39142</v>
      </c>
      <c r="E183" s="246">
        <f t="shared" si="76"/>
        <v>40603</v>
      </c>
      <c r="F183" s="246">
        <f t="shared" si="76"/>
        <v>40969</v>
      </c>
      <c r="G183" s="246">
        <f t="shared" si="76"/>
        <v>41334</v>
      </c>
      <c r="H183" s="246">
        <f t="shared" si="76"/>
        <v>41699</v>
      </c>
      <c r="I183" s="246">
        <f t="shared" si="76"/>
        <v>42064</v>
      </c>
      <c r="J183" s="246">
        <f t="shared" si="76"/>
        <v>42430</v>
      </c>
      <c r="K183" s="246">
        <f t="shared" si="76"/>
        <v>42795</v>
      </c>
      <c r="L183" s="246">
        <f t="shared" si="76"/>
        <v>43160</v>
      </c>
      <c r="M183" s="246"/>
      <c r="N183" s="246"/>
    </row>
    <row r="184" spans="1:14">
      <c r="A184" s="242" t="s">
        <v>225</v>
      </c>
      <c r="B184" s="126"/>
      <c r="C184" s="246"/>
      <c r="D184" s="251">
        <f>('Screener Input'!C17+'Screener Input'!C25)</f>
        <v>431.52</v>
      </c>
      <c r="E184" s="251">
        <f>('Screener Input'!D17+'Screener Input'!D25)</f>
        <v>953.57</v>
      </c>
      <c r="F184" s="251">
        <f>('Screener Input'!E17+'Screener Input'!E25)</f>
        <v>1314.5</v>
      </c>
      <c r="G184" s="251">
        <f>('Screener Input'!F17+'Screener Input'!F25)</f>
        <v>1586.31</v>
      </c>
      <c r="H184" s="251">
        <f>('Screener Input'!G17+'Screener Input'!G25)</f>
        <v>1838.1799999999998</v>
      </c>
      <c r="I184" s="251">
        <f>('Screener Input'!H17+'Screener Input'!H25)</f>
        <v>2194.1099999999997</v>
      </c>
      <c r="J184" s="251">
        <f>('Screener Input'!I17+'Screener Input'!I25)</f>
        <v>2423.8799999999997</v>
      </c>
      <c r="K184" s="251">
        <f>('Screener Input'!J17+'Screener Input'!J25)</f>
        <v>2564.9900000000002</v>
      </c>
      <c r="L184" s="251">
        <f>('Screener Input'!K17+'Screener Input'!K25)</f>
        <v>2722.19</v>
      </c>
      <c r="M184" s="251"/>
      <c r="N184" s="251"/>
    </row>
    <row r="185" spans="1:14" s="244" customFormat="1">
      <c r="A185" s="242" t="s">
        <v>397</v>
      </c>
      <c r="B185" s="242"/>
      <c r="C185" s="243"/>
      <c r="D185" s="243">
        <f>('Screener Input'!C17+'Screener Input'!C25)/('Screener Input'!B17+'Screener Input'!B25)-1</f>
        <v>0.23655328538269771</v>
      </c>
      <c r="E185" s="243">
        <f>('Screener Input'!D17+'Screener Input'!D25)/('Screener Input'!C17+'Screener Input'!C25)-1</f>
        <v>1.2097932888394514</v>
      </c>
      <c r="F185" s="243">
        <f>('Screener Input'!E17+'Screener Input'!E25)/('Screener Input'!D17+'Screener Input'!D25)-1</f>
        <v>0.37850393783361458</v>
      </c>
      <c r="G185" s="243">
        <f>('Screener Input'!F17+'Screener Input'!F25)/('Screener Input'!E17+'Screener Input'!E25)-1</f>
        <v>0.20677824267782419</v>
      </c>
      <c r="H185" s="243">
        <f>('Screener Input'!G17+'Screener Input'!G25)/('Screener Input'!F17+'Screener Input'!F25)-1</f>
        <v>0.15877728817192094</v>
      </c>
      <c r="I185" s="243">
        <f>('Screener Input'!H17+'Screener Input'!H25)/('Screener Input'!G17+'Screener Input'!G25)-1</f>
        <v>0.19363174444287279</v>
      </c>
      <c r="J185" s="243">
        <f>('Screener Input'!I17+'Screener Input'!I25)/('Screener Input'!H17+'Screener Input'!H25)-1</f>
        <v>0.10472127650847041</v>
      </c>
      <c r="K185" s="243">
        <f>('Screener Input'!J17+'Screener Input'!J25)/('Screener Input'!I17+'Screener Input'!I25)-1</f>
        <v>5.8216578378467831E-2</v>
      </c>
      <c r="L185" s="243">
        <f>('Screener Input'!K17+'Screener Input'!K25)/('Screener Input'!J17+'Screener Input'!J25)-1</f>
        <v>6.1286788642450851E-2</v>
      </c>
      <c r="M185" s="243"/>
      <c r="N185" s="243"/>
    </row>
    <row r="186" spans="1:14" s="244" customFormat="1">
      <c r="A186" s="242" t="s">
        <v>28</v>
      </c>
      <c r="B186" s="242"/>
      <c r="C186" s="243"/>
      <c r="D186" s="250">
        <f>'Screener Input'!C30/'Screener Input'!C93</f>
        <v>0.55039453095378066</v>
      </c>
      <c r="E186" s="250">
        <f>'Screener Input'!D30/'Screener Input'!D93</f>
        <v>4.1191254896812577</v>
      </c>
      <c r="F186" s="250">
        <f>'Screener Input'!E30/'Screener Input'!E93</f>
        <v>5.4957913164866401</v>
      </c>
      <c r="G186" s="250">
        <f>'Screener Input'!F30/'Screener Input'!F93</f>
        <v>7.101448448145633</v>
      </c>
      <c r="H186" s="250">
        <f>'Screener Input'!G30/'Screener Input'!G93</f>
        <v>8.217391074254202</v>
      </c>
      <c r="I186" s="250">
        <f>'Screener Input'!H30/'Screener Input'!H93</f>
        <v>11.048333312360795</v>
      </c>
      <c r="J186" s="250">
        <f>'Screener Input'!I30/'Screener Input'!I93</f>
        <v>14.554732033874844</v>
      </c>
      <c r="K186" s="250">
        <f>'Screener Input'!J30/'Screener Input'!J93</f>
        <v>15.906202418553146</v>
      </c>
      <c r="L186" s="250">
        <f>'Screener Input'!K30/'Screener Input'!K93</f>
        <v>14.781979021115406</v>
      </c>
      <c r="M186" s="250"/>
      <c r="N186" s="250"/>
    </row>
    <row r="187" spans="1:14" s="244" customFormat="1">
      <c r="A187" s="242" t="s">
        <v>398</v>
      </c>
      <c r="B187" s="242"/>
      <c r="C187" s="243"/>
      <c r="D187" s="243">
        <f>(('Screener Input'!C30/'Screener Input'!C93)/('Screener Input'!B30/'Screener Input'!B93))-1</f>
        <v>-0.72909698996655514</v>
      </c>
      <c r="E187" s="243">
        <f>(('Screener Input'!D30/'Screener Input'!D93)/('Screener Input'!C30/'Screener Input'!C93))-1</f>
        <v>6.4839506172839512</v>
      </c>
      <c r="F187" s="243">
        <f>(('Screener Input'!E30/'Screener Input'!E93)/('Screener Input'!D30/'Screener Input'!D93))-1</f>
        <v>0.3342131309798746</v>
      </c>
      <c r="G187" s="243">
        <f>(('Screener Input'!F30/'Screener Input'!F93)/('Screener Input'!E30/'Screener Input'!E93))-1</f>
        <v>0.2921612265084077</v>
      </c>
      <c r="H187" s="243">
        <f>(('Screener Input'!G30/'Screener Input'!G93)/('Screener Input'!F30/'Screener Input'!F93))-1</f>
        <v>0.15714295953242741</v>
      </c>
      <c r="I187" s="243">
        <f>(('Screener Input'!H30/'Screener Input'!H93)/('Screener Input'!G30/'Screener Input'!G93))-1</f>
        <v>0.34450620793455711</v>
      </c>
      <c r="J187" s="243">
        <f>(('Screener Input'!I30/'Screener Input'!I93)/('Screener Input'!H30/'Screener Input'!H93))-1</f>
        <v>0.31736902050113902</v>
      </c>
      <c r="K187" s="243">
        <f>(('Screener Input'!J30/'Screener Input'!J93)/('Screener Input'!I30/'Screener Input'!I93))-1</f>
        <v>9.2854363895733316E-2</v>
      </c>
      <c r="L187" s="243">
        <f>(('Screener Input'!K30/'Screener Input'!K93)/('Screener Input'!J30/'Screener Input'!J93))-1</f>
        <v>-7.0678303208717819E-2</v>
      </c>
      <c r="M187" s="243"/>
      <c r="N187" s="243"/>
    </row>
    <row r="188" spans="1:14" s="244" customFormat="1">
      <c r="A188" s="245"/>
      <c r="B188" s="242"/>
      <c r="C188" s="243"/>
      <c r="D188" s="243"/>
      <c r="E188" s="243"/>
      <c r="F188" s="243"/>
      <c r="G188" s="243"/>
      <c r="H188" s="243"/>
      <c r="I188" s="243"/>
      <c r="J188" s="243"/>
      <c r="K188" s="243"/>
      <c r="L188" s="243"/>
      <c r="M188" s="243"/>
      <c r="N188" s="243"/>
    </row>
    <row r="189" spans="1:14" s="244" customFormat="1">
      <c r="A189" s="230" t="s">
        <v>393</v>
      </c>
      <c r="B189" s="126"/>
      <c r="C189" s="246">
        <f>'Screener Input'!B41</f>
        <v>42460</v>
      </c>
      <c r="D189" s="246">
        <f>'Screener Input'!C41</f>
        <v>42551</v>
      </c>
      <c r="E189" s="246">
        <f>'Screener Input'!D41</f>
        <v>42643</v>
      </c>
      <c r="F189" s="246">
        <f>'Screener Input'!E41</f>
        <v>42735</v>
      </c>
      <c r="G189" s="246">
        <f>'Screener Input'!F41</f>
        <v>42825</v>
      </c>
      <c r="H189" s="246">
        <f>'Screener Input'!G41</f>
        <v>42916</v>
      </c>
      <c r="I189" s="246">
        <f>'Screener Input'!H41</f>
        <v>43008</v>
      </c>
      <c r="J189" s="246">
        <f>'Screener Input'!I41</f>
        <v>43100</v>
      </c>
      <c r="K189" s="246">
        <f>'Screener Input'!J41</f>
        <v>43190</v>
      </c>
      <c r="L189" s="246">
        <f>'Screener Input'!K41</f>
        <v>43281</v>
      </c>
      <c r="M189" s="246"/>
      <c r="N189" s="246"/>
    </row>
    <row r="190" spans="1:14" s="244" customFormat="1">
      <c r="A190" s="242" t="s">
        <v>394</v>
      </c>
      <c r="B190" s="126"/>
      <c r="C190" s="249">
        <f>('Screener Input'!B42+'Screener Input'!B44)</f>
        <v>661.43</v>
      </c>
      <c r="D190" s="249">
        <f>('Screener Input'!C42+'Screener Input'!C44)</f>
        <v>594.74</v>
      </c>
      <c r="E190" s="249">
        <f>('Screener Input'!D42+'Screener Input'!D44)</f>
        <v>632.99</v>
      </c>
      <c r="F190" s="249">
        <f>('Screener Input'!E42+'Screener Input'!E44)</f>
        <v>608.78</v>
      </c>
      <c r="G190" s="249">
        <f>('Screener Input'!F42+'Screener Input'!F44)</f>
        <v>728.48</v>
      </c>
      <c r="H190" s="249">
        <f>('Screener Input'!G42+'Screener Input'!G44)</f>
        <v>631.71999999999991</v>
      </c>
      <c r="I190" s="249">
        <f>('Screener Input'!H42+'Screener Input'!H44)</f>
        <v>672.36</v>
      </c>
      <c r="J190" s="249">
        <f>('Screener Input'!I42+'Screener Input'!I44)</f>
        <v>662.93</v>
      </c>
      <c r="K190" s="249">
        <f>('Screener Input'!J42+'Screener Input'!J44)</f>
        <v>755.18</v>
      </c>
      <c r="L190" s="249">
        <f>('Screener Input'!K42+'Screener Input'!K44)</f>
        <v>659.4</v>
      </c>
      <c r="M190" s="249"/>
      <c r="N190" s="249"/>
    </row>
    <row r="191" spans="1:14" s="244" customFormat="1">
      <c r="A191" s="242" t="s">
        <v>395</v>
      </c>
      <c r="B191" s="242"/>
      <c r="C191" s="243"/>
      <c r="D191" s="243"/>
      <c r="E191" s="243"/>
      <c r="F191" s="243"/>
      <c r="G191" s="243">
        <f t="shared" ref="G191:K191" si="77">G190/C190-1</f>
        <v>0.10137127133634705</v>
      </c>
      <c r="H191" s="243">
        <f t="shared" si="77"/>
        <v>6.2178430910986071E-2</v>
      </c>
      <c r="I191" s="243">
        <f t="shared" si="77"/>
        <v>6.2196875148106567E-2</v>
      </c>
      <c r="J191" s="243">
        <f t="shared" si="77"/>
        <v>8.894838858043963E-2</v>
      </c>
      <c r="K191" s="243">
        <f t="shared" si="77"/>
        <v>3.6651658247309316E-2</v>
      </c>
      <c r="L191" s="243">
        <f>L190/H190-1</f>
        <v>4.3816880896599963E-2</v>
      </c>
      <c r="M191" s="243"/>
      <c r="N191" s="243"/>
    </row>
    <row r="192" spans="1:14" s="244" customFormat="1">
      <c r="A192" s="242" t="s">
        <v>358</v>
      </c>
      <c r="B192" s="242"/>
      <c r="C192" s="249">
        <f>'Screener Input'!B49</f>
        <v>68.92</v>
      </c>
      <c r="D192" s="249">
        <f>'Screener Input'!C49</f>
        <v>64.58</v>
      </c>
      <c r="E192" s="249">
        <f>'Screener Input'!D49</f>
        <v>62.1</v>
      </c>
      <c r="F192" s="249">
        <f>'Screener Input'!E49</f>
        <v>54.96</v>
      </c>
      <c r="G192" s="249">
        <f>'Screener Input'!F49</f>
        <v>72.17</v>
      </c>
      <c r="H192" s="249">
        <f>'Screener Input'!G49</f>
        <v>48.91</v>
      </c>
      <c r="I192" s="249">
        <f>'Screener Input'!H49</f>
        <v>56.95</v>
      </c>
      <c r="J192" s="249">
        <f>'Screener Input'!I49</f>
        <v>53.11</v>
      </c>
      <c r="K192" s="249">
        <f>'Screener Input'!J49</f>
        <v>69.63</v>
      </c>
      <c r="L192" s="249">
        <f>'Screener Input'!K49</f>
        <v>45.37</v>
      </c>
      <c r="M192" s="249"/>
      <c r="N192" s="249"/>
    </row>
    <row r="193" spans="1:14" s="244" customFormat="1">
      <c r="A193" s="242" t="s">
        <v>396</v>
      </c>
      <c r="B193" s="242"/>
      <c r="C193" s="243"/>
      <c r="D193" s="243"/>
      <c r="E193" s="243"/>
      <c r="F193" s="243"/>
      <c r="G193" s="243">
        <f t="shared" ref="G193:K193" si="78">G192/C192-1</f>
        <v>4.7156123041207199E-2</v>
      </c>
      <c r="H193" s="243">
        <f t="shared" si="78"/>
        <v>-0.24264478166615056</v>
      </c>
      <c r="I193" s="243">
        <f t="shared" si="78"/>
        <v>-8.2930756843800246E-2</v>
      </c>
      <c r="J193" s="243">
        <f t="shared" si="78"/>
        <v>-3.3660844250363975E-2</v>
      </c>
      <c r="K193" s="243">
        <f t="shared" si="78"/>
        <v>-3.5194679229596848E-2</v>
      </c>
      <c r="L193" s="243">
        <f>L192/H192-1</f>
        <v>-7.2377836843181331E-2</v>
      </c>
      <c r="M193" s="243"/>
      <c r="N193" s="243"/>
    </row>
    <row r="194" spans="1:14" s="244" customFormat="1">
      <c r="A194" s="242"/>
      <c r="B194" s="242"/>
      <c r="C194" s="242"/>
      <c r="D194" s="242"/>
      <c r="E194" s="242"/>
      <c r="F194" s="242"/>
      <c r="G194" s="242"/>
      <c r="H194" s="242"/>
      <c r="I194" s="242"/>
      <c r="J194" s="242"/>
      <c r="K194" s="242"/>
      <c r="L194" s="242"/>
      <c r="M194" s="242"/>
      <c r="N194" s="242"/>
    </row>
    <row r="195" spans="1:14">
      <c r="A195" s="230" t="s">
        <v>371</v>
      </c>
      <c r="B195" s="126"/>
      <c r="C195" s="240">
        <f>'Screener Input'!B41</f>
        <v>42460</v>
      </c>
      <c r="D195" s="240">
        <f>'Screener Input'!C41</f>
        <v>42551</v>
      </c>
      <c r="E195" s="240">
        <f>'Screener Input'!D41</f>
        <v>42643</v>
      </c>
      <c r="F195" s="240">
        <f>'Screener Input'!E41</f>
        <v>42735</v>
      </c>
      <c r="G195" s="240">
        <f>'Screener Input'!F41</f>
        <v>42825</v>
      </c>
      <c r="H195" s="240">
        <f>'Screener Input'!G41</f>
        <v>42916</v>
      </c>
      <c r="I195" s="240">
        <f>'Screener Input'!H41</f>
        <v>43008</v>
      </c>
      <c r="J195" s="240">
        <f>'Screener Input'!I41</f>
        <v>43100</v>
      </c>
      <c r="K195" s="240">
        <f>'Screener Input'!J41</f>
        <v>43190</v>
      </c>
      <c r="L195" s="240">
        <f>'Screener Input'!K41</f>
        <v>43281</v>
      </c>
      <c r="M195" s="240"/>
      <c r="N195" s="240"/>
    </row>
    <row r="196" spans="1:14">
      <c r="A196" s="163" t="s">
        <v>288</v>
      </c>
      <c r="B196" s="126"/>
      <c r="C196" s="224">
        <f>IF('Screener Input'!B43/('Screener Input'!B42+'Screener Input'!B44)&lt;0, 0, 'Screener Input'!B43/('Screener Input'!B42+'Screener Input'!B44))</f>
        <v>0.78983414722646383</v>
      </c>
      <c r="D196" s="224">
        <f>IF('Screener Input'!C43/('Screener Input'!C42+'Screener Input'!C44)&lt;0, 0, 'Screener Input'!C43/('Screener Input'!C42+'Screener Input'!C44))</f>
        <v>0.78388875811278869</v>
      </c>
      <c r="E196" s="224">
        <f>IF('Screener Input'!D43/('Screener Input'!D42+'Screener Input'!D44)&lt;0, 0, 'Screener Input'!D43/('Screener Input'!D42+'Screener Input'!D44))</f>
        <v>0.79483088200445506</v>
      </c>
      <c r="F196" s="224">
        <f>IF('Screener Input'!E43/('Screener Input'!E42+'Screener Input'!E44)&lt;0, 0, 'Screener Input'!E43/('Screener Input'!E42+'Screener Input'!E44))</f>
        <v>0.8115246887217058</v>
      </c>
      <c r="G196" s="224">
        <f>IF('Screener Input'!F43/('Screener Input'!F42+'Screener Input'!F44)&lt;0, 0, 'Screener Input'!F43/('Screener Input'!F42+'Screener Input'!F44))</f>
        <v>0.80980946628596517</v>
      </c>
      <c r="H196" s="224">
        <f>IF('Screener Input'!G43/('Screener Input'!G42+'Screener Input'!G44)&lt;0, 0, 'Screener Input'!G43/('Screener Input'!G42+'Screener Input'!G44))</f>
        <v>0.82925979864496946</v>
      </c>
      <c r="I196" s="224">
        <f>IF('Screener Input'!H43/('Screener Input'!H42+'Screener Input'!H44)&lt;0, 0, 'Screener Input'!H43/('Screener Input'!H42+'Screener Input'!H44))</f>
        <v>0.81683919328930932</v>
      </c>
      <c r="J196" s="224">
        <f>IF('Screener Input'!I43/('Screener Input'!I42+'Screener Input'!I44)&lt;0, 0, 'Screener Input'!I43/('Screener Input'!I42+'Screener Input'!I44))</f>
        <v>0.83146033517867657</v>
      </c>
      <c r="K196" s="224">
        <f>IF('Screener Input'!J43/('Screener Input'!J42+'Screener Input'!J44)&lt;0, 0, 'Screener Input'!J43/('Screener Input'!J42+'Screener Input'!J44))</f>
        <v>0.83419846923912189</v>
      </c>
      <c r="L196" s="253">
        <f>IF('Screener Input'!K43/('Screener Input'!K42+'Screener Input'!K44)&lt;0, 0, 'Screener Input'!K43/('Screener Input'!K42+'Screener Input'!K44))</f>
        <v>0.84957537154989393</v>
      </c>
      <c r="M196" s="224"/>
      <c r="N196" s="224"/>
    </row>
    <row r="197" spans="1:14">
      <c r="A197" s="163" t="s">
        <v>18</v>
      </c>
      <c r="B197" s="126"/>
      <c r="C197" s="224">
        <f>IF('Screener Input'!B45/('Screener Input'!B42+'Screener Input'!B44)&lt;0,0, 'Screener Input'!B45/('Screener Input'!B42+'Screener Input'!B44))</f>
        <v>3.0116565622968421E-2</v>
      </c>
      <c r="D197" s="224">
        <f>IF('Screener Input'!C45/('Screener Input'!C42+'Screener Input'!C44)&lt;0,0, 'Screener Input'!C45/('Screener Input'!C42+'Screener Input'!C44))</f>
        <v>3.349362746746478E-2</v>
      </c>
      <c r="E197" s="224">
        <f>IF('Screener Input'!D45/('Screener Input'!D42+'Screener Input'!D44)&lt;0,0, 'Screener Input'!D45/('Screener Input'!D42+'Screener Input'!D44))</f>
        <v>3.2164805131202706E-2</v>
      </c>
      <c r="F197" s="224">
        <f>IF('Screener Input'!E45/('Screener Input'!E42+'Screener Input'!E44)&lt;0,0, 'Screener Input'!E45/('Screener Input'!E42+'Screener Input'!E44))</f>
        <v>3.3871020729984561E-2</v>
      </c>
      <c r="G197" s="224">
        <f>IF('Screener Input'!F45/('Screener Input'!F42+'Screener Input'!F44)&lt;0,0, 'Screener Input'!F45/('Screener Input'!F42+'Screener Input'!F44))</f>
        <v>2.8127059081924002E-2</v>
      </c>
      <c r="H197" s="224">
        <f>IF('Screener Input'!G45/('Screener Input'!G42+'Screener Input'!G44)&lt;0,0, 'Screener Input'!G45/('Screener Input'!G42+'Screener Input'!G44))</f>
        <v>3.457227885772178E-2</v>
      </c>
      <c r="I197" s="224">
        <f>IF('Screener Input'!H45/('Screener Input'!H42+'Screener Input'!H44)&lt;0,0, 'Screener Input'!H45/('Screener Input'!H42+'Screener Input'!H44))</f>
        <v>3.2081028020703194E-2</v>
      </c>
      <c r="J197" s="224">
        <f>IF('Screener Input'!I45/('Screener Input'!I42+'Screener Input'!I44)&lt;0,0, 'Screener Input'!I45/('Screener Input'!I42+'Screener Input'!I44))</f>
        <v>3.3578205843754247E-2</v>
      </c>
      <c r="K197" s="224">
        <f>IF('Screener Input'!J45/('Screener Input'!J42+'Screener Input'!J44)&lt;0,0, 'Screener Input'!J45/('Screener Input'!J42+'Screener Input'!J44))</f>
        <v>3.0270928785190287E-2</v>
      </c>
      <c r="L197" s="253">
        <f>IF('Screener Input'!K45/('Screener Input'!K42+'Screener Input'!K44)&lt;0,0, 'Screener Input'!K45/('Screener Input'!K42+'Screener Input'!K44))</f>
        <v>3.4379739156809225E-2</v>
      </c>
      <c r="M197" s="224"/>
      <c r="N197" s="224"/>
    </row>
    <row r="198" spans="1:14">
      <c r="A198" s="163" t="s">
        <v>17</v>
      </c>
      <c r="B198" s="126"/>
      <c r="C198" s="224">
        <f>IF('Screener Input'!B46/('Screener Input'!B42+'Screener Input'!B44)&lt;0, 0, 'Screener Input'!B46/('Screener Input'!B42+'Screener Input'!B44))</f>
        <v>1.5723508156569858E-2</v>
      </c>
      <c r="D198" s="224">
        <f>IF('Screener Input'!C46/('Screener Input'!C42+'Screener Input'!C44)&lt;0, 0, 'Screener Input'!C46/('Screener Input'!C42+'Screener Input'!C44))</f>
        <v>1.509903487238121E-2</v>
      </c>
      <c r="E198" s="224">
        <f>IF('Screener Input'!D46/('Screener Input'!D42+'Screener Input'!D44)&lt;0, 0, 'Screener Input'!D46/('Screener Input'!D42+'Screener Input'!D44))</f>
        <v>1.4107647830139496E-2</v>
      </c>
      <c r="F198" s="224">
        <f>IF('Screener Input'!E46/('Screener Input'!E42+'Screener Input'!E44)&lt;0, 0, 'Screener Input'!E46/('Screener Input'!E42+'Screener Input'!E44))</f>
        <v>1.3584546141463254E-2</v>
      </c>
      <c r="G198" s="224">
        <f>IF('Screener Input'!F46/('Screener Input'!F42+'Screener Input'!F44)&lt;0, 0, 'Screener Input'!F46/('Screener Input'!F42+'Screener Input'!F44))</f>
        <v>1.0734680430485394E-2</v>
      </c>
      <c r="H198" s="224">
        <f>IF('Screener Input'!G46/('Screener Input'!G42+'Screener Input'!G44)&lt;0, 0, 'Screener Input'!G46/('Screener Input'!G42+'Screener Input'!G44))</f>
        <v>1.2347242449186349E-2</v>
      </c>
      <c r="I198" s="224">
        <f>IF('Screener Input'!H46/('Screener Input'!H42+'Screener Input'!H44)&lt;0, 0, 'Screener Input'!H46/('Screener Input'!H42+'Screener Input'!H44))</f>
        <v>9.5038372300553266E-3</v>
      </c>
      <c r="J198" s="224">
        <f>IF('Screener Input'!I46/('Screener Input'!I42+'Screener Input'!I44)&lt;0, 0, 'Screener Input'!I46/('Screener Input'!I42+'Screener Input'!I44))</f>
        <v>7.8741345240070596E-3</v>
      </c>
      <c r="K198" s="224">
        <f>IF('Screener Input'!J46/('Screener Input'!J42+'Screener Input'!J44)&lt;0, 0, 'Screener Input'!J46/('Screener Input'!J42+'Screener Input'!J44))</f>
        <v>6.2104398951243417E-3</v>
      </c>
      <c r="L198" s="253">
        <f>IF('Screener Input'!K46/('Screener Input'!K42+'Screener Input'!K44)&lt;0, 0, 'Screener Input'!K46/('Screener Input'!K42+'Screener Input'!K44))</f>
        <v>6.3239308462238403E-3</v>
      </c>
      <c r="M198" s="224"/>
      <c r="N198" s="224"/>
    </row>
    <row r="199" spans="1:14">
      <c r="A199" s="163" t="s">
        <v>19</v>
      </c>
      <c r="B199" s="126"/>
      <c r="C199" s="224">
        <f>IF('Screener Input'!B48/('Screener Input'!B42+'Screener Input'!B44)&lt;0, 0, 'Screener Input'!B48/('Screener Input'!B42+'Screener Input'!B44))</f>
        <v>6.0127299941036855E-2</v>
      </c>
      <c r="D199" s="224">
        <f>IF('Screener Input'!C48/('Screener Input'!C42+'Screener Input'!C44)&lt;0, 0, 'Screener Input'!C48/('Screener Input'!C42+'Screener Input'!C44))</f>
        <v>5.893331539832531E-2</v>
      </c>
      <c r="E199" s="224">
        <f>IF('Screener Input'!D48/('Screener Input'!D42+'Screener Input'!D44)&lt;0, 0, 'Screener Input'!D48/('Screener Input'!D42+'Screener Input'!D44))</f>
        <v>6.079084977645776E-2</v>
      </c>
      <c r="F199" s="224">
        <f>IF('Screener Input'!E48/('Screener Input'!E42+'Screener Input'!E44)&lt;0, 0, 'Screener Input'!E48/('Screener Input'!E42+'Screener Input'!E44))</f>
        <v>5.0740825914123329E-2</v>
      </c>
      <c r="G199" s="224">
        <f>IF('Screener Input'!F48/('Screener Input'!F42+'Screener Input'!F44)&lt;0, 0, 'Screener Input'!F48/('Screener Input'!F42+'Screener Input'!F44))</f>
        <v>5.2259499231276083E-2</v>
      </c>
      <c r="H199" s="224">
        <f>IF('Screener Input'!G48/('Screener Input'!G42+'Screener Input'!G44)&lt;0, 0, 'Screener Input'!G48/('Screener Input'!G42+'Screener Input'!G44))</f>
        <v>4.6397137972519473E-2</v>
      </c>
      <c r="I199" s="224">
        <f>IF('Screener Input'!H48/('Screener Input'!H42+'Screener Input'!H44)&lt;0, 0, 'Screener Input'!H48/('Screener Input'!H42+'Screener Input'!H44))</f>
        <v>5.6874293533226247E-2</v>
      </c>
      <c r="J199" s="224">
        <f>IF('Screener Input'!I48/('Screener Input'!I42+'Screener Input'!I44)&lt;0, 0, 'Screener Input'!I48/('Screener Input'!I42+'Screener Input'!I44))</f>
        <v>4.6973285263904187E-2</v>
      </c>
      <c r="K199" s="224">
        <f>IF('Screener Input'!J48/('Screener Input'!J42+'Screener Input'!J44)&lt;0, 0, 'Screener Input'!J48/('Screener Input'!J42+'Screener Input'!J44))</f>
        <v>3.7116978733546975E-2</v>
      </c>
      <c r="L199" s="253">
        <f>IF('Screener Input'!K48/('Screener Input'!K42+'Screener Input'!K44)&lt;0, 0, 'Screener Input'!K48/('Screener Input'!K42+'Screener Input'!K44))</f>
        <v>4.0915984228086143E-2</v>
      </c>
      <c r="M199" s="224"/>
      <c r="N199" s="224"/>
    </row>
    <row r="200" spans="1:14">
      <c r="A200" s="163" t="s">
        <v>287</v>
      </c>
      <c r="B200" s="126"/>
      <c r="C200" s="224">
        <f>1-SUM(C196:C199)</f>
        <v>0.10419847905296109</v>
      </c>
      <c r="D200" s="224">
        <f t="shared" ref="D200:L200" si="79">1-SUM(D196:D199)</f>
        <v>0.10858526414904002</v>
      </c>
      <c r="E200" s="224">
        <f t="shared" si="79"/>
        <v>9.8105815257744977E-2</v>
      </c>
      <c r="F200" s="224">
        <f t="shared" si="79"/>
        <v>9.027891849272307E-2</v>
      </c>
      <c r="G200" s="224">
        <f t="shared" si="79"/>
        <v>9.9069294970349331E-2</v>
      </c>
      <c r="H200" s="224">
        <f t="shared" si="79"/>
        <v>7.742354207560298E-2</v>
      </c>
      <c r="I200" s="224">
        <f t="shared" si="79"/>
        <v>8.470164792670587E-2</v>
      </c>
      <c r="J200" s="224">
        <f t="shared" si="79"/>
        <v>8.0114039189657871E-2</v>
      </c>
      <c r="K200" s="224">
        <f t="shared" si="79"/>
        <v>9.2203183347016382E-2</v>
      </c>
      <c r="L200" s="253">
        <f t="shared" si="79"/>
        <v>6.8804974218986792E-2</v>
      </c>
      <c r="M200" s="224"/>
      <c r="N200" s="224"/>
    </row>
    <row r="201" spans="1:14">
      <c r="A201" s="159"/>
      <c r="B201" s="126"/>
      <c r="C201" s="126"/>
      <c r="D201" s="126"/>
      <c r="E201" s="126"/>
      <c r="F201" s="126"/>
      <c r="G201" s="126"/>
      <c r="H201" s="126"/>
      <c r="I201" s="126"/>
      <c r="J201" s="126"/>
      <c r="K201" s="126"/>
      <c r="L201" s="126"/>
      <c r="M201" s="126"/>
      <c r="N201" s="126"/>
    </row>
    <row r="202" spans="1:14">
      <c r="A202" s="163"/>
      <c r="B202" s="126"/>
      <c r="C202" s="126"/>
      <c r="D202" s="126"/>
      <c r="E202" s="126"/>
      <c r="F202" s="126"/>
      <c r="G202" s="126"/>
      <c r="H202" s="126"/>
      <c r="I202" s="126"/>
      <c r="J202" s="126"/>
      <c r="K202" s="126"/>
      <c r="L202" s="126"/>
      <c r="M202" s="126"/>
      <c r="N202" s="126"/>
    </row>
    <row r="203" spans="1:14">
      <c r="A203" s="163"/>
    </row>
    <row r="204" spans="1:14">
      <c r="A204" s="163"/>
    </row>
    <row r="205" spans="1:14">
      <c r="A205" s="163"/>
    </row>
  </sheetData>
  <mergeCells count="7">
    <mergeCell ref="A68:K68"/>
    <mergeCell ref="A85:K85"/>
    <mergeCell ref="A3:J3"/>
    <mergeCell ref="A12:K12"/>
    <mergeCell ref="A13:J13"/>
    <mergeCell ref="C38:K38"/>
    <mergeCell ref="A61:K61"/>
  </mergeCells>
  <pageMargins left="0.7" right="0.7" top="0.75" bottom="0.75" header="0.3" footer="0.3"/>
  <pageSetup orientation="portrait" r:id="rId1"/>
  <ignoredErrors>
    <ignoredError sqref="C32:L34 C47:L47 F192:L192" formula="1"/>
    <ignoredError sqref="C73:L73 M74:N74 M26:N26 M25:N25 N29 M35 M30 M32:M34" formulaRange="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93"/>
  <sheetViews>
    <sheetView topLeftCell="A91" zoomScaleNormal="100" workbookViewId="0">
      <selection sqref="A1:XFD1048576"/>
    </sheetView>
  </sheetViews>
  <sheetFormatPr defaultRowHeight="15"/>
  <cols>
    <col min="1" max="1" width="27.7109375" style="159" bestFit="1" customWidth="1"/>
    <col min="2" max="11" width="13.5703125" style="159" bestFit="1" customWidth="1"/>
    <col min="12" max="16384" width="9.140625" style="159"/>
  </cols>
  <sheetData>
    <row r="1" spans="1:11" s="158" customFormat="1">
      <c r="A1" s="158" t="s">
        <v>479</v>
      </c>
      <c r="B1" s="158" t="s">
        <v>480</v>
      </c>
      <c r="E1" s="439" t="str">
        <f>IF(B2&lt;&gt;B3, "A NEW VERSION OF THE WORKSHEET IS AVAILABLE", "")</f>
        <v/>
      </c>
      <c r="F1" s="439"/>
      <c r="G1" s="439"/>
      <c r="H1" s="439"/>
      <c r="I1" s="439"/>
      <c r="J1" s="439"/>
      <c r="K1" s="439"/>
    </row>
    <row r="2" spans="1:11">
      <c r="A2" s="158" t="s">
        <v>481</v>
      </c>
      <c r="B2" s="159">
        <v>2.1</v>
      </c>
      <c r="E2" s="440" t="s">
        <v>482</v>
      </c>
      <c r="F2" s="440"/>
      <c r="G2" s="440"/>
      <c r="H2" s="440"/>
      <c r="I2" s="440"/>
      <c r="J2" s="440"/>
      <c r="K2" s="440"/>
    </row>
    <row r="3" spans="1:11">
      <c r="A3" s="158" t="s">
        <v>483</v>
      </c>
      <c r="B3" s="159">
        <v>2.1</v>
      </c>
    </row>
    <row r="4" spans="1:11">
      <c r="A4" s="158"/>
    </row>
    <row r="5" spans="1:11">
      <c r="A5" s="158" t="s">
        <v>484</v>
      </c>
    </row>
    <row r="6" spans="1:11">
      <c r="A6" s="159" t="s">
        <v>485</v>
      </c>
      <c r="B6" s="159">
        <f>IF(B9&gt;0, B9/B8, 0)</f>
        <v>15.895019052803486</v>
      </c>
    </row>
    <row r="7" spans="1:11">
      <c r="A7" s="159" t="s">
        <v>486</v>
      </c>
      <c r="B7">
        <v>1</v>
      </c>
    </row>
    <row r="8" spans="1:11">
      <c r="A8" s="159" t="s">
        <v>282</v>
      </c>
      <c r="B8">
        <v>367.4</v>
      </c>
    </row>
    <row r="9" spans="1:11">
      <c r="A9" s="159" t="s">
        <v>487</v>
      </c>
      <c r="B9">
        <v>5839.83</v>
      </c>
    </row>
    <row r="15" spans="1:11">
      <c r="A15" s="158" t="s">
        <v>488</v>
      </c>
    </row>
    <row r="16" spans="1:11" s="162" customFormat="1">
      <c r="A16" s="160" t="s">
        <v>489</v>
      </c>
      <c r="B16" s="161">
        <v>38807</v>
      </c>
      <c r="C16" s="161">
        <v>39172</v>
      </c>
      <c r="D16" s="161">
        <v>40633</v>
      </c>
      <c r="E16" s="161">
        <v>40999</v>
      </c>
      <c r="F16" s="161">
        <v>41364</v>
      </c>
      <c r="G16" s="161">
        <v>41729</v>
      </c>
      <c r="H16" s="161">
        <v>42094</v>
      </c>
      <c r="I16" s="161">
        <v>42460</v>
      </c>
      <c r="J16" s="161">
        <v>42825</v>
      </c>
      <c r="K16" s="161">
        <v>43190</v>
      </c>
    </row>
    <row r="17" spans="1:11" s="163" customFormat="1">
      <c r="A17" s="163" t="s">
        <v>225</v>
      </c>
      <c r="B17">
        <v>348.09</v>
      </c>
      <c r="C17">
        <v>430.5</v>
      </c>
      <c r="D17">
        <v>953.25</v>
      </c>
      <c r="E17">
        <v>1313.03</v>
      </c>
      <c r="F17">
        <v>1583.27</v>
      </c>
      <c r="G17">
        <v>1836.31</v>
      </c>
      <c r="H17">
        <v>2186.89</v>
      </c>
      <c r="I17">
        <v>2413.4499999999998</v>
      </c>
      <c r="J17">
        <v>2549.63</v>
      </c>
      <c r="K17">
        <v>2710.6</v>
      </c>
    </row>
    <row r="18" spans="1:11" s="163" customFormat="1">
      <c r="A18" s="159" t="s">
        <v>490</v>
      </c>
      <c r="B18">
        <v>153.55000000000001</v>
      </c>
      <c r="C18">
        <v>232.99</v>
      </c>
      <c r="D18">
        <v>533.32000000000005</v>
      </c>
      <c r="E18">
        <v>620.33000000000004</v>
      </c>
      <c r="F18">
        <v>683.31</v>
      </c>
      <c r="G18">
        <v>750.25</v>
      </c>
      <c r="H18">
        <v>827.22</v>
      </c>
      <c r="I18">
        <v>912.07</v>
      </c>
      <c r="J18">
        <v>906.8</v>
      </c>
      <c r="K18">
        <v>1073.2</v>
      </c>
    </row>
    <row r="19" spans="1:11" s="163" customFormat="1">
      <c r="A19" s="159" t="s">
        <v>491</v>
      </c>
      <c r="B19">
        <v>14.84</v>
      </c>
      <c r="C19">
        <v>45.17</v>
      </c>
      <c r="D19">
        <v>-4.26</v>
      </c>
      <c r="E19">
        <v>21.8</v>
      </c>
      <c r="F19">
        <v>20.6</v>
      </c>
      <c r="G19">
        <v>-33.729999999999997</v>
      </c>
      <c r="H19">
        <v>91.86</v>
      </c>
      <c r="I19">
        <v>65.72</v>
      </c>
      <c r="J19">
        <v>-12.63</v>
      </c>
      <c r="K19">
        <v>12.87</v>
      </c>
    </row>
    <row r="20" spans="1:11" s="163" customFormat="1">
      <c r="A20" s="159" t="s">
        <v>283</v>
      </c>
      <c r="B20">
        <v>60.78</v>
      </c>
      <c r="C20">
        <v>75.599999999999994</v>
      </c>
      <c r="D20">
        <v>95.03</v>
      </c>
      <c r="E20">
        <v>212.21</v>
      </c>
      <c r="F20">
        <v>308.31</v>
      </c>
      <c r="G20">
        <v>373.25</v>
      </c>
      <c r="H20">
        <v>485.35</v>
      </c>
      <c r="I20">
        <v>480.48</v>
      </c>
      <c r="J20">
        <v>448.02</v>
      </c>
      <c r="K20">
        <v>519.44000000000005</v>
      </c>
    </row>
    <row r="21" spans="1:11" s="163" customFormat="1">
      <c r="A21" s="159" t="s">
        <v>284</v>
      </c>
      <c r="B21">
        <v>10.46</v>
      </c>
      <c r="C21">
        <v>13.49</v>
      </c>
      <c r="D21">
        <v>18.329999999999998</v>
      </c>
      <c r="E21">
        <v>95.19</v>
      </c>
      <c r="F21">
        <v>121.48</v>
      </c>
      <c r="G21">
        <v>71.19</v>
      </c>
      <c r="H21">
        <v>197.15</v>
      </c>
      <c r="I21">
        <v>122.85</v>
      </c>
      <c r="J21">
        <v>111.37</v>
      </c>
      <c r="K21">
        <v>74.010000000000005</v>
      </c>
    </row>
    <row r="22" spans="1:11" s="163" customFormat="1">
      <c r="A22" s="159" t="s">
        <v>16</v>
      </c>
      <c r="B22">
        <v>23.94</v>
      </c>
      <c r="C22">
        <v>32.700000000000003</v>
      </c>
      <c r="D22">
        <v>76.08</v>
      </c>
      <c r="E22">
        <v>107.19</v>
      </c>
      <c r="F22">
        <v>136.4</v>
      </c>
      <c r="G22">
        <v>171.25</v>
      </c>
      <c r="H22">
        <v>207.32</v>
      </c>
      <c r="I22">
        <v>252.28</v>
      </c>
      <c r="J22">
        <v>288.70999999999998</v>
      </c>
      <c r="K22">
        <v>317.64999999999998</v>
      </c>
    </row>
    <row r="23" spans="1:11" s="163" customFormat="1">
      <c r="A23" s="159" t="s">
        <v>285</v>
      </c>
      <c r="B23">
        <v>42.35</v>
      </c>
      <c r="C23">
        <v>59.92</v>
      </c>
      <c r="D23">
        <v>72.150000000000006</v>
      </c>
      <c r="E23">
        <v>87.06</v>
      </c>
      <c r="F23">
        <v>99.99</v>
      </c>
      <c r="G23">
        <v>149.22999999999999</v>
      </c>
      <c r="H23">
        <v>186.76</v>
      </c>
      <c r="I23">
        <v>225.46</v>
      </c>
      <c r="J23">
        <v>248.15</v>
      </c>
      <c r="K23">
        <v>247.53</v>
      </c>
    </row>
    <row r="24" spans="1:11" s="163" customFormat="1">
      <c r="A24" s="159" t="s">
        <v>286</v>
      </c>
      <c r="B24">
        <v>1.51</v>
      </c>
      <c r="C24">
        <v>2.0499999999999998</v>
      </c>
      <c r="D24">
        <v>5.19</v>
      </c>
      <c r="E24">
        <v>6.45</v>
      </c>
      <c r="F24">
        <v>8.86</v>
      </c>
      <c r="G24">
        <v>1.62</v>
      </c>
      <c r="H24">
        <v>26.57</v>
      </c>
      <c r="I24">
        <v>28.57</v>
      </c>
      <c r="J24">
        <v>37.619999999999997</v>
      </c>
      <c r="K24">
        <v>35.28</v>
      </c>
    </row>
    <row r="25" spans="1:11" s="163" customFormat="1">
      <c r="A25" s="163" t="s">
        <v>492</v>
      </c>
      <c r="B25">
        <v>0.88</v>
      </c>
      <c r="C25">
        <v>1.02</v>
      </c>
      <c r="D25">
        <v>0.32</v>
      </c>
      <c r="E25">
        <v>1.47</v>
      </c>
      <c r="F25">
        <v>3.04</v>
      </c>
      <c r="G25">
        <v>1.87</v>
      </c>
      <c r="H25">
        <v>7.22</v>
      </c>
      <c r="I25">
        <v>10.43</v>
      </c>
      <c r="J25">
        <v>15.36</v>
      </c>
      <c r="K25">
        <v>11.59</v>
      </c>
    </row>
    <row r="26" spans="1:11" s="163" customFormat="1">
      <c r="A26" s="163" t="s">
        <v>18</v>
      </c>
      <c r="B26">
        <v>18.489999999999998</v>
      </c>
      <c r="C26">
        <v>22.5</v>
      </c>
      <c r="D26">
        <v>29.68</v>
      </c>
      <c r="E26">
        <v>39.26</v>
      </c>
      <c r="F26">
        <v>44.62</v>
      </c>
      <c r="G26">
        <v>47</v>
      </c>
      <c r="H26">
        <v>55.88</v>
      </c>
      <c r="I26">
        <v>72.61</v>
      </c>
      <c r="J26">
        <v>81.39</v>
      </c>
      <c r="K26">
        <v>88.53</v>
      </c>
    </row>
    <row r="27" spans="1:11" s="163" customFormat="1">
      <c r="A27" s="163" t="s">
        <v>17</v>
      </c>
      <c r="B27">
        <v>14.69</v>
      </c>
      <c r="C27">
        <v>25.97</v>
      </c>
      <c r="D27">
        <v>30.31</v>
      </c>
      <c r="E27">
        <v>48.7</v>
      </c>
      <c r="F27">
        <v>46.24</v>
      </c>
      <c r="G27">
        <v>41.49</v>
      </c>
      <c r="H27">
        <v>29.39</v>
      </c>
      <c r="I27">
        <v>34.46</v>
      </c>
      <c r="J27">
        <v>34</v>
      </c>
      <c r="K27">
        <v>24.1</v>
      </c>
    </row>
    <row r="28" spans="1:11" s="163" customFormat="1">
      <c r="A28" s="163" t="s">
        <v>493</v>
      </c>
      <c r="B28">
        <v>38.04</v>
      </c>
      <c r="C28">
        <v>11.47</v>
      </c>
      <c r="D28">
        <v>89.22</v>
      </c>
      <c r="E28">
        <v>119.91</v>
      </c>
      <c r="F28">
        <v>157.71</v>
      </c>
      <c r="G28">
        <v>199.17</v>
      </c>
      <c r="H28">
        <v>270.33</v>
      </c>
      <c r="I28">
        <v>360.82</v>
      </c>
      <c r="J28">
        <v>396.3</v>
      </c>
      <c r="K28">
        <v>355.32</v>
      </c>
    </row>
    <row r="29" spans="1:11" s="163" customFormat="1">
      <c r="A29" s="163" t="s">
        <v>19</v>
      </c>
      <c r="B29">
        <v>8.14</v>
      </c>
      <c r="C29">
        <v>3.37</v>
      </c>
      <c r="D29">
        <v>28.53</v>
      </c>
      <c r="E29">
        <v>38.06</v>
      </c>
      <c r="F29">
        <v>49.88</v>
      </c>
      <c r="G29">
        <v>67.819999999999993</v>
      </c>
      <c r="H29">
        <v>85.43</v>
      </c>
      <c r="I29">
        <v>124.71</v>
      </c>
      <c r="J29">
        <v>142.49</v>
      </c>
      <c r="K29">
        <v>126.72</v>
      </c>
    </row>
    <row r="30" spans="1:11" s="163" customFormat="1">
      <c r="A30" s="163" t="s">
        <v>287</v>
      </c>
      <c r="B30">
        <v>29.9</v>
      </c>
      <c r="C30">
        <v>8.1</v>
      </c>
      <c r="D30">
        <v>60.62</v>
      </c>
      <c r="E30">
        <v>80.88</v>
      </c>
      <c r="F30">
        <v>104.51</v>
      </c>
      <c r="G30">
        <v>124.22</v>
      </c>
      <c r="H30">
        <v>175.6</v>
      </c>
      <c r="I30">
        <v>231.33</v>
      </c>
      <c r="J30">
        <v>252.81</v>
      </c>
      <c r="K30">
        <v>234.96</v>
      </c>
    </row>
    <row r="31" spans="1:11" s="163" customFormat="1">
      <c r="A31" s="163" t="s">
        <v>494</v>
      </c>
      <c r="B31">
        <v>0.2</v>
      </c>
      <c r="C31">
        <v>1.47</v>
      </c>
      <c r="D31">
        <v>14.72</v>
      </c>
      <c r="E31">
        <v>18.399999999999999</v>
      </c>
      <c r="F31">
        <v>22.08</v>
      </c>
      <c r="G31">
        <v>26.46</v>
      </c>
      <c r="H31">
        <v>31.78</v>
      </c>
      <c r="I31">
        <v>39.729999999999997</v>
      </c>
      <c r="J31">
        <v>47.67</v>
      </c>
      <c r="K31">
        <v>47.7</v>
      </c>
    </row>
    <row r="32" spans="1:11" s="163" customFormat="1"/>
    <row r="33" spans="1:11">
      <c r="A33" s="163"/>
    </row>
    <row r="34" spans="1:11">
      <c r="A34" s="163"/>
    </row>
    <row r="35" spans="1:11">
      <c r="A35" s="163"/>
    </row>
    <row r="36" spans="1:11">
      <c r="A36" s="163"/>
    </row>
    <row r="37" spans="1:11">
      <c r="A37" s="163"/>
    </row>
    <row r="38" spans="1:11">
      <c r="A38" s="163"/>
    </row>
    <row r="39" spans="1:11">
      <c r="A39" s="163"/>
    </row>
    <row r="40" spans="1:11">
      <c r="A40" s="158" t="s">
        <v>495</v>
      </c>
    </row>
    <row r="41" spans="1:11" s="162" customFormat="1">
      <c r="A41" s="160" t="s">
        <v>489</v>
      </c>
      <c r="B41" s="161">
        <v>42460</v>
      </c>
      <c r="C41" s="161">
        <v>42551</v>
      </c>
      <c r="D41" s="161">
        <v>42643</v>
      </c>
      <c r="E41" s="161">
        <v>42735</v>
      </c>
      <c r="F41" s="161">
        <v>42825</v>
      </c>
      <c r="G41" s="161">
        <v>42916</v>
      </c>
      <c r="H41" s="161">
        <v>43008</v>
      </c>
      <c r="I41" s="161">
        <v>43100</v>
      </c>
      <c r="J41" s="161">
        <v>43190</v>
      </c>
      <c r="K41" s="161">
        <v>43281</v>
      </c>
    </row>
    <row r="42" spans="1:11" s="163" customFormat="1">
      <c r="A42" s="163" t="s">
        <v>225</v>
      </c>
      <c r="B42">
        <v>656.75</v>
      </c>
      <c r="C42">
        <v>593.01</v>
      </c>
      <c r="D42">
        <v>629.21</v>
      </c>
      <c r="E42">
        <v>606.67999999999995</v>
      </c>
      <c r="F42">
        <v>720.73</v>
      </c>
      <c r="G42">
        <v>628.16999999999996</v>
      </c>
      <c r="H42">
        <v>671.23</v>
      </c>
      <c r="I42">
        <v>661.16</v>
      </c>
      <c r="J42">
        <v>750.04</v>
      </c>
      <c r="K42">
        <v>657.02</v>
      </c>
    </row>
    <row r="43" spans="1:11" s="163" customFormat="1">
      <c r="A43" s="163" t="s">
        <v>288</v>
      </c>
      <c r="B43">
        <v>522.41999999999996</v>
      </c>
      <c r="C43">
        <v>466.21</v>
      </c>
      <c r="D43">
        <v>503.12</v>
      </c>
      <c r="E43">
        <v>494.04</v>
      </c>
      <c r="F43">
        <v>589.92999999999995</v>
      </c>
      <c r="G43">
        <v>523.86</v>
      </c>
      <c r="H43">
        <v>549.21</v>
      </c>
      <c r="I43">
        <v>551.20000000000005</v>
      </c>
      <c r="J43">
        <v>629.97</v>
      </c>
      <c r="K43">
        <v>560.21</v>
      </c>
    </row>
    <row r="44" spans="1:11" s="163" customFormat="1">
      <c r="A44" s="163" t="s">
        <v>492</v>
      </c>
      <c r="B44">
        <v>4.68</v>
      </c>
      <c r="C44">
        <v>1.73</v>
      </c>
      <c r="D44">
        <v>3.78</v>
      </c>
      <c r="E44">
        <v>2.1</v>
      </c>
      <c r="F44">
        <v>7.75</v>
      </c>
      <c r="G44">
        <v>3.55</v>
      </c>
      <c r="H44">
        <v>1.1299999999999999</v>
      </c>
      <c r="I44">
        <v>1.77</v>
      </c>
      <c r="J44">
        <v>5.14</v>
      </c>
      <c r="K44">
        <v>2.38</v>
      </c>
    </row>
    <row r="45" spans="1:11" s="163" customFormat="1">
      <c r="A45" s="163" t="s">
        <v>18</v>
      </c>
      <c r="B45">
        <v>19.920000000000002</v>
      </c>
      <c r="C45">
        <v>19.920000000000002</v>
      </c>
      <c r="D45">
        <v>20.36</v>
      </c>
      <c r="E45">
        <v>20.62</v>
      </c>
      <c r="F45">
        <v>20.49</v>
      </c>
      <c r="G45">
        <v>21.84</v>
      </c>
      <c r="H45">
        <v>21.57</v>
      </c>
      <c r="I45">
        <v>22.26</v>
      </c>
      <c r="J45">
        <v>22.86</v>
      </c>
      <c r="K45">
        <v>22.67</v>
      </c>
    </row>
    <row r="46" spans="1:11" s="163" customFormat="1">
      <c r="A46" s="163" t="s">
        <v>17</v>
      </c>
      <c r="B46">
        <v>10.4</v>
      </c>
      <c r="C46">
        <v>8.98</v>
      </c>
      <c r="D46">
        <v>8.93</v>
      </c>
      <c r="E46">
        <v>8.27</v>
      </c>
      <c r="F46">
        <v>7.82</v>
      </c>
      <c r="G46">
        <v>7.8</v>
      </c>
      <c r="H46">
        <v>6.39</v>
      </c>
      <c r="I46">
        <v>5.22</v>
      </c>
      <c r="J46">
        <v>4.6900000000000004</v>
      </c>
      <c r="K46">
        <v>4.17</v>
      </c>
    </row>
    <row r="47" spans="1:11" s="163" customFormat="1">
      <c r="A47" s="163" t="s">
        <v>493</v>
      </c>
      <c r="B47">
        <v>108.69</v>
      </c>
      <c r="C47">
        <v>99.63</v>
      </c>
      <c r="D47">
        <v>100.58</v>
      </c>
      <c r="E47">
        <v>85.85</v>
      </c>
      <c r="F47">
        <v>110.24</v>
      </c>
      <c r="G47">
        <v>78.22</v>
      </c>
      <c r="H47">
        <v>95.19</v>
      </c>
      <c r="I47">
        <v>84.25</v>
      </c>
      <c r="J47">
        <v>97.66</v>
      </c>
      <c r="K47">
        <v>72.349999999999994</v>
      </c>
    </row>
    <row r="48" spans="1:11" s="163" customFormat="1">
      <c r="A48" s="163" t="s">
        <v>19</v>
      </c>
      <c r="B48">
        <v>39.770000000000003</v>
      </c>
      <c r="C48">
        <v>35.049999999999997</v>
      </c>
      <c r="D48">
        <v>38.479999999999997</v>
      </c>
      <c r="E48">
        <v>30.89</v>
      </c>
      <c r="F48">
        <v>38.07</v>
      </c>
      <c r="G48">
        <v>29.31</v>
      </c>
      <c r="H48">
        <v>38.24</v>
      </c>
      <c r="I48">
        <v>31.14</v>
      </c>
      <c r="J48">
        <v>28.03</v>
      </c>
      <c r="K48">
        <v>26.98</v>
      </c>
    </row>
    <row r="49" spans="1:11" s="163" customFormat="1">
      <c r="A49" s="163" t="s">
        <v>287</v>
      </c>
      <c r="B49">
        <v>68.92</v>
      </c>
      <c r="C49">
        <v>64.58</v>
      </c>
      <c r="D49">
        <v>62.1</v>
      </c>
      <c r="E49">
        <v>54.96</v>
      </c>
      <c r="F49">
        <v>72.17</v>
      </c>
      <c r="G49">
        <v>48.91</v>
      </c>
      <c r="H49">
        <v>56.95</v>
      </c>
      <c r="I49">
        <v>53.11</v>
      </c>
      <c r="J49">
        <v>69.63</v>
      </c>
      <c r="K49">
        <v>45.37</v>
      </c>
    </row>
    <row r="50" spans="1:11">
      <c r="A50" s="163" t="s">
        <v>496</v>
      </c>
      <c r="B50">
        <v>134.33000000000001</v>
      </c>
      <c r="C50">
        <v>126.8</v>
      </c>
      <c r="D50">
        <v>126.09</v>
      </c>
      <c r="E50">
        <v>112.64</v>
      </c>
      <c r="F50">
        <v>130.80000000000001</v>
      </c>
      <c r="G50">
        <v>104.31</v>
      </c>
      <c r="H50">
        <v>122.02</v>
      </c>
      <c r="I50">
        <v>109.96</v>
      </c>
      <c r="J50">
        <v>120.07</v>
      </c>
      <c r="K50">
        <v>96.81</v>
      </c>
    </row>
    <row r="51" spans="1:11">
      <c r="A51" s="163"/>
    </row>
    <row r="52" spans="1:11">
      <c r="A52" s="163"/>
    </row>
    <row r="53" spans="1:11">
      <c r="A53" s="163"/>
    </row>
    <row r="54" spans="1:11">
      <c r="A54" s="163"/>
    </row>
    <row r="55" spans="1:11">
      <c r="A55" s="158" t="s">
        <v>497</v>
      </c>
    </row>
    <row r="56" spans="1:11" s="162" customFormat="1">
      <c r="A56" s="160" t="s">
        <v>489</v>
      </c>
      <c r="B56" s="161">
        <v>38807</v>
      </c>
      <c r="C56" s="161">
        <v>39172</v>
      </c>
      <c r="D56" s="161">
        <v>40633</v>
      </c>
      <c r="E56" s="161">
        <v>40999</v>
      </c>
      <c r="F56" s="161">
        <v>41364</v>
      </c>
      <c r="G56" s="161">
        <v>41729</v>
      </c>
      <c r="H56" s="161">
        <v>42094</v>
      </c>
      <c r="I56" s="161">
        <v>42460</v>
      </c>
      <c r="J56" s="161">
        <v>42825</v>
      </c>
      <c r="K56" s="161">
        <v>43190</v>
      </c>
    </row>
    <row r="57" spans="1:11">
      <c r="A57" s="163" t="s">
        <v>498</v>
      </c>
      <c r="B57">
        <v>14.72</v>
      </c>
      <c r="C57">
        <v>14.72</v>
      </c>
      <c r="D57">
        <v>14.72</v>
      </c>
      <c r="E57">
        <v>14.72</v>
      </c>
      <c r="F57">
        <v>14.72</v>
      </c>
      <c r="G57">
        <v>15.12</v>
      </c>
      <c r="H57">
        <v>15.89</v>
      </c>
      <c r="I57">
        <v>15.89</v>
      </c>
      <c r="J57">
        <v>15.89</v>
      </c>
      <c r="K57">
        <v>15.9</v>
      </c>
    </row>
    <row r="58" spans="1:11">
      <c r="A58" s="163" t="s">
        <v>499</v>
      </c>
      <c r="B58">
        <v>121.52</v>
      </c>
      <c r="C58">
        <v>127.92</v>
      </c>
      <c r="D58">
        <v>207.8</v>
      </c>
      <c r="E58">
        <v>267.35000000000002</v>
      </c>
      <c r="F58">
        <v>346.16</v>
      </c>
      <c r="G58">
        <v>489.04</v>
      </c>
      <c r="H58">
        <v>725.05</v>
      </c>
      <c r="I58">
        <v>956.01</v>
      </c>
      <c r="J58">
        <v>1159.23</v>
      </c>
      <c r="K58">
        <v>1334.48</v>
      </c>
    </row>
    <row r="59" spans="1:11">
      <c r="A59" s="163" t="s">
        <v>253</v>
      </c>
      <c r="B59">
        <v>207.73</v>
      </c>
      <c r="C59">
        <v>344.8</v>
      </c>
      <c r="D59">
        <v>287.97000000000003</v>
      </c>
      <c r="E59">
        <v>278.19</v>
      </c>
      <c r="F59">
        <v>320.16000000000003</v>
      </c>
      <c r="G59">
        <v>236.43</v>
      </c>
      <c r="H59">
        <v>243.43</v>
      </c>
      <c r="I59">
        <v>293.66000000000003</v>
      </c>
      <c r="J59">
        <v>213.16</v>
      </c>
      <c r="K59">
        <v>170.33</v>
      </c>
    </row>
    <row r="60" spans="1:11">
      <c r="A60" s="163" t="s">
        <v>254</v>
      </c>
      <c r="B60">
        <v>102.88</v>
      </c>
      <c r="C60">
        <v>120.08</v>
      </c>
      <c r="D60">
        <v>299.70999999999998</v>
      </c>
      <c r="E60">
        <v>330.68</v>
      </c>
      <c r="F60">
        <v>366.52</v>
      </c>
      <c r="G60">
        <v>435.03</v>
      </c>
      <c r="H60">
        <v>577.58000000000004</v>
      </c>
      <c r="I60">
        <v>654.86</v>
      </c>
      <c r="J60">
        <v>655.16999999999996</v>
      </c>
      <c r="K60">
        <v>626.45000000000005</v>
      </c>
    </row>
    <row r="61" spans="1:11" s="158" customFormat="1">
      <c r="A61" s="158" t="s">
        <v>500</v>
      </c>
      <c r="B61">
        <v>446.85</v>
      </c>
      <c r="C61">
        <v>607.52</v>
      </c>
      <c r="D61">
        <v>810.2</v>
      </c>
      <c r="E61">
        <v>890.94</v>
      </c>
      <c r="F61">
        <v>1047.56</v>
      </c>
      <c r="G61">
        <v>1175.6199999999999</v>
      </c>
      <c r="H61">
        <v>1561.95</v>
      </c>
      <c r="I61">
        <v>1920.42</v>
      </c>
      <c r="J61">
        <v>2043.45</v>
      </c>
      <c r="K61">
        <v>2147.16</v>
      </c>
    </row>
    <row r="62" spans="1:11">
      <c r="A62" s="163" t="s">
        <v>501</v>
      </c>
      <c r="B62">
        <v>259.23</v>
      </c>
      <c r="C62">
        <v>367.68</v>
      </c>
      <c r="D62">
        <v>491.49</v>
      </c>
      <c r="E62">
        <v>520.91999999999996</v>
      </c>
      <c r="F62">
        <v>619.97</v>
      </c>
      <c r="G62">
        <v>691.59</v>
      </c>
      <c r="H62">
        <v>860.08</v>
      </c>
      <c r="I62">
        <v>1120.51</v>
      </c>
      <c r="J62">
        <v>1177.29</v>
      </c>
      <c r="K62">
        <v>1145.1099999999999</v>
      </c>
    </row>
    <row r="63" spans="1:11">
      <c r="A63" s="163" t="s">
        <v>10</v>
      </c>
      <c r="B63">
        <v>31.7</v>
      </c>
      <c r="C63">
        <v>2.98</v>
      </c>
      <c r="D63">
        <v>7.0000000000000007E-2</v>
      </c>
      <c r="E63">
        <v>2.36</v>
      </c>
      <c r="F63">
        <v>7.81</v>
      </c>
      <c r="G63">
        <v>40.53</v>
      </c>
      <c r="H63">
        <v>77.760000000000005</v>
      </c>
      <c r="I63">
        <v>7.83</v>
      </c>
      <c r="J63">
        <v>8.26</v>
      </c>
      <c r="K63">
        <v>17.600000000000001</v>
      </c>
    </row>
    <row r="64" spans="1:11">
      <c r="A64" s="163" t="s">
        <v>502</v>
      </c>
      <c r="B64">
        <v>0.46</v>
      </c>
      <c r="C64">
        <v>0.96</v>
      </c>
      <c r="D64">
        <v>3.39</v>
      </c>
      <c r="E64">
        <v>0.08</v>
      </c>
      <c r="F64">
        <v>0.08</v>
      </c>
      <c r="G64">
        <v>0.08</v>
      </c>
      <c r="H64">
        <v>0.08</v>
      </c>
      <c r="I64">
        <v>0.08</v>
      </c>
      <c r="J64">
        <v>0.09</v>
      </c>
      <c r="K64">
        <v>0.42</v>
      </c>
    </row>
    <row r="65" spans="1:11">
      <c r="A65" s="163" t="s">
        <v>503</v>
      </c>
      <c r="B65">
        <v>155.46</v>
      </c>
      <c r="C65">
        <v>235.9</v>
      </c>
      <c r="D65">
        <v>315.25</v>
      </c>
      <c r="E65">
        <v>367.58</v>
      </c>
      <c r="F65">
        <v>419.7</v>
      </c>
      <c r="G65">
        <v>443.42</v>
      </c>
      <c r="H65">
        <v>624.03</v>
      </c>
      <c r="I65">
        <v>792</v>
      </c>
      <c r="J65">
        <v>857.81</v>
      </c>
      <c r="K65">
        <v>984.03</v>
      </c>
    </row>
    <row r="66" spans="1:11" s="158" customFormat="1">
      <c r="A66" s="158" t="s">
        <v>500</v>
      </c>
      <c r="B66">
        <v>446.85</v>
      </c>
      <c r="C66">
        <v>607.52</v>
      </c>
      <c r="D66">
        <v>810.2</v>
      </c>
      <c r="E66">
        <v>890.94</v>
      </c>
      <c r="F66">
        <v>1047.56</v>
      </c>
      <c r="G66">
        <v>1175.6199999999999</v>
      </c>
      <c r="H66">
        <v>1561.95</v>
      </c>
      <c r="I66">
        <v>1920.42</v>
      </c>
      <c r="J66">
        <v>2043.45</v>
      </c>
      <c r="K66">
        <v>2147.16</v>
      </c>
    </row>
    <row r="67" spans="1:11" s="163" customFormat="1">
      <c r="A67" s="163" t="s">
        <v>504</v>
      </c>
      <c r="B67">
        <v>51.61</v>
      </c>
      <c r="C67">
        <v>62.34</v>
      </c>
      <c r="D67">
        <v>94.25</v>
      </c>
      <c r="E67">
        <v>118.95</v>
      </c>
      <c r="F67">
        <v>143.63</v>
      </c>
      <c r="G67">
        <v>164.85</v>
      </c>
      <c r="H67">
        <v>207.1</v>
      </c>
      <c r="I67">
        <v>274.11</v>
      </c>
      <c r="J67">
        <v>338.92</v>
      </c>
      <c r="K67">
        <v>450.67</v>
      </c>
    </row>
    <row r="68" spans="1:11">
      <c r="A68" s="163" t="s">
        <v>233</v>
      </c>
      <c r="B68">
        <v>70.75</v>
      </c>
      <c r="C68">
        <v>123.81</v>
      </c>
      <c r="D68">
        <v>154.65</v>
      </c>
      <c r="E68">
        <v>186.48</v>
      </c>
      <c r="F68">
        <v>219.71</v>
      </c>
      <c r="G68">
        <v>193.09</v>
      </c>
      <c r="H68">
        <v>303.32</v>
      </c>
      <c r="I68">
        <v>384.17</v>
      </c>
      <c r="J68">
        <v>372.02</v>
      </c>
      <c r="K68">
        <v>378.47</v>
      </c>
    </row>
    <row r="69" spans="1:11">
      <c r="A69" s="159" t="s">
        <v>505</v>
      </c>
      <c r="B69">
        <v>5.4</v>
      </c>
      <c r="C69">
        <v>4.59</v>
      </c>
      <c r="D69">
        <v>3.77</v>
      </c>
      <c r="E69">
        <v>7.16</v>
      </c>
      <c r="F69">
        <v>4</v>
      </c>
      <c r="G69">
        <v>6.1</v>
      </c>
      <c r="H69">
        <v>11.16</v>
      </c>
      <c r="I69">
        <v>21.52</v>
      </c>
      <c r="J69">
        <v>51.96</v>
      </c>
      <c r="K69">
        <v>82.39</v>
      </c>
    </row>
    <row r="70" spans="1:11">
      <c r="A70" s="159" t="s">
        <v>506</v>
      </c>
      <c r="B70">
        <v>73583580</v>
      </c>
      <c r="C70">
        <v>73583580</v>
      </c>
      <c r="D70">
        <v>73583580</v>
      </c>
      <c r="E70">
        <v>73583580</v>
      </c>
      <c r="F70">
        <v>73583580</v>
      </c>
      <c r="G70">
        <v>75583600</v>
      </c>
      <c r="H70">
        <v>79469000</v>
      </c>
      <c r="I70">
        <v>79469000</v>
      </c>
      <c r="J70">
        <v>158938000</v>
      </c>
      <c r="K70">
        <v>158950300</v>
      </c>
    </row>
    <row r="71" spans="1:11">
      <c r="A71" s="159" t="s">
        <v>507</v>
      </c>
    </row>
    <row r="72" spans="1:11">
      <c r="A72" s="159" t="s">
        <v>508</v>
      </c>
      <c r="B72">
        <v>2</v>
      </c>
      <c r="C72">
        <v>2</v>
      </c>
      <c r="D72">
        <v>2</v>
      </c>
      <c r="E72">
        <v>2</v>
      </c>
      <c r="F72">
        <v>2</v>
      </c>
      <c r="G72">
        <v>2</v>
      </c>
      <c r="H72">
        <v>2</v>
      </c>
      <c r="I72">
        <v>2</v>
      </c>
      <c r="J72">
        <v>1</v>
      </c>
      <c r="K72">
        <v>1</v>
      </c>
    </row>
    <row r="74" spans="1:11">
      <c r="A74" s="163"/>
    </row>
    <row r="75" spans="1:11">
      <c r="A75" s="163"/>
    </row>
    <row r="76" spans="1:11">
      <c r="A76" s="163"/>
    </row>
    <row r="77" spans="1:11">
      <c r="A77" s="163"/>
    </row>
    <row r="78" spans="1:11">
      <c r="A78" s="163"/>
    </row>
    <row r="79" spans="1:11">
      <c r="A79" s="163"/>
    </row>
    <row r="80" spans="1:11">
      <c r="A80" s="158" t="s">
        <v>509</v>
      </c>
    </row>
    <row r="81" spans="1:11" s="162" customFormat="1">
      <c r="A81" s="160" t="s">
        <v>489</v>
      </c>
      <c r="B81" s="161">
        <v>38807</v>
      </c>
      <c r="C81" s="161">
        <v>39172</v>
      </c>
      <c r="D81" s="161">
        <v>40633</v>
      </c>
      <c r="E81" s="161">
        <v>40999</v>
      </c>
      <c r="F81" s="161">
        <v>41364</v>
      </c>
      <c r="G81" s="161">
        <v>41729</v>
      </c>
      <c r="H81" s="161">
        <v>42094</v>
      </c>
      <c r="I81" s="161">
        <v>42460</v>
      </c>
      <c r="J81" s="161">
        <v>42825</v>
      </c>
      <c r="K81" s="161">
        <v>43190</v>
      </c>
    </row>
    <row r="82" spans="1:11" s="158" customFormat="1">
      <c r="A82" s="163" t="s">
        <v>510</v>
      </c>
      <c r="B82">
        <v>-7.93</v>
      </c>
      <c r="C82">
        <v>-28.82</v>
      </c>
      <c r="D82">
        <v>159.4</v>
      </c>
      <c r="E82">
        <v>90.88</v>
      </c>
      <c r="F82">
        <v>97.63</v>
      </c>
      <c r="G82">
        <v>166.12</v>
      </c>
      <c r="H82">
        <v>180.27</v>
      </c>
      <c r="I82">
        <v>315.62</v>
      </c>
      <c r="J82">
        <v>337.68</v>
      </c>
      <c r="K82">
        <v>238.32</v>
      </c>
    </row>
    <row r="83" spans="1:11" s="163" customFormat="1">
      <c r="A83" s="163" t="s">
        <v>262</v>
      </c>
      <c r="B83">
        <v>-59.85</v>
      </c>
      <c r="C83">
        <v>-102.96</v>
      </c>
      <c r="D83">
        <v>-166.58</v>
      </c>
      <c r="E83">
        <v>-68.66</v>
      </c>
      <c r="F83">
        <v>-150.13999999999999</v>
      </c>
      <c r="G83">
        <v>-151.37</v>
      </c>
      <c r="H83">
        <v>-263.02</v>
      </c>
      <c r="I83">
        <v>-266.95</v>
      </c>
      <c r="J83">
        <v>-139.71</v>
      </c>
      <c r="K83">
        <v>-136.49</v>
      </c>
    </row>
    <row r="84" spans="1:11" s="163" customFormat="1">
      <c r="A84" s="163" t="s">
        <v>263</v>
      </c>
      <c r="B84">
        <v>51.05</v>
      </c>
      <c r="C84">
        <v>130.97</v>
      </c>
      <c r="D84">
        <v>5.33</v>
      </c>
      <c r="E84">
        <v>-19.420000000000002</v>
      </c>
      <c r="F84">
        <v>52.51</v>
      </c>
      <c r="G84">
        <v>-13.05</v>
      </c>
      <c r="H84">
        <v>87.43</v>
      </c>
      <c r="I84">
        <v>-38.72</v>
      </c>
      <c r="J84">
        <v>-167.88</v>
      </c>
      <c r="K84">
        <v>-71.989999999999995</v>
      </c>
    </row>
    <row r="85" spans="1:11" s="158" customFormat="1">
      <c r="A85" s="163" t="s">
        <v>511</v>
      </c>
      <c r="B85">
        <v>-16.73</v>
      </c>
      <c r="C85">
        <v>-0.81</v>
      </c>
      <c r="D85">
        <v>-1.85</v>
      </c>
      <c r="E85">
        <v>2.8</v>
      </c>
      <c r="G85">
        <v>1.7</v>
      </c>
      <c r="H85">
        <v>4.68</v>
      </c>
      <c r="I85">
        <v>9.9499999999999993</v>
      </c>
      <c r="J85">
        <v>30.09</v>
      </c>
      <c r="K85">
        <v>29.84</v>
      </c>
    </row>
    <row r="86" spans="1:11">
      <c r="A86" s="163"/>
    </row>
    <row r="87" spans="1:11">
      <c r="A87" s="163"/>
    </row>
    <row r="88" spans="1:11">
      <c r="A88" s="163"/>
    </row>
    <row r="89" spans="1:11">
      <c r="A89" s="163"/>
    </row>
    <row r="90" spans="1:11" s="158" customFormat="1">
      <c r="A90" s="158" t="s">
        <v>512</v>
      </c>
      <c r="B90">
        <v>22.918946999999999</v>
      </c>
      <c r="C90">
        <v>16.243500000000001</v>
      </c>
      <c r="D90">
        <v>40.019474000000002</v>
      </c>
      <c r="E90">
        <v>88.972499999999997</v>
      </c>
      <c r="F90">
        <v>94.280500000000004</v>
      </c>
      <c r="G90">
        <v>196.43315799999999</v>
      </c>
      <c r="H90">
        <v>383.05200000000002</v>
      </c>
      <c r="I90">
        <v>499.17473699999999</v>
      </c>
      <c r="J90">
        <v>644.184211</v>
      </c>
      <c r="K90">
        <v>564.81428600000004</v>
      </c>
    </row>
    <row r="92" spans="1:11" s="158" customFormat="1">
      <c r="A92" s="158" t="s">
        <v>513</v>
      </c>
    </row>
    <row r="93" spans="1:11">
      <c r="A93" s="159" t="s">
        <v>514</v>
      </c>
      <c r="B93" s="164">
        <f>IF($B7&gt;0,(B70*B72/$B7)+SUM(C71:$K71),0)/10000000</f>
        <v>14.716716</v>
      </c>
      <c r="C93" s="164">
        <f>IF($B7&gt;0,(C70*C72/$B7)+SUM(D71:$K71),0)/10000000</f>
        <v>14.716716</v>
      </c>
      <c r="D93" s="164">
        <f>IF($B7&gt;0,(D70*D72/$B7)+SUM(E71:$K71),0)/10000000</f>
        <v>14.716716</v>
      </c>
      <c r="E93" s="164">
        <f>IF($B7&gt;0,(E70*E72/$B7)+SUM(F71:$K71),0)/10000000</f>
        <v>14.716716</v>
      </c>
      <c r="F93" s="164">
        <f>IF($B7&gt;0,(F70*F72/$B7)+SUM(G71:$K71),0)/10000000</f>
        <v>14.716716</v>
      </c>
      <c r="G93" s="164">
        <f>IF($B7&gt;0,(G70*G72/$B7)+SUM(H71:$K71),0)/10000000</f>
        <v>15.116720000000001</v>
      </c>
      <c r="H93" s="164">
        <f>IF($B7&gt;0,(H70*H72/$B7)+SUM(I71:$K71),0)/10000000</f>
        <v>15.893800000000001</v>
      </c>
      <c r="I93" s="164">
        <f>IF($B7&gt;0,(I70*I72/$B7)+SUM(J71:$K71),0)/10000000</f>
        <v>15.893800000000001</v>
      </c>
      <c r="J93" s="164">
        <f>IF($B7&gt;0,(J70*J72/$B7)+SUM(K71:$K71),0)/10000000</f>
        <v>15.893800000000001</v>
      </c>
      <c r="K93" s="164">
        <f>IF($B7&gt;0,(K70*K72/$B7),0)/10000000</f>
        <v>15.89503</v>
      </c>
    </row>
  </sheetData>
  <mergeCells count="2">
    <mergeCell ref="E1:K1"/>
    <mergeCell ref="E2:K2"/>
  </mergeCells>
  <conditionalFormatting sqref="E1:K1">
    <cfRule type="cellIs" dxfId="1"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B3:H26"/>
  <sheetViews>
    <sheetView showGridLines="0" workbookViewId="0">
      <selection activeCell="H6" sqref="H6"/>
    </sheetView>
  </sheetViews>
  <sheetFormatPr defaultColWidth="9" defaultRowHeight="15"/>
  <cols>
    <col min="1" max="1" width="4.140625" style="179" customWidth="1"/>
    <col min="2" max="2" width="46.42578125" style="178" bestFit="1" customWidth="1"/>
    <col min="3" max="3" width="9" style="178"/>
    <col min="4" max="4" width="15.140625" style="178" customWidth="1"/>
    <col min="5" max="5" width="13.5703125" style="179" customWidth="1"/>
    <col min="6" max="16384" width="9" style="179"/>
  </cols>
  <sheetData>
    <row r="3" spans="2:8">
      <c r="B3" s="241" t="s">
        <v>375</v>
      </c>
    </row>
    <row r="5" spans="2:8">
      <c r="B5" s="322" t="s">
        <v>453</v>
      </c>
      <c r="C5" s="321">
        <v>43252</v>
      </c>
      <c r="D5" s="321">
        <v>43160</v>
      </c>
      <c r="E5" s="321">
        <f>EDATE(D5,-12)</f>
        <v>42795</v>
      </c>
      <c r="F5" s="321">
        <f>EDATE(E5,-12)</f>
        <v>42430</v>
      </c>
      <c r="G5" s="321">
        <f>EDATE(F5,-12)</f>
        <v>42064</v>
      </c>
      <c r="H5" s="321">
        <f>EDATE(G5,-12)</f>
        <v>41699</v>
      </c>
    </row>
    <row r="6" spans="2:8">
      <c r="B6" s="317" t="s">
        <v>515</v>
      </c>
      <c r="C6" s="316">
        <v>0.4758</v>
      </c>
      <c r="D6" s="316">
        <v>0.45779999999999998</v>
      </c>
      <c r="E6" s="316">
        <v>0.47389999999999999</v>
      </c>
      <c r="F6" s="316">
        <v>0.4718</v>
      </c>
      <c r="G6" s="316">
        <v>0.49540000000000001</v>
      </c>
      <c r="H6" s="316">
        <v>0.52090000000000003</v>
      </c>
    </row>
    <row r="7" spans="2:8">
      <c r="B7" s="317" t="s">
        <v>516</v>
      </c>
      <c r="C7" s="316"/>
      <c r="D7" s="316"/>
      <c r="E7" s="316"/>
      <c r="F7" s="316"/>
      <c r="G7" s="316"/>
      <c r="H7" s="316"/>
    </row>
    <row r="8" spans="2:8">
      <c r="B8" s="317" t="s">
        <v>517</v>
      </c>
      <c r="C8" s="316">
        <v>0.26050000000000001</v>
      </c>
      <c r="D8" s="316">
        <v>0.28089999999999998</v>
      </c>
      <c r="E8" s="316">
        <v>0.23380000000000001</v>
      </c>
      <c r="F8" s="316">
        <v>0.26740000000000003</v>
      </c>
      <c r="G8" s="316">
        <v>0.2382</v>
      </c>
      <c r="H8" s="316">
        <v>0.25530000000000003</v>
      </c>
    </row>
    <row r="9" spans="2:8">
      <c r="B9" s="317" t="s">
        <v>518</v>
      </c>
      <c r="C9" s="316">
        <v>8.4699999999999998E-2</v>
      </c>
      <c r="D9" s="316">
        <v>8.0299999999999996E-2</v>
      </c>
      <c r="E9" s="316">
        <v>5.2600000000000001E-2</v>
      </c>
      <c r="F9" s="316">
        <v>3.4000000000000002E-2</v>
      </c>
      <c r="G9" s="316">
        <v>4.3999999999999997E-2</v>
      </c>
      <c r="H9" s="316">
        <v>3.9E-2</v>
      </c>
    </row>
    <row r="10" spans="2:8">
      <c r="B10" s="317" t="s">
        <v>519</v>
      </c>
      <c r="C10" s="316">
        <v>3.2300000000000002E-2</v>
      </c>
      <c r="D10" s="316">
        <v>3.3799999999999997E-2</v>
      </c>
      <c r="E10" s="316">
        <v>3.6799999999999999E-2</v>
      </c>
      <c r="F10" s="316"/>
      <c r="G10" s="316">
        <v>2.2599999999999999E-2</v>
      </c>
      <c r="H10" s="316">
        <v>2.76E-2</v>
      </c>
    </row>
    <row r="11" spans="2:8">
      <c r="B11" s="317" t="s">
        <v>520</v>
      </c>
      <c r="C11" s="316">
        <v>0.1099</v>
      </c>
      <c r="D11" s="316">
        <v>9.8900000000000002E-2</v>
      </c>
      <c r="E11" s="316">
        <v>9.64E-2</v>
      </c>
      <c r="F11" s="316">
        <v>9.0899999999999995E-2</v>
      </c>
      <c r="G11" s="316">
        <v>8.3299999999999999E-2</v>
      </c>
      <c r="H11" s="316">
        <v>8.8200000000000001E-2</v>
      </c>
    </row>
    <row r="12" spans="2:8">
      <c r="B12" s="317" t="s">
        <v>521</v>
      </c>
      <c r="C12" s="316">
        <v>1.1299999999999999E-2</v>
      </c>
      <c r="D12" s="316">
        <v>1.1299999999999999E-2</v>
      </c>
      <c r="E12" s="316">
        <v>1.8499999999999999E-2</v>
      </c>
      <c r="F12" s="316">
        <v>1.9800000000000002E-2</v>
      </c>
      <c r="G12" s="316">
        <v>2.9000000000000001E-2</v>
      </c>
      <c r="H12" s="316">
        <v>3.1199999999999999E-2</v>
      </c>
    </row>
    <row r="13" spans="2:8">
      <c r="B13" s="317" t="s">
        <v>522</v>
      </c>
      <c r="C13" s="316">
        <f t="shared" ref="C13" si="0">1-SUM(C6:C12)</f>
        <v>2.5500000000000078E-2</v>
      </c>
      <c r="D13" s="316">
        <f t="shared" ref="D13:H13" si="1">1-SUM(D6:D12)</f>
        <v>3.7000000000000033E-2</v>
      </c>
      <c r="E13" s="316">
        <f t="shared" si="1"/>
        <v>8.8000000000000078E-2</v>
      </c>
      <c r="F13" s="319">
        <f t="shared" si="1"/>
        <v>0.11609999999999987</v>
      </c>
      <c r="G13" s="319">
        <f t="shared" si="1"/>
        <v>8.7499999999999911E-2</v>
      </c>
      <c r="H13" s="319">
        <f t="shared" si="1"/>
        <v>3.7799999999999945E-2</v>
      </c>
    </row>
    <row r="14" spans="2:8">
      <c r="B14" s="317"/>
      <c r="C14" s="316"/>
      <c r="D14" s="316"/>
      <c r="E14" s="318"/>
      <c r="F14" s="318"/>
      <c r="G14" s="318"/>
      <c r="H14" s="318"/>
    </row>
    <row r="15" spans="2:8">
      <c r="B15" s="317"/>
      <c r="C15" s="316"/>
      <c r="D15" s="316"/>
      <c r="E15" s="318"/>
      <c r="F15" s="318"/>
      <c r="G15" s="318"/>
      <c r="H15" s="318"/>
    </row>
    <row r="16" spans="2:8">
      <c r="B16" s="317"/>
      <c r="C16" s="316"/>
      <c r="D16" s="316"/>
      <c r="E16" s="318"/>
      <c r="F16" s="318"/>
      <c r="G16" s="318"/>
      <c r="H16" s="318"/>
    </row>
    <row r="17" spans="2:8">
      <c r="B17" s="320" t="s">
        <v>500</v>
      </c>
      <c r="C17" s="319">
        <f t="shared" ref="C17:H17" si="2">SUM(C6:C16)</f>
        <v>1</v>
      </c>
      <c r="D17" s="319">
        <f t="shared" si="2"/>
        <v>1</v>
      </c>
      <c r="E17" s="318">
        <f t="shared" si="2"/>
        <v>1</v>
      </c>
      <c r="F17" s="318">
        <f t="shared" si="2"/>
        <v>1</v>
      </c>
      <c r="G17" s="318">
        <f t="shared" si="2"/>
        <v>1</v>
      </c>
      <c r="H17" s="318">
        <f t="shared" si="2"/>
        <v>1</v>
      </c>
    </row>
    <row r="20" spans="2:8">
      <c r="B20" s="317" t="s">
        <v>523</v>
      </c>
      <c r="C20" s="316"/>
      <c r="D20" s="316"/>
      <c r="E20" s="316"/>
      <c r="F20" s="316"/>
      <c r="G20" s="316"/>
      <c r="H20" s="316"/>
    </row>
    <row r="21" spans="2:8" ht="38.25">
      <c r="B21" s="338" t="s">
        <v>524</v>
      </c>
      <c r="C21" s="316"/>
      <c r="D21" s="316">
        <v>8.14E-2</v>
      </c>
      <c r="E21" s="316"/>
      <c r="F21" s="316"/>
      <c r="G21" s="316"/>
      <c r="H21" s="316"/>
    </row>
    <row r="22" spans="2:8" ht="38.25">
      <c r="B22" s="338" t="s">
        <v>525</v>
      </c>
      <c r="C22" s="316"/>
      <c r="D22" s="316">
        <v>0.16270000000000001</v>
      </c>
      <c r="E22" s="316"/>
      <c r="F22" s="316"/>
      <c r="G22" s="316"/>
      <c r="H22" s="316"/>
    </row>
    <row r="23" spans="2:8" ht="38.25">
      <c r="B23" s="338" t="s">
        <v>526</v>
      </c>
      <c r="C23" s="316"/>
      <c r="D23" s="316">
        <v>0.16270000000000001</v>
      </c>
      <c r="E23" s="316"/>
      <c r="F23" s="316"/>
      <c r="G23" s="316"/>
      <c r="H23" s="316"/>
    </row>
    <row r="24" spans="2:8">
      <c r="B24" s="338"/>
      <c r="C24" s="316"/>
      <c r="D24" s="316"/>
      <c r="E24" s="316"/>
      <c r="F24" s="316"/>
      <c r="G24" s="316"/>
      <c r="H24" s="316"/>
    </row>
    <row r="25" spans="2:8">
      <c r="B25" s="338"/>
      <c r="C25" s="316"/>
      <c r="D25" s="316"/>
      <c r="E25" s="316"/>
      <c r="F25" s="316"/>
      <c r="G25" s="316"/>
      <c r="H25" s="316"/>
    </row>
    <row r="26" spans="2:8">
      <c r="B26" s="317" t="s">
        <v>361</v>
      </c>
      <c r="C26" s="316">
        <f>SUM(C6:C7)-SUM(C21:C25)</f>
        <v>0.4758</v>
      </c>
      <c r="D26" s="316">
        <f t="shared" ref="D26:H26" si="3">SUM(D6:D7)-SUM(D21:D25)</f>
        <v>5.0999999999999934E-2</v>
      </c>
      <c r="E26" s="316">
        <f t="shared" si="3"/>
        <v>0.47389999999999999</v>
      </c>
      <c r="F26" s="316">
        <f t="shared" si="3"/>
        <v>0.4718</v>
      </c>
      <c r="G26" s="316">
        <f t="shared" si="3"/>
        <v>0.49540000000000001</v>
      </c>
      <c r="H26" s="316">
        <f t="shared" si="3"/>
        <v>0.52090000000000003</v>
      </c>
    </row>
  </sheetData>
  <hyperlinks>
    <hyperlink ref="B3" r:id="rId1"/>
  </hyperlinks>
  <pageMargins left="0.7" right="0.7" top="0.75" bottom="0.75" header="0.3" footer="0.3"/>
  <ignoredErrors>
    <ignoredError sqref="C26:H26 C13" formulaRange="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E31"/>
  <sheetViews>
    <sheetView showGridLines="0" workbookViewId="0">
      <selection activeCell="D5" sqref="D5"/>
    </sheetView>
  </sheetViews>
  <sheetFormatPr defaultColWidth="9" defaultRowHeight="15"/>
  <cols>
    <col min="1" max="1" width="4.140625" style="179" customWidth="1"/>
    <col min="2" max="2" width="46.42578125" style="178" bestFit="1" customWidth="1"/>
    <col min="3" max="3" width="9" style="178"/>
    <col min="4" max="4" width="40.7109375" style="178" customWidth="1"/>
    <col min="5" max="5" width="94.140625" style="179" customWidth="1"/>
    <col min="6" max="16384" width="9" style="179"/>
  </cols>
  <sheetData>
    <row r="2" spans="2:5">
      <c r="B2" s="184" t="s">
        <v>0</v>
      </c>
      <c r="C2" s="184"/>
      <c r="D2" s="184" t="s">
        <v>527</v>
      </c>
    </row>
    <row r="3" spans="2:5">
      <c r="B3" s="181" t="s">
        <v>1</v>
      </c>
      <c r="C3" s="181"/>
      <c r="D3" s="181" t="s">
        <v>528</v>
      </c>
    </row>
    <row r="4" spans="2:5" ht="63.75">
      <c r="B4" s="181" t="s">
        <v>5</v>
      </c>
      <c r="C4" s="181"/>
      <c r="D4" s="216" t="s">
        <v>561</v>
      </c>
    </row>
    <row r="5" spans="2:5">
      <c r="B5" s="181" t="s">
        <v>282</v>
      </c>
      <c r="C5" s="181"/>
      <c r="D5" s="181">
        <f>VLOOKUP(D2, [1]Data!$B$4:$D$1048576,2,FALSE)</f>
        <v>367.4</v>
      </c>
    </row>
    <row r="8" spans="2:5">
      <c r="B8" s="184" t="s">
        <v>320</v>
      </c>
      <c r="C8" s="181" t="s">
        <v>74</v>
      </c>
      <c r="D8" s="181" t="s">
        <v>215</v>
      </c>
    </row>
    <row r="9" spans="2:5">
      <c r="B9" s="181" t="s">
        <v>318</v>
      </c>
      <c r="C9" s="181"/>
      <c r="D9" s="182">
        <v>0.12</v>
      </c>
      <c r="E9" s="183"/>
    </row>
    <row r="10" spans="2:5">
      <c r="B10" s="181" t="s">
        <v>128</v>
      </c>
      <c r="C10" s="181"/>
      <c r="D10" s="182">
        <v>0.08</v>
      </c>
      <c r="E10" s="183"/>
    </row>
    <row r="11" spans="2:5">
      <c r="B11" s="181"/>
      <c r="C11" s="181"/>
      <c r="D11" s="181"/>
      <c r="E11" s="183"/>
    </row>
    <row r="12" spans="2:5">
      <c r="B12" s="181"/>
      <c r="C12" s="181"/>
      <c r="D12" s="181"/>
      <c r="E12" s="183"/>
    </row>
    <row r="13" spans="2:5">
      <c r="B13" s="184" t="s">
        <v>474</v>
      </c>
      <c r="C13" s="185"/>
      <c r="D13" s="181"/>
      <c r="E13" s="183"/>
    </row>
    <row r="14" spans="2:5" ht="24.95" customHeight="1">
      <c r="B14" s="181" t="s">
        <v>165</v>
      </c>
      <c r="C14" s="185">
        <v>0.05</v>
      </c>
      <c r="D14" s="181">
        <v>4</v>
      </c>
      <c r="E14" s="186" t="s">
        <v>167</v>
      </c>
    </row>
    <row r="15" spans="2:5" ht="24.95" customHeight="1">
      <c r="B15" s="181" t="s">
        <v>168</v>
      </c>
      <c r="C15" s="185">
        <v>0.02</v>
      </c>
      <c r="D15" s="181">
        <v>2</v>
      </c>
      <c r="E15" s="186" t="s">
        <v>170</v>
      </c>
    </row>
    <row r="16" spans="2:5" ht="24.95" customHeight="1">
      <c r="B16" s="181" t="s">
        <v>171</v>
      </c>
      <c r="C16" s="185">
        <v>0.02</v>
      </c>
      <c r="D16" s="181">
        <v>2</v>
      </c>
      <c r="E16" s="186" t="s">
        <v>173</v>
      </c>
    </row>
    <row r="17" spans="2:5" ht="24.95" customHeight="1">
      <c r="B17" s="181" t="s">
        <v>174</v>
      </c>
      <c r="C17" s="185">
        <v>0.04</v>
      </c>
      <c r="D17" s="181">
        <v>4</v>
      </c>
      <c r="E17" s="186" t="s">
        <v>176</v>
      </c>
    </row>
    <row r="18" spans="2:5" ht="24.95" customHeight="1">
      <c r="B18" s="181"/>
      <c r="C18" s="185"/>
      <c r="D18" s="181"/>
      <c r="E18" s="186"/>
    </row>
    <row r="19" spans="2:5" ht="24.95" customHeight="1">
      <c r="B19" s="181" t="s">
        <v>178</v>
      </c>
      <c r="C19" s="185">
        <v>0.08</v>
      </c>
      <c r="D19" s="181">
        <v>4</v>
      </c>
      <c r="E19" s="186" t="s">
        <v>180</v>
      </c>
    </row>
    <row r="20" spans="2:5" ht="24.95" customHeight="1">
      <c r="B20" s="181" t="s">
        <v>181</v>
      </c>
      <c r="C20" s="185">
        <v>0.02</v>
      </c>
      <c r="D20" s="181">
        <v>2</v>
      </c>
      <c r="E20" s="186" t="s">
        <v>183</v>
      </c>
    </row>
    <row r="21" spans="2:5" ht="24.95" customHeight="1">
      <c r="B21" s="181" t="s">
        <v>184</v>
      </c>
      <c r="C21" s="185">
        <v>0.04</v>
      </c>
      <c r="D21" s="181">
        <v>4</v>
      </c>
      <c r="E21" s="186" t="s">
        <v>186</v>
      </c>
    </row>
    <row r="22" spans="2:5" ht="24.95" customHeight="1">
      <c r="B22" s="181" t="s">
        <v>187</v>
      </c>
      <c r="C22" s="185">
        <v>0.02</v>
      </c>
      <c r="D22" s="181">
        <v>1</v>
      </c>
      <c r="E22" s="186" t="s">
        <v>189</v>
      </c>
    </row>
    <row r="23" spans="2:5" ht="24.95" customHeight="1">
      <c r="B23" s="181" t="s">
        <v>193</v>
      </c>
      <c r="C23" s="185">
        <v>0.03</v>
      </c>
      <c r="D23" s="181"/>
      <c r="E23" s="186" t="s">
        <v>192</v>
      </c>
    </row>
    <row r="24" spans="2:5" ht="24.95" customHeight="1">
      <c r="B24" s="181"/>
      <c r="C24" s="181"/>
      <c r="D24" s="181"/>
      <c r="E24" s="186"/>
    </row>
    <row r="25" spans="2:5" ht="24.95" customHeight="1">
      <c r="B25" s="181"/>
      <c r="C25" s="185"/>
      <c r="D25" s="181"/>
      <c r="E25" s="186"/>
    </row>
    <row r="26" spans="2:5" ht="24.95" customHeight="1">
      <c r="B26" s="181" t="s">
        <v>196</v>
      </c>
      <c r="C26" s="185">
        <v>0.03</v>
      </c>
      <c r="D26" s="181">
        <v>3</v>
      </c>
      <c r="E26" s="186" t="s">
        <v>198</v>
      </c>
    </row>
    <row r="27" spans="2:5" ht="24.95" customHeight="1">
      <c r="B27" s="181" t="s">
        <v>199</v>
      </c>
      <c r="C27" s="185">
        <v>0.02</v>
      </c>
      <c r="D27" s="181">
        <v>1</v>
      </c>
      <c r="E27" s="186" t="s">
        <v>201</v>
      </c>
    </row>
    <row r="28" spans="2:5" ht="24.95" customHeight="1">
      <c r="B28" s="181" t="s">
        <v>202</v>
      </c>
      <c r="C28" s="185">
        <v>0.02</v>
      </c>
      <c r="D28" s="181">
        <v>2</v>
      </c>
      <c r="E28" s="186"/>
    </row>
    <row r="29" spans="2:5" ht="24.95" customHeight="1">
      <c r="B29" s="181" t="s">
        <v>309</v>
      </c>
      <c r="C29" s="185">
        <v>0.03</v>
      </c>
      <c r="D29" s="181">
        <v>2</v>
      </c>
      <c r="E29" s="186" t="s">
        <v>310</v>
      </c>
    </row>
    <row r="30" spans="2:5" ht="24.95" customHeight="1">
      <c r="B30" s="181"/>
      <c r="C30" s="185"/>
      <c r="D30" s="181"/>
      <c r="E30" s="186"/>
    </row>
    <row r="31" spans="2:5" ht="24.95" customHeight="1">
      <c r="B31" s="181" t="s">
        <v>203</v>
      </c>
      <c r="C31" s="185">
        <v>0.04</v>
      </c>
      <c r="D31" s="181">
        <v>2</v>
      </c>
      <c r="E31" s="186" t="s">
        <v>311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4:X40"/>
  <sheetViews>
    <sheetView showGridLines="0" workbookViewId="0">
      <selection activeCell="O109" sqref="O109"/>
    </sheetView>
  </sheetViews>
  <sheetFormatPr defaultRowHeight="12.75"/>
  <cols>
    <col min="1" max="16384" width="9.140625" style="221"/>
  </cols>
  <sheetData>
    <row r="4" spans="2:24" ht="15">
      <c r="B4" s="222" t="s">
        <v>330</v>
      </c>
      <c r="X4" s="221" t="s">
        <v>377</v>
      </c>
    </row>
    <row r="6" spans="2:24">
      <c r="B6" s="221" t="s">
        <v>331</v>
      </c>
      <c r="X6" s="221" t="s">
        <v>378</v>
      </c>
    </row>
    <row r="7" spans="2:24">
      <c r="B7" s="221" t="s">
        <v>332</v>
      </c>
    </row>
    <row r="8" spans="2:24">
      <c r="B8" s="221" t="s">
        <v>333</v>
      </c>
      <c r="X8" s="221" t="s">
        <v>379</v>
      </c>
    </row>
    <row r="9" spans="2:24">
      <c r="B9" s="221" t="s">
        <v>334</v>
      </c>
    </row>
    <row r="10" spans="2:24">
      <c r="B10" s="221" t="s">
        <v>335</v>
      </c>
      <c r="X10" s="221" t="s">
        <v>380</v>
      </c>
    </row>
    <row r="12" spans="2:24">
      <c r="B12" s="221" t="s">
        <v>336</v>
      </c>
      <c r="X12" s="221" t="s">
        <v>381</v>
      </c>
    </row>
    <row r="13" spans="2:24">
      <c r="B13" s="221" t="s">
        <v>337</v>
      </c>
    </row>
    <row r="14" spans="2:24">
      <c r="B14" s="221" t="s">
        <v>372</v>
      </c>
      <c r="X14" s="221" t="s">
        <v>382</v>
      </c>
    </row>
    <row r="15" spans="2:24">
      <c r="B15" s="221" t="s">
        <v>338</v>
      </c>
    </row>
    <row r="16" spans="2:24">
      <c r="B16" s="221" t="s">
        <v>339</v>
      </c>
      <c r="X16" s="221" t="s">
        <v>383</v>
      </c>
    </row>
    <row r="18" spans="2:24">
      <c r="B18" s="221" t="s">
        <v>340</v>
      </c>
      <c r="X18" s="221" t="s">
        <v>384</v>
      </c>
    </row>
    <row r="19" spans="2:24">
      <c r="B19" s="221" t="s">
        <v>341</v>
      </c>
    </row>
    <row r="20" spans="2:24">
      <c r="B20" s="221" t="s">
        <v>342</v>
      </c>
      <c r="X20" s="221" t="s">
        <v>385</v>
      </c>
    </row>
    <row r="21" spans="2:24">
      <c r="B21" s="221" t="s">
        <v>373</v>
      </c>
    </row>
    <row r="22" spans="2:24">
      <c r="B22" s="221" t="s">
        <v>343</v>
      </c>
      <c r="X22" s="221" t="s">
        <v>386</v>
      </c>
    </row>
    <row r="24" spans="2:24">
      <c r="B24" s="221" t="s">
        <v>344</v>
      </c>
      <c r="X24" s="221" t="s">
        <v>387</v>
      </c>
    </row>
    <row r="25" spans="2:24">
      <c r="B25" s="221" t="s">
        <v>345</v>
      </c>
    </row>
    <row r="26" spans="2:24">
      <c r="B26" s="221" t="s">
        <v>346</v>
      </c>
      <c r="X26" s="221" t="s">
        <v>388</v>
      </c>
    </row>
    <row r="27" spans="2:24">
      <c r="B27" s="221" t="s">
        <v>347</v>
      </c>
    </row>
    <row r="28" spans="2:24">
      <c r="B28" s="221" t="s">
        <v>348</v>
      </c>
      <c r="X28" s="221" t="s">
        <v>389</v>
      </c>
    </row>
    <row r="30" spans="2:24">
      <c r="B30" s="221" t="s">
        <v>349</v>
      </c>
      <c r="X30" s="221" t="s">
        <v>390</v>
      </c>
    </row>
    <row r="31" spans="2:24">
      <c r="B31" s="221" t="s">
        <v>350</v>
      </c>
    </row>
    <row r="32" spans="2:24">
      <c r="B32" s="221" t="s">
        <v>374</v>
      </c>
      <c r="X32" s="221" t="s">
        <v>391</v>
      </c>
    </row>
    <row r="33" spans="2:24">
      <c r="B33" s="221" t="s">
        <v>351</v>
      </c>
    </row>
    <row r="34" spans="2:24">
      <c r="X34" s="221" t="s">
        <v>392</v>
      </c>
    </row>
    <row r="35" spans="2:24">
      <c r="B35" s="221" t="s">
        <v>352</v>
      </c>
    </row>
    <row r="36" spans="2:24">
      <c r="B36" s="221" t="s">
        <v>353</v>
      </c>
    </row>
    <row r="37" spans="2:24">
      <c r="B37" s="221" t="s">
        <v>354</v>
      </c>
    </row>
    <row r="38" spans="2:24">
      <c r="B38" s="221" t="s">
        <v>355</v>
      </c>
    </row>
    <row r="40" spans="2:24">
      <c r="B40" s="221" t="s">
        <v>356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55"/>
  <sheetViews>
    <sheetView showGridLines="0" topLeftCell="A34" workbookViewId="0">
      <selection activeCell="N43" sqref="N43"/>
    </sheetView>
  </sheetViews>
  <sheetFormatPr defaultColWidth="9.140625" defaultRowHeight="12.75"/>
  <cols>
    <col min="1" max="1" width="28.5703125" style="8" bestFit="1" customWidth="1"/>
    <col min="2" max="2" width="10" style="8" customWidth="1"/>
    <col min="3" max="3" width="7.85546875" style="204" customWidth="1"/>
    <col min="4" max="4" width="23.140625" style="8" bestFit="1" customWidth="1"/>
    <col min="5" max="9" width="11.5703125" style="8" bestFit="1" customWidth="1"/>
    <col min="10" max="10" width="11.5703125" style="8" customWidth="1"/>
    <col min="11" max="13" width="12" style="8" customWidth="1"/>
    <col min="14" max="16384" width="9.140625" style="8"/>
  </cols>
  <sheetData>
    <row r="1" spans="1:14" customFormat="1" ht="15">
      <c r="C1" s="202"/>
    </row>
    <row r="5" spans="1:14">
      <c r="A5" s="380"/>
      <c r="B5" s="380"/>
      <c r="C5" s="380"/>
      <c r="D5" s="380"/>
      <c r="E5" s="380"/>
      <c r="F5" s="380"/>
      <c r="G5" s="380"/>
      <c r="H5" s="380"/>
      <c r="I5" s="380"/>
      <c r="J5" s="380"/>
      <c r="K5" s="380"/>
    </row>
    <row r="6" spans="1:14">
      <c r="A6" s="379"/>
      <c r="B6" s="379"/>
      <c r="C6" s="379"/>
      <c r="D6" s="379"/>
      <c r="E6" s="379"/>
      <c r="F6" s="379"/>
      <c r="G6" s="379"/>
      <c r="H6" s="379"/>
      <c r="I6" s="379"/>
      <c r="J6" s="379"/>
      <c r="K6" s="379"/>
    </row>
    <row r="7" spans="1:14">
      <c r="A7" s="375" t="s">
        <v>37</v>
      </c>
      <c r="B7" s="376"/>
      <c r="C7" s="203"/>
      <c r="D7" s="198" t="s">
        <v>48</v>
      </c>
      <c r="E7" s="21" t="s">
        <v>90</v>
      </c>
      <c r="F7" s="21" t="s">
        <v>91</v>
      </c>
      <c r="G7" s="21" t="s">
        <v>92</v>
      </c>
      <c r="H7" s="21" t="s">
        <v>93</v>
      </c>
      <c r="I7" s="21" t="s">
        <v>94</v>
      </c>
      <c r="J7" s="21" t="s">
        <v>297</v>
      </c>
      <c r="K7" s="20" t="s">
        <v>24</v>
      </c>
    </row>
    <row r="8" spans="1:14">
      <c r="A8" s="9" t="s">
        <v>29</v>
      </c>
      <c r="B8" s="172">
        <f>'Annual Report input'!D5</f>
        <v>367.4</v>
      </c>
      <c r="D8" s="8" t="s">
        <v>321</v>
      </c>
      <c r="E8" s="10">
        <f>'Screener Output.v0'!L76</f>
        <v>38.209652793660965</v>
      </c>
      <c r="F8" s="10">
        <f>'Screener Output.v0'!K76</f>
        <v>40.498932054870458</v>
      </c>
      <c r="G8" s="10">
        <f>'Screener Output.v0'!J76</f>
        <v>34.296387995204256</v>
      </c>
      <c r="H8" s="323">
        <f>'Screener Output.v0'!I76</f>
        <v>34.670568779043286</v>
      </c>
      <c r="I8" s="323">
        <f>'Screener Output.v0'!H76</f>
        <v>23.904564870405412</v>
      </c>
      <c r="J8" s="10"/>
    </row>
    <row r="9" spans="1:14" ht="15.75">
      <c r="A9" s="9" t="s">
        <v>368</v>
      </c>
      <c r="B9" s="16">
        <f>'Screener Output.v0'!M74</f>
        <v>14.159142826405487</v>
      </c>
      <c r="C9" s="205"/>
      <c r="D9" s="177" t="s">
        <v>28</v>
      </c>
      <c r="E9" s="10">
        <f>'Screener Output.v0'!L74</f>
        <v>14.781979021115406</v>
      </c>
      <c r="F9" s="10">
        <f>'Screener Output.v0'!K74</f>
        <v>15.906202418553146</v>
      </c>
      <c r="G9" s="10">
        <f>'Screener Output.v0'!J74</f>
        <v>14.554732033874844</v>
      </c>
      <c r="H9" s="10">
        <f>'Screener Output.v0'!I74</f>
        <v>11.048333312360795</v>
      </c>
      <c r="I9" s="10">
        <f>'Screener Output.v0'!H74</f>
        <v>8.217391074254202</v>
      </c>
      <c r="J9" s="10">
        <f>'Screener Output.v0'!G74</f>
        <v>7.101448448145633</v>
      </c>
      <c r="K9" s="171">
        <f>(E9/J9)^(1/5)-1</f>
        <v>0.15791619611010588</v>
      </c>
    </row>
    <row r="10" spans="1:14" ht="15.75">
      <c r="A10" s="9" t="s">
        <v>369</v>
      </c>
      <c r="B10" s="16">
        <f>SUM('Screener Input'!D49:G49)/'Screener Input'!K93</f>
        <v>14.982041556385864</v>
      </c>
      <c r="C10" s="205"/>
      <c r="D10" s="177" t="s">
        <v>26</v>
      </c>
      <c r="E10" s="10">
        <f>'Screener Output.v0'!L75</f>
        <v>3.0009380290568815</v>
      </c>
      <c r="F10" s="10">
        <f>'Screener Output.v0'!K75</f>
        <v>2.9992827391813162</v>
      </c>
      <c r="G10" s="10">
        <f>'Screener Output.v0'!J75</f>
        <v>2.4997168707294666</v>
      </c>
      <c r="H10" s="10">
        <f>'Screener Output.v0'!I75</f>
        <v>1.9995218261208774</v>
      </c>
      <c r="I10" s="10">
        <f>'Screener Output.v0'!H75</f>
        <v>1.7503797120010161</v>
      </c>
      <c r="J10" s="10">
        <f>'Screener Output.v0'!G75</f>
        <v>1.5003347214147502</v>
      </c>
      <c r="K10" s="171">
        <f>(E10/J10)^(1/5)-1</f>
        <v>0.14871891797591541</v>
      </c>
      <c r="N10" s="235"/>
    </row>
    <row r="11" spans="1:14">
      <c r="A11" s="9" t="s">
        <v>30</v>
      </c>
      <c r="B11" s="16">
        <f>'Screener Output.v0'!L73</f>
        <v>84.956115213371731</v>
      </c>
      <c r="C11" s="205"/>
      <c r="D11" s="8" t="s">
        <v>322</v>
      </c>
      <c r="E11" s="10">
        <f>'Screener Output.v0'!L78</f>
        <v>6.6483064177480262</v>
      </c>
      <c r="F11" s="10">
        <f>'Screener Output.v0'!K78</f>
        <v>8.7127570059158206</v>
      </c>
      <c r="G11" s="10">
        <f>'Screener Output.v0'!J78</f>
        <v>8.1631684689068837</v>
      </c>
      <c r="H11" s="323">
        <f>'Screener Output.v0'!I78</f>
        <v>8.2167947169811324</v>
      </c>
      <c r="I11" s="323">
        <f>'Screener Output.v0'!H78</f>
        <v>5.8898465729168521</v>
      </c>
    </row>
    <row r="12" spans="1:14">
      <c r="A12" s="177" t="s">
        <v>35</v>
      </c>
      <c r="B12" s="176">
        <f>Analysis!M4</f>
        <v>0.16666419822568462</v>
      </c>
      <c r="C12" s="206"/>
      <c r="D12" s="177" t="s">
        <v>30</v>
      </c>
      <c r="E12" s="168">
        <f>'Screener Output.v0'!L73</f>
        <v>84.956115213371731</v>
      </c>
      <c r="F12" s="168">
        <f>'Screener Output.v0'!K73</f>
        <v>73.935748530873681</v>
      </c>
      <c r="G12" s="168">
        <f>'Screener Output.v0'!J73</f>
        <v>61.149630673595986</v>
      </c>
      <c r="H12" s="168">
        <f>'Screener Output.v0'!I73</f>
        <v>46.618178157520539</v>
      </c>
      <c r="I12" s="168">
        <f>'Screener Output.v0'!H73</f>
        <v>33.351150249525027</v>
      </c>
      <c r="J12" s="168">
        <f>'Screener Output.v0'!G73</f>
        <v>24.521775102543263</v>
      </c>
      <c r="K12" s="171">
        <f>(E12/J12)^(1/5)-1</f>
        <v>0.28211962555245895</v>
      </c>
    </row>
    <row r="13" spans="1:14">
      <c r="A13" s="9" t="s">
        <v>305</v>
      </c>
      <c r="B13" s="16">
        <f>B8/B9</f>
        <v>25.947898435972625</v>
      </c>
      <c r="C13" s="205"/>
      <c r="D13" s="177"/>
      <c r="E13" s="11"/>
      <c r="F13" s="11"/>
      <c r="G13" s="11"/>
      <c r="H13" s="11"/>
      <c r="I13" s="11"/>
      <c r="J13" s="11"/>
      <c r="K13" s="171"/>
    </row>
    <row r="14" spans="1:14">
      <c r="A14" s="9" t="s">
        <v>32</v>
      </c>
      <c r="B14" s="194">
        <f>B9/B8</f>
        <v>3.8538766538937091E-2</v>
      </c>
      <c r="C14" s="207"/>
      <c r="D14" s="177" t="s">
        <v>36</v>
      </c>
      <c r="E14" s="11">
        <f>E10/E9</f>
        <v>0.20301327885597548</v>
      </c>
      <c r="F14" s="11">
        <f>F10/F9</f>
        <v>0.18856057909101698</v>
      </c>
      <c r="G14" s="11">
        <f>G10/G9</f>
        <v>0.17174599057623308</v>
      </c>
      <c r="H14" s="11">
        <f>H10/H9</f>
        <v>0.18097949886104783</v>
      </c>
      <c r="I14" s="11">
        <f>I10/I9</f>
        <v>0.21300917726614074</v>
      </c>
      <c r="J14" s="11"/>
      <c r="K14" s="11"/>
    </row>
    <row r="15" spans="1:14">
      <c r="A15" s="9" t="s">
        <v>33</v>
      </c>
      <c r="B15" s="194">
        <f>'Screener Output.v0'!L75/B8</f>
        <v>8.1680403621580879E-3</v>
      </c>
      <c r="C15" s="207"/>
      <c r="D15" s="199"/>
      <c r="E15" s="187"/>
      <c r="F15" s="13"/>
      <c r="G15" s="13"/>
      <c r="H15" s="13"/>
      <c r="I15" s="13"/>
      <c r="J15" s="13"/>
      <c r="K15" s="13"/>
      <c r="M15" s="235"/>
    </row>
    <row r="16" spans="1:14">
      <c r="A16" s="9" t="s">
        <v>306</v>
      </c>
      <c r="B16" s="16">
        <f>B8/B11</f>
        <v>4.3245856884728742</v>
      </c>
      <c r="C16" s="205"/>
      <c r="D16" s="200" t="s">
        <v>40</v>
      </c>
      <c r="E16" s="15">
        <v>0</v>
      </c>
      <c r="F16" s="9">
        <v>1</v>
      </c>
      <c r="G16" s="9">
        <v>2</v>
      </c>
      <c r="H16" s="9">
        <v>3</v>
      </c>
      <c r="I16" s="9">
        <v>4</v>
      </c>
      <c r="J16" s="9">
        <v>10</v>
      </c>
      <c r="M16" s="234"/>
    </row>
    <row r="17" spans="1:13">
      <c r="A17" s="9" t="s">
        <v>268</v>
      </c>
      <c r="B17" s="16">
        <f>B13/100/K9</f>
        <v>1.6431435834409696</v>
      </c>
      <c r="C17" s="207"/>
      <c r="D17" s="177" t="s">
        <v>301</v>
      </c>
      <c r="E17" s="168"/>
      <c r="F17" s="168"/>
      <c r="G17" s="168"/>
      <c r="H17" s="168"/>
      <c r="I17" s="168"/>
      <c r="J17" s="365">
        <f>IF($A$29=1, IF($A$28=2,M43, $E$12*(1+$K$12)^J16), IF($A$28=2,K43, $E$12*(1+'Annual Report input'!$D$9)^J16))</f>
        <v>42.548589211876369</v>
      </c>
      <c r="M17" s="237"/>
    </row>
    <row r="18" spans="1:13">
      <c r="A18" s="377" t="s">
        <v>38</v>
      </c>
      <c r="B18" s="378"/>
      <c r="C18" s="208"/>
      <c r="D18" s="177" t="s">
        <v>26</v>
      </c>
      <c r="E18" s="10"/>
      <c r="F18" s="10"/>
      <c r="G18" s="10"/>
      <c r="H18" s="10"/>
      <c r="I18" s="10"/>
      <c r="J18" s="10"/>
      <c r="M18" s="236"/>
    </row>
    <row r="19" spans="1:13">
      <c r="A19" s="9" t="s">
        <v>319</v>
      </c>
      <c r="B19" s="195">
        <f>Analysis!M3</f>
        <v>0.21819082762256178</v>
      </c>
      <c r="C19" s="209"/>
      <c r="D19" s="177"/>
      <c r="E19" s="12"/>
      <c r="F19" s="13"/>
      <c r="G19" s="13"/>
      <c r="H19" s="13"/>
      <c r="I19" s="13"/>
      <c r="J19" s="13"/>
      <c r="K19" s="13"/>
    </row>
    <row r="20" spans="1:13">
      <c r="A20" s="9" t="s">
        <v>39</v>
      </c>
      <c r="B20" s="194">
        <f>AVERAGE(E14:I14)</f>
        <v>0.19146170493008283</v>
      </c>
      <c r="C20" s="207"/>
      <c r="D20" s="177" t="s">
        <v>555</v>
      </c>
      <c r="E20" s="172">
        <f>J17</f>
        <v>42.548589211876369</v>
      </c>
      <c r="F20" s="13"/>
      <c r="G20" s="13"/>
      <c r="H20" s="13"/>
      <c r="I20" s="13"/>
      <c r="J20" s="13"/>
      <c r="K20" s="13"/>
    </row>
    <row r="21" spans="1:13">
      <c r="A21" s="9" t="s">
        <v>299</v>
      </c>
      <c r="B21" s="16">
        <f>AVERAGE(E8:G8,B13)</f>
        <v>34.738217819927073</v>
      </c>
      <c r="C21" s="205"/>
      <c r="D21" s="8" t="s">
        <v>323</v>
      </c>
      <c r="E21" s="189">
        <f>B8*B24</f>
        <v>29.391999999999999</v>
      </c>
    </row>
    <row r="22" spans="1:13">
      <c r="A22" s="9" t="s">
        <v>300</v>
      </c>
      <c r="B22" s="16">
        <f>AVERAGE(E11:G11,B16)</f>
        <v>6.9622043952609012</v>
      </c>
      <c r="C22" s="205"/>
      <c r="D22" s="177" t="s">
        <v>556</v>
      </c>
      <c r="E22" s="172">
        <f>B20*M43</f>
        <v>8.1464254328755779</v>
      </c>
      <c r="F22" s="13"/>
      <c r="G22" s="174"/>
      <c r="H22" s="13"/>
      <c r="I22" s="13"/>
      <c r="J22" s="13"/>
      <c r="K22" s="13"/>
    </row>
    <row r="23" spans="1:13">
      <c r="A23" s="78" t="s">
        <v>68</v>
      </c>
      <c r="B23" s="196"/>
      <c r="C23" s="210"/>
      <c r="D23" s="177" t="s">
        <v>43</v>
      </c>
      <c r="E23" s="172">
        <f>IF(A28=2, E20*I44, E20*B22)</f>
        <v>1400.7563232620321</v>
      </c>
      <c r="F23" s="13"/>
      <c r="G23" s="13"/>
      <c r="H23" s="13"/>
      <c r="I23" s="13"/>
      <c r="J23" s="13"/>
      <c r="K23" s="13"/>
    </row>
    <row r="24" spans="1:13">
      <c r="A24" s="8" t="s">
        <v>128</v>
      </c>
      <c r="B24" s="197">
        <f>'Annual Report input'!D10</f>
        <v>0.08</v>
      </c>
      <c r="C24" s="211"/>
      <c r="D24" s="177" t="s">
        <v>317</v>
      </c>
      <c r="E24" s="172">
        <f>E23+E22</f>
        <v>1408.9027486949076</v>
      </c>
      <c r="F24" s="214"/>
      <c r="G24" s="13"/>
      <c r="H24" s="13"/>
      <c r="I24" s="13"/>
      <c r="J24" s="13"/>
      <c r="K24" s="13"/>
    </row>
    <row r="25" spans="1:13">
      <c r="A25" s="9" t="s">
        <v>298</v>
      </c>
      <c r="B25" s="172">
        <f>IF(A28=2, B21*B9, B22*B11)</f>
        <v>491.86338764713167</v>
      </c>
      <c r="C25" s="212"/>
      <c r="D25" s="201"/>
      <c r="E25" s="14"/>
      <c r="F25" s="13"/>
      <c r="G25" s="13"/>
      <c r="H25" s="13"/>
      <c r="I25" s="13"/>
      <c r="J25" s="13"/>
      <c r="K25" s="13"/>
    </row>
    <row r="26" spans="1:13">
      <c r="A26" s="9" t="s">
        <v>46</v>
      </c>
      <c r="B26" s="172">
        <f>E24/((1+B24)^5)</f>
        <v>958.87553701642253</v>
      </c>
      <c r="C26" s="212"/>
      <c r="D26" s="200" t="s">
        <v>45</v>
      </c>
      <c r="E26" s="15" t="s">
        <v>69</v>
      </c>
      <c r="F26" s="9">
        <v>1</v>
      </c>
      <c r="G26" s="9">
        <v>2</v>
      </c>
      <c r="H26" s="9">
        <v>3</v>
      </c>
      <c r="I26" s="9">
        <v>4</v>
      </c>
      <c r="J26" s="9">
        <v>5</v>
      </c>
    </row>
    <row r="27" spans="1:13">
      <c r="A27" s="9" t="s">
        <v>47</v>
      </c>
      <c r="B27" s="172">
        <f>E32/(1+B24)^5</f>
        <v>629.84700800416124</v>
      </c>
      <c r="C27" s="212"/>
      <c r="D27" s="177" t="s">
        <v>30</v>
      </c>
      <c r="E27" s="168">
        <f>E12</f>
        <v>84.956115213371731</v>
      </c>
      <c r="F27" s="168">
        <f>E27+E28-E29</f>
        <v>96.404324413885064</v>
      </c>
      <c r="G27" s="168">
        <f>F27+F28-F29</f>
        <v>109.39523002382757</v>
      </c>
      <c r="H27" s="168">
        <f>G27+G28-G29</f>
        <v>124.13671715168928</v>
      </c>
      <c r="I27" s="168">
        <f>H27+H28-H29</f>
        <v>140.86468433625529</v>
      </c>
      <c r="J27" s="168">
        <f>I27+I28-I29</f>
        <v>159.846818479224</v>
      </c>
    </row>
    <row r="28" spans="1:13">
      <c r="A28" s="173">
        <v>2</v>
      </c>
      <c r="D28" s="177" t="s">
        <v>28</v>
      </c>
      <c r="E28" s="168">
        <f t="shared" ref="E28:J28" si="0">IF($A$30=1, E27*$B$12, E27*$B$19)</f>
        <v>14.159142826405487</v>
      </c>
      <c r="F28" s="168">
        <f t="shared" si="0"/>
        <v>16.067149433928947</v>
      </c>
      <c r="G28" s="168">
        <f t="shared" si="0"/>
        <v>18.232268301635564</v>
      </c>
      <c r="H28" s="168">
        <f t="shared" si="0"/>
        <v>20.689146434454887</v>
      </c>
      <c r="I28" s="168">
        <f t="shared" si="0"/>
        <v>23.477099673216145</v>
      </c>
      <c r="J28" s="168">
        <f t="shared" si="0"/>
        <v>26.640741840766417</v>
      </c>
    </row>
    <row r="29" spans="1:13">
      <c r="A29" s="173">
        <v>1</v>
      </c>
      <c r="D29" s="177" t="s">
        <v>26</v>
      </c>
      <c r="E29" s="10">
        <f>E28*B20</f>
        <v>2.7109336258921464</v>
      </c>
      <c r="F29" s="10">
        <f>F28*B20</f>
        <v>3.0762438239864514</v>
      </c>
      <c r="G29" s="10">
        <f>G28*B20</f>
        <v>3.4907811737738506</v>
      </c>
      <c r="H29" s="10">
        <f>H28*B20</f>
        <v>3.9611792498888767</v>
      </c>
      <c r="I29" s="10">
        <f>I28*B20</f>
        <v>4.4949655302474536</v>
      </c>
      <c r="J29" s="10">
        <f>J28*B20</f>
        <v>5.1006818534353311</v>
      </c>
    </row>
    <row r="30" spans="1:13">
      <c r="A30" s="173">
        <v>1</v>
      </c>
      <c r="D30" s="177" t="s">
        <v>41</v>
      </c>
      <c r="E30" s="16">
        <f>J28</f>
        <v>26.640741840766417</v>
      </c>
      <c r="F30" s="13"/>
      <c r="G30" s="13"/>
      <c r="H30" s="13"/>
      <c r="I30" s="13"/>
      <c r="J30" s="13"/>
      <c r="K30" s="13"/>
    </row>
    <row r="31" spans="1:13">
      <c r="D31" s="177" t="s">
        <v>42</v>
      </c>
      <c r="E31" s="16">
        <f>SUM(E29:J29)</f>
        <v>22.834785257224112</v>
      </c>
      <c r="F31" s="13"/>
      <c r="G31" s="13"/>
      <c r="H31" s="13"/>
      <c r="I31" s="13"/>
      <c r="J31" s="13"/>
      <c r="K31" s="13"/>
    </row>
    <row r="32" spans="1:13">
      <c r="D32" s="177" t="s">
        <v>43</v>
      </c>
      <c r="E32" s="16">
        <f>B21*E30</f>
        <v>925.45189294898864</v>
      </c>
      <c r="F32" s="13"/>
      <c r="G32" s="13"/>
      <c r="H32" s="13"/>
      <c r="I32" s="13"/>
      <c r="J32" s="13"/>
      <c r="K32" s="13"/>
    </row>
    <row r="33" spans="1:14">
      <c r="D33" s="177" t="s">
        <v>44</v>
      </c>
      <c r="E33" s="16">
        <f>E32+E31</f>
        <v>948.28667820621274</v>
      </c>
      <c r="F33" s="13"/>
      <c r="G33" s="13"/>
      <c r="H33" s="13"/>
      <c r="I33" s="13"/>
      <c r="J33" s="13"/>
      <c r="K33" s="13"/>
    </row>
    <row r="34" spans="1:14">
      <c r="D34" s="201"/>
      <c r="E34" s="14"/>
      <c r="F34" s="13"/>
      <c r="G34" s="13"/>
      <c r="H34" s="13"/>
      <c r="I34" s="13"/>
      <c r="J34" s="13"/>
      <c r="K34" s="13"/>
    </row>
    <row r="37" spans="1:14">
      <c r="A37" s="339" t="s">
        <v>535</v>
      </c>
    </row>
    <row r="38" spans="1:14">
      <c r="A38" s="340" t="s">
        <v>48</v>
      </c>
      <c r="B38" s="21" t="s">
        <v>468</v>
      </c>
      <c r="C38" s="21" t="s">
        <v>90</v>
      </c>
      <c r="D38" s="21" t="s">
        <v>91</v>
      </c>
      <c r="E38" s="21" t="s">
        <v>92</v>
      </c>
      <c r="F38" s="21" t="s">
        <v>93</v>
      </c>
      <c r="G38" s="21" t="s">
        <v>94</v>
      </c>
      <c r="H38" s="21" t="s">
        <v>297</v>
      </c>
      <c r="I38" s="341" t="s">
        <v>230</v>
      </c>
      <c r="J38" s="341" t="s">
        <v>229</v>
      </c>
      <c r="K38" s="341" t="s">
        <v>554</v>
      </c>
      <c r="L38" s="341"/>
      <c r="M38" s="341" t="s">
        <v>536</v>
      </c>
    </row>
    <row r="39" spans="1:14">
      <c r="A39" s="342" t="s">
        <v>537</v>
      </c>
      <c r="B39" s="343"/>
      <c r="C39" s="343"/>
      <c r="D39" s="343"/>
      <c r="E39" s="343"/>
      <c r="F39" s="344"/>
      <c r="G39" s="344"/>
      <c r="H39" s="343"/>
      <c r="I39" s="345"/>
      <c r="J39" s="345"/>
      <c r="K39" s="345"/>
      <c r="L39" s="345"/>
      <c r="M39" s="345"/>
    </row>
    <row r="40" spans="1:14">
      <c r="A40" s="346" t="s">
        <v>538</v>
      </c>
      <c r="B40" s="343"/>
      <c r="C40" s="343"/>
      <c r="D40" s="343"/>
      <c r="E40" s="343"/>
      <c r="F40" s="343"/>
      <c r="G40" s="343"/>
      <c r="H40" s="343"/>
      <c r="I40" s="347"/>
      <c r="J40" s="347"/>
      <c r="K40" s="347"/>
      <c r="L40" s="347"/>
      <c r="M40" s="347"/>
    </row>
    <row r="41" spans="1:14">
      <c r="A41" s="346" t="s">
        <v>539</v>
      </c>
      <c r="B41" s="348">
        <f>'Screener Output.v0'!M25/'Screener Input'!K93</f>
        <v>173.0018754289863</v>
      </c>
      <c r="C41" s="348">
        <f>'Screener Output.v0'!L25/'Screener Input'!K93</f>
        <v>171.26045059367613</v>
      </c>
      <c r="D41" s="348">
        <f>'Screener Output.v0'!K25/'Screener Input'!K93</f>
        <v>161.37056677464594</v>
      </c>
      <c r="E41" s="348">
        <f>'Screener Output.v0'!J25/'Screener Input'!K93</f>
        <v>152.49294905388663</v>
      </c>
      <c r="F41" s="348">
        <f>'Screener Output.v0'!I25/'Screener Input'!K93</f>
        <v>138.03748718939187</v>
      </c>
      <c r="G41" s="348">
        <f>'Screener Output.v0'!H25/'Screener Input'!K93</f>
        <v>115.6449531708968</v>
      </c>
      <c r="H41" s="348">
        <f>'Screener Output.v0'!G25/'Screener Input'!K93</f>
        <v>99.799119599019306</v>
      </c>
      <c r="I41" s="349">
        <f>Revenue!D5</f>
        <v>0.11631001286539222</v>
      </c>
      <c r="J41" s="349">
        <f>Revenue!C5</f>
        <v>0.25780635750303693</v>
      </c>
      <c r="K41" s="350"/>
      <c r="L41" s="351"/>
      <c r="M41" s="351">
        <f>B41*                                  (1+                   (             IF(MIN(I41:J41) &gt;0.25, 0.25,MIN(I41:J41) )                   )                  )                                      ^10</f>
        <v>519.87509560145054</v>
      </c>
    </row>
    <row r="42" spans="1:14">
      <c r="A42" s="346" t="s">
        <v>540</v>
      </c>
      <c r="B42" s="352">
        <f>'Screener Output.v0'!M127</f>
        <v>8.1843868982897375E-2</v>
      </c>
      <c r="C42" s="352">
        <f>'Screener Output.v0'!L127</f>
        <v>8.3976504211682443E-2</v>
      </c>
      <c r="D42" s="352">
        <f>'Screener Output.v0'!K127</f>
        <v>9.8951652832954526E-2</v>
      </c>
      <c r="E42" s="352">
        <f>'Screener Output.v0'!J127</f>
        <v>9.7409937785698841E-2</v>
      </c>
      <c r="F42" s="352">
        <f>'Screener Output.v0'!I127</f>
        <v>8.4271071186038965E-2</v>
      </c>
      <c r="G42" s="352">
        <f>'Screener Output.v0'!H127</f>
        <v>7.1456549413006262E-2</v>
      </c>
      <c r="H42" s="352">
        <f>'Screener Output.v0'!G127</f>
        <v>6.7969060271951917E-2</v>
      </c>
      <c r="I42" s="352">
        <f>IF(POWER('Screener Output.v0'!M127/'Screener Output.v0'!G127,1/5)-1&gt;0, POWER('Screener Output.v0'!M127/'Screener Output.v0'!G127,1/5)-1, 0)</f>
        <v>3.7850926115640116E-2</v>
      </c>
      <c r="J42" s="352">
        <f>IF(POWER('Screener Output.v0'!M127/'Screener Output.v0'!C127,1/10)-1&gt;0, POWER('Screener Output.v0'!M127/'Screener Output.v0'!C127,1/10)-1,0)</f>
        <v>0</v>
      </c>
      <c r="K42" s="353"/>
      <c r="L42" s="353"/>
      <c r="M42" s="353">
        <f>IF(B42*(1+MIN(I42:J42))^10&gt;0.15, 0.15, B42*(1+MIN(I42:J42))^10)</f>
        <v>8.1843868982897375E-2</v>
      </c>
    </row>
    <row r="43" spans="1:14">
      <c r="A43" s="346" t="s">
        <v>541</v>
      </c>
      <c r="B43" s="351">
        <f>B41*B42</f>
        <v>14.159142826405487</v>
      </c>
      <c r="C43" s="351"/>
      <c r="D43" s="351"/>
      <c r="E43" s="351"/>
      <c r="F43" s="351"/>
      <c r="G43" s="351"/>
      <c r="H43" s="351"/>
      <c r="I43" s="347"/>
      <c r="J43" s="347"/>
      <c r="K43" s="354">
        <f>(B41*(1+$B53)^10)*C$52</f>
        <v>43.976148379081273</v>
      </c>
      <c r="L43" s="351"/>
      <c r="M43" s="351">
        <f>M41*M42</f>
        <v>42.548589211876369</v>
      </c>
      <c r="N43" s="235"/>
    </row>
    <row r="44" spans="1:14">
      <c r="A44" s="346" t="s">
        <v>542</v>
      </c>
      <c r="B44" s="355"/>
      <c r="C44" s="355"/>
      <c r="D44" s="355"/>
      <c r="E44" s="355"/>
      <c r="F44" s="355"/>
      <c r="G44" s="355"/>
      <c r="H44" s="355"/>
      <c r="I44" s="354">
        <f>AVERAGE(E8:I8,B13)</f>
        <v>32.921334154859501</v>
      </c>
      <c r="J44" s="347"/>
      <c r="K44" s="354">
        <f>I44</f>
        <v>32.921334154859501</v>
      </c>
      <c r="L44" s="347"/>
      <c r="M44" s="347"/>
    </row>
    <row r="45" spans="1:14">
      <c r="A45" s="346" t="s">
        <v>543</v>
      </c>
      <c r="B45" s="355"/>
      <c r="C45" s="355"/>
      <c r="D45" s="355"/>
      <c r="E45" s="355"/>
      <c r="F45" s="355"/>
      <c r="G45" s="355"/>
      <c r="H45" s="355"/>
      <c r="I45" s="347"/>
      <c r="J45" s="347"/>
      <c r="K45" s="354"/>
      <c r="L45" s="354"/>
      <c r="M45" s="351">
        <f>M43*I44</f>
        <v>1400.7563232620321</v>
      </c>
    </row>
    <row r="46" spans="1:14">
      <c r="A46" s="346" t="s">
        <v>544</v>
      </c>
      <c r="B46" s="355">
        <f>B8/B41</f>
        <v>2.1236763999752712</v>
      </c>
      <c r="C46" s="355"/>
      <c r="D46" s="355"/>
      <c r="E46" s="355"/>
      <c r="F46" s="355"/>
      <c r="G46" s="355"/>
      <c r="H46" s="355"/>
      <c r="I46" s="347"/>
      <c r="J46" s="347"/>
      <c r="K46" s="355"/>
      <c r="L46" s="355"/>
      <c r="M46" s="356">
        <f>M45/M41</f>
        <v>2.6944093593125058</v>
      </c>
    </row>
    <row r="47" spans="1:14">
      <c r="A47" s="346" t="s">
        <v>545</v>
      </c>
      <c r="B47" s="355"/>
      <c r="C47" s="355"/>
      <c r="D47" s="355"/>
      <c r="E47" s="355"/>
      <c r="F47" s="355"/>
      <c r="G47" s="355"/>
      <c r="H47" s="355"/>
      <c r="I47" s="347"/>
      <c r="J47" s="347"/>
      <c r="K47" s="364"/>
      <c r="L47" s="353"/>
      <c r="M47" s="353">
        <f>POWER(M45/B8,1/10)-1</f>
        <v>0.14320033741740357</v>
      </c>
    </row>
    <row r="49" spans="1:5">
      <c r="A49" s="339" t="s">
        <v>546</v>
      </c>
    </row>
    <row r="50" spans="1:5">
      <c r="A50" s="381" t="s">
        <v>547</v>
      </c>
      <c r="B50" s="381"/>
      <c r="C50" s="382" t="s">
        <v>418</v>
      </c>
      <c r="D50" s="382"/>
      <c r="E50" s="382"/>
    </row>
    <row r="51" spans="1:5">
      <c r="A51" s="381"/>
      <c r="B51" s="381"/>
      <c r="C51" s="341" t="s">
        <v>468</v>
      </c>
      <c r="D51" s="341" t="s">
        <v>548</v>
      </c>
      <c r="E51" s="341" t="s">
        <v>549</v>
      </c>
    </row>
    <row r="52" spans="1:5">
      <c r="A52" s="341" t="s">
        <v>550</v>
      </c>
      <c r="B52" s="357"/>
      <c r="C52" s="358">
        <f>B42</f>
        <v>8.1843868982897375E-2</v>
      </c>
      <c r="D52" s="359">
        <f>C52+1%</f>
        <v>9.184386898289737E-2</v>
      </c>
      <c r="E52" s="359">
        <f>B42+1.5%</f>
        <v>9.6843868982897374E-2</v>
      </c>
    </row>
    <row r="53" spans="1:5">
      <c r="A53" s="347" t="s">
        <v>551</v>
      </c>
      <c r="B53" s="360">
        <f>'Annual Report input'!D9</f>
        <v>0.12</v>
      </c>
      <c r="C53" s="361">
        <f>POWER((($B$41*(1+$B53)^10)*C$52*$K$44)/$B$8, 1/10)-1</f>
        <v>0.1469792111072683</v>
      </c>
      <c r="D53" s="361">
        <f t="shared" ref="D53:E55" si="1">POWER((($B$41*(1+$B53)^10)*D$52*$K$44)/$B$8, 1/10)-1</f>
        <v>0.16027770782783346</v>
      </c>
      <c r="E53" s="361">
        <f t="shared" si="1"/>
        <v>0.16644467390760997</v>
      </c>
    </row>
    <row r="54" spans="1:5">
      <c r="A54" s="362" t="s">
        <v>552</v>
      </c>
      <c r="B54" s="360">
        <f>B53+2%</f>
        <v>0.13999999999999999</v>
      </c>
      <c r="C54" s="361">
        <f t="shared" ref="C54:C55" si="2">POWER((($B$41*(1+$B54)^10)*C$52*$K$44)/$B$8, 1/10)-1</f>
        <v>0.16746098273418375</v>
      </c>
      <c r="D54" s="361">
        <f t="shared" si="1"/>
        <v>0.18099695261047311</v>
      </c>
      <c r="E54" s="361">
        <f t="shared" si="1"/>
        <v>0.18727404308453144</v>
      </c>
    </row>
    <row r="55" spans="1:5">
      <c r="A55" s="362" t="s">
        <v>553</v>
      </c>
      <c r="B55" s="363">
        <f>B53+3%</f>
        <v>0.15</v>
      </c>
      <c r="C55" s="361">
        <f t="shared" si="2"/>
        <v>0.17770186854764147</v>
      </c>
      <c r="D55" s="361">
        <f t="shared" si="1"/>
        <v>0.19135657500179293</v>
      </c>
      <c r="E55" s="361">
        <f t="shared" si="1"/>
        <v>0.19768872767299217</v>
      </c>
    </row>
  </sheetData>
  <mergeCells count="6">
    <mergeCell ref="A7:B7"/>
    <mergeCell ref="A18:B18"/>
    <mergeCell ref="A6:K6"/>
    <mergeCell ref="A5:K5"/>
    <mergeCell ref="A50:B51"/>
    <mergeCell ref="C50:E50"/>
  </mergeCells>
  <conditionalFormatting sqref="D38:D40">
    <cfRule type="dataBar" priority="1">
      <dataBar>
        <cfvo type="min"/>
        <cfvo type="num" val="100"/>
        <color rgb="FF638EC6"/>
      </dataBar>
      <extLst>
        <ext xmlns:x14="http://schemas.microsoft.com/office/spreadsheetml/2009/9/main" uri="{B025F937-C7B1-47D3-B67F-A62EFF666E3E}">
          <x14:id>{D914B9DC-299D-44FF-A203-01BF9B054035}</x14:id>
        </ext>
      </extLst>
    </cfRule>
    <cfRule type="dataBar" priority="2">
      <dataBar>
        <cfvo type="min"/>
        <cfvo type="max"/>
        <color rgb="FF638EC6"/>
      </dataBar>
      <extLst>
        <ext xmlns:x14="http://schemas.microsoft.com/office/spreadsheetml/2009/9/main" uri="{B025F937-C7B1-47D3-B67F-A62EFF666E3E}">
          <x14:id>{4E3A4DC6-A725-47CF-9D19-BB327F40E9AA}</x14:id>
        </ext>
      </extLst>
    </cfRule>
  </conditionalFormatting>
  <pageMargins left="0.70866141732283472" right="0.70866141732283472" top="0.74803149606299213" bottom="0.74803149606299213" header="0.31496062992125984" footer="0.31496062992125984"/>
  <pageSetup paperSize="9" scale="89" orientation="landscape" r:id="rId1"/>
  <ignoredErrors>
    <ignoredError sqref="B1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Group Box 2">
              <controlPr defaultSize="0" autoFill="0" autoPict="0">
                <anchor moveWithCells="1">
                  <from>
                    <xdr:col>0</xdr:col>
                    <xdr:colOff>361950</xdr:colOff>
                    <xdr:row>1</xdr:row>
                    <xdr:rowOff>133350</xdr:rowOff>
                  </from>
                  <to>
                    <xdr:col>1</xdr:col>
                    <xdr:colOff>352425</xdr:colOff>
                    <xdr:row>4</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504825</xdr:colOff>
                    <xdr:row>2</xdr:row>
                    <xdr:rowOff>133350</xdr:rowOff>
                  </from>
                  <to>
                    <xdr:col>0</xdr:col>
                    <xdr:colOff>1133475</xdr:colOff>
                    <xdr:row>4</xdr:row>
                    <xdr:rowOff>28575</xdr:rowOff>
                  </to>
                </anchor>
              </controlPr>
            </control>
          </mc:Choice>
        </mc:AlternateContent>
        <mc:AlternateContent xmlns:mc="http://schemas.openxmlformats.org/markup-compatibility/2006">
          <mc:Choice Requires="x14">
            <control shapeId="16388" r:id="rId6" name="Option Button 4">
              <controlPr defaultSize="0" autoFill="0" autoLine="0" autoPict="0">
                <anchor moveWithCells="1">
                  <from>
                    <xdr:col>0</xdr:col>
                    <xdr:colOff>1381125</xdr:colOff>
                    <xdr:row>2</xdr:row>
                    <xdr:rowOff>133350</xdr:rowOff>
                  </from>
                  <to>
                    <xdr:col>0</xdr:col>
                    <xdr:colOff>2066925</xdr:colOff>
                    <xdr:row>4</xdr:row>
                    <xdr:rowOff>28575</xdr:rowOff>
                  </to>
                </anchor>
              </controlPr>
            </control>
          </mc:Choice>
        </mc:AlternateContent>
        <mc:AlternateContent xmlns:mc="http://schemas.openxmlformats.org/markup-compatibility/2006">
          <mc:Choice Requires="x14">
            <control shapeId="16389" r:id="rId7" name="Group Box 5">
              <controlPr defaultSize="0" autoFill="0" autoPict="0">
                <anchor moveWithCells="1">
                  <from>
                    <xdr:col>3</xdr:col>
                    <xdr:colOff>228600</xdr:colOff>
                    <xdr:row>1</xdr:row>
                    <xdr:rowOff>133350</xdr:rowOff>
                  </from>
                  <to>
                    <xdr:col>5</xdr:col>
                    <xdr:colOff>0</xdr:colOff>
                    <xdr:row>4</xdr:row>
                    <xdr:rowOff>104775</xdr:rowOff>
                  </to>
                </anchor>
              </controlPr>
            </control>
          </mc:Choice>
        </mc:AlternateContent>
        <mc:AlternateContent xmlns:mc="http://schemas.openxmlformats.org/markup-compatibility/2006">
          <mc:Choice Requires="x14">
            <control shapeId="16390" r:id="rId8" name="Option Button 6">
              <controlPr defaultSize="0" autoFill="0" autoLine="0" autoPict="0">
                <anchor moveWithCells="1">
                  <from>
                    <xdr:col>3</xdr:col>
                    <xdr:colOff>400050</xdr:colOff>
                    <xdr:row>2</xdr:row>
                    <xdr:rowOff>142875</xdr:rowOff>
                  </from>
                  <to>
                    <xdr:col>3</xdr:col>
                    <xdr:colOff>1038225</xdr:colOff>
                    <xdr:row>4</xdr:row>
                    <xdr:rowOff>38100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from>
                    <xdr:col>3</xdr:col>
                    <xdr:colOff>1390650</xdr:colOff>
                    <xdr:row>2</xdr:row>
                    <xdr:rowOff>152400</xdr:rowOff>
                  </from>
                  <to>
                    <xdr:col>4</xdr:col>
                    <xdr:colOff>323850</xdr:colOff>
                    <xdr:row>4</xdr:row>
                    <xdr:rowOff>47625</xdr:rowOff>
                  </to>
                </anchor>
              </controlPr>
            </control>
          </mc:Choice>
        </mc:AlternateContent>
        <mc:AlternateContent xmlns:mc="http://schemas.openxmlformats.org/markup-compatibility/2006">
          <mc:Choice Requires="x14">
            <control shapeId="16392" r:id="rId10" name="Group Box 8">
              <controlPr defaultSize="0" autoFill="0" autoPict="0">
                <anchor moveWithCells="1">
                  <from>
                    <xdr:col>5</xdr:col>
                    <xdr:colOff>342900</xdr:colOff>
                    <xdr:row>1</xdr:row>
                    <xdr:rowOff>152400</xdr:rowOff>
                  </from>
                  <to>
                    <xdr:col>7</xdr:col>
                    <xdr:colOff>704850</xdr:colOff>
                    <xdr:row>4</xdr:row>
                    <xdr:rowOff>123825</xdr:rowOff>
                  </to>
                </anchor>
              </controlPr>
            </control>
          </mc:Choice>
        </mc:AlternateContent>
        <mc:AlternateContent xmlns:mc="http://schemas.openxmlformats.org/markup-compatibility/2006">
          <mc:Choice Requires="x14">
            <control shapeId="16393" r:id="rId11" name="Option Button 9">
              <controlPr defaultSize="0" autoFill="0" autoLine="0" autoPict="0">
                <anchor moveWithCells="1">
                  <from>
                    <xdr:col>5</xdr:col>
                    <xdr:colOff>552450</xdr:colOff>
                    <xdr:row>3</xdr:row>
                    <xdr:rowOff>0</xdr:rowOff>
                  </from>
                  <to>
                    <xdr:col>6</xdr:col>
                    <xdr:colOff>361950</xdr:colOff>
                    <xdr:row>4</xdr:row>
                    <xdr:rowOff>57150</xdr:rowOff>
                  </to>
                </anchor>
              </controlPr>
            </control>
          </mc:Choice>
        </mc:AlternateContent>
        <mc:AlternateContent xmlns:mc="http://schemas.openxmlformats.org/markup-compatibility/2006">
          <mc:Choice Requires="x14">
            <control shapeId="16394" r:id="rId12" name="Option Button 10">
              <controlPr defaultSize="0" autoFill="0" autoLine="0" autoPict="0">
                <anchor moveWithCells="1">
                  <from>
                    <xdr:col>6</xdr:col>
                    <xdr:colOff>638175</xdr:colOff>
                    <xdr:row>2</xdr:row>
                    <xdr:rowOff>152400</xdr:rowOff>
                  </from>
                  <to>
                    <xdr:col>7</xdr:col>
                    <xdr:colOff>485775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D914B9DC-299D-44FF-A203-01BF9B054035}">
            <x14:dataBar minLength="0" maxLength="100" gradient="0">
              <x14:cfvo type="autoMin"/>
              <x14:cfvo type="num">
                <xm:f>100</xm:f>
              </x14:cfvo>
              <x14:negativeFillColor rgb="FFFF0000"/>
              <x14:axisColor rgb="FF000000"/>
            </x14:dataBar>
          </x14:cfRule>
          <x14:cfRule type="dataBar" id="{4E3A4DC6-A725-47CF-9D19-BB327F40E9AA}">
            <x14:dataBar minLength="0" maxLength="100" border="1" negativeBarBorderColorSameAsPositive="0">
              <x14:cfvo type="autoMin"/>
              <x14:cfvo type="autoMax"/>
              <x14:borderColor rgb="FF638EC6"/>
              <x14:negativeFillColor rgb="FFFF0000"/>
              <x14:negativeBorderColor rgb="FFFF0000"/>
              <x14:axisColor rgb="FF000000"/>
            </x14:dataBar>
          </x14:cfRule>
          <xm:sqref>D38:D40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3" sqref="D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3"/>
  <sheetViews>
    <sheetView showGridLines="0" topLeftCell="C4" workbookViewId="0">
      <selection activeCell="I14" sqref="I14"/>
    </sheetView>
  </sheetViews>
  <sheetFormatPr defaultColWidth="22.140625" defaultRowHeight="20.100000000000001" customHeight="1"/>
  <cols>
    <col min="1" max="3" width="22.140625" style="79"/>
    <col min="4" max="4" width="8.85546875" style="79" customWidth="1"/>
    <col min="5" max="5" width="4" style="80" customWidth="1"/>
    <col min="6" max="6" width="11.42578125" style="280" customWidth="1"/>
    <col min="7" max="7" width="20.7109375" style="79" customWidth="1"/>
    <col min="8" max="8" width="11.28515625" style="80" customWidth="1"/>
    <col min="9" max="9" width="10.140625" style="80" customWidth="1"/>
    <col min="10" max="10" width="64.7109375" style="79" customWidth="1"/>
    <col min="11" max="11" width="12" style="80" customWidth="1"/>
    <col min="12" max="12" width="7" style="80" customWidth="1"/>
    <col min="13" max="13" width="8.140625" style="80" customWidth="1"/>
    <col min="14" max="14" width="23.28515625" style="79" customWidth="1"/>
    <col min="15" max="15" width="26.42578125" style="79" customWidth="1"/>
    <col min="16" max="16384" width="22.140625" style="79"/>
  </cols>
  <sheetData>
    <row r="1" spans="1:13" ht="6" customHeight="1" thickBot="1"/>
    <row r="2" spans="1:13" ht="20.100000000000001" customHeight="1" thickBot="1">
      <c r="A2" s="277" t="s">
        <v>129</v>
      </c>
      <c r="B2" s="278"/>
      <c r="C2" s="278"/>
      <c r="E2" s="81" t="s">
        <v>130</v>
      </c>
      <c r="F2" s="281"/>
      <c r="G2" s="82" t="s">
        <v>131</v>
      </c>
      <c r="H2" s="83" t="s">
        <v>132</v>
      </c>
      <c r="I2" s="83" t="s">
        <v>133</v>
      </c>
      <c r="J2" s="83" t="s">
        <v>134</v>
      </c>
      <c r="K2" s="83" t="s">
        <v>135</v>
      </c>
      <c r="L2" s="83" t="s">
        <v>59</v>
      </c>
      <c r="M2" s="83"/>
    </row>
    <row r="3" spans="1:13" ht="20.100000000000001" customHeight="1">
      <c r="A3" s="84" t="s">
        <v>136</v>
      </c>
      <c r="B3" s="84" t="s">
        <v>137</v>
      </c>
      <c r="C3" s="84" t="s">
        <v>138</v>
      </c>
      <c r="E3" s="85"/>
      <c r="F3" s="282"/>
      <c r="G3" s="275" t="s">
        <v>139</v>
      </c>
      <c r="H3" s="276"/>
      <c r="I3" s="276"/>
      <c r="J3" s="276"/>
      <c r="K3" s="293">
        <f>SUM(K4:K14)</f>
        <v>50</v>
      </c>
      <c r="L3" s="85">
        <f>SUM(L4:L14)</f>
        <v>40</v>
      </c>
      <c r="M3" s="86"/>
    </row>
    <row r="4" spans="1:13" ht="30" customHeight="1">
      <c r="A4" s="87" t="s">
        <v>140</v>
      </c>
      <c r="B4" s="292">
        <f>SUM(B5:B9)</f>
        <v>100</v>
      </c>
      <c r="C4" s="290">
        <f>SUM(C5:C9)</f>
        <v>79</v>
      </c>
      <c r="E4" s="97">
        <v>1</v>
      </c>
      <c r="F4" s="283" t="s">
        <v>409</v>
      </c>
      <c r="G4" s="263" t="s">
        <v>444</v>
      </c>
      <c r="H4" s="88" t="s">
        <v>145</v>
      </c>
      <c r="I4" s="90">
        <f>Revenue!C5</f>
        <v>0.25780635750303693</v>
      </c>
      <c r="J4" s="285" t="s">
        <v>151</v>
      </c>
      <c r="K4" s="289">
        <v>4</v>
      </c>
      <c r="L4" s="95">
        <f>Revenue!L5</f>
        <v>4</v>
      </c>
      <c r="M4" s="88"/>
    </row>
    <row r="5" spans="1:13" ht="30" customHeight="1">
      <c r="A5" s="87" t="s">
        <v>141</v>
      </c>
      <c r="B5" s="295">
        <f>Scorecard!K3</f>
        <v>50</v>
      </c>
      <c r="C5" s="290">
        <f>Scorecard!L3</f>
        <v>40</v>
      </c>
      <c r="E5" s="97">
        <v>2</v>
      </c>
      <c r="F5" s="383" t="s">
        <v>445</v>
      </c>
      <c r="G5" s="263" t="s">
        <v>149</v>
      </c>
      <c r="H5" s="88" t="s">
        <v>145</v>
      </c>
      <c r="I5" s="90">
        <f>Profit!F5</f>
        <v>0.24075575466618426</v>
      </c>
      <c r="J5" s="285" t="s">
        <v>312</v>
      </c>
      <c r="K5" s="289">
        <v>5</v>
      </c>
      <c r="L5" s="95">
        <f>Profit!L5</f>
        <v>5</v>
      </c>
      <c r="M5" s="88"/>
    </row>
    <row r="6" spans="1:13" ht="30" customHeight="1">
      <c r="A6" s="87" t="s">
        <v>143</v>
      </c>
      <c r="B6" s="291">
        <v>13</v>
      </c>
      <c r="C6" s="294">
        <f>Scorecard!L15</f>
        <v>12</v>
      </c>
      <c r="E6" s="97">
        <v>3</v>
      </c>
      <c r="F6" s="384"/>
      <c r="G6" s="263" t="s">
        <v>144</v>
      </c>
      <c r="H6" s="88" t="s">
        <v>145</v>
      </c>
      <c r="I6" s="90">
        <f>Profit!G5</f>
        <v>0.14798973510429891</v>
      </c>
      <c r="J6" s="285" t="s">
        <v>315</v>
      </c>
      <c r="K6" s="289">
        <v>9</v>
      </c>
      <c r="L6" s="95">
        <f>Profit!M5</f>
        <v>7</v>
      </c>
      <c r="M6" s="88"/>
    </row>
    <row r="7" spans="1:13" ht="30" customHeight="1">
      <c r="A7" s="87" t="s">
        <v>146</v>
      </c>
      <c r="B7" s="291">
        <v>23</v>
      </c>
      <c r="C7" s="294">
        <f>Scorecard!L20</f>
        <v>17</v>
      </c>
      <c r="E7" s="97">
        <v>4</v>
      </c>
      <c r="F7" s="385"/>
      <c r="G7" s="263" t="s">
        <v>152</v>
      </c>
      <c r="H7" s="88" t="s">
        <v>529</v>
      </c>
      <c r="I7" s="90">
        <f>Profit!C5</f>
        <v>8.7268024490989013E-2</v>
      </c>
      <c r="J7" s="285" t="s">
        <v>153</v>
      </c>
      <c r="K7" s="289">
        <v>4</v>
      </c>
      <c r="L7" s="95">
        <f>Profit!P5</f>
        <v>3</v>
      </c>
      <c r="M7" s="88"/>
    </row>
    <row r="8" spans="1:13" ht="30" customHeight="1">
      <c r="A8" s="87" t="s">
        <v>148</v>
      </c>
      <c r="B8" s="291">
        <v>10</v>
      </c>
      <c r="C8" s="294">
        <f>Scorecard!L27</f>
        <v>8</v>
      </c>
      <c r="E8" s="97"/>
      <c r="F8" s="288" t="s">
        <v>448</v>
      </c>
      <c r="G8" s="263" t="s">
        <v>142</v>
      </c>
      <c r="H8" s="88" t="s">
        <v>431</v>
      </c>
      <c r="I8" s="90">
        <f>Dupont!D4</f>
        <v>0.17000951530178429</v>
      </c>
      <c r="J8" s="285" t="s">
        <v>316</v>
      </c>
      <c r="K8" s="289">
        <f>10</f>
        <v>10</v>
      </c>
      <c r="L8" s="95">
        <f>Dupont!K4</f>
        <v>7</v>
      </c>
      <c r="M8" s="88"/>
    </row>
    <row r="9" spans="1:13" ht="30" customHeight="1">
      <c r="A9" s="87" t="s">
        <v>150</v>
      </c>
      <c r="B9" s="291">
        <v>4</v>
      </c>
      <c r="C9" s="294">
        <f>Scorecard!L32</f>
        <v>2</v>
      </c>
      <c r="E9" s="97">
        <v>5</v>
      </c>
      <c r="F9" s="383" t="s">
        <v>446</v>
      </c>
      <c r="G9" s="263" t="s">
        <v>158</v>
      </c>
      <c r="H9" s="88" t="s">
        <v>159</v>
      </c>
      <c r="I9" s="93">
        <f>Efficiency!C5</f>
        <v>0.75682040344796953</v>
      </c>
      <c r="J9" s="285" t="s">
        <v>313</v>
      </c>
      <c r="K9" s="289">
        <v>3</v>
      </c>
      <c r="L9" s="95">
        <f>Efficiency!K5</f>
        <v>3</v>
      </c>
      <c r="M9" s="88"/>
    </row>
    <row r="10" spans="1:13" ht="30" customHeight="1">
      <c r="E10" s="97">
        <v>6</v>
      </c>
      <c r="F10" s="384"/>
      <c r="G10" s="263" t="s">
        <v>154</v>
      </c>
      <c r="H10" s="88" t="s">
        <v>155</v>
      </c>
      <c r="I10" s="93">
        <f>Efficiency!E5</f>
        <v>1.1964107966021442</v>
      </c>
      <c r="J10" s="285" t="s">
        <v>156</v>
      </c>
      <c r="K10" s="289">
        <v>4</v>
      </c>
      <c r="L10" s="95">
        <f>Efficiency!M5</f>
        <v>4</v>
      </c>
      <c r="M10" s="88"/>
    </row>
    <row r="11" spans="1:13" ht="30" customHeight="1">
      <c r="E11" s="97">
        <v>7</v>
      </c>
      <c r="F11" s="384"/>
      <c r="G11" s="263" t="s">
        <v>161</v>
      </c>
      <c r="H11" s="88" t="s">
        <v>162</v>
      </c>
      <c r="I11" s="95">
        <f>Efficiency!F5</f>
        <v>238.32</v>
      </c>
      <c r="J11" s="285" t="s">
        <v>163</v>
      </c>
      <c r="K11" s="289">
        <v>1</v>
      </c>
      <c r="L11" s="95">
        <f>Efficiency!N5</f>
        <v>1</v>
      </c>
      <c r="M11" s="88"/>
    </row>
    <row r="12" spans="1:13" ht="30" customHeight="1">
      <c r="E12" s="97">
        <v>8</v>
      </c>
      <c r="F12" s="385"/>
      <c r="G12" s="263" t="s">
        <v>443</v>
      </c>
      <c r="H12" s="88" t="s">
        <v>160</v>
      </c>
      <c r="I12" s="94">
        <f>Efficiency!D5</f>
        <v>0.63661676981392845</v>
      </c>
      <c r="J12" s="287" t="s">
        <v>314</v>
      </c>
      <c r="K12" s="289">
        <v>1</v>
      </c>
      <c r="L12" s="95">
        <f>Efficiency!L5</f>
        <v>0</v>
      </c>
      <c r="M12" s="88"/>
    </row>
    <row r="13" spans="1:13" ht="30" customHeight="1">
      <c r="E13" s="97">
        <v>9</v>
      </c>
      <c r="F13" s="383" t="s">
        <v>447</v>
      </c>
      <c r="G13" s="263" t="s">
        <v>147</v>
      </c>
      <c r="H13" s="92">
        <v>0</v>
      </c>
      <c r="I13" s="90">
        <f>Others!E4</f>
        <v>0</v>
      </c>
      <c r="J13" s="286"/>
      <c r="K13" s="289">
        <v>6</v>
      </c>
      <c r="L13" s="95">
        <f>Others!L4</f>
        <v>6</v>
      </c>
      <c r="M13" s="88"/>
    </row>
    <row r="14" spans="1:13" ht="30" customHeight="1">
      <c r="E14" s="97">
        <v>10</v>
      </c>
      <c r="F14" s="385"/>
      <c r="G14" s="263" t="s">
        <v>157</v>
      </c>
      <c r="H14" s="88" t="s">
        <v>325</v>
      </c>
      <c r="I14" s="193">
        <f>Others!F4</f>
        <v>-4.5100000000000029E-2</v>
      </c>
      <c r="J14" s="285" t="s">
        <v>307</v>
      </c>
      <c r="K14" s="289">
        <v>3</v>
      </c>
      <c r="L14" s="95">
        <f>Others!M4</f>
        <v>0</v>
      </c>
      <c r="M14" s="88"/>
    </row>
    <row r="15" spans="1:13" ht="20.100000000000001" customHeight="1">
      <c r="E15" s="275" t="s">
        <v>164</v>
      </c>
      <c r="F15" s="284"/>
      <c r="G15" s="276"/>
      <c r="H15" s="276"/>
      <c r="I15" s="276"/>
      <c r="J15" s="276"/>
      <c r="K15" s="96">
        <f>SUM(K16:K19)</f>
        <v>0.13</v>
      </c>
      <c r="L15" s="97">
        <f>SUM(L16:L19)</f>
        <v>12</v>
      </c>
      <c r="M15" s="86"/>
    </row>
    <row r="16" spans="1:13" ht="20.100000000000001" customHeight="1">
      <c r="E16" s="88">
        <v>1</v>
      </c>
      <c r="F16" s="91"/>
      <c r="G16" s="89" t="s">
        <v>165</v>
      </c>
      <c r="H16" s="88" t="s">
        <v>166</v>
      </c>
      <c r="I16" s="88"/>
      <c r="J16" s="89" t="s">
        <v>167</v>
      </c>
      <c r="K16" s="92">
        <v>0.05</v>
      </c>
      <c r="L16" s="88">
        <f>'Annual Report input'!D14</f>
        <v>4</v>
      </c>
      <c r="M16" s="88"/>
    </row>
    <row r="17" spans="5:13" ht="20.100000000000001" customHeight="1">
      <c r="E17" s="88">
        <v>2</v>
      </c>
      <c r="F17" s="91"/>
      <c r="G17" s="89" t="s">
        <v>168</v>
      </c>
      <c r="H17" s="88" t="s">
        <v>169</v>
      </c>
      <c r="I17" s="88"/>
      <c r="J17" s="89" t="s">
        <v>170</v>
      </c>
      <c r="K17" s="92">
        <v>0.02</v>
      </c>
      <c r="L17" s="88">
        <f>'Annual Report input'!D15</f>
        <v>2</v>
      </c>
      <c r="M17" s="88"/>
    </row>
    <row r="18" spans="5:13" ht="20.100000000000001" customHeight="1">
      <c r="E18" s="88">
        <v>3</v>
      </c>
      <c r="F18" s="91"/>
      <c r="G18" s="89" t="s">
        <v>171</v>
      </c>
      <c r="H18" s="88" t="s">
        <v>172</v>
      </c>
      <c r="I18" s="98">
        <f>Analysis!H13/Analysis!E13</f>
        <v>1.3632822899608623</v>
      </c>
      <c r="J18" s="91" t="s">
        <v>173</v>
      </c>
      <c r="K18" s="92">
        <v>0.02</v>
      </c>
      <c r="L18" s="88">
        <f>'Annual Report input'!D16</f>
        <v>2</v>
      </c>
      <c r="M18" s="88"/>
    </row>
    <row r="19" spans="5:13" ht="20.100000000000001" customHeight="1">
      <c r="E19" s="88">
        <v>5</v>
      </c>
      <c r="F19" s="91"/>
      <c r="G19" s="89" t="s">
        <v>174</v>
      </c>
      <c r="H19" s="88" t="s">
        <v>175</v>
      </c>
      <c r="I19" s="88"/>
      <c r="J19" s="89" t="s">
        <v>176</v>
      </c>
      <c r="K19" s="92">
        <v>0.04</v>
      </c>
      <c r="L19" s="88">
        <f>'Annual Report input'!D17</f>
        <v>4</v>
      </c>
      <c r="M19" s="88"/>
    </row>
    <row r="20" spans="5:13" ht="20.100000000000001" customHeight="1">
      <c r="E20" s="275" t="s">
        <v>177</v>
      </c>
      <c r="F20" s="284"/>
      <c r="G20" s="276"/>
      <c r="H20" s="276"/>
      <c r="I20" s="276"/>
      <c r="J20" s="276"/>
      <c r="K20" s="96">
        <f>SUM(K21:K26)</f>
        <v>0.23</v>
      </c>
      <c r="L20" s="97">
        <f>SUM(L21:L26)</f>
        <v>17</v>
      </c>
      <c r="M20" s="99"/>
    </row>
    <row r="21" spans="5:13" ht="20.100000000000001" customHeight="1">
      <c r="E21" s="88">
        <v>1</v>
      </c>
      <c r="F21" s="91"/>
      <c r="G21" s="89" t="s">
        <v>178</v>
      </c>
      <c r="H21" s="88" t="s">
        <v>179</v>
      </c>
      <c r="I21" s="88"/>
      <c r="J21" s="89" t="s">
        <v>180</v>
      </c>
      <c r="K21" s="92">
        <v>0.08</v>
      </c>
      <c r="L21" s="88">
        <f>'Annual Report input'!D19</f>
        <v>4</v>
      </c>
      <c r="M21" s="88"/>
    </row>
    <row r="22" spans="5:13" ht="20.100000000000001" customHeight="1">
      <c r="E22" s="88">
        <v>2</v>
      </c>
      <c r="F22" s="91"/>
      <c r="G22" s="89" t="s">
        <v>181</v>
      </c>
      <c r="H22" s="88" t="s">
        <v>182</v>
      </c>
      <c r="I22" s="88"/>
      <c r="J22" s="89" t="s">
        <v>183</v>
      </c>
      <c r="K22" s="92">
        <v>0.02</v>
      </c>
      <c r="L22" s="88">
        <f>'Annual Report input'!D20</f>
        <v>2</v>
      </c>
      <c r="M22" s="88"/>
    </row>
    <row r="23" spans="5:13" ht="20.100000000000001" customHeight="1">
      <c r="E23" s="88">
        <v>3</v>
      </c>
      <c r="F23" s="91"/>
      <c r="G23" s="89" t="s">
        <v>184</v>
      </c>
      <c r="H23" s="88" t="s">
        <v>185</v>
      </c>
      <c r="I23" s="88"/>
      <c r="J23" s="89" t="s">
        <v>186</v>
      </c>
      <c r="K23" s="92">
        <v>0.04</v>
      </c>
      <c r="L23" s="88">
        <f>'Annual Report input'!D21</f>
        <v>4</v>
      </c>
      <c r="M23" s="88"/>
    </row>
    <row r="24" spans="5:13" ht="20.100000000000001" customHeight="1">
      <c r="E24" s="88">
        <v>4</v>
      </c>
      <c r="F24" s="91"/>
      <c r="G24" s="89" t="s">
        <v>187</v>
      </c>
      <c r="H24" s="88" t="s">
        <v>188</v>
      </c>
      <c r="I24" s="88"/>
      <c r="J24" s="91" t="s">
        <v>189</v>
      </c>
      <c r="K24" s="92">
        <v>0.02</v>
      </c>
      <c r="L24" s="88">
        <f>'Annual Report input'!D22</f>
        <v>1</v>
      </c>
      <c r="M24" s="99"/>
    </row>
    <row r="25" spans="5:13" ht="20.100000000000001" customHeight="1">
      <c r="E25" s="88">
        <v>6</v>
      </c>
      <c r="F25" s="91"/>
      <c r="G25" s="89" t="s">
        <v>190</v>
      </c>
      <c r="H25" s="88" t="s">
        <v>191</v>
      </c>
      <c r="I25" s="90">
        <f>SUM('Shareholding input'!C6:C7)</f>
        <v>0.4758</v>
      </c>
      <c r="J25" s="91" t="s">
        <v>192</v>
      </c>
      <c r="K25" s="92">
        <v>0.04</v>
      </c>
      <c r="L25" s="88">
        <f>IF(I25&gt;0.7,4,IF(AND(I25&gt;0.4,I25&lt;0.7),3,IF(AND(I25&gt;0.2,I25&lt;0.4),2,IF(AND(I25&gt;0.1,I25&lt;0.2),1,0))))</f>
        <v>3</v>
      </c>
      <c r="M25" s="88"/>
    </row>
    <row r="26" spans="5:13" ht="20.100000000000001" customHeight="1">
      <c r="E26" s="88">
        <v>8</v>
      </c>
      <c r="F26" s="91"/>
      <c r="G26" s="89" t="s">
        <v>193</v>
      </c>
      <c r="H26" s="88" t="s">
        <v>475</v>
      </c>
      <c r="I26" s="90">
        <f>SUM('Shareholding input'!C8:C8)</f>
        <v>0.26050000000000001</v>
      </c>
      <c r="J26" s="91" t="s">
        <v>194</v>
      </c>
      <c r="K26" s="92">
        <v>0.03</v>
      </c>
      <c r="L26" s="88">
        <f>IF(I26&gt;0.05,3,IF(AND(I26&gt;0.02,I26&lt;0.05),2.5,IF(AND(I26&gt;0.01,I26&lt;0.02),2,IF(AND(I26&gt;0,I26&lt;0.01),1,0))))</f>
        <v>3</v>
      </c>
      <c r="M26" s="88"/>
    </row>
    <row r="27" spans="5:13" ht="20.100000000000001" customHeight="1">
      <c r="E27" s="275" t="s">
        <v>195</v>
      </c>
      <c r="F27" s="284"/>
      <c r="G27" s="276"/>
      <c r="H27" s="276"/>
      <c r="I27" s="276"/>
      <c r="J27" s="276"/>
      <c r="K27" s="96">
        <f>SUM(K28:K31)</f>
        <v>0.1</v>
      </c>
      <c r="L27" s="97">
        <f>SUM(L28:L31)</f>
        <v>8</v>
      </c>
      <c r="M27" s="99"/>
    </row>
    <row r="28" spans="5:13" ht="20.100000000000001" customHeight="1">
      <c r="E28" s="88">
        <v>1</v>
      </c>
      <c r="F28" s="91"/>
      <c r="G28" s="89" t="s">
        <v>196</v>
      </c>
      <c r="H28" s="88" t="s">
        <v>197</v>
      </c>
      <c r="I28" s="88"/>
      <c r="J28" s="91" t="s">
        <v>198</v>
      </c>
      <c r="K28" s="92">
        <v>0.03</v>
      </c>
      <c r="L28" s="88">
        <f>'Annual Report input'!D26</f>
        <v>3</v>
      </c>
      <c r="M28" s="88"/>
    </row>
    <row r="29" spans="5:13" ht="20.100000000000001" customHeight="1">
      <c r="E29" s="88">
        <v>2</v>
      </c>
      <c r="F29" s="91"/>
      <c r="G29" s="89" t="s">
        <v>199</v>
      </c>
      <c r="H29" s="88" t="s">
        <v>200</v>
      </c>
      <c r="I29" s="88"/>
      <c r="J29" s="91" t="s">
        <v>201</v>
      </c>
      <c r="K29" s="92">
        <v>0.02</v>
      </c>
      <c r="L29" s="88">
        <f>'Annual Report input'!D27</f>
        <v>1</v>
      </c>
      <c r="M29" s="88"/>
    </row>
    <row r="30" spans="5:13" ht="20.100000000000001" customHeight="1">
      <c r="E30" s="88">
        <v>3</v>
      </c>
      <c r="F30" s="91"/>
      <c r="G30" s="89" t="s">
        <v>202</v>
      </c>
      <c r="H30" s="88"/>
      <c r="I30" s="88"/>
      <c r="J30" s="91"/>
      <c r="K30" s="92">
        <v>0.02</v>
      </c>
      <c r="L30" s="88">
        <f>'Annual Report input'!D28</f>
        <v>2</v>
      </c>
      <c r="M30" s="88"/>
    </row>
    <row r="31" spans="5:13" ht="20.100000000000001" customHeight="1">
      <c r="E31" s="88">
        <v>3</v>
      </c>
      <c r="F31" s="91"/>
      <c r="G31" s="89" t="s">
        <v>309</v>
      </c>
      <c r="H31" s="88"/>
      <c r="I31" s="88"/>
      <c r="J31" s="89" t="s">
        <v>310</v>
      </c>
      <c r="K31" s="92">
        <v>0.03</v>
      </c>
      <c r="L31" s="88">
        <f>'Annual Report input'!D29</f>
        <v>2</v>
      </c>
      <c r="M31" s="88"/>
    </row>
    <row r="32" spans="5:13" ht="20.100000000000001" customHeight="1">
      <c r="E32" s="275" t="s">
        <v>150</v>
      </c>
      <c r="F32" s="284"/>
      <c r="G32" s="276"/>
      <c r="H32" s="276"/>
      <c r="I32" s="276"/>
      <c r="J32" s="276"/>
      <c r="K32" s="96">
        <f>SUM(K33:K33)</f>
        <v>0.04</v>
      </c>
      <c r="L32" s="97">
        <f>SUM(L33:L33)</f>
        <v>2</v>
      </c>
      <c r="M32" s="99"/>
    </row>
    <row r="33" spans="5:13" ht="20.100000000000001" customHeight="1">
      <c r="E33" s="88">
        <v>4</v>
      </c>
      <c r="F33" s="91"/>
      <c r="G33" s="89" t="s">
        <v>203</v>
      </c>
      <c r="H33" s="88" t="s">
        <v>204</v>
      </c>
      <c r="I33" s="175">
        <f>Analysis!M8</f>
        <v>0.28890719784169766</v>
      </c>
      <c r="J33" s="91" t="s">
        <v>311</v>
      </c>
      <c r="K33" s="92">
        <v>0.04</v>
      </c>
      <c r="L33" s="88">
        <f>'Annual Report input'!D31</f>
        <v>2</v>
      </c>
      <c r="M33" s="88"/>
    </row>
  </sheetData>
  <mergeCells count="3">
    <mergeCell ref="F5:F7"/>
    <mergeCell ref="F9:F12"/>
    <mergeCell ref="F13:F14"/>
  </mergeCells>
  <pageMargins left="0.7" right="0.7" top="0.75" bottom="0.75" header="0.3" footer="0.3"/>
  <pageSetup orientation="portrait" r:id="rId1"/>
  <ignoredErrors>
    <ignoredError sqref="I25:I26" formulaRange="1"/>
    <ignoredError sqref="C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61"/>
  <sheetViews>
    <sheetView showGridLines="0" topLeftCell="C37" workbookViewId="0">
      <selection activeCell="D5" sqref="D5"/>
    </sheetView>
  </sheetViews>
  <sheetFormatPr defaultRowHeight="15" customHeight="1"/>
  <cols>
    <col min="1" max="1" width="5.7109375" customWidth="1"/>
    <col min="2" max="2" width="10.42578125" bestFit="1" customWidth="1"/>
    <col min="5" max="5" width="12.28515625" customWidth="1"/>
    <col min="10" max="10" width="7.28515625" customWidth="1"/>
    <col min="11" max="11" width="13" customWidth="1"/>
  </cols>
  <sheetData>
    <row r="3" spans="2:22" ht="15" customHeight="1">
      <c r="B3" s="298" t="s">
        <v>409</v>
      </c>
      <c r="C3" s="101" t="s">
        <v>229</v>
      </c>
      <c r="D3" s="101" t="s">
        <v>230</v>
      </c>
      <c r="E3" s="101" t="s">
        <v>404</v>
      </c>
      <c r="F3" s="101" t="s">
        <v>455</v>
      </c>
      <c r="G3" s="101" t="s">
        <v>412</v>
      </c>
      <c r="K3" s="298" t="s">
        <v>409</v>
      </c>
      <c r="L3" s="101" t="s">
        <v>229</v>
      </c>
      <c r="O3" s="388" t="s">
        <v>436</v>
      </c>
      <c r="P3" s="388"/>
      <c r="Q3" s="388"/>
      <c r="R3" s="388"/>
      <c r="S3" s="388"/>
      <c r="T3" s="388"/>
    </row>
    <row r="4" spans="2:22" ht="15" customHeight="1">
      <c r="B4" s="254" t="s">
        <v>407</v>
      </c>
      <c r="C4" s="299">
        <v>0.2</v>
      </c>
      <c r="D4" s="299"/>
      <c r="E4" s="299"/>
      <c r="F4" s="299"/>
      <c r="G4" s="299"/>
      <c r="K4" s="254" t="s">
        <v>410</v>
      </c>
      <c r="L4" s="297">
        <v>4</v>
      </c>
      <c r="O4" s="388" t="s">
        <v>454</v>
      </c>
      <c r="P4" s="388"/>
      <c r="Q4" s="388"/>
      <c r="R4" s="388"/>
      <c r="S4" s="388"/>
      <c r="T4" s="388"/>
    </row>
    <row r="5" spans="2:22" ht="15" customHeight="1">
      <c r="B5" s="254" t="s">
        <v>408</v>
      </c>
      <c r="C5" s="299">
        <f>POWER('Screener Output.v0'!M25/'Screener Output.v0'!C25,1/9)-1</f>
        <v>0.25780635750303693</v>
      </c>
      <c r="D5" s="299">
        <f>POWER('Screener Output.v0'!M25/'Screener Output.v0'!G25,1/5)-1</f>
        <v>0.11631001286539222</v>
      </c>
      <c r="E5" s="299">
        <f>POWER('Screener Output.v0'!M25/'Screener Output.v0'!N25,1)-1</f>
        <v>5.6841546981710067E-2</v>
      </c>
      <c r="F5" s="299">
        <f>'Screener Output.v0'!L191</f>
        <v>4.3816880896599963E-2</v>
      </c>
      <c r="G5" s="299">
        <f>'Screener Output.v0'!L142</f>
        <v>0.10720962898952117</v>
      </c>
      <c r="K5" s="254" t="s">
        <v>411</v>
      </c>
      <c r="L5" s="296">
        <f>IF(C5&gt;0.2,4,IF(AND(C5&gt;0.1,C5&lt;0.2),3,IF(AND(C5&gt;0.05,C5&lt;0.1),2,IF(AND(C5&gt;0,C5&lt;0.05),1,0))))</f>
        <v>4</v>
      </c>
      <c r="O5" s="388"/>
      <c r="P5" s="388"/>
      <c r="Q5" s="388"/>
      <c r="R5" s="388"/>
      <c r="S5" s="388"/>
      <c r="T5" s="388"/>
    </row>
    <row r="6" spans="2:22" ht="15" customHeight="1">
      <c r="E6" s="255"/>
      <c r="O6" s="388"/>
      <c r="P6" s="388"/>
      <c r="Q6" s="388"/>
      <c r="R6" s="388"/>
      <c r="S6" s="388"/>
      <c r="T6" s="388"/>
    </row>
    <row r="10" spans="2:22" ht="15" customHeight="1">
      <c r="B10" s="387" t="s">
        <v>400</v>
      </c>
      <c r="C10" s="387"/>
      <c r="D10" s="387"/>
      <c r="E10" s="387"/>
      <c r="F10" s="387"/>
      <c r="G10" s="387"/>
      <c r="H10" s="387"/>
      <c r="I10" s="387"/>
      <c r="K10" s="386" t="s">
        <v>401</v>
      </c>
      <c r="L10" s="386"/>
      <c r="M10" s="386"/>
      <c r="N10" s="386"/>
      <c r="O10" s="386"/>
      <c r="P10" s="386"/>
      <c r="Q10" s="386"/>
      <c r="R10" s="386"/>
      <c r="S10" s="386"/>
      <c r="T10" s="386"/>
      <c r="U10" s="252"/>
      <c r="V10" s="301"/>
    </row>
    <row r="11" spans="2:22" ht="15" customHeight="1">
      <c r="B11" s="77"/>
      <c r="C11" s="77"/>
      <c r="K11" s="2"/>
      <c r="L11" s="2"/>
      <c r="M11" s="2"/>
      <c r="N11" s="2"/>
      <c r="O11" s="2"/>
      <c r="P11" s="2"/>
      <c r="Q11" s="2"/>
      <c r="R11" s="2"/>
      <c r="S11" s="2"/>
      <c r="T11" s="2"/>
      <c r="U11" s="2"/>
      <c r="V11" s="2"/>
    </row>
    <row r="12" spans="2:22" ht="15" customHeight="1">
      <c r="B12" s="77"/>
      <c r="C12" s="77"/>
      <c r="K12" s="2"/>
      <c r="L12" s="2"/>
      <c r="M12" s="2"/>
      <c r="N12" s="2"/>
      <c r="O12" s="2"/>
      <c r="P12" s="2"/>
      <c r="Q12" s="2"/>
      <c r="R12" s="2"/>
      <c r="S12" s="2"/>
      <c r="T12" s="2"/>
      <c r="U12" s="2"/>
      <c r="V12" s="2"/>
    </row>
    <row r="13" spans="2:22" ht="15" customHeight="1">
      <c r="B13" s="77"/>
      <c r="C13" s="77"/>
      <c r="K13" s="2"/>
      <c r="L13" s="2"/>
      <c r="M13" s="2"/>
      <c r="N13" s="2"/>
      <c r="O13" s="2"/>
      <c r="P13" s="2"/>
      <c r="Q13" s="2"/>
      <c r="R13" s="2"/>
      <c r="S13" s="2"/>
      <c r="T13" s="2"/>
      <c r="U13" s="2"/>
      <c r="V13" s="2"/>
    </row>
    <row r="14" spans="2:22" ht="15" customHeight="1">
      <c r="B14" s="77"/>
      <c r="C14" s="77"/>
      <c r="K14" s="2"/>
      <c r="L14" s="2"/>
      <c r="M14" s="2"/>
      <c r="N14" s="2"/>
      <c r="O14" s="2"/>
      <c r="P14" s="2"/>
      <c r="Q14" s="2"/>
      <c r="R14" s="2"/>
      <c r="S14" s="2"/>
      <c r="T14" s="2"/>
      <c r="U14" s="2"/>
      <c r="V14" s="2"/>
    </row>
    <row r="15" spans="2:22" ht="15" customHeight="1">
      <c r="B15" s="247"/>
      <c r="C15" s="247"/>
      <c r="K15" s="2"/>
      <c r="L15" s="2"/>
      <c r="M15" s="2"/>
      <c r="N15" s="2"/>
      <c r="O15" s="2"/>
      <c r="P15" s="2"/>
      <c r="Q15" s="2"/>
      <c r="R15" s="2"/>
      <c r="S15" s="2"/>
      <c r="T15" s="2"/>
      <c r="U15" s="2"/>
      <c r="V15" s="2"/>
    </row>
    <row r="16" spans="2:22" ht="15" customHeight="1">
      <c r="B16" s="247"/>
      <c r="C16" s="247"/>
      <c r="K16" s="2"/>
      <c r="L16" s="2"/>
      <c r="M16" s="2"/>
      <c r="N16" s="2"/>
      <c r="O16" s="2"/>
      <c r="P16" s="2"/>
      <c r="Q16" s="2"/>
      <c r="R16" s="2"/>
      <c r="S16" s="2"/>
      <c r="T16" s="2"/>
      <c r="U16" s="2"/>
      <c r="V16" s="2"/>
    </row>
    <row r="17" spans="2:22" ht="15" customHeight="1">
      <c r="B17" s="247"/>
      <c r="C17" s="247"/>
      <c r="K17" s="2"/>
      <c r="L17" s="2"/>
      <c r="M17" s="2"/>
      <c r="N17" s="2"/>
      <c r="O17" s="2"/>
      <c r="P17" s="2"/>
      <c r="Q17" s="2"/>
      <c r="R17" s="2"/>
      <c r="S17" s="2"/>
      <c r="T17" s="2"/>
      <c r="U17" s="2"/>
      <c r="V17" s="2"/>
    </row>
    <row r="18" spans="2:22" ht="15" customHeight="1">
      <c r="B18" s="77"/>
      <c r="C18" s="77"/>
      <c r="K18" s="2"/>
      <c r="L18" s="2"/>
      <c r="M18" s="2"/>
      <c r="N18" s="2"/>
      <c r="O18" s="2"/>
      <c r="P18" s="2"/>
      <c r="Q18" s="2"/>
      <c r="R18" s="2"/>
      <c r="S18" s="2"/>
      <c r="T18" s="2"/>
      <c r="U18" s="2"/>
      <c r="V18" s="2"/>
    </row>
    <row r="19" spans="2:22" ht="15" customHeight="1">
      <c r="B19" s="77"/>
      <c r="C19" s="77"/>
      <c r="K19" s="2"/>
      <c r="L19" s="2"/>
      <c r="M19" s="2"/>
      <c r="N19" s="2"/>
      <c r="O19" s="2"/>
      <c r="P19" s="2"/>
      <c r="Q19" s="2"/>
      <c r="R19" s="2"/>
      <c r="S19" s="2"/>
      <c r="T19" s="2"/>
      <c r="U19" s="2"/>
      <c r="V19" s="2"/>
    </row>
    <row r="20" spans="2:22" ht="15" customHeight="1">
      <c r="B20" s="77"/>
      <c r="C20" s="77"/>
      <c r="K20" s="2"/>
      <c r="L20" s="2"/>
      <c r="M20" s="2"/>
      <c r="N20" s="2"/>
      <c r="O20" s="2"/>
      <c r="P20" s="2"/>
      <c r="Q20" s="2"/>
      <c r="R20" s="2"/>
      <c r="S20" s="2"/>
      <c r="T20" s="2"/>
      <c r="U20" s="2"/>
      <c r="V20" s="2"/>
    </row>
    <row r="21" spans="2:22" ht="15" customHeight="1">
      <c r="B21" s="77"/>
      <c r="C21" s="77"/>
      <c r="K21" s="2"/>
      <c r="L21" s="2"/>
      <c r="M21" s="2"/>
      <c r="N21" s="2"/>
      <c r="O21" s="2"/>
      <c r="P21" s="2"/>
      <c r="Q21" s="2"/>
      <c r="R21" s="2"/>
      <c r="S21" s="2"/>
      <c r="T21" s="2"/>
      <c r="U21" s="2"/>
      <c r="V21" s="2"/>
    </row>
    <row r="22" spans="2:22" ht="15" customHeight="1">
      <c r="B22" s="77"/>
      <c r="C22" s="77"/>
      <c r="K22" s="2"/>
      <c r="L22" s="2"/>
      <c r="M22" s="2"/>
      <c r="N22" s="2"/>
      <c r="O22" s="2"/>
      <c r="P22" s="2"/>
      <c r="Q22" s="2"/>
      <c r="R22" s="2"/>
      <c r="S22" s="2"/>
      <c r="T22" s="2"/>
      <c r="U22" s="2"/>
      <c r="V22" s="2"/>
    </row>
    <row r="23" spans="2:22" ht="15" customHeight="1">
      <c r="B23" s="77"/>
      <c r="C23" s="77"/>
      <c r="K23" s="2"/>
      <c r="L23" s="2"/>
      <c r="M23" s="2"/>
      <c r="N23" s="2"/>
      <c r="O23" s="2"/>
      <c r="P23" s="2"/>
      <c r="Q23" s="2"/>
      <c r="R23" s="2"/>
      <c r="S23" s="2"/>
      <c r="T23" s="2"/>
      <c r="U23" s="2"/>
      <c r="V23" s="2"/>
    </row>
    <row r="24" spans="2:22" ht="15" customHeight="1">
      <c r="B24" s="77"/>
      <c r="C24" s="77"/>
      <c r="K24" s="2"/>
      <c r="L24" s="2"/>
      <c r="M24" s="2"/>
      <c r="N24" s="2"/>
      <c r="O24" s="2"/>
      <c r="P24" s="2"/>
      <c r="Q24" s="2"/>
      <c r="R24" s="2"/>
      <c r="S24" s="2"/>
      <c r="T24" s="2"/>
      <c r="U24" s="2"/>
      <c r="V24" s="2"/>
    </row>
    <row r="25" spans="2:22" ht="15" customHeight="1">
      <c r="B25" s="77"/>
      <c r="C25" s="77"/>
      <c r="K25" s="2"/>
      <c r="L25" s="2"/>
      <c r="M25" s="2"/>
      <c r="N25" s="2"/>
      <c r="O25" s="2"/>
      <c r="P25" s="2"/>
      <c r="Q25" s="2"/>
      <c r="R25" s="2"/>
      <c r="S25" s="2"/>
      <c r="T25" s="2"/>
      <c r="U25" s="2"/>
      <c r="V25" s="2"/>
    </row>
    <row r="28" spans="2:22" ht="15" customHeight="1">
      <c r="B28" s="386" t="s">
        <v>403</v>
      </c>
      <c r="C28" s="386"/>
      <c r="D28" s="386"/>
      <c r="E28" s="386"/>
      <c r="F28" s="386"/>
      <c r="G28" s="386"/>
      <c r="H28" s="386"/>
      <c r="I28" s="386"/>
      <c r="K28" s="386" t="s">
        <v>402</v>
      </c>
      <c r="L28" s="386"/>
      <c r="M28" s="386"/>
      <c r="N28" s="386"/>
      <c r="O28" s="386"/>
      <c r="P28" s="386"/>
      <c r="Q28" s="386"/>
      <c r="R28" s="386"/>
      <c r="S28" s="386"/>
      <c r="T28" s="386"/>
      <c r="U28" s="252"/>
      <c r="V28" s="301"/>
    </row>
    <row r="29" spans="2:22" ht="15" customHeight="1">
      <c r="B29" s="248"/>
      <c r="C29" s="248"/>
      <c r="K29" s="2"/>
      <c r="L29" s="2"/>
      <c r="M29" s="2"/>
      <c r="N29" s="2"/>
      <c r="O29" s="2"/>
      <c r="P29" s="2"/>
      <c r="Q29" s="2"/>
      <c r="R29" s="2"/>
      <c r="S29" s="2"/>
      <c r="T29" s="2"/>
      <c r="U29" s="2"/>
      <c r="V29" s="2"/>
    </row>
    <row r="30" spans="2:22" ht="15" customHeight="1">
      <c r="B30" s="248"/>
      <c r="C30" s="248"/>
      <c r="K30" s="2"/>
      <c r="L30" s="2"/>
      <c r="M30" s="2"/>
      <c r="N30" s="2"/>
      <c r="O30" s="2"/>
      <c r="P30" s="2"/>
      <c r="Q30" s="2"/>
      <c r="R30" s="2"/>
      <c r="S30" s="2"/>
      <c r="T30" s="2"/>
      <c r="U30" s="2"/>
      <c r="V30" s="2"/>
    </row>
    <row r="31" spans="2:22" ht="15" customHeight="1">
      <c r="B31" s="248"/>
      <c r="C31" s="248"/>
      <c r="K31" s="2"/>
      <c r="L31" s="2"/>
      <c r="M31" s="2"/>
      <c r="N31" s="2"/>
      <c r="O31" s="2"/>
      <c r="P31" s="2"/>
      <c r="Q31" s="2"/>
      <c r="R31" s="2"/>
      <c r="S31" s="2"/>
      <c r="T31" s="2"/>
      <c r="U31" s="2"/>
      <c r="V31" s="2"/>
    </row>
    <row r="32" spans="2:22" ht="15" customHeight="1">
      <c r="B32" s="77"/>
      <c r="C32" s="77"/>
      <c r="K32" s="2"/>
      <c r="L32" s="2"/>
      <c r="M32" s="2"/>
      <c r="N32" s="2"/>
      <c r="O32" s="2"/>
      <c r="P32" s="2"/>
      <c r="Q32" s="2"/>
      <c r="R32" s="2"/>
      <c r="S32" s="2"/>
      <c r="T32" s="2"/>
      <c r="U32" s="2"/>
      <c r="V32" s="2"/>
    </row>
    <row r="33" spans="2:22" ht="15" customHeight="1">
      <c r="B33" s="217"/>
      <c r="C33" s="217"/>
      <c r="K33" s="2"/>
      <c r="L33" s="2"/>
      <c r="M33" s="2"/>
      <c r="N33" s="2"/>
      <c r="O33" s="2"/>
      <c r="P33" s="2"/>
      <c r="Q33" s="2"/>
      <c r="R33" s="2"/>
      <c r="S33" s="2"/>
      <c r="T33" s="2"/>
      <c r="U33" s="2"/>
      <c r="V33" s="2"/>
    </row>
    <row r="34" spans="2:22" ht="15" customHeight="1">
      <c r="B34" s="217"/>
      <c r="C34" s="217"/>
      <c r="K34" s="2"/>
      <c r="L34" s="2"/>
      <c r="M34" s="2"/>
      <c r="N34" s="2"/>
      <c r="O34" s="2"/>
      <c r="P34" s="2"/>
      <c r="Q34" s="2"/>
      <c r="R34" s="2"/>
      <c r="S34" s="2"/>
      <c r="T34" s="2"/>
      <c r="U34" s="2"/>
      <c r="V34" s="2"/>
    </row>
    <row r="35" spans="2:22" ht="15" customHeight="1">
      <c r="B35" s="217"/>
      <c r="C35" s="217"/>
      <c r="K35" s="2"/>
      <c r="L35" s="2"/>
      <c r="M35" s="2"/>
      <c r="N35" s="2"/>
      <c r="O35" s="2"/>
      <c r="P35" s="2"/>
      <c r="Q35" s="2"/>
      <c r="R35" s="2"/>
      <c r="S35" s="2"/>
      <c r="T35" s="2"/>
      <c r="U35" s="2"/>
      <c r="V35" s="2"/>
    </row>
    <row r="36" spans="2:22" ht="15" customHeight="1">
      <c r="B36" s="217"/>
      <c r="C36" s="217"/>
      <c r="K36" s="2"/>
      <c r="L36" s="2"/>
      <c r="M36" s="2"/>
      <c r="N36" s="2"/>
      <c r="O36" s="2"/>
      <c r="P36" s="2"/>
      <c r="Q36" s="2"/>
      <c r="R36" s="2"/>
      <c r="S36" s="2"/>
      <c r="T36" s="2"/>
      <c r="U36" s="2"/>
      <c r="V36" s="2"/>
    </row>
    <row r="37" spans="2:22" ht="15" customHeight="1">
      <c r="B37" s="217"/>
      <c r="C37" s="217"/>
      <c r="K37" s="2"/>
      <c r="L37" s="2"/>
      <c r="M37" s="2"/>
      <c r="N37" s="2"/>
      <c r="O37" s="2"/>
      <c r="P37" s="2"/>
      <c r="Q37" s="2"/>
      <c r="R37" s="2"/>
      <c r="S37" s="2"/>
      <c r="T37" s="2"/>
      <c r="U37" s="2"/>
      <c r="V37" s="2"/>
    </row>
    <row r="38" spans="2:22" ht="15" customHeight="1">
      <c r="B38" s="217"/>
      <c r="C38" s="217"/>
      <c r="K38" s="2"/>
      <c r="L38" s="2"/>
      <c r="M38" s="2"/>
      <c r="N38" s="2"/>
      <c r="O38" s="2"/>
      <c r="P38" s="2"/>
      <c r="Q38" s="2"/>
      <c r="R38" s="2"/>
      <c r="S38" s="2"/>
      <c r="T38" s="2"/>
      <c r="U38" s="2"/>
      <c r="V38" s="2"/>
    </row>
    <row r="39" spans="2:22" ht="15" customHeight="1">
      <c r="B39" s="217"/>
      <c r="C39" s="217"/>
      <c r="K39" s="2"/>
      <c r="L39" s="2"/>
      <c r="M39" s="2"/>
      <c r="N39" s="2"/>
      <c r="O39" s="2"/>
      <c r="P39" s="2"/>
      <c r="Q39" s="2"/>
      <c r="R39" s="2"/>
      <c r="S39" s="2"/>
      <c r="T39" s="2"/>
      <c r="U39" s="2"/>
      <c r="V39" s="2"/>
    </row>
    <row r="40" spans="2:22" ht="15" customHeight="1">
      <c r="B40" s="217"/>
      <c r="C40" s="217"/>
      <c r="K40" s="2"/>
      <c r="L40" s="2"/>
      <c r="M40" s="2"/>
      <c r="N40" s="2"/>
      <c r="O40" s="2"/>
      <c r="P40" s="2"/>
      <c r="Q40" s="2"/>
      <c r="R40" s="2"/>
      <c r="S40" s="2"/>
      <c r="T40" s="2"/>
      <c r="U40" s="2"/>
      <c r="V40" s="2"/>
    </row>
    <row r="41" spans="2:22" ht="15" customHeight="1">
      <c r="B41" s="217"/>
      <c r="C41" s="217"/>
      <c r="K41" s="2"/>
      <c r="L41" s="2"/>
      <c r="M41" s="2"/>
      <c r="N41" s="2"/>
      <c r="O41" s="2"/>
      <c r="P41" s="2"/>
      <c r="Q41" s="2"/>
      <c r="R41" s="2"/>
      <c r="S41" s="2"/>
      <c r="T41" s="2"/>
      <c r="U41" s="2"/>
      <c r="V41" s="2"/>
    </row>
    <row r="42" spans="2:22" ht="15" customHeight="1">
      <c r="B42" s="217"/>
      <c r="C42" s="217"/>
      <c r="K42" s="2"/>
      <c r="L42" s="2"/>
      <c r="M42" s="2"/>
      <c r="N42" s="2"/>
      <c r="O42" s="2"/>
      <c r="P42" s="2"/>
      <c r="Q42" s="2"/>
      <c r="R42" s="2"/>
      <c r="S42" s="2"/>
      <c r="T42" s="2"/>
      <c r="U42" s="2"/>
      <c r="V42" s="2"/>
    </row>
    <row r="43" spans="2:22" ht="15" customHeight="1">
      <c r="B43" s="217"/>
      <c r="C43" s="217"/>
      <c r="K43" s="2"/>
      <c r="L43" s="2"/>
      <c r="M43" s="2"/>
      <c r="N43" s="2"/>
      <c r="O43" s="2"/>
      <c r="P43" s="2"/>
      <c r="Q43" s="2"/>
      <c r="R43" s="2"/>
      <c r="S43" s="2"/>
      <c r="T43" s="2"/>
      <c r="U43" s="2"/>
      <c r="V43" s="2"/>
    </row>
    <row r="47" spans="2:22" ht="15" customHeight="1">
      <c r="B47" s="324" t="s">
        <v>425</v>
      </c>
      <c r="C47" s="324"/>
      <c r="D47" s="324"/>
      <c r="E47" s="324"/>
      <c r="F47" s="324"/>
      <c r="G47" s="324"/>
      <c r="H47" s="324"/>
      <c r="I47" s="324"/>
      <c r="K47" s="386" t="s">
        <v>472</v>
      </c>
      <c r="L47" s="386"/>
      <c r="M47" s="386"/>
      <c r="N47" s="386"/>
      <c r="O47" s="386"/>
      <c r="P47" s="386"/>
      <c r="Q47" s="386"/>
      <c r="R47" s="386"/>
      <c r="S47" s="386"/>
      <c r="T47" s="386"/>
      <c r="U47" s="252"/>
    </row>
    <row r="61" spans="2:9" ht="15" customHeight="1">
      <c r="B61" s="389" t="s">
        <v>437</v>
      </c>
      <c r="C61" s="389"/>
      <c r="D61" s="389"/>
      <c r="E61" s="389"/>
      <c r="F61" s="389"/>
      <c r="G61" s="389"/>
      <c r="H61" s="389"/>
      <c r="I61" s="389"/>
    </row>
  </sheetData>
  <mergeCells count="20">
    <mergeCell ref="B61:I61"/>
    <mergeCell ref="B28:I28"/>
    <mergeCell ref="B10:I10"/>
    <mergeCell ref="O3:T3"/>
    <mergeCell ref="K10:L10"/>
    <mergeCell ref="M10:N10"/>
    <mergeCell ref="O10:P10"/>
    <mergeCell ref="Q10:R10"/>
    <mergeCell ref="S10:T10"/>
    <mergeCell ref="O4:T6"/>
    <mergeCell ref="S28:T28"/>
    <mergeCell ref="K47:L47"/>
    <mergeCell ref="M47:N47"/>
    <mergeCell ref="O47:P47"/>
    <mergeCell ref="Q47:R47"/>
    <mergeCell ref="S47:T47"/>
    <mergeCell ref="K28:L28"/>
    <mergeCell ref="M28:N28"/>
    <mergeCell ref="O28:P28"/>
    <mergeCell ref="Q28:R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47"/>
  <sheetViews>
    <sheetView showGridLines="0" topLeftCell="A40" workbookViewId="0">
      <selection activeCell="K30" sqref="K30:R30"/>
    </sheetView>
  </sheetViews>
  <sheetFormatPr defaultRowHeight="18" customHeight="1"/>
  <cols>
    <col min="1" max="1" width="5.7109375" customWidth="1"/>
    <col min="2" max="2" width="9.85546875" customWidth="1"/>
    <col min="5" max="5" width="16.140625" customWidth="1"/>
    <col min="10" max="10" width="7.28515625" customWidth="1"/>
    <col min="11" max="11" width="15.42578125" customWidth="1"/>
    <col min="15" max="15" width="11.5703125" customWidth="1"/>
  </cols>
  <sheetData>
    <row r="3" spans="2:22" ht="18" customHeight="1">
      <c r="B3" s="393" t="s">
        <v>422</v>
      </c>
      <c r="C3" s="394"/>
      <c r="E3" s="298" t="s">
        <v>28</v>
      </c>
      <c r="F3" s="101" t="s">
        <v>229</v>
      </c>
      <c r="G3" s="101" t="s">
        <v>230</v>
      </c>
      <c r="H3" s="101" t="s">
        <v>404</v>
      </c>
      <c r="K3" s="298"/>
      <c r="L3" s="101" t="s">
        <v>229</v>
      </c>
      <c r="M3" s="101" t="s">
        <v>230</v>
      </c>
      <c r="O3" s="393" t="s">
        <v>422</v>
      </c>
      <c r="P3" s="394"/>
      <c r="S3" s="101" t="s">
        <v>456</v>
      </c>
    </row>
    <row r="4" spans="2:22" ht="18" customHeight="1">
      <c r="B4" s="254" t="s">
        <v>423</v>
      </c>
      <c r="C4" s="299">
        <v>0.1</v>
      </c>
      <c r="E4" s="254" t="s">
        <v>530</v>
      </c>
      <c r="F4" s="299">
        <v>0.2</v>
      </c>
      <c r="G4" s="299">
        <v>0.2</v>
      </c>
      <c r="H4" s="299"/>
      <c r="K4" s="254" t="s">
        <v>533</v>
      </c>
      <c r="L4" s="300">
        <v>5</v>
      </c>
      <c r="M4" s="300">
        <v>9</v>
      </c>
      <c r="O4" s="254" t="s">
        <v>410</v>
      </c>
      <c r="P4" s="300">
        <v>4</v>
      </c>
      <c r="S4" s="299"/>
    </row>
    <row r="5" spans="2:22" ht="18" customHeight="1">
      <c r="B5" s="254" t="s">
        <v>133</v>
      </c>
      <c r="C5" s="299">
        <f>SUM('Screener Output.v0'!H35:M35)/SUM('Screener Output.v0'!H26:M26)</f>
        <v>8.7268024490989013E-2</v>
      </c>
      <c r="E5" s="254" t="s">
        <v>531</v>
      </c>
      <c r="F5" s="299">
        <f>('Screener Output.v0'!M74/'Screener Output.v0'!C74)^(1/9)-1</f>
        <v>0.24075575466618426</v>
      </c>
      <c r="G5" s="299">
        <f>('Screener Output.v0'!M74/'Screener Output.v0'!G74)^(1/5)-1</f>
        <v>0.14798973510429891</v>
      </c>
      <c r="H5" s="299">
        <f>('Screener Output.v0'!M74/'Screener Output.v0'!N74)^(1/1)-1</f>
        <v>-5.4925673973292954E-2</v>
      </c>
      <c r="K5" s="254" t="s">
        <v>534</v>
      </c>
      <c r="L5" s="300">
        <f>IF(F5&gt;0.2,5,IF(AND(F5&gt;0.1,F5&lt;0.2),3,IF(AND(F5&gt;0.05,F5&lt;0.1),1,IF(AND(F5&gt;0,F5&lt;0.05),1,0))))</f>
        <v>5</v>
      </c>
      <c r="M5" s="300">
        <f>IF(G5&gt;0.2,9,IF(AND(G5&gt;0.1,G5&lt;0.2),7,IF(AND(G5&gt;0.05,G5&lt;0.1),3,IF(AND(G5&gt;0,G5&lt;0.05),1,0))))</f>
        <v>7</v>
      </c>
      <c r="O5" s="254" t="s">
        <v>411</v>
      </c>
      <c r="P5" s="300">
        <f>IF(C5&gt;0.1,4,IF(AND(C5&gt;0.08,C5&lt;0.1),3,IF(AND(C5&gt;0.05,C5&lt;0.08),2,IF(AND(C5&gt;0.03,C5&lt;0.05),1,0))))</f>
        <v>3</v>
      </c>
      <c r="S5" s="299">
        <f>'Screener Output.v0'!L193</f>
        <v>-7.2377836843181331E-2</v>
      </c>
    </row>
    <row r="6" spans="2:22" ht="18" customHeight="1">
      <c r="E6" s="254" t="s">
        <v>532</v>
      </c>
      <c r="F6" s="299">
        <f>POWER('Screener Output.v0'!M35/'Screener Output.v0'!C35,1/9)-1</f>
        <v>0.25141977668204318</v>
      </c>
      <c r="G6" s="299">
        <f>POWER('Screener Output.v0'!M35/'Screener Output.v0'!G35,1/5)-1</f>
        <v>0.15856338068450926</v>
      </c>
      <c r="H6" s="299">
        <f>POWER('Screener Output.v0'!M35/'Screener Output.v0'!N35,1/1)-1</f>
        <v>-5.4925673973293065E-2</v>
      </c>
    </row>
    <row r="10" spans="2:22" ht="18" customHeight="1">
      <c r="B10" s="387" t="s">
        <v>399</v>
      </c>
      <c r="C10" s="387"/>
      <c r="D10" s="386"/>
      <c r="E10" s="386"/>
      <c r="F10" s="386"/>
      <c r="G10" s="386"/>
      <c r="H10" s="386"/>
      <c r="I10" s="386"/>
      <c r="J10" s="262"/>
      <c r="K10" s="386" t="s">
        <v>421</v>
      </c>
      <c r="L10" s="386"/>
      <c r="M10" s="386"/>
      <c r="N10" s="386"/>
      <c r="O10" s="386"/>
      <c r="P10" s="386"/>
      <c r="Q10" s="386"/>
      <c r="R10" s="386"/>
      <c r="S10" s="390"/>
      <c r="T10" s="390"/>
      <c r="U10" s="390"/>
      <c r="V10" s="390"/>
    </row>
    <row r="11" spans="2:22" ht="18" customHeight="1">
      <c r="H11" s="2"/>
      <c r="I11" s="2"/>
      <c r="J11" s="2"/>
      <c r="K11" s="2"/>
      <c r="L11" s="2"/>
      <c r="M11" s="2"/>
      <c r="N11" s="2"/>
      <c r="O11" s="2"/>
      <c r="P11" s="2"/>
      <c r="Q11" s="2"/>
      <c r="R11" s="2"/>
      <c r="S11" s="2"/>
      <c r="T11" s="2"/>
      <c r="U11" s="2"/>
      <c r="V11" s="2"/>
    </row>
    <row r="12" spans="2:22" ht="18" customHeight="1">
      <c r="H12" s="2"/>
      <c r="I12" s="2"/>
      <c r="J12" s="2"/>
      <c r="K12" s="2"/>
      <c r="L12" s="2"/>
      <c r="M12" s="2"/>
      <c r="N12" s="2"/>
      <c r="O12" s="2"/>
      <c r="P12" s="2"/>
      <c r="Q12" s="2"/>
      <c r="R12" s="2"/>
      <c r="S12" s="2"/>
      <c r="T12" s="2"/>
      <c r="U12" s="2"/>
      <c r="V12" s="2"/>
    </row>
    <row r="13" spans="2:22" ht="18" customHeight="1">
      <c r="H13" s="2"/>
      <c r="I13" s="2"/>
      <c r="J13" s="2"/>
      <c r="K13" s="2"/>
      <c r="L13" s="2"/>
      <c r="M13" s="2"/>
      <c r="N13" s="2"/>
      <c r="O13" s="2"/>
      <c r="P13" s="2"/>
      <c r="Q13" s="2"/>
      <c r="R13" s="2"/>
      <c r="S13" s="2"/>
      <c r="T13" s="2"/>
      <c r="U13" s="2"/>
      <c r="V13" s="2"/>
    </row>
    <row r="14" spans="2:22" ht="18" customHeight="1">
      <c r="H14" s="2"/>
      <c r="I14" s="2"/>
      <c r="J14" s="2"/>
      <c r="K14" s="2"/>
      <c r="L14" s="2"/>
      <c r="M14" s="2"/>
      <c r="N14" s="2"/>
      <c r="O14" s="2"/>
      <c r="P14" s="2"/>
      <c r="Q14" s="2"/>
      <c r="R14" s="2"/>
      <c r="S14" s="2"/>
      <c r="T14" s="2"/>
      <c r="U14" s="2"/>
      <c r="V14" s="2"/>
    </row>
    <row r="15" spans="2:22" ht="18" customHeight="1">
      <c r="H15" s="2"/>
      <c r="I15" s="2"/>
      <c r="J15" s="2"/>
      <c r="K15" s="2"/>
      <c r="L15" s="2"/>
      <c r="M15" s="2"/>
      <c r="N15" s="2"/>
      <c r="O15" s="2"/>
      <c r="P15" s="2"/>
      <c r="Q15" s="2"/>
      <c r="R15" s="2"/>
      <c r="S15" s="2"/>
      <c r="T15" s="2"/>
      <c r="U15" s="2"/>
      <c r="V15" s="2"/>
    </row>
    <row r="16" spans="2:22" ht="18" customHeight="1">
      <c r="H16" s="2"/>
      <c r="I16" s="2"/>
      <c r="J16" s="2"/>
      <c r="K16" s="2"/>
      <c r="L16" s="2"/>
      <c r="M16" s="2"/>
      <c r="N16" s="2"/>
      <c r="O16" s="2"/>
      <c r="P16" s="2"/>
      <c r="Q16" s="2"/>
      <c r="R16" s="2"/>
      <c r="S16" s="2"/>
      <c r="T16" s="2"/>
      <c r="U16" s="2"/>
      <c r="V16" s="2"/>
    </row>
    <row r="17" spans="2:22" ht="18" customHeight="1">
      <c r="H17" s="2"/>
      <c r="I17" s="2"/>
      <c r="J17" s="2"/>
      <c r="K17" s="2"/>
      <c r="L17" s="2"/>
      <c r="M17" s="2"/>
      <c r="N17" s="2"/>
      <c r="O17" s="2"/>
      <c r="P17" s="2"/>
      <c r="Q17" s="2"/>
      <c r="R17" s="2"/>
      <c r="S17" s="2"/>
      <c r="T17" s="2"/>
      <c r="U17" s="2"/>
      <c r="V17" s="2"/>
    </row>
    <row r="18" spans="2:22" ht="18" customHeight="1">
      <c r="H18" s="2"/>
      <c r="I18" s="2"/>
      <c r="J18" s="2"/>
      <c r="K18" s="2"/>
      <c r="L18" s="2"/>
      <c r="M18" s="2"/>
      <c r="N18" s="2"/>
      <c r="O18" s="2"/>
      <c r="P18" s="2"/>
      <c r="Q18" s="2"/>
      <c r="R18" s="2"/>
      <c r="S18" s="2"/>
      <c r="T18" s="2"/>
      <c r="U18" s="2"/>
      <c r="V18" s="2"/>
    </row>
    <row r="19" spans="2:22" ht="18" customHeight="1">
      <c r="H19" s="2"/>
      <c r="I19" s="2"/>
      <c r="J19" s="2"/>
      <c r="K19" s="2"/>
      <c r="L19" s="2"/>
      <c r="M19" s="2"/>
      <c r="N19" s="2"/>
      <c r="O19" s="2"/>
      <c r="P19" s="2"/>
      <c r="Q19" s="2"/>
      <c r="R19" s="2"/>
      <c r="S19" s="2"/>
      <c r="T19" s="2"/>
      <c r="U19" s="2"/>
      <c r="V19" s="2"/>
    </row>
    <row r="20" spans="2:22" ht="18" customHeight="1">
      <c r="H20" s="2"/>
      <c r="I20" s="2"/>
      <c r="J20" s="2"/>
      <c r="K20" s="2"/>
      <c r="L20" s="2"/>
      <c r="M20" s="2"/>
      <c r="N20" s="2"/>
      <c r="O20" s="2"/>
      <c r="P20" s="2"/>
      <c r="Q20" s="2"/>
      <c r="R20" s="2"/>
      <c r="S20" s="2"/>
      <c r="T20" s="2"/>
      <c r="U20" s="2"/>
      <c r="V20" s="2"/>
    </row>
    <row r="21" spans="2:22" ht="18" customHeight="1">
      <c r="I21" s="2"/>
      <c r="J21" s="2"/>
      <c r="K21" s="2"/>
      <c r="L21" s="2"/>
      <c r="M21" s="2"/>
      <c r="N21" s="2"/>
      <c r="O21" s="2"/>
      <c r="P21" s="2"/>
      <c r="Q21" s="2"/>
      <c r="R21" s="2"/>
      <c r="S21" s="2"/>
      <c r="T21" s="2"/>
      <c r="U21" s="2"/>
      <c r="V21" s="2"/>
    </row>
    <row r="22" spans="2:22" ht="18" customHeight="1">
      <c r="I22" s="2"/>
      <c r="J22" s="2"/>
      <c r="K22" s="2"/>
      <c r="L22" s="2"/>
      <c r="M22" s="2"/>
      <c r="N22" s="2"/>
      <c r="O22" s="2"/>
      <c r="P22" s="2"/>
      <c r="Q22" s="2"/>
      <c r="R22" s="2"/>
      <c r="S22" s="2"/>
      <c r="T22" s="2"/>
      <c r="U22" s="2"/>
      <c r="V22" s="2"/>
    </row>
    <row r="23" spans="2:22" ht="18" customHeight="1">
      <c r="I23" s="2"/>
      <c r="J23" s="2"/>
      <c r="K23" s="2"/>
      <c r="L23" s="2"/>
      <c r="M23" s="2"/>
      <c r="N23" s="2"/>
      <c r="O23" s="2"/>
      <c r="P23" s="2"/>
      <c r="Q23" s="2"/>
      <c r="R23" s="2"/>
      <c r="S23" s="2"/>
      <c r="T23" s="2"/>
      <c r="U23" s="2"/>
      <c r="V23" s="2"/>
    </row>
    <row r="24" spans="2:22" ht="18" customHeight="1">
      <c r="I24" s="2"/>
      <c r="J24" s="2"/>
      <c r="K24" s="2"/>
      <c r="L24" s="2"/>
      <c r="M24" s="2"/>
      <c r="N24" s="2"/>
      <c r="O24" s="2"/>
      <c r="P24" s="2"/>
      <c r="Q24" s="2"/>
      <c r="R24" s="2"/>
      <c r="S24" s="2"/>
      <c r="T24" s="2"/>
      <c r="U24" s="2"/>
      <c r="V24" s="2"/>
    </row>
    <row r="25" spans="2:22" ht="18" customHeight="1">
      <c r="I25" s="2"/>
      <c r="J25" s="2"/>
      <c r="K25" s="2"/>
      <c r="L25" s="2"/>
      <c r="M25" s="2"/>
      <c r="N25" s="2"/>
      <c r="O25" s="2"/>
      <c r="P25" s="2"/>
      <c r="Q25" s="2"/>
      <c r="R25" s="2"/>
      <c r="S25" s="2"/>
      <c r="T25" s="2"/>
      <c r="U25" s="2"/>
      <c r="V25" s="2"/>
    </row>
    <row r="27" spans="2:22" ht="18" customHeight="1">
      <c r="K27" s="391" t="s">
        <v>457</v>
      </c>
      <c r="L27" s="391"/>
      <c r="M27" s="391"/>
      <c r="N27" s="391"/>
      <c r="O27" s="391"/>
      <c r="P27" s="391"/>
      <c r="Q27" s="391"/>
      <c r="R27" s="391"/>
    </row>
    <row r="28" spans="2:22" ht="18" customHeight="1">
      <c r="K28" s="391"/>
      <c r="L28" s="391"/>
      <c r="M28" s="391"/>
      <c r="N28" s="391"/>
      <c r="O28" s="391"/>
      <c r="P28" s="391"/>
      <c r="Q28" s="391"/>
      <c r="R28" s="391"/>
    </row>
    <row r="30" spans="2:22" ht="26.25" customHeight="1">
      <c r="K30" s="392" t="s">
        <v>559</v>
      </c>
      <c r="L30" s="392"/>
      <c r="M30" s="392"/>
      <c r="N30" s="392"/>
      <c r="O30" s="392"/>
      <c r="P30" s="392"/>
      <c r="Q30" s="392"/>
      <c r="R30" s="392"/>
    </row>
    <row r="32" spans="2:22" ht="18" customHeight="1">
      <c r="B32" s="387" t="s">
        <v>417</v>
      </c>
      <c r="C32" s="387"/>
      <c r="D32" s="387"/>
      <c r="E32" s="387"/>
      <c r="F32" s="387"/>
      <c r="G32" s="387"/>
      <c r="H32" s="387"/>
      <c r="I32" s="387"/>
      <c r="J32" s="262"/>
      <c r="K32" s="252" t="s">
        <v>476</v>
      </c>
      <c r="L32" s="252"/>
      <c r="M32" s="252"/>
      <c r="N32" s="252"/>
      <c r="O32" s="252"/>
      <c r="P32" s="252"/>
      <c r="Q32" s="252"/>
      <c r="R32" s="252"/>
      <c r="S32" s="390"/>
      <c r="T32" s="390"/>
      <c r="U32" s="390"/>
      <c r="V32" s="390"/>
    </row>
    <row r="33" spans="2:22" ht="18" customHeight="1">
      <c r="I33" s="2"/>
      <c r="J33" s="2"/>
      <c r="K33" s="2"/>
      <c r="L33" s="2"/>
      <c r="M33" s="2"/>
      <c r="N33" s="2"/>
      <c r="O33" s="2"/>
      <c r="P33" s="2"/>
      <c r="Q33" s="2"/>
      <c r="R33" s="2"/>
      <c r="S33" s="2"/>
      <c r="T33" s="2"/>
      <c r="U33" s="2"/>
      <c r="V33" s="2"/>
    </row>
    <row r="34" spans="2:22" ht="18" customHeight="1">
      <c r="I34" s="2"/>
      <c r="J34" s="2"/>
      <c r="K34" s="2"/>
      <c r="L34" s="2"/>
      <c r="M34" s="2"/>
      <c r="N34" s="2"/>
      <c r="O34" s="2"/>
      <c r="P34" s="2"/>
      <c r="Q34" s="2"/>
      <c r="R34" s="2"/>
      <c r="S34" s="2"/>
      <c r="T34" s="2"/>
      <c r="U34" s="2"/>
      <c r="V34" s="2"/>
    </row>
    <row r="35" spans="2:22" ht="18" customHeight="1">
      <c r="I35" s="2"/>
      <c r="J35" s="2"/>
      <c r="K35" s="2"/>
      <c r="L35" s="2"/>
      <c r="M35" s="2"/>
      <c r="N35" s="2"/>
      <c r="O35" s="2"/>
      <c r="P35" s="2"/>
      <c r="Q35" s="2"/>
      <c r="R35" s="2"/>
      <c r="S35" s="2"/>
      <c r="T35" s="2"/>
      <c r="U35" s="2"/>
      <c r="V35" s="2"/>
    </row>
    <row r="36" spans="2:22" ht="18" customHeight="1">
      <c r="B36" s="2"/>
      <c r="C36" s="2"/>
      <c r="D36" s="2"/>
      <c r="E36" s="2"/>
      <c r="F36" s="2"/>
      <c r="G36" s="2"/>
      <c r="I36" s="2"/>
      <c r="J36" s="2"/>
      <c r="K36" s="2"/>
      <c r="L36" s="2"/>
      <c r="M36" s="2"/>
      <c r="N36" s="2"/>
      <c r="O36" s="2"/>
      <c r="P36" s="2"/>
      <c r="Q36" s="2"/>
      <c r="R36" s="2"/>
      <c r="S36" s="2"/>
      <c r="T36" s="2"/>
      <c r="U36" s="2"/>
      <c r="V36" s="2"/>
    </row>
    <row r="37" spans="2:22" ht="18" customHeight="1">
      <c r="B37" s="2"/>
      <c r="C37" s="2"/>
      <c r="D37" s="2"/>
      <c r="E37" s="2"/>
      <c r="F37" s="2"/>
      <c r="G37" s="2"/>
      <c r="I37" s="2"/>
      <c r="J37" s="2"/>
      <c r="K37" s="2"/>
      <c r="L37" s="2"/>
      <c r="M37" s="2"/>
      <c r="N37" s="2"/>
      <c r="O37" s="2"/>
      <c r="P37" s="2"/>
      <c r="Q37" s="2"/>
      <c r="R37" s="2"/>
      <c r="S37" s="2"/>
      <c r="T37" s="2"/>
      <c r="U37" s="2"/>
      <c r="V37" s="2"/>
    </row>
    <row r="38" spans="2:22" ht="18" customHeight="1">
      <c r="B38" s="2"/>
      <c r="C38" s="2"/>
      <c r="D38" s="2"/>
      <c r="E38" s="2"/>
      <c r="F38" s="2"/>
      <c r="G38" s="2"/>
      <c r="I38" s="2"/>
      <c r="J38" s="2"/>
      <c r="K38" s="2"/>
      <c r="L38" s="2"/>
      <c r="M38" s="2"/>
      <c r="N38" s="2"/>
      <c r="O38" s="2"/>
      <c r="P38" s="2"/>
      <c r="Q38" s="2"/>
      <c r="R38" s="2"/>
      <c r="S38" s="2"/>
      <c r="T38" s="2"/>
      <c r="U38" s="2"/>
      <c r="V38" s="2"/>
    </row>
    <row r="39" spans="2:22" ht="18" customHeight="1">
      <c r="B39" s="2"/>
      <c r="C39" s="2"/>
      <c r="D39" s="2"/>
      <c r="E39" s="2"/>
      <c r="F39" s="2"/>
      <c r="G39" s="2"/>
      <c r="I39" s="2"/>
      <c r="J39" s="2"/>
      <c r="K39" s="2"/>
      <c r="L39" s="2"/>
      <c r="M39" s="2"/>
      <c r="N39" s="2"/>
      <c r="O39" s="2"/>
      <c r="P39" s="2"/>
      <c r="Q39" s="2"/>
      <c r="R39" s="2"/>
      <c r="S39" s="2"/>
      <c r="T39" s="2"/>
      <c r="U39" s="2"/>
      <c r="V39" s="2"/>
    </row>
    <row r="40" spans="2:22" ht="18" customHeight="1">
      <c r="B40" s="2"/>
      <c r="C40" s="2"/>
      <c r="D40" s="2"/>
      <c r="E40" s="2"/>
      <c r="F40" s="2"/>
      <c r="G40" s="2"/>
      <c r="I40" s="2"/>
      <c r="J40" s="2"/>
      <c r="K40" s="2"/>
      <c r="L40" s="2"/>
      <c r="M40" s="2"/>
      <c r="N40" s="2"/>
      <c r="O40" s="2"/>
      <c r="P40" s="2"/>
      <c r="Q40" s="2"/>
      <c r="R40" s="2"/>
      <c r="S40" s="2"/>
      <c r="T40" s="2"/>
      <c r="U40" s="2"/>
      <c r="V40" s="2"/>
    </row>
    <row r="41" spans="2:22" ht="18" customHeight="1">
      <c r="B41" s="2"/>
      <c r="C41" s="2"/>
      <c r="D41" s="2"/>
      <c r="E41" s="2"/>
      <c r="F41" s="2"/>
      <c r="G41" s="2"/>
      <c r="I41" s="2"/>
      <c r="J41" s="2"/>
      <c r="K41" s="2"/>
      <c r="L41" s="2"/>
      <c r="M41" s="2"/>
      <c r="N41" s="2"/>
      <c r="O41" s="2"/>
      <c r="P41" s="2"/>
      <c r="Q41" s="2"/>
      <c r="R41" s="2"/>
      <c r="S41" s="2"/>
      <c r="T41" s="2"/>
      <c r="U41" s="2"/>
      <c r="V41" s="2"/>
    </row>
    <row r="42" spans="2:22" ht="18" customHeight="1">
      <c r="B42" s="2"/>
      <c r="C42" s="2"/>
      <c r="D42" s="2"/>
      <c r="E42" s="2"/>
      <c r="F42" s="2"/>
      <c r="G42" s="2"/>
      <c r="I42" s="2"/>
      <c r="J42" s="2"/>
      <c r="K42" s="2"/>
      <c r="L42" s="2"/>
      <c r="M42" s="2"/>
      <c r="N42" s="2"/>
      <c r="O42" s="2"/>
      <c r="P42" s="2"/>
      <c r="Q42" s="2"/>
      <c r="R42" s="2"/>
      <c r="S42" s="2"/>
      <c r="T42" s="2"/>
      <c r="U42" s="2"/>
      <c r="V42" s="2"/>
    </row>
    <row r="43" spans="2:22" ht="18" customHeight="1">
      <c r="B43" s="2"/>
      <c r="C43" s="2"/>
      <c r="D43" s="2"/>
      <c r="E43" s="2"/>
      <c r="F43" s="2"/>
      <c r="G43" s="2"/>
      <c r="I43" s="2"/>
      <c r="J43" s="2"/>
      <c r="K43" s="2"/>
      <c r="L43" s="2"/>
      <c r="M43" s="2"/>
      <c r="N43" s="2"/>
      <c r="O43" s="2"/>
      <c r="P43" s="2"/>
      <c r="Q43" s="2"/>
      <c r="R43" s="2"/>
      <c r="S43" s="2"/>
      <c r="T43" s="2"/>
      <c r="U43" s="2"/>
      <c r="V43" s="2"/>
    </row>
    <row r="44" spans="2:22" ht="18" customHeight="1">
      <c r="B44" s="2"/>
      <c r="C44" s="2"/>
      <c r="D44" s="2"/>
      <c r="E44" s="2"/>
      <c r="F44" s="2"/>
      <c r="G44" s="2"/>
      <c r="I44" s="2"/>
      <c r="J44" s="2"/>
      <c r="K44" s="2"/>
      <c r="L44" s="2"/>
      <c r="M44" s="2"/>
      <c r="N44" s="2"/>
      <c r="O44" s="2"/>
      <c r="P44" s="2"/>
      <c r="Q44" s="2"/>
      <c r="R44" s="2"/>
      <c r="S44" s="2"/>
      <c r="T44" s="2"/>
      <c r="U44" s="2"/>
      <c r="V44" s="2"/>
    </row>
    <row r="45" spans="2:22" ht="18" customHeight="1">
      <c r="B45" s="2"/>
      <c r="C45" s="2"/>
      <c r="D45" s="2"/>
      <c r="E45" s="2"/>
      <c r="F45" s="2"/>
      <c r="G45" s="2"/>
      <c r="I45" s="2"/>
      <c r="J45" s="2"/>
      <c r="K45" s="2"/>
      <c r="L45" s="2"/>
      <c r="M45" s="2"/>
      <c r="N45" s="2"/>
      <c r="O45" s="2"/>
      <c r="P45" s="2"/>
      <c r="Q45" s="2"/>
      <c r="R45" s="2"/>
      <c r="S45" s="2"/>
      <c r="T45" s="2"/>
      <c r="U45" s="2"/>
      <c r="V45" s="2"/>
    </row>
    <row r="46" spans="2:22" ht="18" customHeight="1">
      <c r="B46" s="2"/>
      <c r="C46" s="2"/>
      <c r="D46" s="2"/>
      <c r="E46" s="2"/>
      <c r="F46" s="2"/>
      <c r="G46" s="2"/>
      <c r="I46" s="2"/>
      <c r="J46" s="2"/>
      <c r="K46" s="2"/>
      <c r="L46" s="2"/>
      <c r="M46" s="2"/>
      <c r="N46" s="2"/>
      <c r="O46" s="2"/>
      <c r="P46" s="2"/>
      <c r="Q46" s="2"/>
      <c r="R46" s="2"/>
      <c r="S46" s="2"/>
      <c r="T46" s="2"/>
      <c r="U46" s="2"/>
      <c r="V46" s="2"/>
    </row>
    <row r="47" spans="2:22" ht="18" customHeight="1">
      <c r="B47" s="2"/>
      <c r="C47" s="2"/>
      <c r="D47" s="2"/>
      <c r="E47" s="2"/>
      <c r="F47" s="2"/>
      <c r="G47" s="2"/>
      <c r="I47" s="2"/>
      <c r="J47" s="2"/>
      <c r="K47" s="2"/>
      <c r="L47" s="2"/>
      <c r="M47" s="2"/>
      <c r="N47" s="2"/>
      <c r="O47" s="2"/>
      <c r="P47" s="2"/>
      <c r="Q47" s="2"/>
      <c r="R47" s="2"/>
      <c r="S47" s="2"/>
      <c r="T47" s="2"/>
      <c r="U47" s="2"/>
      <c r="V47" s="2"/>
    </row>
  </sheetData>
  <mergeCells count="17">
    <mergeCell ref="B3:C3"/>
    <mergeCell ref="O3:P3"/>
    <mergeCell ref="B32:I32"/>
    <mergeCell ref="S32:T32"/>
    <mergeCell ref="U32:V32"/>
    <mergeCell ref="B10:C10"/>
    <mergeCell ref="D10:E10"/>
    <mergeCell ref="S10:T10"/>
    <mergeCell ref="F10:G10"/>
    <mergeCell ref="H10:I10"/>
    <mergeCell ref="U10:V10"/>
    <mergeCell ref="K10:L10"/>
    <mergeCell ref="M10:N10"/>
    <mergeCell ref="O10:P10"/>
    <mergeCell ref="Q10:R10"/>
    <mergeCell ref="K27:R28"/>
    <mergeCell ref="K30:R3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C22"/>
  <sheetViews>
    <sheetView showGridLines="0" topLeftCell="A4" workbookViewId="0">
      <selection activeCell="G10" sqref="G10"/>
    </sheetView>
  </sheetViews>
  <sheetFormatPr defaultRowHeight="15"/>
  <cols>
    <col min="1" max="1" width="2.28515625" customWidth="1"/>
    <col min="2" max="2" width="16" bestFit="1" customWidth="1"/>
    <col min="3" max="8" width="8.7109375" customWidth="1"/>
    <col min="9" max="9" width="8.42578125" customWidth="1"/>
    <col min="10" max="10" width="18" bestFit="1" customWidth="1"/>
    <col min="11" max="11" width="11.7109375" customWidth="1"/>
    <col min="12" max="12" width="4.28515625" customWidth="1"/>
  </cols>
  <sheetData>
    <row r="1" spans="2:29" ht="9" customHeight="1"/>
    <row r="2" spans="2:29" ht="24">
      <c r="C2" s="296"/>
      <c r="D2" s="101" t="s">
        <v>142</v>
      </c>
      <c r="J2" s="296"/>
      <c r="K2" s="101" t="s">
        <v>142</v>
      </c>
    </row>
    <row r="3" spans="2:29">
      <c r="C3" s="303" t="s">
        <v>423</v>
      </c>
      <c r="D3" s="310" t="s">
        <v>431</v>
      </c>
      <c r="J3" s="303" t="s">
        <v>410</v>
      </c>
      <c r="K3" s="296">
        <v>10</v>
      </c>
    </row>
    <row r="4" spans="2:29">
      <c r="C4" s="303" t="s">
        <v>133</v>
      </c>
      <c r="D4" s="304">
        <f>IF(Valuation_Table!A28=2, G10, SUM('Screener Output.v0'!L35:L35)/SUM('Screener Output.v0'!L60:L60))</f>
        <v>0.17000951530178429</v>
      </c>
      <c r="J4" s="303" t="s">
        <v>411</v>
      </c>
      <c r="K4" s="296">
        <f>IF(Valuation_Table!A28=2, (IF(D4&gt;0.2,10,IF(AND(D4&gt;0.1,D4&lt;0.2),7,IF(AND(D4&gt;0.05,D4&lt;0.1),3,IF(AND(D4&gt;0,D4&lt;0.05),1,0))))), (IF(D4&gt;0.02,10,IF(AND(D4&gt;0.01,D4&lt;0.02),7,IF(AND(D4&gt;0.005,D4&lt;0.01),3,IF(AND(D4&gt;0,D4&lt;0.005),1,0))))))</f>
        <v>7</v>
      </c>
    </row>
    <row r="5" spans="2:29" ht="8.25" customHeight="1"/>
    <row r="6" spans="2:29" ht="18" customHeight="1">
      <c r="B6" s="47"/>
      <c r="C6" s="48" t="s">
        <v>94</v>
      </c>
      <c r="D6" s="48" t="s">
        <v>93</v>
      </c>
      <c r="E6" s="48" t="s">
        <v>92</v>
      </c>
      <c r="F6" s="48" t="s">
        <v>91</v>
      </c>
      <c r="G6" s="48" t="s">
        <v>477</v>
      </c>
      <c r="H6" s="48" t="s">
        <v>478</v>
      </c>
      <c r="J6" s="218"/>
      <c r="K6" s="218" t="s">
        <v>230</v>
      </c>
      <c r="M6" s="386" t="s">
        <v>98</v>
      </c>
      <c r="N6" s="386"/>
      <c r="O6" s="386"/>
      <c r="P6" s="386"/>
      <c r="Q6" s="386"/>
      <c r="R6" s="386"/>
      <c r="S6" s="386"/>
      <c r="T6" s="386"/>
      <c r="V6" s="386"/>
      <c r="W6" s="386"/>
      <c r="X6" s="386"/>
      <c r="Y6" s="386"/>
      <c r="Z6" s="386"/>
      <c r="AA6" s="386"/>
      <c r="AB6" s="386"/>
      <c r="AC6" s="386"/>
    </row>
    <row r="7" spans="2:29">
      <c r="B7" s="49" t="s">
        <v>96</v>
      </c>
      <c r="C7" s="50">
        <f>SUM('Screener Output.v0'!H35:H35)/SUM('Screener Output.v0'!H26:H26)</f>
        <v>7.1529316945395854E-2</v>
      </c>
      <c r="D7" s="50">
        <f>SUM('Screener Output.v0'!I35:I35)/SUM('Screener Output.v0'!I26:I26)</f>
        <v>8.4549291459561263E-2</v>
      </c>
      <c r="E7" s="50">
        <f>SUM('Screener Output.v0'!J35:J35)/SUM('Screener Output.v0'!J26:J26)</f>
        <v>9.7830905964490539E-2</v>
      </c>
      <c r="F7" s="50">
        <f>SUM('Screener Output.v0'!K35:K35)/SUM('Screener Output.v0'!K26:K26)</f>
        <v>9.954777752065988E-2</v>
      </c>
      <c r="G7" s="50">
        <f>SUM('Screener Output.v0'!L35:L35)/SUM('Screener Output.v0'!L26:L26)</f>
        <v>8.4335571460193257E-2</v>
      </c>
      <c r="H7" s="50">
        <f>'Screener Output.v0'!M35/'Screener Output.v0'!M26</f>
        <v>8.2155177134096272E-2</v>
      </c>
      <c r="J7" s="219" t="s">
        <v>358</v>
      </c>
      <c r="K7" s="220">
        <f>POWER('Screener Output.v0'!M35/'Screener Output.v0'!G35,1/5)-1</f>
        <v>0.15856338068450926</v>
      </c>
      <c r="M7" s="2"/>
      <c r="N7" s="2"/>
      <c r="V7" s="248"/>
      <c r="W7" s="248"/>
    </row>
    <row r="8" spans="2:29">
      <c r="B8" s="49" t="s">
        <v>55</v>
      </c>
      <c r="C8" s="51">
        <f>'Screener Output.v0'!H25/'Screener Output.v0'!H60</f>
        <v>1.5635834708494241</v>
      </c>
      <c r="D8" s="51">
        <f>'Screener Output.v0'!I25/'Screener Output.v0'!I60</f>
        <v>1.4047248631518292</v>
      </c>
      <c r="E8" s="51">
        <f>'Screener Output.v0'!J25/'Screener Output.v0'!J60</f>
        <v>1.2621614021932699</v>
      </c>
      <c r="F8" s="51">
        <f>'Screener Output.v0'!K25/'Screener Output.v0'!K60</f>
        <v>1.2552252318383128</v>
      </c>
      <c r="G8" s="51">
        <f>'Screener Output.v0'!L25/'Screener Output.v0'!L60</f>
        <v>1.2678095717133331</v>
      </c>
      <c r="H8" s="51">
        <f>'Screener Output.v0'!M26/'Screener Output.v0'!L60</f>
        <v>1.2758480970211814</v>
      </c>
      <c r="J8" s="219" t="s">
        <v>225</v>
      </c>
      <c r="K8" s="220">
        <f>POWER('Screener Output.v0'!M26/'Screener Output.v0'!G26,1/5)-1</f>
        <v>0.11589075384668868</v>
      </c>
      <c r="M8" s="2"/>
      <c r="N8" s="2"/>
      <c r="V8" s="248"/>
      <c r="W8" s="248"/>
    </row>
    <row r="9" spans="2:29">
      <c r="B9" s="49" t="s">
        <v>97</v>
      </c>
      <c r="C9" s="51">
        <f>'Screener Output.v0'!H60/SUM('Screener Output.v0'!H40:H41)</f>
        <v>2.3318390986988256</v>
      </c>
      <c r="D9" s="51">
        <f>'Screener Output.v0'!I60/SUM('Screener Output.v0'!I40:I41)</f>
        <v>2.1080654303992228</v>
      </c>
      <c r="E9" s="51">
        <f>'Screener Output.v0'!J60/SUM('Screener Output.v0'!J40:J41)</f>
        <v>1.9759440271632884</v>
      </c>
      <c r="F9" s="51">
        <f>'Screener Output.v0'!K60/SUM('Screener Output.v0'!K40:K41)</f>
        <v>1.7389287902512083</v>
      </c>
      <c r="G9" s="51">
        <f>'Screener Output.v0'!L60/SUM('Screener Output.v0'!L40:L41)</f>
        <v>1.5900413217020393</v>
      </c>
      <c r="H9" s="51"/>
      <c r="J9" s="219" t="s">
        <v>328</v>
      </c>
      <c r="K9" s="220">
        <f>POWER('Screener Output.v0'!L60/'Screener Output.v0'!G60,1/5)-1</f>
        <v>0.15434891798637529</v>
      </c>
      <c r="M9" s="2"/>
      <c r="N9" s="2"/>
      <c r="V9" s="248"/>
      <c r="W9" s="248"/>
    </row>
    <row r="10" spans="2:29">
      <c r="B10" s="52" t="s">
        <v>35</v>
      </c>
      <c r="C10" s="337">
        <f t="shared" ref="C10" si="0">C7*C8*C9</f>
        <v>0.26079768292345235</v>
      </c>
      <c r="D10" s="337">
        <f>D7*D8*D9</f>
        <v>0.25037175194258365</v>
      </c>
      <c r="E10" s="337">
        <f>E7*E8*E9</f>
        <v>0.24398639402120514</v>
      </c>
      <c r="F10" s="337">
        <f>F7*F8*F9</f>
        <v>0.21728764199632158</v>
      </c>
      <c r="G10" s="337">
        <f>G7*G8*G9</f>
        <v>0.17000951530178429</v>
      </c>
      <c r="H10" s="53">
        <f>H7*H8*G9</f>
        <v>0.16666419822568462</v>
      </c>
      <c r="J10" s="219" t="s">
        <v>329</v>
      </c>
      <c r="K10" s="220">
        <f>POWER(SUM('Screener Output.v0'!L40:L41)/SUM('Screener Output.v0'!G40:G41),1/5)-1</f>
        <v>0.30202294177372546</v>
      </c>
      <c r="M10" s="2"/>
      <c r="N10" s="2"/>
      <c r="V10" s="248"/>
      <c r="W10" s="248"/>
    </row>
    <row r="11" spans="2:29">
      <c r="B11" s="52" t="s">
        <v>560</v>
      </c>
      <c r="C11" s="337">
        <f>'Screener Output.v0'!H93</f>
        <v>0.32495712877570571</v>
      </c>
      <c r="D11" s="337">
        <f>'Screener Output.v0'!I93</f>
        <v>0.30447900687749518</v>
      </c>
      <c r="E11" s="337">
        <f>'Screener Output.v0'!J93</f>
        <v>0.31233604096210343</v>
      </c>
      <c r="F11" s="337">
        <f>'Screener Output.v0'!K93</f>
        <v>0.30995188290546577</v>
      </c>
      <c r="G11" s="337">
        <f>'Screener Output.v0'!L93</f>
        <v>0.24950187741252433</v>
      </c>
      <c r="H11" s="337">
        <f>'Screener Output.v0'!M93</f>
        <v>0.24325479545738504</v>
      </c>
      <c r="M11" s="2"/>
      <c r="N11" s="2"/>
      <c r="V11" s="248"/>
      <c r="W11" s="248"/>
    </row>
    <row r="12" spans="2:29" ht="33.75" customHeight="1">
      <c r="B12" s="395" t="s">
        <v>99</v>
      </c>
      <c r="C12" s="395"/>
      <c r="D12" s="395"/>
      <c r="E12" s="395"/>
      <c r="F12" s="395"/>
      <c r="G12" s="395"/>
      <c r="H12" s="328"/>
      <c r="M12" s="2"/>
      <c r="N12" s="2"/>
      <c r="V12" s="248"/>
      <c r="W12" s="248"/>
    </row>
    <row r="13" spans="2:29">
      <c r="B13" s="46"/>
      <c r="M13" s="2"/>
      <c r="N13" s="2"/>
      <c r="V13" s="248"/>
      <c r="W13" s="248"/>
    </row>
    <row r="14" spans="2:29">
      <c r="B14" s="46" t="s">
        <v>102</v>
      </c>
      <c r="M14" s="2"/>
      <c r="N14" s="2"/>
      <c r="V14" s="248"/>
      <c r="W14" s="248"/>
    </row>
    <row r="15" spans="2:29">
      <c r="B15" s="46" t="s">
        <v>101</v>
      </c>
      <c r="M15" s="2"/>
      <c r="N15" s="2"/>
      <c r="V15" s="248"/>
      <c r="W15" s="248"/>
    </row>
    <row r="16" spans="2:29">
      <c r="B16" s="46" t="s">
        <v>100</v>
      </c>
      <c r="M16" s="2"/>
      <c r="N16" s="2"/>
      <c r="V16" s="248"/>
      <c r="W16" s="248"/>
    </row>
    <row r="17" spans="2:23">
      <c r="M17" s="2"/>
      <c r="N17" s="2"/>
      <c r="V17" s="248"/>
      <c r="W17" s="248"/>
    </row>
    <row r="18" spans="2:23">
      <c r="M18" s="2"/>
      <c r="N18" s="2"/>
      <c r="V18" s="248"/>
      <c r="W18" s="248"/>
    </row>
    <row r="19" spans="2:23">
      <c r="F19" s="402" t="s">
        <v>121</v>
      </c>
      <c r="G19" s="396">
        <f>'Screener Output.v0'!L35-'Screener Output.v0'!H35</f>
        <v>97.249999999999972</v>
      </c>
      <c r="H19" s="329"/>
      <c r="J19" s="400">
        <f>G19/G21</f>
        <v>0.1150288607115821</v>
      </c>
      <c r="M19" s="2"/>
      <c r="N19" s="2"/>
      <c r="V19" s="248"/>
      <c r="W19" s="248"/>
    </row>
    <row r="20" spans="2:23" ht="15.75" thickBot="1">
      <c r="B20" s="76"/>
      <c r="F20" s="403"/>
      <c r="G20" s="396"/>
      <c r="H20" s="329"/>
      <c r="I20" s="399" t="s">
        <v>120</v>
      </c>
      <c r="J20" s="401"/>
      <c r="M20" s="2"/>
      <c r="N20" s="2"/>
      <c r="V20" s="248"/>
      <c r="W20" s="248"/>
    </row>
    <row r="21" spans="2:23" ht="15.75" thickTop="1">
      <c r="F21" s="404" t="s">
        <v>122</v>
      </c>
      <c r="G21" s="397">
        <f>'Screener Output.v0'!L41-'Screener Output.v0'!H41</f>
        <v>845.44</v>
      </c>
      <c r="H21" s="330"/>
      <c r="I21" s="399"/>
      <c r="M21" s="2"/>
      <c r="N21" s="2"/>
      <c r="V21" s="248"/>
      <c r="W21" s="248"/>
    </row>
    <row r="22" spans="2:23">
      <c r="F22" s="404"/>
      <c r="G22" s="398"/>
      <c r="H22" s="330"/>
    </row>
  </sheetData>
  <mergeCells count="9">
    <mergeCell ref="B12:G12"/>
    <mergeCell ref="M6:T6"/>
    <mergeCell ref="V6:AC6"/>
    <mergeCell ref="G19:G20"/>
    <mergeCell ref="G21:G22"/>
    <mergeCell ref="I20:I21"/>
    <mergeCell ref="J19:J20"/>
    <mergeCell ref="F19:F20"/>
    <mergeCell ref="F21:F22"/>
  </mergeCells>
  <pageMargins left="0.7" right="0.7" top="0.75" bottom="0.75" header="0.3" footer="0.3"/>
  <pageSetup scale="7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63"/>
  <sheetViews>
    <sheetView showGridLines="0" workbookViewId="0">
      <selection activeCell="J62" sqref="J62"/>
    </sheetView>
  </sheetViews>
  <sheetFormatPr defaultRowHeight="18" customHeight="1"/>
  <cols>
    <col min="1" max="1" width="2.42578125" customWidth="1"/>
    <col min="2" max="2" width="11.85546875" bestFit="1" customWidth="1"/>
    <col min="4" max="4" width="13.85546875" bestFit="1" customWidth="1"/>
    <col min="5" max="5" width="10.7109375" customWidth="1"/>
    <col min="6" max="6" width="12.5703125" style="255" customWidth="1"/>
    <col min="7" max="7" width="15" style="255" bestFit="1" customWidth="1"/>
    <col min="8" max="8" width="13.5703125" style="255" bestFit="1" customWidth="1"/>
    <col min="9" max="9" width="9.140625" style="255"/>
    <col min="10" max="10" width="11.7109375" bestFit="1" customWidth="1"/>
    <col min="12" max="12" width="13.85546875" bestFit="1" customWidth="1"/>
    <col min="13" max="13" width="10.85546875" bestFit="1" customWidth="1"/>
    <col min="14" max="14" width="13.85546875" bestFit="1" customWidth="1"/>
  </cols>
  <sheetData>
    <row r="1" spans="2:17" ht="8.25" customHeight="1"/>
    <row r="3" spans="2:17" s="279" customFormat="1" ht="18" customHeight="1">
      <c r="B3" s="298"/>
      <c r="C3" s="302" t="s">
        <v>428</v>
      </c>
      <c r="D3" s="302" t="s">
        <v>443</v>
      </c>
      <c r="E3" s="302" t="s">
        <v>430</v>
      </c>
      <c r="F3" s="302" t="s">
        <v>95</v>
      </c>
      <c r="G3" s="302" t="s">
        <v>459</v>
      </c>
      <c r="J3" s="308"/>
      <c r="K3" s="302" t="s">
        <v>428</v>
      </c>
      <c r="L3" s="302" t="s">
        <v>443</v>
      </c>
      <c r="M3" s="302" t="s">
        <v>430</v>
      </c>
      <c r="N3" s="302" t="s">
        <v>95</v>
      </c>
    </row>
    <row r="4" spans="2:17" s="279" customFormat="1" ht="18" customHeight="1">
      <c r="B4" s="303" t="s">
        <v>426</v>
      </c>
      <c r="C4" s="304" t="s">
        <v>159</v>
      </c>
      <c r="D4" s="304" t="s">
        <v>433</v>
      </c>
      <c r="E4" s="304" t="s">
        <v>429</v>
      </c>
      <c r="F4" s="304" t="s">
        <v>432</v>
      </c>
      <c r="G4" s="304"/>
      <c r="J4" s="303" t="s">
        <v>410</v>
      </c>
      <c r="K4" s="309">
        <v>3</v>
      </c>
      <c r="L4" s="186">
        <v>1</v>
      </c>
      <c r="M4" s="309">
        <v>4</v>
      </c>
      <c r="N4" s="309">
        <v>1</v>
      </c>
    </row>
    <row r="5" spans="2:17" s="279" customFormat="1" ht="18" customHeight="1">
      <c r="B5" s="303" t="s">
        <v>427</v>
      </c>
      <c r="C5" s="306">
        <f>SUM('Screener Output.v0'!L45:L45)/SUM('Screener Output.v0'!M35:M35)</f>
        <v>0.75682040344796953</v>
      </c>
      <c r="D5" s="304">
        <f>SUM('Screener Output.v0'!L10:L10)/SUM('Screener Output.v0'!L9:L9)</f>
        <v>0.63661676981392845</v>
      </c>
      <c r="E5" s="305">
        <f>SUM('Screener Output.v0'!H62:L62)/SUM('Screener Output.v0'!H35:L35)</f>
        <v>1.1964107966021442</v>
      </c>
      <c r="F5" s="307">
        <f>'Screener Output.v0'!L62</f>
        <v>238.32</v>
      </c>
      <c r="G5" s="307">
        <f>SUM('Screener Output.v0'!H63:L63)</f>
        <v>357.67000000000013</v>
      </c>
      <c r="J5" s="303" t="s">
        <v>427</v>
      </c>
      <c r="K5" s="309">
        <f>IF(C5&lt;=3,3,IF((AND((C5&gt;3),(C5&lt;=5))),2,0))</f>
        <v>3</v>
      </c>
      <c r="L5" s="186">
        <f>IF(Efficiency!D5&gt;1.5,1,IF(AND(Efficiency!D5&gt;1.25,Efficiency!D5&lt;1.5),0.75,IF(AND(Efficiency!D5&gt;1,Efficiency!D5&lt;1.25),0.5,IF(AND(Efficiency!D5&gt;0.9,Efficiency!D5&lt;1),1,0))))</f>
        <v>0</v>
      </c>
      <c r="M5" s="309">
        <f>IF(E5&gt;1,4,IF(AND(E5&gt;0.75,E5&lt;1),2,IF(AND(E5&gt;0.5,E5&lt;0.75),1,IF(AND(E5&gt;0,E5&lt;0.5),1,0))))</f>
        <v>4</v>
      </c>
      <c r="N5" s="309">
        <f>IF(F5&gt;1.5,1,IF(AND(F5&gt;1.25,F5&lt;1.5),0.75,IF(AND(F5&gt;1,F5&lt;1.25),0.5,IF(AND(F5&gt;0.9,F5&lt;1),1,0))))</f>
        <v>1</v>
      </c>
    </row>
    <row r="6" spans="2:17" ht="18" customHeight="1">
      <c r="F6" s="268"/>
      <c r="G6" s="266"/>
      <c r="H6" s="266"/>
      <c r="I6" s="266"/>
      <c r="J6" s="267"/>
      <c r="K6" s="267"/>
      <c r="L6" s="267"/>
    </row>
    <row r="8" spans="2:17" ht="18" customHeight="1">
      <c r="B8" s="387" t="s">
        <v>428</v>
      </c>
      <c r="C8" s="387"/>
      <c r="D8" s="387"/>
      <c r="E8" s="387"/>
      <c r="F8" s="387"/>
      <c r="G8" s="387"/>
      <c r="H8" s="387"/>
      <c r="I8" s="301"/>
      <c r="J8" s="387" t="s">
        <v>449</v>
      </c>
      <c r="K8" s="387"/>
      <c r="L8" s="387"/>
      <c r="M8" s="387"/>
      <c r="N8" s="387"/>
      <c r="O8" s="387"/>
      <c r="P8" s="387"/>
      <c r="Q8" s="387"/>
    </row>
    <row r="21" spans="2:17" ht="8.25" customHeight="1"/>
    <row r="22" spans="2:17" ht="23.25" customHeight="1">
      <c r="J22" s="406" t="s">
        <v>460</v>
      </c>
      <c r="K22" s="406"/>
      <c r="L22" s="406"/>
      <c r="M22" s="406"/>
      <c r="N22" s="406"/>
      <c r="O22" s="406"/>
      <c r="P22" s="406"/>
      <c r="Q22" s="406"/>
    </row>
    <row r="24" spans="2:17" ht="18" customHeight="1">
      <c r="B24" s="387" t="s">
        <v>424</v>
      </c>
      <c r="C24" s="387"/>
      <c r="D24" s="387"/>
      <c r="E24" s="387"/>
      <c r="F24" s="387"/>
      <c r="G24" s="387"/>
      <c r="H24" s="387"/>
      <c r="J24" s="324" t="s">
        <v>450</v>
      </c>
      <c r="K24" s="324"/>
      <c r="L24" s="324"/>
      <c r="M24" s="324"/>
      <c r="N24" s="324"/>
      <c r="O24" s="324"/>
      <c r="P24" s="324"/>
      <c r="Q24" s="324"/>
    </row>
    <row r="35" spans="2:17" ht="9" customHeight="1"/>
    <row r="36" spans="2:17" ht="18" customHeight="1">
      <c r="J36" s="389" t="s">
        <v>466</v>
      </c>
      <c r="K36" s="389"/>
      <c r="L36" s="389"/>
      <c r="M36" s="389"/>
      <c r="N36" s="389"/>
      <c r="O36" s="389"/>
      <c r="P36" s="389"/>
      <c r="Q36" s="389"/>
    </row>
    <row r="38" spans="2:17" ht="18" customHeight="1">
      <c r="B38" s="387" t="s">
        <v>467</v>
      </c>
      <c r="C38" s="387"/>
      <c r="D38" s="387"/>
      <c r="E38" s="387"/>
      <c r="F38" s="387"/>
      <c r="G38" s="387"/>
      <c r="H38" s="387"/>
      <c r="I38"/>
      <c r="J38" s="387" t="s">
        <v>208</v>
      </c>
      <c r="K38" s="387"/>
      <c r="L38" s="387"/>
      <c r="M38" s="387"/>
      <c r="N38" s="387"/>
      <c r="O38" s="387"/>
      <c r="P38" s="387"/>
      <c r="Q38" s="387"/>
    </row>
    <row r="39" spans="2:17" ht="18" customHeight="1">
      <c r="I39"/>
    </row>
    <row r="40" spans="2:17" ht="18" customHeight="1">
      <c r="I40"/>
    </row>
    <row r="41" spans="2:17" ht="18" customHeight="1">
      <c r="I41"/>
    </row>
    <row r="42" spans="2:17" ht="18" customHeight="1">
      <c r="I42"/>
    </row>
    <row r="43" spans="2:17" ht="18" customHeight="1">
      <c r="I43"/>
    </row>
    <row r="44" spans="2:17" ht="18" customHeight="1">
      <c r="I44"/>
    </row>
    <row r="45" spans="2:17" ht="18" customHeight="1">
      <c r="I45"/>
    </row>
    <row r="46" spans="2:17" ht="18" customHeight="1">
      <c r="I46"/>
    </row>
    <row r="47" spans="2:17" ht="18" customHeight="1">
      <c r="I47"/>
    </row>
    <row r="48" spans="2:17" ht="18" customHeight="1">
      <c r="I48"/>
    </row>
    <row r="49" spans="2:17" ht="18" customHeight="1">
      <c r="I49"/>
    </row>
    <row r="50" spans="2:17" ht="8.25" customHeight="1">
      <c r="I50"/>
    </row>
    <row r="51" spans="2:17" ht="18" customHeight="1">
      <c r="I51"/>
    </row>
    <row r="52" spans="2:17" ht="18" customHeight="1">
      <c r="I52"/>
      <c r="J52" s="407" t="s">
        <v>442</v>
      </c>
      <c r="K52" s="407"/>
      <c r="L52" s="407"/>
      <c r="M52" s="407"/>
      <c r="N52" s="407"/>
      <c r="O52" s="407"/>
      <c r="P52" s="407"/>
      <c r="Q52" s="407"/>
    </row>
    <row r="53" spans="2:17" ht="18" customHeight="1">
      <c r="I53"/>
    </row>
    <row r="63" spans="2:17" ht="18" customHeight="1">
      <c r="B63" s="405"/>
      <c r="C63" s="405"/>
      <c r="D63" s="405"/>
      <c r="E63" s="405"/>
      <c r="F63" s="405"/>
      <c r="G63" s="405"/>
      <c r="J63" s="405"/>
      <c r="K63" s="405"/>
      <c r="L63" s="405"/>
      <c r="M63" s="405"/>
      <c r="N63" s="405"/>
      <c r="O63" s="405"/>
      <c r="P63" s="405"/>
      <c r="Q63" s="405"/>
    </row>
  </sheetData>
  <mergeCells count="10">
    <mergeCell ref="B63:G63"/>
    <mergeCell ref="B8:H8"/>
    <mergeCell ref="B24:H24"/>
    <mergeCell ref="J38:Q38"/>
    <mergeCell ref="J36:Q36"/>
    <mergeCell ref="J63:Q63"/>
    <mergeCell ref="J8:Q8"/>
    <mergeCell ref="J22:Q22"/>
    <mergeCell ref="B38:H38"/>
    <mergeCell ref="J52:Q5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R64"/>
  <sheetViews>
    <sheetView showGridLines="0" topLeftCell="A19" workbookViewId="0">
      <selection activeCell="F4" sqref="F4"/>
    </sheetView>
  </sheetViews>
  <sheetFormatPr defaultRowHeight="18" customHeight="1"/>
  <cols>
    <col min="4" max="4" width="12.7109375" customWidth="1"/>
    <col min="5" max="5" width="19.7109375" bestFit="1" customWidth="1"/>
    <col min="6" max="6" width="17.28515625" bestFit="1" customWidth="1"/>
    <col min="11" max="11" width="13.140625" customWidth="1"/>
    <col min="12" max="12" width="19.7109375" bestFit="1" customWidth="1"/>
    <col min="13" max="13" width="17.28515625" bestFit="1" customWidth="1"/>
  </cols>
  <sheetData>
    <row r="2" spans="2:18" s="271" customFormat="1" ht="18" customHeight="1">
      <c r="D2" s="311"/>
      <c r="E2" s="302" t="s">
        <v>147</v>
      </c>
      <c r="F2" s="302" t="s">
        <v>157</v>
      </c>
      <c r="H2" s="272"/>
      <c r="I2" s="272"/>
      <c r="J2" s="272"/>
      <c r="K2" s="314"/>
      <c r="L2" s="302" t="s">
        <v>147</v>
      </c>
      <c r="M2" s="302" t="s">
        <v>157</v>
      </c>
      <c r="O2" s="272"/>
      <c r="P2" s="272"/>
      <c r="Q2" s="272"/>
      <c r="R2" s="272"/>
    </row>
    <row r="3" spans="2:18" s="271" customFormat="1" ht="18" customHeight="1">
      <c r="D3" s="269" t="s">
        <v>426</v>
      </c>
      <c r="E3" s="312">
        <v>0</v>
      </c>
      <c r="F3" s="311" t="s">
        <v>325</v>
      </c>
      <c r="H3" s="272"/>
      <c r="I3" s="272"/>
      <c r="J3" s="272"/>
      <c r="K3" s="270" t="s">
        <v>410</v>
      </c>
      <c r="L3" s="311">
        <v>6</v>
      </c>
      <c r="M3" s="311">
        <v>3</v>
      </c>
      <c r="O3" s="272"/>
      <c r="P3" s="272"/>
      <c r="Q3" s="272"/>
      <c r="R3" s="272"/>
    </row>
    <row r="4" spans="2:18" s="271" customFormat="1" ht="18" customHeight="1">
      <c r="D4" s="269" t="s">
        <v>427</v>
      </c>
      <c r="E4" s="312">
        <f>'Shareholding input'!C7</f>
        <v>0</v>
      </c>
      <c r="F4" s="313">
        <f>SUM('Shareholding input'!C6:C7)-SUM('Shareholding input'!H6:H7)</f>
        <v>-4.5100000000000029E-2</v>
      </c>
      <c r="H4" s="272"/>
      <c r="I4" s="272"/>
      <c r="J4" s="272"/>
      <c r="K4" s="270" t="s">
        <v>427</v>
      </c>
      <c r="L4" s="311">
        <f>IF(E4&gt;0,0,6)</f>
        <v>6</v>
      </c>
      <c r="M4" s="311">
        <f>IF(F4&gt;-0.03,3,IF(F4=0,2,0))</f>
        <v>0</v>
      </c>
      <c r="O4" s="272"/>
      <c r="P4" s="272"/>
      <c r="Q4" s="272"/>
      <c r="R4" s="272"/>
    </row>
    <row r="5" spans="2:18" ht="18" customHeight="1">
      <c r="D5" s="265"/>
      <c r="E5" s="265"/>
      <c r="F5" s="265"/>
      <c r="G5" s="265"/>
      <c r="H5" s="265"/>
      <c r="I5" s="265"/>
      <c r="J5" s="265"/>
      <c r="K5" s="265"/>
      <c r="L5" s="265"/>
      <c r="M5" s="265"/>
      <c r="N5" s="265"/>
      <c r="O5" s="265"/>
      <c r="P5" s="265"/>
      <c r="Q5" s="265"/>
      <c r="R5" s="265"/>
    </row>
    <row r="6" spans="2:18" ht="18" customHeight="1">
      <c r="B6" s="409" t="s">
        <v>452</v>
      </c>
      <c r="C6" s="410"/>
      <c r="D6" s="410"/>
      <c r="E6" s="410"/>
      <c r="F6" s="410"/>
      <c r="G6" s="410"/>
      <c r="I6" s="409" t="s">
        <v>473</v>
      </c>
      <c r="J6" s="409"/>
      <c r="K6" s="409"/>
      <c r="L6" s="409"/>
      <c r="M6" s="409"/>
      <c r="N6" s="409"/>
    </row>
    <row r="7" spans="2:18" ht="18" customHeight="1">
      <c r="B7" s="2"/>
      <c r="C7" s="2"/>
      <c r="D7" s="2"/>
      <c r="E7" s="2"/>
      <c r="F7" s="2"/>
      <c r="G7" s="2"/>
      <c r="H7" s="2"/>
    </row>
    <row r="8" spans="2:18" ht="18" customHeight="1">
      <c r="B8" s="2"/>
      <c r="C8" s="2"/>
      <c r="D8" s="2"/>
      <c r="E8" s="2"/>
      <c r="F8" s="2"/>
      <c r="G8" s="2"/>
      <c r="H8" s="2"/>
    </row>
    <row r="9" spans="2:18" ht="18" customHeight="1">
      <c r="B9" s="2"/>
      <c r="C9" s="2"/>
      <c r="D9" s="2"/>
      <c r="E9" s="2"/>
      <c r="F9" s="2"/>
      <c r="G9" s="2"/>
      <c r="H9" s="2"/>
    </row>
    <row r="10" spans="2:18" ht="18" customHeight="1">
      <c r="B10" s="2"/>
      <c r="C10" s="2"/>
      <c r="D10" s="2"/>
      <c r="E10" s="2"/>
      <c r="F10" s="2"/>
      <c r="G10" s="2"/>
      <c r="H10" s="2"/>
    </row>
    <row r="11" spans="2:18" ht="18" customHeight="1">
      <c r="B11" s="2"/>
      <c r="C11" s="2"/>
      <c r="D11" s="2"/>
      <c r="E11" s="2"/>
      <c r="F11" s="2"/>
      <c r="G11" s="2"/>
      <c r="H11" s="2"/>
    </row>
    <row r="12" spans="2:18" ht="18" customHeight="1">
      <c r="B12" s="2"/>
      <c r="C12" s="2"/>
      <c r="D12" s="2"/>
      <c r="E12" s="2"/>
      <c r="F12" s="2"/>
      <c r="G12" s="2"/>
      <c r="H12" s="2"/>
    </row>
    <row r="13" spans="2:18" ht="18" customHeight="1">
      <c r="B13" s="2"/>
      <c r="C13" s="2"/>
      <c r="D13" s="2"/>
      <c r="E13" s="2"/>
      <c r="F13" s="2"/>
      <c r="G13" s="2"/>
      <c r="H13" s="2"/>
    </row>
    <row r="14" spans="2:18" ht="18" customHeight="1">
      <c r="B14" s="2"/>
      <c r="C14" s="2"/>
      <c r="D14" s="2"/>
      <c r="E14" s="2"/>
      <c r="F14" s="2"/>
      <c r="G14" s="2"/>
      <c r="H14" s="2"/>
    </row>
    <row r="15" spans="2:18" ht="18" customHeight="1">
      <c r="B15" s="2"/>
      <c r="C15" s="2"/>
      <c r="D15" s="2"/>
      <c r="E15" s="2"/>
      <c r="F15" s="2"/>
      <c r="G15" s="2"/>
      <c r="H15" s="2"/>
    </row>
    <row r="16" spans="2:18" ht="18" customHeight="1">
      <c r="B16" s="2"/>
      <c r="C16" s="2"/>
      <c r="D16" s="2"/>
      <c r="E16" s="2"/>
      <c r="F16" s="2"/>
      <c r="G16" s="2"/>
      <c r="H16" s="2"/>
    </row>
    <row r="17" spans="2:14" ht="18" customHeight="1">
      <c r="B17" s="2"/>
      <c r="C17" s="2"/>
      <c r="D17" s="2"/>
      <c r="E17" s="2"/>
      <c r="F17" s="2"/>
      <c r="G17" s="2"/>
      <c r="H17" s="2"/>
    </row>
    <row r="18" spans="2:14" ht="18" customHeight="1">
      <c r="B18" s="2"/>
      <c r="C18" s="2"/>
      <c r="D18" s="2"/>
      <c r="E18" s="2"/>
      <c r="F18" s="2"/>
      <c r="G18" s="2"/>
      <c r="H18" s="2"/>
    </row>
    <row r="19" spans="2:14" ht="28.5" customHeight="1">
      <c r="B19" s="408" t="s">
        <v>439</v>
      </c>
      <c r="C19" s="408"/>
      <c r="D19" s="408"/>
      <c r="E19" s="408"/>
      <c r="F19" s="408"/>
      <c r="G19" s="408"/>
      <c r="H19" s="2"/>
    </row>
    <row r="20" spans="2:14" ht="18" customHeight="1">
      <c r="B20" s="2"/>
      <c r="C20" s="2"/>
      <c r="D20" s="2"/>
      <c r="E20" s="2"/>
      <c r="F20" s="2"/>
      <c r="G20" s="2"/>
      <c r="H20" s="2"/>
      <c r="I20" s="2"/>
      <c r="J20" s="2"/>
      <c r="K20" s="2"/>
      <c r="L20" s="2"/>
    </row>
    <row r="21" spans="2:14" ht="18" customHeight="1">
      <c r="B21" s="387" t="s">
        <v>464</v>
      </c>
      <c r="C21" s="387"/>
      <c r="D21" s="386"/>
      <c r="E21" s="386"/>
      <c r="F21" s="252"/>
      <c r="G21" s="301"/>
      <c r="I21" s="387" t="s">
        <v>463</v>
      </c>
      <c r="J21" s="387"/>
      <c r="K21" s="386"/>
      <c r="L21" s="386"/>
      <c r="M21" s="386"/>
      <c r="N21" s="386"/>
    </row>
    <row r="34" spans="2:8" ht="5.25" customHeight="1"/>
    <row r="35" spans="2:8" ht="33.75" customHeight="1">
      <c r="H35" s="315"/>
    </row>
    <row r="36" spans="2:8" ht="18" customHeight="1">
      <c r="B36" s="387" t="s">
        <v>453</v>
      </c>
      <c r="C36" s="387"/>
      <c r="D36" s="386"/>
      <c r="E36" s="386"/>
      <c r="F36" s="386"/>
      <c r="G36" s="386"/>
    </row>
    <row r="37" spans="2:8" ht="18" customHeight="1">
      <c r="B37" s="2"/>
      <c r="C37" s="2"/>
      <c r="D37" s="2"/>
      <c r="E37" s="2"/>
    </row>
    <row r="38" spans="2:8" ht="18" customHeight="1">
      <c r="B38" s="2"/>
      <c r="C38" s="2"/>
      <c r="D38" s="2"/>
      <c r="E38" s="2"/>
    </row>
    <row r="39" spans="2:8" ht="18" customHeight="1">
      <c r="B39" s="2"/>
      <c r="C39" s="2"/>
      <c r="D39" s="2"/>
      <c r="E39" s="2"/>
    </row>
    <row r="40" spans="2:8" ht="18" customHeight="1">
      <c r="B40" s="2"/>
      <c r="C40" s="2"/>
      <c r="D40" s="2"/>
      <c r="E40" s="2"/>
    </row>
    <row r="41" spans="2:8" ht="18" customHeight="1">
      <c r="B41" s="2"/>
      <c r="C41" s="2"/>
      <c r="D41" s="2"/>
      <c r="E41" s="2"/>
    </row>
    <row r="42" spans="2:8" ht="18" customHeight="1">
      <c r="B42" s="2"/>
      <c r="C42" s="2"/>
      <c r="D42" s="2"/>
      <c r="E42" s="2"/>
    </row>
    <row r="43" spans="2:8" ht="18" customHeight="1">
      <c r="B43" s="2"/>
      <c r="C43" s="2"/>
      <c r="D43" s="2"/>
      <c r="E43" s="2"/>
    </row>
    <row r="44" spans="2:8" ht="18" customHeight="1">
      <c r="B44" s="2"/>
      <c r="C44" s="2"/>
      <c r="D44" s="2"/>
      <c r="E44" s="2"/>
    </row>
    <row r="45" spans="2:8" ht="18" customHeight="1">
      <c r="B45" s="2"/>
      <c r="C45" s="2"/>
      <c r="D45" s="2"/>
      <c r="E45" s="2"/>
    </row>
    <row r="46" spans="2:8" ht="18" customHeight="1">
      <c r="B46" s="2"/>
      <c r="C46" s="2"/>
      <c r="D46" s="2"/>
      <c r="E46" s="2"/>
    </row>
    <row r="47" spans="2:8" ht="18" customHeight="1">
      <c r="B47" s="2"/>
      <c r="C47" s="2"/>
      <c r="D47" s="2"/>
      <c r="E47" s="2"/>
    </row>
    <row r="48" spans="2:8" ht="18" customHeight="1">
      <c r="B48" s="2"/>
      <c r="C48" s="2"/>
      <c r="D48" s="2"/>
      <c r="E48" s="2"/>
    </row>
    <row r="51" spans="2:7" ht="18" customHeight="1">
      <c r="B51" s="252" t="s">
        <v>451</v>
      </c>
      <c r="C51" s="252"/>
      <c r="D51" s="252"/>
      <c r="E51" s="252"/>
      <c r="F51" s="252"/>
    </row>
    <row r="64" spans="2:7" ht="28.5" customHeight="1">
      <c r="B64" s="408" t="s">
        <v>438</v>
      </c>
      <c r="C64" s="408"/>
      <c r="D64" s="408"/>
      <c r="E64" s="408"/>
      <c r="F64" s="408"/>
      <c r="G64" s="408"/>
    </row>
  </sheetData>
  <mergeCells count="12">
    <mergeCell ref="M21:N21"/>
    <mergeCell ref="B21:C21"/>
    <mergeCell ref="D21:E21"/>
    <mergeCell ref="I6:N6"/>
    <mergeCell ref="B36:C36"/>
    <mergeCell ref="D36:E36"/>
    <mergeCell ref="F36:G36"/>
    <mergeCell ref="B64:G64"/>
    <mergeCell ref="B19:G19"/>
    <mergeCell ref="B6:G6"/>
    <mergeCell ref="I21:J21"/>
    <mergeCell ref="K21:L21"/>
  </mergeCells>
  <pageMargins left="0.7" right="0.7" top="0.75" bottom="0.75" header="0.3" footer="0.3"/>
  <ignoredErrors>
    <ignoredError sqref="F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Valuation_Chart</vt:lpstr>
      <vt:lpstr>Valuation_Table</vt:lpstr>
      <vt:lpstr>|</vt:lpstr>
      <vt:lpstr>Scorecard</vt:lpstr>
      <vt:lpstr>Revenue</vt:lpstr>
      <vt:lpstr>Profit</vt:lpstr>
      <vt:lpstr>Dupont</vt:lpstr>
      <vt:lpstr>Efficiency</vt:lpstr>
      <vt:lpstr>Others</vt:lpstr>
      <vt:lpstr>Piotroski</vt:lpstr>
      <vt:lpstr>Altman</vt:lpstr>
      <vt:lpstr>||</vt:lpstr>
      <vt:lpstr>Analysis</vt:lpstr>
      <vt:lpstr>MICAP</vt:lpstr>
      <vt:lpstr>Screener Output.v0</vt:lpstr>
      <vt:lpstr>Screener Input</vt:lpstr>
      <vt:lpstr>Shareholding input</vt:lpstr>
      <vt:lpstr>Annual Report input</vt:lpstr>
      <vt:lpstr>Phil Fisher</vt:lpstr>
      <vt:lpstr>dividend</vt:lpstr>
      <vt:lpstr>UPDATE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HP</cp:lastModifiedBy>
  <cp:lastPrinted>2015-03-07T00:34:42Z</cp:lastPrinted>
  <dcterms:created xsi:type="dcterms:W3CDTF">2014-03-30T00:53:10Z</dcterms:created>
  <dcterms:modified xsi:type="dcterms:W3CDTF">2018-09-30T06:47:56Z</dcterms:modified>
</cp:coreProperties>
</file>