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xml" ContentType="application/vnd.openxmlformats-officedocument.drawingml.chartshapes+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adip Beriwal\Desktop\Create life you love\Reserach @ 2016\Polished\Discard\"/>
    </mc:Choice>
  </mc:AlternateContent>
  <bookViews>
    <workbookView xWindow="0" yWindow="0" windowWidth="15360" windowHeight="7650" tabRatio="877"/>
  </bookViews>
  <sheets>
    <sheet name="Dashboard" sheetId="1" r:id="rId1"/>
    <sheet name="Scorecard" sheetId="18" r:id="rId2"/>
    <sheet name="Analysis" sheetId="19" r:id="rId3"/>
    <sheet name="Valuation" sheetId="11" r:id="rId4"/>
    <sheet name="Dupont" sheetId="16" r:id="rId5"/>
    <sheet name="Piotroski" sheetId="14" r:id="rId6"/>
    <sheet name="Altman" sheetId="15" r:id="rId7"/>
    <sheet name="MICAP" sheetId="17" state="hidden" r:id="rId8"/>
    <sheet name="Polished Data" sheetId="20" r:id="rId9"/>
    <sheet name="Quantitative" sheetId="21" r:id="rId10"/>
    <sheet name="Qualitative" sheetId="24" r:id="rId11"/>
    <sheet name="Phil Fisher" sheetId="25" r:id="rId12"/>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dividend">'Polished Data'!$H$76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UPDATE">Quantitative!$E$1</definedName>
  </definedNames>
  <calcPr calcId="152511"/>
</workbook>
</file>

<file path=xl/calcChain.xml><?xml version="1.0" encoding="utf-8"?>
<calcChain xmlns="http://schemas.openxmlformats.org/spreadsheetml/2006/main">
  <c r="K93" i="21" l="1"/>
  <c r="J93" i="21"/>
  <c r="I93" i="21"/>
  <c r="H93" i="21"/>
  <c r="G93" i="21"/>
  <c r="F93" i="21"/>
  <c r="E93" i="21"/>
  <c r="D93" i="21"/>
  <c r="C93" i="21"/>
  <c r="B93" i="21"/>
  <c r="B6" i="21"/>
  <c r="E1" i="21"/>
  <c r="E126" i="20" l="1"/>
  <c r="F126" i="20"/>
  <c r="G126" i="20"/>
  <c r="H126" i="20"/>
  <c r="I126" i="20"/>
  <c r="J126" i="20"/>
  <c r="K126" i="20"/>
  <c r="L126" i="20"/>
  <c r="D126" i="20"/>
  <c r="E127" i="20"/>
  <c r="F127" i="20"/>
  <c r="G127" i="20"/>
  <c r="H127" i="20"/>
  <c r="I127" i="20"/>
  <c r="J127" i="20"/>
  <c r="K127" i="20"/>
  <c r="L127" i="20"/>
  <c r="D127" i="20"/>
  <c r="E124" i="20"/>
  <c r="F124" i="20"/>
  <c r="G124" i="20"/>
  <c r="H124" i="20"/>
  <c r="I124" i="20"/>
  <c r="J124" i="20"/>
  <c r="K124" i="20"/>
  <c r="L124" i="20"/>
  <c r="D124" i="20"/>
  <c r="E132" i="20"/>
  <c r="F132" i="20"/>
  <c r="G132" i="20"/>
  <c r="H132" i="20"/>
  <c r="I132" i="20"/>
  <c r="J132" i="20"/>
  <c r="K132" i="20"/>
  <c r="L132" i="20"/>
  <c r="D132" i="20"/>
  <c r="E130" i="20"/>
  <c r="F130" i="20"/>
  <c r="G130" i="20"/>
  <c r="H130" i="20"/>
  <c r="I130" i="20"/>
  <c r="J130" i="20"/>
  <c r="K130" i="20"/>
  <c r="L130" i="20"/>
  <c r="D130" i="20"/>
  <c r="E133" i="20" l="1"/>
  <c r="F133" i="20"/>
  <c r="G133" i="20"/>
  <c r="H133" i="20"/>
  <c r="I133" i="20"/>
  <c r="J133" i="20"/>
  <c r="K133" i="20"/>
  <c r="L133" i="20"/>
  <c r="D133" i="20"/>
  <c r="E131" i="20"/>
  <c r="F131" i="20"/>
  <c r="G131" i="20"/>
  <c r="H131" i="20"/>
  <c r="I131" i="20"/>
  <c r="J131" i="20"/>
  <c r="K131" i="20"/>
  <c r="L131" i="20"/>
  <c r="D131" i="20"/>
  <c r="D129" i="20"/>
  <c r="E129" i="20"/>
  <c r="F129" i="20"/>
  <c r="G129" i="20"/>
  <c r="H129" i="20"/>
  <c r="I129" i="20"/>
  <c r="J129" i="20"/>
  <c r="K129" i="20"/>
  <c r="L129" i="20"/>
  <c r="C129" i="20"/>
  <c r="E125" i="20" l="1"/>
  <c r="F125" i="20"/>
  <c r="G125" i="20"/>
  <c r="H125" i="20"/>
  <c r="I125" i="20"/>
  <c r="J125" i="20"/>
  <c r="K125" i="20"/>
  <c r="L125" i="20"/>
  <c r="D125" i="20"/>
  <c r="D136" i="20" l="1"/>
  <c r="E136" i="20"/>
  <c r="F136" i="20"/>
  <c r="G136" i="20"/>
  <c r="H136" i="20"/>
  <c r="I136" i="20"/>
  <c r="J136" i="20"/>
  <c r="K136" i="20"/>
  <c r="L136" i="20"/>
  <c r="D137" i="20"/>
  <c r="E137" i="20"/>
  <c r="F137" i="20"/>
  <c r="G137" i="20"/>
  <c r="H137" i="20"/>
  <c r="I137" i="20"/>
  <c r="J137" i="20"/>
  <c r="K137" i="20"/>
  <c r="L137" i="20"/>
  <c r="D138" i="20"/>
  <c r="E138" i="20"/>
  <c r="F138" i="20"/>
  <c r="G138" i="20"/>
  <c r="H138" i="20"/>
  <c r="I138" i="20"/>
  <c r="J138" i="20"/>
  <c r="K138" i="20"/>
  <c r="L138" i="20"/>
  <c r="D139" i="20"/>
  <c r="E139" i="20"/>
  <c r="F139" i="20"/>
  <c r="G139" i="20"/>
  <c r="H139" i="20"/>
  <c r="I139" i="20"/>
  <c r="J139" i="20"/>
  <c r="K139" i="20"/>
  <c r="L139" i="20"/>
  <c r="D140" i="20"/>
  <c r="E140" i="20"/>
  <c r="F140" i="20"/>
  <c r="G140" i="20"/>
  <c r="H140" i="20"/>
  <c r="I140" i="20"/>
  <c r="J140" i="20"/>
  <c r="K140" i="20"/>
  <c r="L140" i="20"/>
  <c r="C140" i="20"/>
  <c r="C139" i="20"/>
  <c r="C138" i="20"/>
  <c r="C137" i="20"/>
  <c r="C136" i="20"/>
  <c r="D135" i="20"/>
  <c r="E135" i="20"/>
  <c r="F135" i="20"/>
  <c r="G135" i="20"/>
  <c r="H135" i="20"/>
  <c r="I135" i="20"/>
  <c r="J135" i="20"/>
  <c r="K135" i="20"/>
  <c r="L135" i="20"/>
  <c r="C135" i="20"/>
  <c r="B10" i="11" l="1"/>
  <c r="D105" i="20"/>
  <c r="D106" i="20" s="1"/>
  <c r="E105" i="20"/>
  <c r="E106" i="20" s="1"/>
  <c r="F105" i="20"/>
  <c r="F106" i="20" s="1"/>
  <c r="G105" i="20"/>
  <c r="G106" i="20" s="1"/>
  <c r="H105" i="20"/>
  <c r="H106" i="20" s="1"/>
  <c r="I105" i="20"/>
  <c r="I106" i="20" s="1"/>
  <c r="J105" i="20"/>
  <c r="J106" i="20" s="1"/>
  <c r="K105" i="20"/>
  <c r="K106" i="20" s="1"/>
  <c r="L105" i="20"/>
  <c r="L106" i="20" s="1"/>
  <c r="C105" i="20"/>
  <c r="C106" i="20" s="1"/>
  <c r="D102" i="20"/>
  <c r="E102" i="20"/>
  <c r="F102" i="20"/>
  <c r="G102" i="20"/>
  <c r="H102" i="20"/>
  <c r="I102" i="20"/>
  <c r="J102" i="20"/>
  <c r="K102" i="20"/>
  <c r="L102" i="20"/>
  <c r="C102" i="20"/>
  <c r="D101" i="20"/>
  <c r="E101" i="20"/>
  <c r="F101" i="20"/>
  <c r="G101" i="20"/>
  <c r="H101" i="20"/>
  <c r="I101" i="20"/>
  <c r="J101" i="20"/>
  <c r="K101" i="20"/>
  <c r="L101" i="20"/>
  <c r="C101" i="20"/>
  <c r="D100" i="20"/>
  <c r="E100" i="20"/>
  <c r="F100" i="20"/>
  <c r="G100" i="20"/>
  <c r="H100" i="20"/>
  <c r="I100" i="20"/>
  <c r="J100" i="20"/>
  <c r="K100" i="20"/>
  <c r="L100" i="20"/>
  <c r="C100" i="20"/>
  <c r="D99" i="20"/>
  <c r="E99" i="20"/>
  <c r="F99" i="20"/>
  <c r="G99" i="20"/>
  <c r="H99" i="20"/>
  <c r="I99" i="20"/>
  <c r="J99" i="20"/>
  <c r="K99" i="20"/>
  <c r="L99" i="20"/>
  <c r="C99" i="20"/>
  <c r="D111" i="20"/>
  <c r="E111" i="20"/>
  <c r="F111" i="20"/>
  <c r="G111" i="20"/>
  <c r="H111" i="20"/>
  <c r="I111" i="20"/>
  <c r="J111" i="20"/>
  <c r="K111" i="20"/>
  <c r="L111" i="20"/>
  <c r="C111" i="20"/>
  <c r="D112" i="20"/>
  <c r="E112" i="20"/>
  <c r="F112" i="20"/>
  <c r="G112" i="20"/>
  <c r="H112" i="20"/>
  <c r="I112" i="20"/>
  <c r="J112" i="20"/>
  <c r="K112" i="20"/>
  <c r="L112" i="20"/>
  <c r="D113" i="20"/>
  <c r="E113" i="20"/>
  <c r="F113" i="20"/>
  <c r="G113" i="20"/>
  <c r="H113" i="20"/>
  <c r="I113" i="20"/>
  <c r="J113" i="20"/>
  <c r="K113" i="20"/>
  <c r="L113" i="20"/>
  <c r="D114" i="20"/>
  <c r="E114" i="20"/>
  <c r="F114" i="20"/>
  <c r="G114" i="20"/>
  <c r="H114" i="20"/>
  <c r="I114" i="20"/>
  <c r="J114" i="20"/>
  <c r="K114" i="20"/>
  <c r="L114" i="20"/>
  <c r="D115" i="20"/>
  <c r="E115" i="20"/>
  <c r="F115" i="20"/>
  <c r="G115" i="20"/>
  <c r="H115" i="20"/>
  <c r="I115" i="20"/>
  <c r="J115" i="20"/>
  <c r="K115" i="20"/>
  <c r="L115" i="20"/>
  <c r="D116" i="20"/>
  <c r="E116" i="20"/>
  <c r="F116" i="20"/>
  <c r="G116" i="20"/>
  <c r="H116" i="20"/>
  <c r="I116" i="20"/>
  <c r="J116" i="20"/>
  <c r="K116" i="20"/>
  <c r="L116" i="20"/>
  <c r="D117" i="20"/>
  <c r="E117" i="20"/>
  <c r="F117" i="20"/>
  <c r="G117" i="20"/>
  <c r="H117" i="20"/>
  <c r="I117" i="20"/>
  <c r="J117" i="20"/>
  <c r="K117" i="20"/>
  <c r="L117" i="20"/>
  <c r="D118" i="20"/>
  <c r="E118" i="20"/>
  <c r="F118" i="20"/>
  <c r="G118" i="20"/>
  <c r="H118" i="20"/>
  <c r="I118" i="20"/>
  <c r="J118" i="20"/>
  <c r="K118" i="20"/>
  <c r="L118" i="20"/>
  <c r="D119" i="20"/>
  <c r="E119" i="20"/>
  <c r="F119" i="20"/>
  <c r="G119" i="20"/>
  <c r="H119" i="20"/>
  <c r="I119" i="20"/>
  <c r="J119" i="20"/>
  <c r="K119" i="20"/>
  <c r="L119" i="20"/>
  <c r="D120" i="20"/>
  <c r="E120" i="20"/>
  <c r="F120" i="20"/>
  <c r="G120" i="20"/>
  <c r="H120" i="20"/>
  <c r="I120" i="20"/>
  <c r="J120" i="20"/>
  <c r="K120" i="20"/>
  <c r="L120" i="20"/>
  <c r="C120" i="20"/>
  <c r="C119" i="20"/>
  <c r="C118" i="20"/>
  <c r="C117" i="20"/>
  <c r="C113" i="20"/>
  <c r="C114" i="20"/>
  <c r="C115" i="20"/>
  <c r="C116" i="20"/>
  <c r="C112" i="20"/>
  <c r="D96" i="20"/>
  <c r="E96" i="20"/>
  <c r="F96" i="20"/>
  <c r="G96" i="20"/>
  <c r="H96" i="20"/>
  <c r="I96" i="20"/>
  <c r="J96" i="20"/>
  <c r="K96" i="20"/>
  <c r="L96" i="20"/>
  <c r="C96" i="20"/>
  <c r="D98" i="20"/>
  <c r="E98" i="20"/>
  <c r="F98" i="20"/>
  <c r="G98" i="20"/>
  <c r="H98" i="20"/>
  <c r="I98" i="20"/>
  <c r="J98" i="20"/>
  <c r="K98" i="20"/>
  <c r="L98" i="20"/>
  <c r="C98" i="20"/>
  <c r="D97" i="20"/>
  <c r="E97" i="20"/>
  <c r="F97" i="20"/>
  <c r="G97" i="20"/>
  <c r="H97" i="20"/>
  <c r="I97" i="20"/>
  <c r="J97" i="20"/>
  <c r="K97" i="20"/>
  <c r="L97" i="20"/>
  <c r="C97" i="20"/>
  <c r="C121" i="20" l="1"/>
  <c r="I121" i="20"/>
  <c r="K121" i="20"/>
  <c r="L121" i="20"/>
  <c r="D121" i="20"/>
  <c r="F121" i="20"/>
  <c r="E121" i="20"/>
  <c r="G121" i="20"/>
  <c r="H121" i="20"/>
  <c r="J121" i="20"/>
  <c r="D2" i="24" l="1"/>
  <c r="D5" i="24" l="1"/>
  <c r="B39" i="20" l="1"/>
  <c r="B9" i="11" s="1"/>
  <c r="B8" i="11" l="1"/>
  <c r="B13" i="11" l="1"/>
  <c r="B5" i="1"/>
  <c r="A1" i="20"/>
  <c r="B11" i="1"/>
  <c r="B8" i="1"/>
  <c r="M13" i="19"/>
  <c r="H16" i="19"/>
  <c r="G16" i="19"/>
  <c r="F16" i="19"/>
  <c r="E16" i="19"/>
  <c r="D16" i="19"/>
  <c r="B4" i="1"/>
  <c r="B3" i="1"/>
  <c r="L34" i="18"/>
  <c r="L30" i="18"/>
  <c r="L31" i="18"/>
  <c r="L32" i="18"/>
  <c r="L29" i="18"/>
  <c r="L27" i="18"/>
  <c r="L23" i="18"/>
  <c r="L24" i="18"/>
  <c r="L25" i="18"/>
  <c r="L22" i="18"/>
  <c r="L18" i="18"/>
  <c r="L19" i="18"/>
  <c r="L20" i="18"/>
  <c r="L17" i="18"/>
  <c r="B24" i="11"/>
  <c r="L28" i="18" l="1"/>
  <c r="K28" i="18"/>
  <c r="D72" i="20" l="1"/>
  <c r="E72" i="20"/>
  <c r="F72" i="20"/>
  <c r="G72" i="20"/>
  <c r="H72" i="20"/>
  <c r="I72" i="20"/>
  <c r="J72" i="20"/>
  <c r="K72" i="20"/>
  <c r="L72" i="20"/>
  <c r="C72" i="20"/>
  <c r="C25" i="20"/>
  <c r="D25" i="20"/>
  <c r="E25" i="20"/>
  <c r="F25" i="20"/>
  <c r="G25" i="20"/>
  <c r="H25" i="20"/>
  <c r="I25" i="20"/>
  <c r="J25" i="20"/>
  <c r="K25" i="20"/>
  <c r="L25" i="20"/>
  <c r="L73" i="20"/>
  <c r="K73" i="20"/>
  <c r="F12" i="11" s="1"/>
  <c r="J73" i="20"/>
  <c r="G12" i="11" s="1"/>
  <c r="I75" i="20"/>
  <c r="H10" i="11" s="1"/>
  <c r="H73" i="20"/>
  <c r="I12" i="11" s="1"/>
  <c r="G73" i="20"/>
  <c r="J12" i="11" s="1"/>
  <c r="F73" i="20"/>
  <c r="E75" i="20"/>
  <c r="D73" i="20"/>
  <c r="C75" i="20"/>
  <c r="H76" i="20"/>
  <c r="D76" i="20"/>
  <c r="H74" i="20"/>
  <c r="I9" i="11" s="1"/>
  <c r="D74" i="20"/>
  <c r="L65" i="20"/>
  <c r="K65" i="20"/>
  <c r="J65" i="20"/>
  <c r="I65" i="20"/>
  <c r="H65" i="20"/>
  <c r="G65" i="20"/>
  <c r="F65" i="20"/>
  <c r="E65" i="20"/>
  <c r="D65" i="20"/>
  <c r="C65" i="20"/>
  <c r="L64" i="20"/>
  <c r="K64" i="20"/>
  <c r="J64" i="20"/>
  <c r="I64" i="20"/>
  <c r="H64" i="20"/>
  <c r="G64" i="20"/>
  <c r="F64" i="20"/>
  <c r="E64" i="20"/>
  <c r="D64" i="20"/>
  <c r="C64" i="20"/>
  <c r="K62" i="20"/>
  <c r="J62" i="20"/>
  <c r="E9" i="14" s="1"/>
  <c r="I62" i="20"/>
  <c r="F9" i="14" s="1"/>
  <c r="H62" i="20"/>
  <c r="G62" i="20"/>
  <c r="F62" i="20"/>
  <c r="E62" i="20"/>
  <c r="D62" i="20"/>
  <c r="C62" i="20"/>
  <c r="L60" i="20"/>
  <c r="K60" i="20"/>
  <c r="J60" i="20"/>
  <c r="I60" i="20"/>
  <c r="H60" i="20"/>
  <c r="G60" i="20"/>
  <c r="F60" i="20"/>
  <c r="E60" i="20"/>
  <c r="D60" i="20"/>
  <c r="C60" i="20"/>
  <c r="L59" i="20"/>
  <c r="K59" i="20"/>
  <c r="J59" i="20"/>
  <c r="I59" i="20"/>
  <c r="H59" i="20"/>
  <c r="G59" i="20"/>
  <c r="F59" i="20"/>
  <c r="E59" i="20"/>
  <c r="D59" i="20"/>
  <c r="C59" i="20"/>
  <c r="L55" i="20"/>
  <c r="L8" i="20" s="1"/>
  <c r="C22" i="20" s="1"/>
  <c r="K55" i="20"/>
  <c r="K8" i="20" s="1"/>
  <c r="J55" i="20"/>
  <c r="J8" i="20" s="1"/>
  <c r="I55" i="20"/>
  <c r="I8" i="20" s="1"/>
  <c r="H55" i="20"/>
  <c r="G55" i="20"/>
  <c r="G8" i="20" s="1"/>
  <c r="F55" i="20"/>
  <c r="F8" i="20" s="1"/>
  <c r="E55" i="20"/>
  <c r="E8" i="20" s="1"/>
  <c r="D55" i="20"/>
  <c r="D8" i="20" s="1"/>
  <c r="C55" i="20"/>
  <c r="C8" i="20" s="1"/>
  <c r="L54" i="20"/>
  <c r="L6" i="20" s="1"/>
  <c r="K54" i="20"/>
  <c r="K6" i="20" s="1"/>
  <c r="J54" i="20"/>
  <c r="J6" i="20" s="1"/>
  <c r="I54" i="20"/>
  <c r="I6" i="20" s="1"/>
  <c r="H54" i="20"/>
  <c r="H6" i="20" s="1"/>
  <c r="G54" i="20"/>
  <c r="G6" i="20" s="1"/>
  <c r="F54" i="20"/>
  <c r="F6" i="20" s="1"/>
  <c r="E54" i="20"/>
  <c r="E6" i="20" s="1"/>
  <c r="D54" i="20"/>
  <c r="D6" i="20" s="1"/>
  <c r="C54" i="20"/>
  <c r="C6" i="20" s="1"/>
  <c r="L53" i="20"/>
  <c r="L7" i="20" s="1"/>
  <c r="K53" i="20"/>
  <c r="K7" i="20" s="1"/>
  <c r="J53" i="20"/>
  <c r="J7" i="20" s="1"/>
  <c r="I53" i="20"/>
  <c r="I7" i="20" s="1"/>
  <c r="H53" i="20"/>
  <c r="H7" i="20" s="1"/>
  <c r="G53" i="20"/>
  <c r="G7" i="20" s="1"/>
  <c r="F53" i="20"/>
  <c r="F7" i="20" s="1"/>
  <c r="E53" i="20"/>
  <c r="E7" i="20" s="1"/>
  <c r="D53" i="20"/>
  <c r="D7" i="20" s="1"/>
  <c r="C53" i="20"/>
  <c r="C7" i="20" s="1"/>
  <c r="L52" i="20"/>
  <c r="C5" i="15" s="1"/>
  <c r="K52" i="20"/>
  <c r="J52" i="20"/>
  <c r="I52" i="20"/>
  <c r="H52" i="20"/>
  <c r="G52" i="20"/>
  <c r="F52" i="20"/>
  <c r="E52" i="20"/>
  <c r="D52" i="20"/>
  <c r="C52" i="20"/>
  <c r="L51" i="20"/>
  <c r="K51" i="20"/>
  <c r="J51" i="20"/>
  <c r="I51" i="20"/>
  <c r="H51" i="20"/>
  <c r="G51" i="20"/>
  <c r="F51" i="20"/>
  <c r="E51" i="20"/>
  <c r="D51" i="20"/>
  <c r="C51" i="20"/>
  <c r="L50" i="20"/>
  <c r="K50" i="20"/>
  <c r="J50" i="20"/>
  <c r="I50" i="20"/>
  <c r="H50" i="20"/>
  <c r="G50" i="20"/>
  <c r="F50" i="20"/>
  <c r="E50" i="20"/>
  <c r="D50" i="20"/>
  <c r="C50" i="20"/>
  <c r="L49" i="20"/>
  <c r="K49" i="20"/>
  <c r="J49" i="20"/>
  <c r="I49" i="20"/>
  <c r="H49" i="20"/>
  <c r="G49" i="20"/>
  <c r="F49" i="20"/>
  <c r="E49" i="20"/>
  <c r="D49" i="20"/>
  <c r="C49" i="20"/>
  <c r="L48" i="20"/>
  <c r="L10" i="20" s="1"/>
  <c r="K48" i="20"/>
  <c r="K10" i="20" s="1"/>
  <c r="J48" i="20"/>
  <c r="J10" i="20" s="1"/>
  <c r="I48" i="20"/>
  <c r="I10" i="20" s="1"/>
  <c r="H48" i="20"/>
  <c r="H10" i="20" s="1"/>
  <c r="G48" i="20"/>
  <c r="G10" i="20" s="1"/>
  <c r="F48" i="20"/>
  <c r="F10" i="20" s="1"/>
  <c r="E48" i="20"/>
  <c r="E10" i="20" s="1"/>
  <c r="D48" i="20"/>
  <c r="D10" i="20" s="1"/>
  <c r="C48" i="20"/>
  <c r="C10" i="20" s="1"/>
  <c r="L47" i="20"/>
  <c r="L9" i="20" s="1"/>
  <c r="K47" i="20"/>
  <c r="K9" i="20" s="1"/>
  <c r="J47" i="20"/>
  <c r="J9" i="20" s="1"/>
  <c r="I47" i="20"/>
  <c r="I9" i="20" s="1"/>
  <c r="H47" i="20"/>
  <c r="H9" i="20" s="1"/>
  <c r="G47" i="20"/>
  <c r="G9" i="20" s="1"/>
  <c r="F47" i="20"/>
  <c r="F9" i="20" s="1"/>
  <c r="E47" i="20"/>
  <c r="E9" i="20" s="1"/>
  <c r="D47" i="20"/>
  <c r="D9" i="20" s="1"/>
  <c r="C47" i="20"/>
  <c r="C9" i="20" s="1"/>
  <c r="L46" i="20"/>
  <c r="K46" i="20"/>
  <c r="J46" i="20"/>
  <c r="I46" i="20"/>
  <c r="H46" i="20"/>
  <c r="G46" i="20"/>
  <c r="F46" i="20"/>
  <c r="E46" i="20"/>
  <c r="D46" i="20"/>
  <c r="C46" i="20"/>
  <c r="L45" i="20"/>
  <c r="C5" i="14" s="1"/>
  <c r="K45" i="20"/>
  <c r="D5" i="14" s="1"/>
  <c r="J45" i="20"/>
  <c r="E5" i="14" s="1"/>
  <c r="I45" i="20"/>
  <c r="F5" i="14" s="1"/>
  <c r="H45" i="20"/>
  <c r="G5" i="14" s="1"/>
  <c r="G45" i="20"/>
  <c r="F45" i="20"/>
  <c r="E45" i="20"/>
  <c r="D45" i="20"/>
  <c r="C45" i="20"/>
  <c r="L41" i="20"/>
  <c r="C8" i="15" s="1"/>
  <c r="K41" i="20"/>
  <c r="J41" i="20"/>
  <c r="I41" i="20"/>
  <c r="H41" i="20"/>
  <c r="G41" i="20"/>
  <c r="F41" i="20"/>
  <c r="E41" i="20"/>
  <c r="D41" i="20"/>
  <c r="C41" i="20"/>
  <c r="L40" i="20"/>
  <c r="K40" i="20"/>
  <c r="D10" i="14" s="1"/>
  <c r="J40" i="20"/>
  <c r="E10" i="14" s="1"/>
  <c r="I40" i="20"/>
  <c r="F10" i="14" s="1"/>
  <c r="H40" i="20"/>
  <c r="G10" i="14" s="1"/>
  <c r="G40" i="20"/>
  <c r="F40" i="20"/>
  <c r="E40" i="20"/>
  <c r="D40" i="20"/>
  <c r="C40" i="20"/>
  <c r="B38" i="20"/>
  <c r="L37" i="20"/>
  <c r="H37" i="20"/>
  <c r="D37" i="20"/>
  <c r="L36" i="20"/>
  <c r="K36" i="20"/>
  <c r="J36" i="20"/>
  <c r="I36" i="20"/>
  <c r="H36" i="20"/>
  <c r="G36" i="20"/>
  <c r="F36" i="20"/>
  <c r="E36" i="20"/>
  <c r="D36" i="20"/>
  <c r="C36" i="20"/>
  <c r="L34" i="20"/>
  <c r="K34" i="20"/>
  <c r="J34" i="20"/>
  <c r="I34" i="20"/>
  <c r="H34" i="20"/>
  <c r="G34" i="20"/>
  <c r="F34" i="20"/>
  <c r="E34" i="20"/>
  <c r="D34" i="20"/>
  <c r="C34" i="20"/>
  <c r="L32" i="20"/>
  <c r="K32" i="20"/>
  <c r="J32" i="20"/>
  <c r="I32" i="20"/>
  <c r="H32" i="20"/>
  <c r="G32" i="20"/>
  <c r="F32" i="20"/>
  <c r="E32" i="20"/>
  <c r="D32" i="20"/>
  <c r="C32" i="20"/>
  <c r="L30" i="20"/>
  <c r="K30" i="20"/>
  <c r="J30" i="20"/>
  <c r="I30" i="20"/>
  <c r="H30" i="20"/>
  <c r="G30" i="20"/>
  <c r="F30" i="20"/>
  <c r="E30" i="20"/>
  <c r="D30" i="20"/>
  <c r="C30" i="20"/>
  <c r="L29" i="20"/>
  <c r="K29" i="20"/>
  <c r="J29" i="20"/>
  <c r="I29" i="20"/>
  <c r="H29" i="20"/>
  <c r="G29" i="20"/>
  <c r="F29" i="20"/>
  <c r="E29" i="20"/>
  <c r="D29" i="20"/>
  <c r="C29" i="20"/>
  <c r="A27" i="20"/>
  <c r="L26" i="20"/>
  <c r="K26" i="20"/>
  <c r="J26" i="20"/>
  <c r="I26" i="20"/>
  <c r="H26" i="20"/>
  <c r="G26" i="20"/>
  <c r="F26" i="20"/>
  <c r="E26" i="20"/>
  <c r="D26" i="20"/>
  <c r="C26" i="20"/>
  <c r="A24" i="20"/>
  <c r="L21" i="20"/>
  <c r="K21" i="20"/>
  <c r="J21" i="20"/>
  <c r="I21" i="20"/>
  <c r="H21" i="20"/>
  <c r="G21" i="20"/>
  <c r="F21" i="20"/>
  <c r="E21" i="20"/>
  <c r="D21" i="20"/>
  <c r="C21" i="20"/>
  <c r="L20" i="20"/>
  <c r="K20" i="20"/>
  <c r="J20" i="20"/>
  <c r="I20" i="20"/>
  <c r="H20" i="20"/>
  <c r="G20" i="20"/>
  <c r="F20" i="20"/>
  <c r="E20" i="20"/>
  <c r="D20" i="20"/>
  <c r="C20" i="20"/>
  <c r="L17" i="20"/>
  <c r="K17" i="20"/>
  <c r="J17" i="20"/>
  <c r="I17" i="20"/>
  <c r="H17" i="20"/>
  <c r="G17" i="20"/>
  <c r="F17" i="20"/>
  <c r="E17" i="20"/>
  <c r="D17" i="20"/>
  <c r="C17" i="20"/>
  <c r="L16" i="20"/>
  <c r="K16" i="20"/>
  <c r="J16" i="20"/>
  <c r="I16" i="20"/>
  <c r="H16" i="20"/>
  <c r="G16" i="20"/>
  <c r="F16" i="20"/>
  <c r="E16" i="20"/>
  <c r="D16" i="20"/>
  <c r="C16" i="20"/>
  <c r="L15" i="20"/>
  <c r="L27" i="20" s="1"/>
  <c r="K15" i="20"/>
  <c r="K27" i="20" s="1"/>
  <c r="J15" i="20"/>
  <c r="J27" i="20" s="1"/>
  <c r="I15" i="20"/>
  <c r="I27" i="20" s="1"/>
  <c r="H15" i="20"/>
  <c r="H27" i="20" s="1"/>
  <c r="G15" i="20"/>
  <c r="G27" i="20" s="1"/>
  <c r="F15" i="20"/>
  <c r="F27" i="20" s="1"/>
  <c r="E15" i="20"/>
  <c r="E27" i="20" s="1"/>
  <c r="D15" i="20"/>
  <c r="D27" i="20" s="1"/>
  <c r="C15" i="20"/>
  <c r="C27" i="20" s="1"/>
  <c r="L4" i="20"/>
  <c r="L123" i="20" s="1"/>
  <c r="K4" i="20"/>
  <c r="K123" i="20" s="1"/>
  <c r="J4" i="20"/>
  <c r="J123" i="20" s="1"/>
  <c r="I4" i="20"/>
  <c r="I123" i="20" s="1"/>
  <c r="H4" i="20"/>
  <c r="H123" i="20" s="1"/>
  <c r="G4" i="20"/>
  <c r="G123" i="20" s="1"/>
  <c r="F4" i="20"/>
  <c r="F123" i="20" s="1"/>
  <c r="E4" i="20"/>
  <c r="E123" i="20" s="1"/>
  <c r="D4" i="20"/>
  <c r="D123" i="20" s="1"/>
  <c r="C4" i="20"/>
  <c r="C123" i="20" s="1"/>
  <c r="A4" i="20"/>
  <c r="K4" i="19"/>
  <c r="K3" i="19"/>
  <c r="L33" i="18"/>
  <c r="C9" i="18" s="1"/>
  <c r="K33" i="18"/>
  <c r="B8" i="18"/>
  <c r="H27" i="18"/>
  <c r="H26" i="18"/>
  <c r="L26" i="18" s="1"/>
  <c r="L21" i="18" s="1"/>
  <c r="C7" i="18" s="1"/>
  <c r="K21" i="18"/>
  <c r="L16" i="18"/>
  <c r="C6" i="18" s="1"/>
  <c r="K16" i="18"/>
  <c r="H12" i="18"/>
  <c r="L12" i="18" s="1"/>
  <c r="B9" i="18"/>
  <c r="C8" i="18"/>
  <c r="H7" i="18"/>
  <c r="L7" i="18" s="1"/>
  <c r="B7" i="18"/>
  <c r="B6" i="18"/>
  <c r="K3" i="18"/>
  <c r="B5" i="18" s="1"/>
  <c r="J6" i="16" l="1"/>
  <c r="G14" i="20"/>
  <c r="G24" i="20" s="1"/>
  <c r="G110" i="20"/>
  <c r="G104" i="20"/>
  <c r="G95" i="20"/>
  <c r="D14" i="20"/>
  <c r="D24" i="20" s="1"/>
  <c r="D110" i="20"/>
  <c r="D95" i="20"/>
  <c r="D104" i="20"/>
  <c r="L14" i="20"/>
  <c r="L24" i="20" s="1"/>
  <c r="L110" i="20"/>
  <c r="L95" i="20"/>
  <c r="L104" i="20"/>
  <c r="E14" i="20"/>
  <c r="E24" i="20" s="1"/>
  <c r="E110" i="20"/>
  <c r="E95" i="20"/>
  <c r="E104" i="20"/>
  <c r="I14" i="20"/>
  <c r="I24" i="20" s="1"/>
  <c r="I104" i="20"/>
  <c r="I110" i="20"/>
  <c r="I95" i="20"/>
  <c r="C14" i="20"/>
  <c r="C24" i="20" s="1"/>
  <c r="C110" i="20"/>
  <c r="C95" i="20"/>
  <c r="C104" i="20"/>
  <c r="K14" i="20"/>
  <c r="K24" i="20" s="1"/>
  <c r="K95" i="20"/>
  <c r="K104" i="20"/>
  <c r="K110" i="20"/>
  <c r="H14" i="20"/>
  <c r="H24" i="20" s="1"/>
  <c r="H110" i="20"/>
  <c r="H95" i="20"/>
  <c r="H104" i="20"/>
  <c r="F14" i="20"/>
  <c r="F24" i="20" s="1"/>
  <c r="F104" i="20"/>
  <c r="F110" i="20"/>
  <c r="F95" i="20"/>
  <c r="J14" i="20"/>
  <c r="J24" i="20" s="1"/>
  <c r="J104" i="20"/>
  <c r="J110" i="20"/>
  <c r="J95" i="20"/>
  <c r="C6" i="15"/>
  <c r="J5" i="16"/>
  <c r="J4" i="16"/>
  <c r="B7" i="1"/>
  <c r="F7" i="15"/>
  <c r="C10" i="15"/>
  <c r="N12" i="19"/>
  <c r="E90" i="20"/>
  <c r="I90" i="20"/>
  <c r="D58" i="20"/>
  <c r="C6" i="14"/>
  <c r="D90" i="20"/>
  <c r="H90" i="20"/>
  <c r="G76" i="20"/>
  <c r="G77" i="20" s="1"/>
  <c r="F4" i="16"/>
  <c r="C5" i="16"/>
  <c r="F90" i="20"/>
  <c r="J90" i="20"/>
  <c r="C4" i="16"/>
  <c r="C37" i="20"/>
  <c r="C83" i="20" s="1"/>
  <c r="K37" i="20"/>
  <c r="K82" i="20" s="1"/>
  <c r="D6" i="14"/>
  <c r="D5" i="16"/>
  <c r="C74" i="20"/>
  <c r="K74" i="20"/>
  <c r="F9" i="11" s="1"/>
  <c r="G5" i="16"/>
  <c r="G6" i="14"/>
  <c r="E5" i="16"/>
  <c r="C76" i="20"/>
  <c r="K76" i="20"/>
  <c r="K77" i="20" s="1"/>
  <c r="H75" i="20"/>
  <c r="I10" i="11" s="1"/>
  <c r="E11" i="14"/>
  <c r="C7" i="15"/>
  <c r="G4" i="16"/>
  <c r="E13" i="19"/>
  <c r="H9" i="18" s="1"/>
  <c r="L9" i="18" s="1"/>
  <c r="G37" i="20"/>
  <c r="G81" i="20" s="1"/>
  <c r="F5" i="16"/>
  <c r="G74" i="20"/>
  <c r="J9" i="11" s="1"/>
  <c r="D77" i="20"/>
  <c r="D4" i="16"/>
  <c r="F11" i="14"/>
  <c r="B6" i="1"/>
  <c r="F6" i="14"/>
  <c r="E6" i="14"/>
  <c r="J23" i="20"/>
  <c r="J63" i="20" s="1"/>
  <c r="C10" i="14"/>
  <c r="C20" i="14" s="1"/>
  <c r="D22" i="16"/>
  <c r="E4" i="16"/>
  <c r="E74" i="20"/>
  <c r="I37" i="20"/>
  <c r="I83" i="20" s="1"/>
  <c r="E37" i="20"/>
  <c r="E83" i="20" s="1"/>
  <c r="I76" i="20"/>
  <c r="I77" i="20" s="1"/>
  <c r="I74" i="20"/>
  <c r="H9" i="11" s="1"/>
  <c r="E76" i="20"/>
  <c r="E77" i="20" s="1"/>
  <c r="D75" i="20"/>
  <c r="C73" i="20"/>
  <c r="J12" i="19" s="1"/>
  <c r="F37" i="20"/>
  <c r="F83" i="20" s="1"/>
  <c r="J37" i="20"/>
  <c r="J81" i="20" s="1"/>
  <c r="F74" i="20"/>
  <c r="J74" i="20"/>
  <c r="G9" i="11" s="1"/>
  <c r="I73" i="20"/>
  <c r="H12" i="11" s="1"/>
  <c r="L75" i="20"/>
  <c r="E73" i="20"/>
  <c r="E12" i="11"/>
  <c r="K12" i="11" s="1"/>
  <c r="J13" i="19"/>
  <c r="F76" i="20"/>
  <c r="F77" i="20" s="1"/>
  <c r="J76" i="20"/>
  <c r="K75" i="20"/>
  <c r="F10" i="11" s="1"/>
  <c r="G75" i="20"/>
  <c r="J10" i="11" s="1"/>
  <c r="J75" i="20"/>
  <c r="G10" i="11" s="1"/>
  <c r="F75" i="20"/>
  <c r="H77" i="20"/>
  <c r="I8" i="11"/>
  <c r="B4" i="18"/>
  <c r="C18" i="14"/>
  <c r="E12" i="19"/>
  <c r="G7" i="14"/>
  <c r="C7" i="14"/>
  <c r="B11" i="11"/>
  <c r="B16" i="11" s="1"/>
  <c r="G11" i="14"/>
  <c r="F23" i="20"/>
  <c r="C11" i="14"/>
  <c r="E42" i="20"/>
  <c r="E57" i="20" s="1"/>
  <c r="I42" i="20"/>
  <c r="F58" i="20"/>
  <c r="J58" i="20"/>
  <c r="D11" i="14"/>
  <c r="H4" i="19"/>
  <c r="G13" i="19"/>
  <c r="E4" i="19"/>
  <c r="I31" i="20"/>
  <c r="I88" i="20" s="1"/>
  <c r="D86" i="20"/>
  <c r="C11" i="15"/>
  <c r="G4" i="19"/>
  <c r="F31" i="20"/>
  <c r="F88" i="20" s="1"/>
  <c r="J31" i="20"/>
  <c r="J33" i="20" s="1"/>
  <c r="J35" i="20" s="1"/>
  <c r="D89" i="20"/>
  <c r="H89" i="20"/>
  <c r="L89" i="20"/>
  <c r="N13" i="19"/>
  <c r="D11" i="20"/>
  <c r="L11" i="20"/>
  <c r="E11" i="20"/>
  <c r="D23" i="20"/>
  <c r="D63" i="20" s="1"/>
  <c r="D80" i="20" s="1"/>
  <c r="H23" i="20"/>
  <c r="H63" i="20" s="1"/>
  <c r="L23" i="20"/>
  <c r="E23" i="20"/>
  <c r="E63" i="20" s="1"/>
  <c r="I23" i="20"/>
  <c r="I63" i="20" s="1"/>
  <c r="E86" i="20"/>
  <c r="I86" i="20"/>
  <c r="H3" i="19"/>
  <c r="I3" i="19"/>
  <c r="C9" i="15"/>
  <c r="E31" i="20"/>
  <c r="E88" i="20" s="1"/>
  <c r="H86" i="20"/>
  <c r="D7" i="14"/>
  <c r="H11" i="20"/>
  <c r="J3" i="19"/>
  <c r="F13" i="19"/>
  <c r="E3" i="19"/>
  <c r="G12" i="19"/>
  <c r="C11" i="20"/>
  <c r="G11" i="20"/>
  <c r="K11" i="20"/>
  <c r="F42" i="20"/>
  <c r="F57" i="20" s="1"/>
  <c r="J42" i="20"/>
  <c r="J57" i="20" s="1"/>
  <c r="C58" i="20"/>
  <c r="G58" i="20"/>
  <c r="K58" i="20"/>
  <c r="F12" i="19"/>
  <c r="G3" i="19"/>
  <c r="H58" i="20"/>
  <c r="E7" i="14"/>
  <c r="I11" i="20"/>
  <c r="F7" i="14"/>
  <c r="I4" i="19"/>
  <c r="H8" i="20"/>
  <c r="H82" i="20" s="1"/>
  <c r="G23" i="20"/>
  <c r="G63" i="20" s="1"/>
  <c r="K23" i="20"/>
  <c r="K63" i="20" s="1"/>
  <c r="K80" i="20" s="1"/>
  <c r="C28" i="20"/>
  <c r="G28" i="20"/>
  <c r="K28" i="20"/>
  <c r="C31" i="20"/>
  <c r="C88" i="20" s="1"/>
  <c r="G31" i="20"/>
  <c r="G33" i="20" s="1"/>
  <c r="G35" i="20" s="1"/>
  <c r="K31" i="20"/>
  <c r="K33" i="20" s="1"/>
  <c r="K35" i="20" s="1"/>
  <c r="F86" i="20"/>
  <c r="J86" i="20"/>
  <c r="J4" i="19"/>
  <c r="H14" i="18" s="1"/>
  <c r="L14" i="18" s="1"/>
  <c r="F11" i="20"/>
  <c r="J11" i="20"/>
  <c r="D31" i="20"/>
  <c r="D33" i="20" s="1"/>
  <c r="H31" i="20"/>
  <c r="H88" i="20" s="1"/>
  <c r="L31" i="20"/>
  <c r="L33" i="20" s="1"/>
  <c r="L35" i="20" s="1"/>
  <c r="D83" i="20"/>
  <c r="H83" i="20"/>
  <c r="L83" i="20"/>
  <c r="C42" i="20"/>
  <c r="C57" i="20" s="1"/>
  <c r="G42" i="20"/>
  <c r="G57" i="20" s="1"/>
  <c r="K42" i="20"/>
  <c r="K57" i="20" s="1"/>
  <c r="L58" i="20"/>
  <c r="C86" i="20"/>
  <c r="G86" i="20"/>
  <c r="K86" i="20"/>
  <c r="G9" i="14"/>
  <c r="D42" i="20"/>
  <c r="D57" i="20" s="1"/>
  <c r="H42" i="20"/>
  <c r="H57" i="20" s="1"/>
  <c r="L42" i="20"/>
  <c r="L57" i="20" s="1"/>
  <c r="E58" i="20"/>
  <c r="I58" i="20"/>
  <c r="F63" i="20"/>
  <c r="D9" i="14"/>
  <c r="L28" i="20"/>
  <c r="L76" i="20"/>
  <c r="L74" i="20"/>
  <c r="E9" i="11" s="1"/>
  <c r="D28" i="20"/>
  <c r="H28" i="20"/>
  <c r="D69" i="20"/>
  <c r="H69" i="20"/>
  <c r="L69" i="20"/>
  <c r="D79" i="20"/>
  <c r="H79" i="20"/>
  <c r="D81" i="20"/>
  <c r="H81" i="20"/>
  <c r="L81" i="20"/>
  <c r="C90" i="20"/>
  <c r="G90" i="20"/>
  <c r="K90" i="20"/>
  <c r="L62" i="20"/>
  <c r="C9" i="14" s="1"/>
  <c r="E28" i="20"/>
  <c r="I28" i="20"/>
  <c r="F28" i="20"/>
  <c r="J28" i="20"/>
  <c r="D82" i="20"/>
  <c r="L82" i="20"/>
  <c r="D84" i="20"/>
  <c r="L84" i="20"/>
  <c r="E10" i="11" l="1"/>
  <c r="B15" i="11"/>
  <c r="G70" i="20"/>
  <c r="G87" i="20" s="1"/>
  <c r="G92" i="20"/>
  <c r="E3" i="16"/>
  <c r="J92" i="20"/>
  <c r="L92" i="20"/>
  <c r="J3" i="16"/>
  <c r="F3" i="16"/>
  <c r="K92" i="20"/>
  <c r="C82" i="20"/>
  <c r="G80" i="20"/>
  <c r="G84" i="20"/>
  <c r="C79" i="20"/>
  <c r="G82" i="20"/>
  <c r="C81" i="20"/>
  <c r="E69" i="20"/>
  <c r="C19" i="14"/>
  <c r="F33" i="20"/>
  <c r="F35" i="20" s="1"/>
  <c r="K84" i="20"/>
  <c r="I79" i="20"/>
  <c r="L78" i="20"/>
  <c r="E11" i="11" s="1"/>
  <c r="E82" i="20"/>
  <c r="E81" i="20"/>
  <c r="G88" i="20"/>
  <c r="H84" i="20"/>
  <c r="E33" i="20"/>
  <c r="E35" i="20" s="1"/>
  <c r="E84" i="20"/>
  <c r="E78" i="20"/>
  <c r="E79" i="20"/>
  <c r="E89" i="20"/>
  <c r="E80" i="20"/>
  <c r="K89" i="20"/>
  <c r="K79" i="20"/>
  <c r="K69" i="20"/>
  <c r="G89" i="20"/>
  <c r="C84" i="20"/>
  <c r="K81" i="20"/>
  <c r="G83" i="20"/>
  <c r="K83" i="20"/>
  <c r="G79" i="20"/>
  <c r="G69" i="20"/>
  <c r="C89" i="20"/>
  <c r="F8" i="11"/>
  <c r="J84" i="20"/>
  <c r="I84" i="20"/>
  <c r="I80" i="20"/>
  <c r="J83" i="20"/>
  <c r="H33" i="20"/>
  <c r="H35" i="20" s="1"/>
  <c r="G4" i="14" s="1"/>
  <c r="I81" i="20"/>
  <c r="I69" i="20"/>
  <c r="I89" i="20"/>
  <c r="I82" i="20"/>
  <c r="J89" i="20"/>
  <c r="B5" i="19"/>
  <c r="C33" i="20"/>
  <c r="C35" i="20" s="1"/>
  <c r="I78" i="20"/>
  <c r="H11" i="11" s="1"/>
  <c r="F69" i="20"/>
  <c r="F80" i="20"/>
  <c r="H80" i="20"/>
  <c r="F82" i="20"/>
  <c r="H8" i="11"/>
  <c r="F78" i="20"/>
  <c r="F79" i="20"/>
  <c r="F89" i="20"/>
  <c r="F84" i="20"/>
  <c r="F81" i="20"/>
  <c r="K10" i="11"/>
  <c r="J69" i="20"/>
  <c r="J82" i="20"/>
  <c r="J80" i="20"/>
  <c r="B3" i="19"/>
  <c r="J79" i="20"/>
  <c r="E8" i="11"/>
  <c r="B4" i="19"/>
  <c r="J77" i="20"/>
  <c r="G8" i="11"/>
  <c r="C21" i="14"/>
  <c r="L66" i="20"/>
  <c r="L67" i="20" s="1"/>
  <c r="K78" i="20"/>
  <c r="F11" i="11" s="1"/>
  <c r="J88" i="20"/>
  <c r="C22" i="14"/>
  <c r="I57" i="20"/>
  <c r="H78" i="20"/>
  <c r="D78" i="20"/>
  <c r="I33" i="20"/>
  <c r="I35" i="20" s="1"/>
  <c r="K88" i="20"/>
  <c r="J78" i="20"/>
  <c r="G11" i="11" s="1"/>
  <c r="G3" i="16"/>
  <c r="G78" i="20"/>
  <c r="O12" i="19"/>
  <c r="C4" i="14"/>
  <c r="C8" i="14"/>
  <c r="C14" i="14" s="1"/>
  <c r="J70" i="20"/>
  <c r="J87" i="20" s="1"/>
  <c r="E8" i="14"/>
  <c r="E4" i="14"/>
  <c r="K70" i="20"/>
  <c r="K87" i="20" s="1"/>
  <c r="D8" i="14"/>
  <c r="D4" i="14"/>
  <c r="O13" i="19"/>
  <c r="D35" i="20"/>
  <c r="D66" i="20"/>
  <c r="D67" i="20" s="1"/>
  <c r="L77" i="20"/>
  <c r="D88" i="20"/>
  <c r="C78" i="20"/>
  <c r="K13" i="19"/>
  <c r="L63" i="20"/>
  <c r="M9" i="19" s="1"/>
  <c r="K12" i="19"/>
  <c r="J9" i="19"/>
  <c r="F9" i="19"/>
  <c r="L8" i="19"/>
  <c r="K9" i="19"/>
  <c r="G9" i="19"/>
  <c r="E8" i="19"/>
  <c r="I9" i="19"/>
  <c r="E9" i="19"/>
  <c r="H15" i="18" s="1"/>
  <c r="L15" i="18" s="1"/>
  <c r="K8" i="19"/>
  <c r="G8" i="19"/>
  <c r="I8" i="19"/>
  <c r="L9" i="19"/>
  <c r="H9" i="19"/>
  <c r="J8" i="19"/>
  <c r="F8" i="19"/>
  <c r="K66" i="20"/>
  <c r="K67" i="20" s="1"/>
  <c r="L70" i="20"/>
  <c r="N4" i="19"/>
  <c r="H13" i="19"/>
  <c r="H19" i="18" s="1"/>
  <c r="L4" i="19"/>
  <c r="H13" i="18" s="1"/>
  <c r="L13" i="18" s="1"/>
  <c r="O4" i="19"/>
  <c r="F4" i="19"/>
  <c r="M4" i="19"/>
  <c r="B12" i="11" s="1"/>
  <c r="J66" i="20"/>
  <c r="J67" i="20" s="1"/>
  <c r="L79" i="20"/>
  <c r="I13" i="19"/>
  <c r="H6" i="18" s="1"/>
  <c r="L6" i="18" s="1"/>
  <c r="I12" i="19"/>
  <c r="H8" i="18" s="1"/>
  <c r="L8" i="18" s="1"/>
  <c r="G66" i="20"/>
  <c r="G67" i="20" s="1"/>
  <c r="H70" i="20" l="1"/>
  <c r="H87" i="20" s="1"/>
  <c r="C3" i="16"/>
  <c r="H92" i="20"/>
  <c r="C70" i="20"/>
  <c r="C87" i="20" s="1"/>
  <c r="C92" i="20"/>
  <c r="D70" i="20"/>
  <c r="D87" i="20" s="1"/>
  <c r="D92" i="20"/>
  <c r="D3" i="16"/>
  <c r="I92" i="20"/>
  <c r="E70" i="20"/>
  <c r="E87" i="20" s="1"/>
  <c r="E92" i="20"/>
  <c r="F70" i="20"/>
  <c r="F87" i="20" s="1"/>
  <c r="F92" i="20"/>
  <c r="C4" i="19"/>
  <c r="B21" i="11"/>
  <c r="H66" i="20"/>
  <c r="H67" i="20" s="1"/>
  <c r="I70" i="20"/>
  <c r="I87" i="20" s="1"/>
  <c r="G8" i="14"/>
  <c r="M3" i="19"/>
  <c r="D20" i="16"/>
  <c r="F66" i="20"/>
  <c r="F67" i="20" s="1"/>
  <c r="L3" i="19"/>
  <c r="E66" i="20"/>
  <c r="E67" i="20" s="1"/>
  <c r="H8" i="19"/>
  <c r="H11" i="18" s="1"/>
  <c r="L11" i="18" s="1"/>
  <c r="F3" i="19"/>
  <c r="H10" i="18" s="1"/>
  <c r="L10" i="18" s="1"/>
  <c r="I66" i="20"/>
  <c r="I67" i="20" s="1"/>
  <c r="N3" i="19"/>
  <c r="O3" i="19"/>
  <c r="F8" i="14"/>
  <c r="H12" i="19"/>
  <c r="C66" i="20"/>
  <c r="C67" i="20" s="1"/>
  <c r="M8" i="19"/>
  <c r="H34" i="18" s="1"/>
  <c r="C16" i="14"/>
  <c r="F4" i="14"/>
  <c r="I11" i="11"/>
  <c r="B22" i="11" s="1"/>
  <c r="C5" i="19"/>
  <c r="C3" i="19"/>
  <c r="K9" i="11"/>
  <c r="C17" i="14"/>
  <c r="L12" i="19"/>
  <c r="L13" i="19"/>
  <c r="N9" i="19"/>
  <c r="N8" i="19"/>
  <c r="L80" i="20"/>
  <c r="B25" i="11" l="1"/>
  <c r="K7" i="1"/>
  <c r="F17" i="11"/>
  <c r="E17" i="11"/>
  <c r="J17" i="11"/>
  <c r="H17" i="11"/>
  <c r="G17" i="11"/>
  <c r="I17" i="11"/>
  <c r="B17" i="11"/>
  <c r="K6" i="1"/>
  <c r="B19" i="11"/>
  <c r="H5" i="18"/>
  <c r="L5" i="18" s="1"/>
  <c r="L3" i="18" s="1"/>
  <c r="C5" i="18" s="1"/>
  <c r="C4" i="18" s="1"/>
  <c r="C15" i="14"/>
  <c r="C23" i="14" s="1"/>
  <c r="F20" i="16"/>
  <c r="B16" i="17" l="1"/>
  <c r="B15" i="17"/>
  <c r="B17" i="17" l="1"/>
  <c r="B18" i="17" s="1"/>
  <c r="B4" i="17" l="1"/>
  <c r="U7" i="17" l="1"/>
  <c r="E2" i="17"/>
  <c r="F2" i="17" s="1"/>
  <c r="G2" i="17" s="1"/>
  <c r="H2" i="17" s="1"/>
  <c r="I2" i="17" s="1"/>
  <c r="J2" i="17" s="1"/>
  <c r="D4" i="17"/>
  <c r="E4" i="17" s="1"/>
  <c r="F4" i="17" s="1"/>
  <c r="G4" i="17" s="1"/>
  <c r="H4" i="17" s="1"/>
  <c r="I4" i="17" s="1"/>
  <c r="J4" i="17" s="1"/>
  <c r="K4" i="17" s="1"/>
  <c r="L4" i="17" s="1"/>
  <c r="M4" i="17" s="1"/>
  <c r="N4" i="17" s="1"/>
  <c r="O4" i="17" s="1"/>
  <c r="P4" i="17" s="1"/>
  <c r="Q4" i="17" s="1"/>
  <c r="R4" i="17" s="1"/>
  <c r="S4" i="17" s="1"/>
  <c r="T4" i="17" s="1"/>
  <c r="U4" i="17" s="1"/>
  <c r="V4" i="17" s="1"/>
  <c r="W4" i="17" s="1"/>
  <c r="X4" i="17" s="1"/>
  <c r="G7" i="17" l="1"/>
  <c r="K7" i="17"/>
  <c r="O7" i="17"/>
  <c r="S7" i="17"/>
  <c r="W7" i="17"/>
  <c r="F7" i="17"/>
  <c r="J7" i="17"/>
  <c r="N7" i="17"/>
  <c r="R7" i="17"/>
  <c r="V7" i="17"/>
  <c r="D7" i="17"/>
  <c r="H7" i="17"/>
  <c r="L7" i="17"/>
  <c r="P7" i="17"/>
  <c r="T7" i="17"/>
  <c r="X7" i="17"/>
  <c r="D3" i="17"/>
  <c r="D5" i="17" s="1"/>
  <c r="D6" i="17" s="1"/>
  <c r="E7" i="17"/>
  <c r="I7" i="17"/>
  <c r="M7" i="17"/>
  <c r="Q7" i="17"/>
  <c r="K2" i="17"/>
  <c r="L2" i="17" s="1"/>
  <c r="M2" i="17" s="1"/>
  <c r="N2" i="17" s="1"/>
  <c r="D8" i="17" l="1"/>
  <c r="D9" i="17" s="1"/>
  <c r="E3" i="17"/>
  <c r="E5" i="17" s="1"/>
  <c r="O2" i="17"/>
  <c r="P2" i="17" s="1"/>
  <c r="Q2" i="17" s="1"/>
  <c r="R2" i="17" s="1"/>
  <c r="S2" i="17" s="1"/>
  <c r="T2" i="17" s="1"/>
  <c r="U2" i="17" s="1"/>
  <c r="V2" i="17" s="1"/>
  <c r="W2" i="17" s="1"/>
  <c r="X2" i="17" s="1"/>
  <c r="E6" i="16"/>
  <c r="C6" i="16"/>
  <c r="D6" i="16"/>
  <c r="G6" i="16"/>
  <c r="F6" i="16"/>
  <c r="F3" i="17" l="1"/>
  <c r="G3" i="17" s="1"/>
  <c r="E6" i="17"/>
  <c r="E8" i="17" s="1"/>
  <c r="E9" i="17" s="1"/>
  <c r="F5" i="17" l="1"/>
  <c r="F6" i="17" s="1"/>
  <c r="F8" i="17" s="1"/>
  <c r="F9" i="17" s="1"/>
  <c r="G5" i="17"/>
  <c r="H3" i="17"/>
  <c r="H5" i="17" l="1"/>
  <c r="H6" i="17" s="1"/>
  <c r="H8" i="17" s="1"/>
  <c r="H9" i="17" s="1"/>
  <c r="I3" i="17"/>
  <c r="G6" i="17"/>
  <c r="G8" i="17" s="1"/>
  <c r="G9" i="17" s="1"/>
  <c r="J3" i="17" l="1"/>
  <c r="I5" i="17"/>
  <c r="I6" i="17" s="1"/>
  <c r="I8" i="17" s="1"/>
  <c r="I9" i="17" s="1"/>
  <c r="J5" i="17" l="1"/>
  <c r="K3" i="17"/>
  <c r="L3" i="17" l="1"/>
  <c r="K5" i="17"/>
  <c r="K6" i="17" s="1"/>
  <c r="K8" i="17" s="1"/>
  <c r="K9" i="17" s="1"/>
  <c r="J6" i="17"/>
  <c r="J8" i="17" s="1"/>
  <c r="J9" i="17" s="1"/>
  <c r="G10" i="15"/>
  <c r="L5" i="17" l="1"/>
  <c r="L6" i="17" s="1"/>
  <c r="L8" i="17" s="1"/>
  <c r="L9" i="17" s="1"/>
  <c r="M3" i="17"/>
  <c r="B12" i="17"/>
  <c r="M5" i="17" l="1"/>
  <c r="M6" i="17" s="1"/>
  <c r="M8" i="17" s="1"/>
  <c r="M9" i="17" s="1"/>
  <c r="N3" i="17"/>
  <c r="O3" i="17" l="1"/>
  <c r="N5" i="17"/>
  <c r="N6" i="17" s="1"/>
  <c r="N8" i="17" s="1"/>
  <c r="N9" i="17" s="1"/>
  <c r="F8" i="15"/>
  <c r="F5" i="15"/>
  <c r="F6" i="15"/>
  <c r="F4" i="15"/>
  <c r="E21" i="11"/>
  <c r="C14" i="15" l="1"/>
  <c r="P3" i="17"/>
  <c r="O5" i="17"/>
  <c r="O6" i="17" s="1"/>
  <c r="O8" i="17" s="1"/>
  <c r="O9" i="17" s="1"/>
  <c r="K12" i="14"/>
  <c r="K14" i="14" s="1"/>
  <c r="E18" i="11"/>
  <c r="F14" i="11"/>
  <c r="E14" i="11"/>
  <c r="B14" i="11"/>
  <c r="H14" i="11"/>
  <c r="I14" i="11"/>
  <c r="P5" i="17" l="1"/>
  <c r="P6" i="17" s="1"/>
  <c r="P8" i="17" s="1"/>
  <c r="P9" i="17" s="1"/>
  <c r="Q3" i="17"/>
  <c r="E27" i="11"/>
  <c r="E28" i="11" s="1"/>
  <c r="G14" i="11"/>
  <c r="B20" i="11" s="1"/>
  <c r="E29" i="11" l="1"/>
  <c r="F18" i="11"/>
  <c r="Q5" i="17"/>
  <c r="Q6" i="17" s="1"/>
  <c r="Q8" i="17" s="1"/>
  <c r="Q9" i="17" s="1"/>
  <c r="R3" i="17"/>
  <c r="G18" i="11" l="1"/>
  <c r="R5" i="17"/>
  <c r="R6" i="17" s="1"/>
  <c r="R8" i="17" s="1"/>
  <c r="R9" i="17" s="1"/>
  <c r="S3" i="17"/>
  <c r="H18" i="11"/>
  <c r="F27" i="11"/>
  <c r="F28" i="11" s="1"/>
  <c r="F29" i="11" l="1"/>
  <c r="S5" i="17"/>
  <c r="S6" i="17" s="1"/>
  <c r="S8" i="17" s="1"/>
  <c r="S9" i="17" s="1"/>
  <c r="T3" i="17"/>
  <c r="I18" i="11"/>
  <c r="G27" i="11" l="1"/>
  <c r="G28" i="11" s="1"/>
  <c r="T5" i="17"/>
  <c r="T6" i="17" s="1"/>
  <c r="T8" i="17" s="1"/>
  <c r="T9" i="17" s="1"/>
  <c r="U3" i="17"/>
  <c r="E20" i="11"/>
  <c r="E23" i="11" s="1"/>
  <c r="J18" i="11"/>
  <c r="E22" i="11" s="1"/>
  <c r="G29" i="11" l="1"/>
  <c r="U5" i="17"/>
  <c r="U6" i="17" s="1"/>
  <c r="U8" i="17" s="1"/>
  <c r="U9" i="17" s="1"/>
  <c r="V3" i="17"/>
  <c r="H27" i="11" l="1"/>
  <c r="E24" i="11"/>
  <c r="V5" i="17"/>
  <c r="V6" i="17" s="1"/>
  <c r="V8" i="17" s="1"/>
  <c r="V9" i="17" s="1"/>
  <c r="W3" i="17"/>
  <c r="B26" i="11" l="1"/>
  <c r="K8" i="1"/>
  <c r="H28" i="11"/>
  <c r="H29" i="11" s="1"/>
  <c r="X3" i="17"/>
  <c r="X5" i="17" s="1"/>
  <c r="W5" i="17"/>
  <c r="W6" i="17" s="1"/>
  <c r="W8" i="17" s="1"/>
  <c r="W9" i="17" s="1"/>
  <c r="I27" i="11" l="1"/>
  <c r="I28" i="11" s="1"/>
  <c r="I29" i="11" s="1"/>
  <c r="X6" i="17"/>
  <c r="X8" i="17" s="1"/>
  <c r="X9" i="17" s="1"/>
  <c r="B6" i="17" s="1"/>
  <c r="J27" i="11" l="1"/>
  <c r="J28" i="11" s="1"/>
  <c r="J29" i="11" l="1"/>
  <c r="E31" i="11" s="1"/>
  <c r="E30" i="11" l="1"/>
  <c r="E32" i="11" s="1"/>
  <c r="B27" i="11" s="1"/>
  <c r="E33" i="11" l="1"/>
  <c r="J5" i="15"/>
  <c r="J7" i="15" s="1"/>
</calcChain>
</file>

<file path=xl/comments1.xml><?xml version="1.0" encoding="utf-8"?>
<comments xmlns="http://schemas.openxmlformats.org/spreadsheetml/2006/main">
  <authors>
    <author>HP</author>
  </authors>
  <commentList>
    <comment ref="I6" authorId="0" shapeId="0">
      <text>
        <r>
          <rPr>
            <sz val="9"/>
            <color indexed="81"/>
            <rFont val="Tahoma"/>
            <family val="2"/>
          </rPr>
          <t xml:space="preserve">How much CMP higher than P E/B Valuation
</t>
        </r>
      </text>
    </comment>
    <comment ref="I7" authorId="0" shapeId="0">
      <text>
        <r>
          <rPr>
            <sz val="9"/>
            <color indexed="81"/>
            <rFont val="Tahoma"/>
            <family val="2"/>
          </rPr>
          <t xml:space="preserve">If next yr EPS to grow same as how it grew from last yr to current yr, what will be the share price on historical PE/PB
</t>
        </r>
      </text>
    </comment>
    <comment ref="I8" authorId="0" shapeId="0">
      <text>
        <r>
          <rPr>
            <sz val="9"/>
            <color indexed="81"/>
            <rFont val="Tahoma"/>
            <family val="2"/>
          </rPr>
          <t xml:space="preserve">CAGR b/n CMP and future price based on historical valuation
</t>
        </r>
      </text>
    </comment>
  </commentList>
</comments>
</file>

<file path=xl/comments2.xml><?xml version="1.0" encoding="utf-8"?>
<comments xmlns="http://schemas.openxmlformats.org/spreadsheetml/2006/main">
  <authors>
    <author>HP</author>
  </authors>
  <commentList>
    <comment ref="E2" authorId="0" shapeId="0">
      <text>
        <r>
          <rPr>
            <sz val="9"/>
            <color indexed="81"/>
            <rFont val="Tahoma"/>
            <family val="2"/>
          </rPr>
          <t xml:space="preserve">Gross margins suggest pricing power. Higher = Better, but also invites competition. So watch out for consistency.
</t>
        </r>
      </text>
    </comment>
    <comment ref="I7" authorId="0" shapeId="0">
      <text>
        <r>
          <rPr>
            <sz val="9"/>
            <color indexed="81"/>
            <rFont val="Tahoma"/>
            <family val="2"/>
          </rPr>
          <t xml:space="preserve">Accruals method of accounting -
Revenue is booked when sales transaction takes place, not when the actual cash is collected.
Low number would mean that company is able to report higher revenue without realizing the cash benefit from the transactions.
Fluctuating trend reflects operational weakness
</t>
        </r>
      </text>
    </comment>
    <comment ref="J7" authorId="0" shapeId="0">
      <text>
        <r>
          <rPr>
            <sz val="9"/>
            <color indexed="81"/>
            <rFont val="Tahoma"/>
            <family val="2"/>
          </rPr>
          <t xml:space="preserve">How efficiently company's assets are used
</t>
        </r>
      </text>
    </comment>
    <comment ref="K7" authorId="0" shapeId="0">
      <text>
        <r>
          <rPr>
            <sz val="9"/>
            <color indexed="81"/>
            <rFont val="Tahoma"/>
            <family val="2"/>
          </rPr>
          <t xml:space="preserve">Abilty to pay short term loan
</t>
        </r>
      </text>
    </comment>
    <comment ref="L7" authorId="0" shapeId="0">
      <text>
        <r>
          <rPr>
            <sz val="9"/>
            <color indexed="81"/>
            <rFont val="Tahoma"/>
            <family val="2"/>
          </rPr>
          <t xml:space="preserve">Abilty to pay borrowings
</t>
        </r>
      </text>
    </comment>
  </commentList>
</comments>
</file>

<file path=xl/comments3.xml><?xml version="1.0" encoding="utf-8"?>
<comments xmlns="http://schemas.openxmlformats.org/spreadsheetml/2006/main">
  <authors>
    <author>Kumar Saurabh</author>
  </authors>
  <commentList>
    <comment ref="A53" authorId="0" shapeId="0">
      <text>
        <r>
          <rPr>
            <b/>
            <sz val="9"/>
            <color indexed="81"/>
            <rFont val="Tahoma"/>
            <family val="2"/>
          </rPr>
          <t>Kumar Saurabh:</t>
        </r>
        <r>
          <rPr>
            <sz val="9"/>
            <color indexed="81"/>
            <rFont val="Tahoma"/>
            <family val="2"/>
          </rPr>
          <t xml:space="preserve">
Trades Receiavbles</t>
        </r>
      </text>
    </comment>
    <comment ref="A58" authorId="0" shapeId="0">
      <text>
        <r>
          <rPr>
            <b/>
            <sz val="9"/>
            <color indexed="81"/>
            <rFont val="Tahoma"/>
            <family val="2"/>
          </rPr>
          <t>Kumar Saurabh:</t>
        </r>
        <r>
          <rPr>
            <sz val="9"/>
            <color indexed="81"/>
            <rFont val="Tahoma"/>
            <family val="2"/>
          </rPr>
          <t xml:space="preserve">
EBIT/Capital Employed where capital employed = total asset - current liability</t>
        </r>
      </text>
    </comment>
  </commentList>
</comments>
</file>

<file path=xl/sharedStrings.xml><?xml version="1.0" encoding="utf-8"?>
<sst xmlns="http://schemas.openxmlformats.org/spreadsheetml/2006/main" count="614" uniqueCount="468">
  <si>
    <t>Company</t>
  </si>
  <si>
    <t>Sector</t>
  </si>
  <si>
    <t>Face value</t>
  </si>
  <si>
    <t>No of shares outstanding</t>
  </si>
  <si>
    <t>Market Cap</t>
  </si>
  <si>
    <t>Promoter Shareholding</t>
  </si>
  <si>
    <t>Business Summary</t>
  </si>
  <si>
    <t>Equity Share Capital</t>
  </si>
  <si>
    <t>Reserves</t>
  </si>
  <si>
    <t>Networth</t>
  </si>
  <si>
    <t>Secured Loans</t>
  </si>
  <si>
    <t>Unsecured Loans</t>
  </si>
  <si>
    <t>Total Liabilities</t>
  </si>
  <si>
    <t>Net Block</t>
  </si>
  <si>
    <t>Capital Work in Progress</t>
  </si>
  <si>
    <t>Investments</t>
  </si>
  <si>
    <t>Current Liabilities</t>
  </si>
  <si>
    <t>Total Assets</t>
  </si>
  <si>
    <t>Net Sales</t>
  </si>
  <si>
    <t>Other Income</t>
  </si>
  <si>
    <t>Total Income</t>
  </si>
  <si>
    <t>Raw Materials</t>
  </si>
  <si>
    <t>Employee Cost</t>
  </si>
  <si>
    <t>Operating Profit</t>
  </si>
  <si>
    <t>Interest</t>
  </si>
  <si>
    <t>Depreciation</t>
  </si>
  <si>
    <t>Tax</t>
  </si>
  <si>
    <t>Current Assets</t>
  </si>
  <si>
    <t>Year</t>
  </si>
  <si>
    <t>Free Cash Flow</t>
  </si>
  <si>
    <t>Shares Outstanding</t>
  </si>
  <si>
    <t>CAGR</t>
  </si>
  <si>
    <t>FCF</t>
  </si>
  <si>
    <t>DPS</t>
  </si>
  <si>
    <t>Input</t>
  </si>
  <si>
    <t>EPS</t>
  </si>
  <si>
    <t>CMP</t>
  </si>
  <si>
    <t>BVPS</t>
  </si>
  <si>
    <t>P/E</t>
  </si>
  <si>
    <t>Earnings Yeild</t>
  </si>
  <si>
    <t>Dividend Yeild</t>
  </si>
  <si>
    <t>Discount rate</t>
  </si>
  <si>
    <t>ROE</t>
  </si>
  <si>
    <t>Payout Ratio</t>
  </si>
  <si>
    <t>Current Data</t>
  </si>
  <si>
    <t>Average Data</t>
  </si>
  <si>
    <t>Payout</t>
  </si>
  <si>
    <t>Projections Historical</t>
  </si>
  <si>
    <t>Earnings after 5 years</t>
  </si>
  <si>
    <t>Sum Of dividend paid</t>
  </si>
  <si>
    <t>Projected Price</t>
  </si>
  <si>
    <t>Total Gain</t>
  </si>
  <si>
    <t>Projections Growth</t>
  </si>
  <si>
    <t>Historical Earnings Growth</t>
  </si>
  <si>
    <t>Sustainable Earnings Growth</t>
  </si>
  <si>
    <t>Year Ending</t>
  </si>
  <si>
    <t>Piotroski F Score</t>
  </si>
  <si>
    <t>ROA</t>
  </si>
  <si>
    <t>Current Ratio</t>
  </si>
  <si>
    <t>Gross Margin</t>
  </si>
  <si>
    <t>Net Income</t>
  </si>
  <si>
    <t>Operating Cash Flow</t>
  </si>
  <si>
    <t>Asset Turnover</t>
  </si>
  <si>
    <t>Working Capital</t>
  </si>
  <si>
    <t>EBITDA</t>
  </si>
  <si>
    <t>Market Value of Equity</t>
  </si>
  <si>
    <t>Score</t>
  </si>
  <si>
    <t>T1 = Working Capital/Total Assets</t>
  </si>
  <si>
    <t>T3 = EBITDA/Total Assets</t>
  </si>
  <si>
    <t>T5 = Net Sales/Total Assets</t>
  </si>
  <si>
    <r>
      <t>Stock Price</t>
    </r>
    <r>
      <rPr>
        <sz val="10"/>
        <color theme="0"/>
        <rFont val="Arial"/>
        <family val="2"/>
      </rPr>
      <t>#</t>
    </r>
  </si>
  <si>
    <t>Snapshot</t>
  </si>
  <si>
    <t>Value</t>
  </si>
  <si>
    <t>Altman Zscore = 1.2T1 + 1.4T2 + 3.3T3 + 0.6T4 + 0.999T5.</t>
  </si>
  <si>
    <t>Value of stock based on</t>
  </si>
  <si>
    <t>Value of Stock</t>
  </si>
  <si>
    <t>Year 0</t>
  </si>
  <si>
    <t>Start</t>
  </si>
  <si>
    <t>Intial</t>
  </si>
  <si>
    <t>Middle</t>
  </si>
  <si>
    <t>End</t>
  </si>
  <si>
    <t>Max</t>
  </si>
  <si>
    <t>Pointer</t>
  </si>
  <si>
    <t>Altman Score</t>
  </si>
  <si>
    <t>0 to 1.8</t>
  </si>
  <si>
    <t>1.8 to 3</t>
  </si>
  <si>
    <t>Less Chances of Bankruptcy</t>
  </si>
  <si>
    <t>3+</t>
  </si>
  <si>
    <t>How to read score</t>
  </si>
  <si>
    <t>Not likely to be Bankrupt</t>
  </si>
  <si>
    <t>Likely to be Bankrupt</t>
  </si>
  <si>
    <t>Piotroski F Score data</t>
  </si>
  <si>
    <t>Weak</t>
  </si>
  <si>
    <t>Stable</t>
  </si>
  <si>
    <t>Strong</t>
  </si>
  <si>
    <t>Qualatative parameters</t>
  </si>
  <si>
    <t>Piotrosoki Score</t>
  </si>
  <si>
    <t>Altman Zscore</t>
  </si>
  <si>
    <t>CY</t>
  </si>
  <si>
    <t>CY-1</t>
  </si>
  <si>
    <t>CY-2</t>
  </si>
  <si>
    <t>CY-3</t>
  </si>
  <si>
    <t>CY-4</t>
  </si>
  <si>
    <t>CFO</t>
  </si>
  <si>
    <t>NPM</t>
  </si>
  <si>
    <t>Equity Multiplier</t>
  </si>
  <si>
    <t>DU Pont Analysis</t>
  </si>
  <si>
    <t>DuPont analysis is an extended analysis of a company's return on equity. It concludes that a company can earn a high return on equity if:</t>
  </si>
  <si>
    <t>3. It has a high financial leverage</t>
  </si>
  <si>
    <r>
      <t>2. It uses its assets effectively to generate more sales; and/or -</t>
    </r>
    <r>
      <rPr>
        <b/>
        <sz val="11"/>
        <color rgb="FF00B050"/>
        <rFont val="Calibri"/>
        <family val="2"/>
        <scheme val="minor"/>
      </rPr>
      <t xml:space="preserve"> Preferred</t>
    </r>
  </si>
  <si>
    <r>
      <t xml:space="preserve">1. It earns a high net profit margin - </t>
    </r>
    <r>
      <rPr>
        <b/>
        <sz val="11"/>
        <color rgb="FF00B050"/>
        <rFont val="Calibri"/>
        <family val="2"/>
        <scheme val="minor"/>
      </rPr>
      <t>Preferred</t>
    </r>
  </si>
  <si>
    <t>Multiple</t>
  </si>
  <si>
    <t>PV</t>
  </si>
  <si>
    <t>MICAP</t>
  </si>
  <si>
    <t>Cumulative FCF Sum of PV</t>
  </si>
  <si>
    <t>PV of Terminal Value</t>
  </si>
  <si>
    <t>Discounted Value Today</t>
  </si>
  <si>
    <t xml:space="preserve">FCF growth </t>
  </si>
  <si>
    <t>FCF (per Share)</t>
  </si>
  <si>
    <t>* The module will pick FCF / Share, You can change Input cells</t>
  </si>
  <si>
    <t>Model FCF / Share</t>
  </si>
  <si>
    <t>Capex</t>
  </si>
  <si>
    <t>Owner's Earnings</t>
  </si>
  <si>
    <r>
      <rPr>
        <sz val="11"/>
        <color rgb="FF00B050"/>
        <rFont val="Calibri"/>
        <family val="2"/>
        <scheme val="minor"/>
      </rPr>
      <t>Add</t>
    </r>
    <r>
      <rPr>
        <sz val="11"/>
        <color theme="1"/>
        <rFont val="Calibri"/>
        <family val="2"/>
        <scheme val="minor"/>
      </rPr>
      <t xml:space="preserve"> Depreciation</t>
    </r>
  </si>
  <si>
    <r>
      <rPr>
        <sz val="11"/>
        <color rgb="FFFF0000"/>
        <rFont val="Calibri"/>
        <family val="2"/>
        <scheme val="minor"/>
      </rPr>
      <t>Minus</t>
    </r>
    <r>
      <rPr>
        <sz val="11"/>
        <color theme="1"/>
        <rFont val="Calibri"/>
        <family val="2"/>
        <scheme val="minor"/>
      </rPr>
      <t xml:space="preserve"> Average Capex</t>
    </r>
  </si>
  <si>
    <t>Note - If MICAP is more than twenty it will shown as Zero</t>
  </si>
  <si>
    <t>Owner's Earnings (in INR Cr)</t>
  </si>
  <si>
    <t>This is based on whatever you have input on FCF sheet</t>
  </si>
  <si>
    <t>꓿</t>
  </si>
  <si>
    <r>
      <t>NP</t>
    </r>
    <r>
      <rPr>
        <vertAlign val="subscript"/>
        <sz val="11"/>
        <color theme="1"/>
        <rFont val="Calibri"/>
        <family val="2"/>
        <scheme val="minor"/>
      </rPr>
      <t>CY</t>
    </r>
    <r>
      <rPr>
        <sz val="11"/>
        <color theme="1"/>
        <rFont val="Calibri"/>
        <family val="2"/>
        <scheme val="minor"/>
      </rPr>
      <t xml:space="preserve"> - NP</t>
    </r>
    <r>
      <rPr>
        <vertAlign val="subscript"/>
        <sz val="11"/>
        <color theme="1"/>
        <rFont val="Calibri"/>
        <family val="2"/>
        <scheme val="minor"/>
      </rPr>
      <t>CY-4</t>
    </r>
  </si>
  <si>
    <r>
      <t>NW</t>
    </r>
    <r>
      <rPr>
        <vertAlign val="subscript"/>
        <sz val="11"/>
        <color theme="1"/>
        <rFont val="Calibri"/>
        <family val="2"/>
        <scheme val="minor"/>
      </rPr>
      <t>CY</t>
    </r>
    <r>
      <rPr>
        <sz val="11"/>
        <color theme="1"/>
        <rFont val="Calibri"/>
        <family val="2"/>
        <scheme val="minor"/>
      </rPr>
      <t xml:space="preserve"> - NW</t>
    </r>
    <r>
      <rPr>
        <vertAlign val="subscript"/>
        <sz val="11"/>
        <color theme="1"/>
        <rFont val="Calibri"/>
        <family val="2"/>
        <scheme val="minor"/>
      </rPr>
      <t>CY-4</t>
    </r>
  </si>
  <si>
    <t>Piotroski 2: Operating Cash Flow &gt;0</t>
  </si>
  <si>
    <t>Piotroski 3: Return on Assets higher than last Yr.</t>
  </si>
  <si>
    <t>Piotroski 7: Shares Outstanding not higher than last Yr.</t>
  </si>
  <si>
    <t>Piotroski 8: Gross Margin higher than last Yr.</t>
  </si>
  <si>
    <t>Piotroski 9: Total Income/Total Assets higher than last Yr.</t>
  </si>
  <si>
    <t>Discount Rate</t>
  </si>
  <si>
    <t>RESEARCH FRAMEWORK</t>
  </si>
  <si>
    <t>S.No</t>
  </si>
  <si>
    <t>Criteria</t>
  </si>
  <si>
    <t>Goal</t>
  </si>
  <si>
    <t>Actual</t>
  </si>
  <si>
    <t>Description</t>
  </si>
  <si>
    <t>Review</t>
  </si>
  <si>
    <t>Weight</t>
  </si>
  <si>
    <t>PARAMETER</t>
  </si>
  <si>
    <t>Max WEIGHT</t>
  </si>
  <si>
    <t>Actual Weight</t>
  </si>
  <si>
    <t>FINANCIAL ANALYSIS</t>
  </si>
  <si>
    <t>TOTAL</t>
  </si>
  <si>
    <t>Financial Anlaysis</t>
  </si>
  <si>
    <t>ROE/ROA 5 Yr.</t>
  </si>
  <si>
    <t>&gt; 20%</t>
  </si>
  <si>
    <t>Industry Analysis</t>
  </si>
  <si>
    <t>EPS growth 5 Yr.</t>
  </si>
  <si>
    <t>&gt;20%</t>
  </si>
  <si>
    <t>Management Analysis</t>
  </si>
  <si>
    <t>Promoter Pledged Holding</t>
  </si>
  <si>
    <t>Other Parameters</t>
  </si>
  <si>
    <t>EPS growth 10 Yr.</t>
  </si>
  <si>
    <t>Margin of Safety</t>
  </si>
  <si>
    <t>Sales growth 5 Yr.</t>
  </si>
  <si>
    <t>Growth should be consistent year on year. Ignore companies where a sudden spurt of sales in one year is confounding the 10 years performance.
Very high growth rates of &gt;50% are unsustainable.</t>
  </si>
  <si>
    <t>Avg. NP margin 5 Yr.</t>
  </si>
  <si>
    <t xml:space="preserve"> &gt;8%</t>
  </si>
  <si>
    <t>Look for companies with sustained operating &amp; net profit margins over the years - See more at: http://www.drvijaymalik.com/2015/01/selecting-top-stocks-to-buy-part-10.html#sthash.swZnrKBv.dpuf</t>
  </si>
  <si>
    <t>CFO/PAT 5 Yr.</t>
  </si>
  <si>
    <t>&gt;1</t>
  </si>
  <si>
    <t>Cumulative PAT and CFO are similar for last 10 years</t>
  </si>
  <si>
    <t>Promoter Holding 5 Yr.</t>
  </si>
  <si>
    <t>Debt/Net Profit</t>
  </si>
  <si>
    <t>&lt;=5</t>
  </si>
  <si>
    <t>Current ratio</t>
  </si>
  <si>
    <t>&gt;1.25</t>
  </si>
  <si>
    <t>Current Cash flow</t>
  </si>
  <si>
    <t>CFO &gt; 0</t>
  </si>
  <si>
    <t>Positive CFO is necessary. It’s great if CFO meets the outflow for CFI and CFF</t>
  </si>
  <si>
    <t>BUSINESS &amp; INDUSTRY ANALYSIS</t>
  </si>
  <si>
    <t>Comparison with industry peers</t>
  </si>
  <si>
    <t>Sales growth &gt; peers</t>
  </si>
  <si>
    <t>The Company must show sales growth higher than peers. If its sales growth is similar to peers, then there is no Moat</t>
  </si>
  <si>
    <t>Increase in production capacity and sales volume</t>
  </si>
  <si>
    <t>Production capacity &amp; sales volume CAGR ~ Sales CAGR</t>
  </si>
  <si>
    <t>Company must have shown increased market penetration by selling higher volumes of its product/service</t>
  </si>
  <si>
    <t>Conversion of sales growth into profits</t>
  </si>
  <si>
    <t>Profit CAGR 5 Yr.~ Sales CAGR 5 Yr.</t>
  </si>
  <si>
    <t>A Moat would result in increasing profits with increasing sales. Otherwise, sales growth is only a result of unnecessary expansion or aggressive marketing push, which would erode value in long term.</t>
  </si>
  <si>
    <t>Creation of value for shareholders from the profits retained</t>
  </si>
  <si>
    <t>The increase in MCap in last 10 yrs. &gt; Retained profits in last 10 yrs.</t>
  </si>
  <si>
    <t>Otherwise, company is destroying wealth of shareholders</t>
  </si>
  <si>
    <t>MANAGEMENT ANALYSIS</t>
  </si>
  <si>
    <t>Background check of promoters &amp; directors</t>
  </si>
  <si>
    <t>Web Search</t>
  </si>
  <si>
    <t>There should not be any information questioning the integrity of promoters &amp; directors</t>
  </si>
  <si>
    <t>Management succession plans</t>
  </si>
  <si>
    <t>Good succession plan should be in place</t>
  </si>
  <si>
    <t>Salary being paid to potential successors should be in line with their experience</t>
  </si>
  <si>
    <t>Salary of promoters vs. net profits</t>
  </si>
  <si>
    <t>No salary increase with declining profits/losses</t>
  </si>
  <si>
    <t>promoter should not have a history of seeking increase in remuneration when the profits of the company declined in past</t>
  </si>
  <si>
    <t>Project execution skills</t>
  </si>
  <si>
    <t>Green/brownfield project execution</t>
  </si>
  <si>
    <t>The company should have shown good project execution skills with cost and time overruns.Exclude capacity increase by mergers &amp; acquisitions.</t>
  </si>
  <si>
    <t>Promoter shareholding</t>
  </si>
  <si>
    <t>&gt; 51%</t>
  </si>
  <si>
    <t>Higher the better</t>
  </si>
  <si>
    <t>FII shareholding</t>
  </si>
  <si>
    <t>~ 0%</t>
  </si>
  <si>
    <t>the lower the better</t>
  </si>
  <si>
    <t>OTHER BUSINESS PARAMETERS</t>
  </si>
  <si>
    <t>Product diversification</t>
  </si>
  <si>
    <t>Pure play</t>
  </si>
  <si>
    <t>The company should be either a pure play (only one business segment) or related products. Pure play model ensures that the management is specialized in what they are doing. Entirely different unrelated products/services are a strict NO. An investor should rather buy stocks of different companies if she wants such diversification.</t>
  </si>
  <si>
    <t>Govt. influence</t>
  </si>
  <si>
    <t>No govt. interference in profit making</t>
  </si>
  <si>
    <t>No cap on profit returns or pricing of the product.No compulsion to supply to certain clients.</t>
  </si>
  <si>
    <t>Labor Problems</t>
  </si>
  <si>
    <t>Free Cash Flow (FCF)</t>
  </si>
  <si>
    <t>FCF/CFO &gt;&gt; 0</t>
  </si>
  <si>
    <t>CASH FLOW</t>
  </si>
  <si>
    <t xml:space="preserve"> CFF/CFO</t>
  </si>
  <si>
    <t>Capex/CFO</t>
  </si>
  <si>
    <t>CFO/PAT</t>
  </si>
  <si>
    <t>CFO/Sales</t>
  </si>
  <si>
    <t>CFO/Assets</t>
  </si>
  <si>
    <t>CFO/Current Liabilty</t>
  </si>
  <si>
    <t>CFO/Total Debt</t>
  </si>
  <si>
    <t>CAPEX/FCF</t>
  </si>
  <si>
    <t>5 Yr. Average</t>
  </si>
  <si>
    <t>Current</t>
  </si>
  <si>
    <t>OTHERS</t>
  </si>
  <si>
    <t>Gross Profit Margin</t>
  </si>
  <si>
    <t>Net Profit Margin</t>
  </si>
  <si>
    <t>Inventory/Sales</t>
  </si>
  <si>
    <t>Current Cash/Assets</t>
  </si>
  <si>
    <t>Current Assets/Current Liabilities</t>
  </si>
  <si>
    <t>Leverage</t>
  </si>
  <si>
    <t>ROCE</t>
  </si>
  <si>
    <t>GROWTH</t>
  </si>
  <si>
    <t>Sales</t>
  </si>
  <si>
    <t xml:space="preserve">Inventory </t>
  </si>
  <si>
    <t xml:space="preserve">Receivables </t>
  </si>
  <si>
    <t>PAT</t>
  </si>
  <si>
    <t>Promoter Holding</t>
  </si>
  <si>
    <t>Share Capital</t>
  </si>
  <si>
    <t>10 YR CAGR</t>
  </si>
  <si>
    <t>5 YR CAGR</t>
  </si>
  <si>
    <t>Salary/PAT</t>
  </si>
  <si>
    <t>Pledged Promoter
Holding</t>
  </si>
  <si>
    <t>FII</t>
  </si>
  <si>
    <t>DII</t>
  </si>
  <si>
    <t>COPY PASTE DATA FROM ANY FINANCIAL WEBSITE: ONLY FOR THE FIELDS MARKED GREEN BELOW</t>
  </si>
  <si>
    <t>CONSOLIDATED</t>
  </si>
  <si>
    <t>Inventory</t>
  </si>
  <si>
    <t>Debtors</t>
  </si>
  <si>
    <t>Cash &amp; Bank Balance</t>
  </si>
  <si>
    <t>Working Capital (check)</t>
  </si>
  <si>
    <t>COPY PASTE DATA FROM ANNUAL REPORTS: ONLY FOR THE FIELDS MARKED ORANGE BELOW</t>
  </si>
  <si>
    <t>Operating Expenses/Capex</t>
  </si>
  <si>
    <t>Employee cost</t>
  </si>
  <si>
    <t>Advertising and sales promotion</t>
  </si>
  <si>
    <t>Freight, transport and distribution</t>
  </si>
  <si>
    <t>Royalty</t>
  </si>
  <si>
    <t>Power and fuel</t>
  </si>
  <si>
    <t>Miscellaneous expenses</t>
  </si>
  <si>
    <t>R&amp;D Cost</t>
  </si>
  <si>
    <t>Gross Profit</t>
  </si>
  <si>
    <t>Depreciation &amp; Amortisation</t>
  </si>
  <si>
    <t>EBIT</t>
  </si>
  <si>
    <t>PBT</t>
  </si>
  <si>
    <t>Dividends</t>
  </si>
  <si>
    <t>Current Market Cap</t>
  </si>
  <si>
    <t>Equity</t>
  </si>
  <si>
    <t>Reserves &amp; Surplus</t>
  </si>
  <si>
    <t>Borrowings</t>
  </si>
  <si>
    <t>Other Liabilities</t>
  </si>
  <si>
    <t>Current Asset</t>
  </si>
  <si>
    <t>Net Fixed Assets</t>
  </si>
  <si>
    <t>Cash</t>
  </si>
  <si>
    <t>Net Other Assets</t>
  </si>
  <si>
    <t>Invested Capital</t>
  </si>
  <si>
    <t>Capital Employed</t>
  </si>
  <si>
    <t>Total Liability</t>
  </si>
  <si>
    <t>Cash from Investing Activity</t>
  </si>
  <si>
    <t>Cash from Financing Activity</t>
  </si>
  <si>
    <t>Tax Rate</t>
  </si>
  <si>
    <t>NOPAT</t>
  </si>
  <si>
    <t>MktCap+Dividend</t>
  </si>
  <si>
    <t>Retained Profit</t>
  </si>
  <si>
    <t>PEG</t>
  </si>
  <si>
    <t>Price/Book</t>
  </si>
  <si>
    <t>Price/operating CashFlow</t>
  </si>
  <si>
    <t>Price/Free Cashflow</t>
  </si>
  <si>
    <t>Price/Sales</t>
  </si>
  <si>
    <t>EV/EBITDA</t>
  </si>
  <si>
    <t>Dividend Yield</t>
  </si>
  <si>
    <t>Enterprise Value</t>
  </si>
  <si>
    <t>Z-Weights</t>
  </si>
  <si>
    <t>Working Capital/Total Assets</t>
  </si>
  <si>
    <t>Retained Profits/Total Assets</t>
  </si>
  <si>
    <t>EBIT/Total Assets</t>
  </si>
  <si>
    <t>Market Cap/Total Liabilities</t>
  </si>
  <si>
    <t>Sales/Total Assets</t>
  </si>
  <si>
    <t>COMPANY NAME</t>
  </si>
  <si>
    <t>LATEST VERSION</t>
  </si>
  <si>
    <t>PLEASE DO NOT MAKE ANY CHANGES TO THIS SHEET</t>
  </si>
  <si>
    <t>CURRENT VERSION</t>
  </si>
  <si>
    <t>META</t>
  </si>
  <si>
    <t>Number of shares</t>
  </si>
  <si>
    <t>Face Value</t>
  </si>
  <si>
    <t>Current Price</t>
  </si>
  <si>
    <t>Market Capitalization</t>
  </si>
  <si>
    <t>PROFIT &amp; LOSS</t>
  </si>
  <si>
    <t>Report Date</t>
  </si>
  <si>
    <t>Raw Material Cost</t>
  </si>
  <si>
    <t>Change in Inventory</t>
  </si>
  <si>
    <t>Power and Fuel</t>
  </si>
  <si>
    <t>Other Mfr. Exp</t>
  </si>
  <si>
    <t>Selling and admin</t>
  </si>
  <si>
    <t>Other Expenses</t>
  </si>
  <si>
    <t>Profit before tax</t>
  </si>
  <si>
    <t>Net profit</t>
  </si>
  <si>
    <t>Dividend Amount</t>
  </si>
  <si>
    <t>Quarters</t>
  </si>
  <si>
    <t>Expenses</t>
  </si>
  <si>
    <t>BALANCE SHEET</t>
  </si>
  <si>
    <t>Total</t>
  </si>
  <si>
    <t>Other Assets</t>
  </si>
  <si>
    <t>Receivables</t>
  </si>
  <si>
    <t>Cash &amp; Bank</t>
  </si>
  <si>
    <t>No. of Equity Shares</t>
  </si>
  <si>
    <t>New Bonus Shares</t>
  </si>
  <si>
    <t>CASH FLOW:</t>
  </si>
  <si>
    <t>Cash from Operating Activity</t>
  </si>
  <si>
    <t>Net Cash Flow</t>
  </si>
  <si>
    <t>PRICE:</t>
  </si>
  <si>
    <t>DERIVED:</t>
  </si>
  <si>
    <t>Adjusted Equity Shares in Cr</t>
  </si>
  <si>
    <t>Piotroski 1: PAT &gt;0</t>
  </si>
  <si>
    <t>Piotroski 4: Operating Cash Flow higher than PAT</t>
  </si>
  <si>
    <t>T2 = Reserves &amp; Surplus/Total Assets</t>
  </si>
  <si>
    <t>Borrowings / Total Assets</t>
  </si>
  <si>
    <t>Piotroski 5: Borrowings/Assets lower than last Yr.</t>
  </si>
  <si>
    <t>Piotroski 6: Current Ratio than last Yr.</t>
  </si>
  <si>
    <t>T4 = Market Value of Equity/Total Assets</t>
  </si>
  <si>
    <t>Price</t>
  </si>
  <si>
    <t>CY-5</t>
  </si>
  <si>
    <t>P E/B Valuation</t>
  </si>
  <si>
    <t>Avg P/E Ratio</t>
  </si>
  <si>
    <t>Avg P/B Ratio</t>
  </si>
  <si>
    <t>EPS/BV  after 5 years</t>
  </si>
  <si>
    <t xml:space="preserve">EPS/BV </t>
  </si>
  <si>
    <t>5 Yr. Max</t>
  </si>
  <si>
    <t xml:space="preserve"> </t>
  </si>
  <si>
    <t>Receivables/
Sales</t>
  </si>
  <si>
    <t>PE</t>
  </si>
  <si>
    <t>PB</t>
  </si>
  <si>
    <t>Buffett prefers that firms reinvest their earnings within the company, provided that profitable opportunities exist. When companies have excess cash flow, Buffett favours shareholder-enhancing maneuvers such as share buybacks. While we do not screen for this factor, a follow-up examination of a company would reveal if it has a share buyback plan in place.</t>
  </si>
  <si>
    <t>FCF/CFO</t>
  </si>
  <si>
    <t>Pricing Power</t>
  </si>
  <si>
    <t>That's what is called "pricing power". Companies with moat (as seen from other screening metrics as suggested above (like high ROE, high grow margins, low debt etc.) are able to adjust prices to inflation without the risk of losing significant volume sales.</t>
  </si>
  <si>
    <t>Companies that consistently need capital to grow their sales and profits are like bank savings account, and thus bad for an investor's long term portfolio. Seek companies that don't need high capital investments consistently. Retained earnings must first go toward maintaining current operations at competitive levels, so the lower the amount needed to maintain current operations, the better. Here, more than just an absolute assessment, a comparison against competitors will help a lot. Seek companies that consistently generate positive and rising free cash flows.</t>
  </si>
  <si>
    <t>Rising earnings serve as a good catalyst for stock prices. So seek companies with strong, consistent, and expanding earnings (profits). Seek companies with 5/10 year earnings per share growth greater than 25% (alongwith safe balance sheets). To help indicate that earnings growth is still strong, look for companies where the last 3-years earnings growth rate is higher than the last 10-years growth rate. More important than the rate of growth is the consistency in such growth. So exclude companies with volatile earnings growth in the past, even if the "average" growth has been high.</t>
  </si>
  <si>
    <t>Seeks out companies with conservative financing, which equates to a simple, safe balance sheet. Such companies tend to have strong cash flows, with little need for long-term debt. Look for low debt to equity or low debt-burden ratios. Also seek companies that have history of consistently generating positive free cash flows.</t>
  </si>
  <si>
    <t>Current Ratio measures the liquidity of a company, or its ability to pay short-term obligations. 
Current Ratio = Current Assets / Current Liabilities
The ratio is mainly used to give an idea of the company's ability to pay back its short-term liabilities (debt and payables) with its short-term assets (cash, inventory, receivables). The higher the current ratio, the more capable the company is of paying its obligations. A ratio under 1 suggests that the company would be unable to pay off its obligations if they came due at that point.
While this shows the company is not in good financial health, it does not necessarily mean that it will go bankrupt - as there are many ways to access financing - but it is definitely not a good sign.
The current ratio can give a sense of the efficiency of a company's operating cycle or its ability to turn its product into cash. Companies that have trouble getting paid on their receivables or have long inventory turnover can run into liquidity problems because they are unable to alleviate their obligations.</t>
  </si>
  <si>
    <t>Seek companies where earnings have risen as retained earnings (earnings after paying dividends) have been employed profitably. A great way to screen for such companies is by looking at those that have had consistent earnings and strong return on equity in the past.
  What counts in the long run is the increase in "per share value", not overall growth or size of a business.</t>
  </si>
  <si>
    <t>ROE = Efficiency in allocating capital, which is a CEO's #1 job. Higher = Better. Look for consistency. 
Consider it a positive sign when a company is able to earn above-average (better than competitors) returns on equity without employing much debt. Average return on equity for Indian companies over the last 10 years is approximately 16%. Thus, seek companies that earn atleast this much (16%) or more than this. Again, consistency is the key here.</t>
  </si>
  <si>
    <t>Final Price</t>
  </si>
  <si>
    <t>Conservative furture growth in EPS/BVPS</t>
  </si>
  <si>
    <t>ROE 5 Yr.</t>
  </si>
  <si>
    <t>Scorecard</t>
  </si>
  <si>
    <t>FII Holding</t>
  </si>
  <si>
    <t>DII Holding</t>
  </si>
  <si>
    <t>Pledged Promoter Holding</t>
  </si>
  <si>
    <t>Promoter Salary/PAT</t>
  </si>
  <si>
    <t>5 Yrs Back Promoter Holding</t>
  </si>
  <si>
    <t>Book Value Trend</t>
  </si>
  <si>
    <t>Assumptions</t>
  </si>
  <si>
    <t>PE Ratio</t>
  </si>
  <si>
    <t>PB Ratio</t>
  </si>
  <si>
    <t>Bank Interest 1 Yr</t>
  </si>
  <si>
    <t>Current EPS</t>
  </si>
  <si>
    <t>&gt;=-3%</t>
  </si>
  <si>
    <t>Debt/PAT</t>
  </si>
  <si>
    <t>Distance Covered</t>
  </si>
  <si>
    <t>Assets</t>
  </si>
  <si>
    <t xml:space="preserve">Shareholder funds </t>
  </si>
  <si>
    <t>List of mistakes made in the market made over and over again -</t>
  </si>
  <si>
    <t>Do not be taken in by the new highs. Once the past peak of the index has been crossed, every new level is a new high &amp; there is nothing extraordinary about it.</t>
  </si>
  <si>
    <t>These are journeys of an index which will go up as the market prices of stocks go up. They are not urgent reminders that tell you about loss opportunities.</t>
  </si>
  <si>
    <t>Do not treat them like immediate calls for actions. Do not check the index everyday, and do not make generalizations based on the index.</t>
  </si>
  <si>
    <t xml:space="preserve">Explanations about why the market is up or down is equally useless. Discount them. How you will do is a function of what you are buying, holding and selling. </t>
  </si>
  <si>
    <t>Stay focussed on that micro reality, not on the macro nartatives floating around.</t>
  </si>
  <si>
    <t>Do not sacrifice quality for anything. The rising tide allows lightweights to also soar. Do not use price as an indicator of how good the stock is.</t>
  </si>
  <si>
    <t>What you see as the rise in the price of the stock in the past is history. What will matter to you is how the stock stock will behave in the future.</t>
  </si>
  <si>
    <t>Make sure your holdings are worth your hard earned money. Do not take chances with unknown stocks and overhyped IPO when there are enough of others with well established track record &amp; performance numbers</t>
  </si>
  <si>
    <t>Your money deserves better</t>
  </si>
  <si>
    <t>Do not benchmark your returns with what you may have gained in the short-term by participating in the equity markets. It is a good feeling to see the value of investments go up.</t>
  </si>
  <si>
    <t xml:space="preserve">A bull market attracts investors as their confidence moves up when what they have invested in begins to do well, or exceed their expectations </t>
  </si>
  <si>
    <t>Investors who see a 10% return as fantastic will begin to believe that a 40% return is to be normally expected.</t>
  </si>
  <si>
    <t>It does not matter when that would happen, not is it necessary to predict the next fall. Returns will eventually average out overtime and these abnormal gains will bufer you again.</t>
  </si>
  <si>
    <t>Do not quit in great haste. The desire to be right about timing the market is very high with investors. Coming off from a flat into a boom creates anxities.</t>
  </si>
  <si>
    <t xml:space="preserve">Stories about how someone did not make all the money because of not getting out at the right time remain in memory. </t>
  </si>
  <si>
    <t>Tentativeness about how far the markets will run up will increase as naysayers point to the end of the bull market with every rise.</t>
  </si>
  <si>
    <t>Remember that a bull market is not defined by its highs, but by its lows. No one knows how far your stock will run and you may regret quitting too soon.</t>
  </si>
  <si>
    <t>Allow your gains to run. What you have to be hawk-eyed is the loss.</t>
  </si>
  <si>
    <t>Do not hesitate to throw out the bad apples. There is no way you will get each one of the stock picks right - even if you did the best research and analysis.</t>
  </si>
  <si>
    <t>There are too many unknowns and a stock you picked might end up doing worse that you expected. Your portfolio will do well if you focus on selling off what is losing money for you, rather than selling what is making money.</t>
  </si>
  <si>
    <t>If you are unable to see at a loss and move on, you may still not be ready for equity investing.If you do not cut your loss, your profits may get wiped off.</t>
  </si>
  <si>
    <t>Do not indulge in day trading if you not mastered the art of managing your capital. Trading is very different from investing &amp; calls for a different set of skills.</t>
  </si>
  <si>
    <t>Riding the momentum in a stock and booking some quick gains can make you mistakenly believe that it is all easy. Its just that you got lukcy in a gamble ans you may not be able to replicate your gains.</t>
  </si>
  <si>
    <t>Traders are tested when the bets move against them and a good one will bow out and take the loss on the chin. The amateur will hold the position &amp; wish for the markets to oblige &amp; get caught up in steep loss.</t>
  </si>
  <si>
    <t>Trading is about moving the capital quickly across positions, evaluating them as you go along. If you merely buy &amp; sell without that agility it is your broker who will make the money, not you.</t>
  </si>
  <si>
    <t>Particpate in the market with the power of information and preparedness. There are sensible approaches for discerning investor to participate in the value that businesses create</t>
  </si>
  <si>
    <t>RoE</t>
  </si>
  <si>
    <t>NP</t>
  </si>
  <si>
    <t>Tangible assets (Non-current)</t>
  </si>
  <si>
    <t>Investments (Current)</t>
  </si>
  <si>
    <t>Rest</t>
  </si>
  <si>
    <t>Raw Mat + Invt change</t>
  </si>
  <si>
    <t>Inventories (Current)</t>
  </si>
  <si>
    <t>Receivables (Current)</t>
  </si>
  <si>
    <t>Cash (Current)</t>
  </si>
  <si>
    <t>Liabilities</t>
  </si>
  <si>
    <t>Shareholder Funds</t>
  </si>
  <si>
    <r>
      <t>EPS</t>
    </r>
    <r>
      <rPr>
        <vertAlign val="subscript"/>
        <sz val="10"/>
        <color theme="1"/>
        <rFont val="Arial"/>
        <family val="2"/>
      </rPr>
      <t>i</t>
    </r>
  </si>
  <si>
    <r>
      <t>EPS</t>
    </r>
    <r>
      <rPr>
        <vertAlign val="subscript"/>
        <sz val="10"/>
        <color theme="1"/>
        <rFont val="Arial"/>
        <family val="2"/>
      </rPr>
      <t>i-1</t>
    </r>
  </si>
  <si>
    <t>Distance Left (5 Yrs.)</t>
  </si>
  <si>
    <t>Distance Left (1 Yr)</t>
  </si>
  <si>
    <t>P/L - Annual</t>
  </si>
  <si>
    <t>P/L - Quaterly</t>
  </si>
  <si>
    <t>While it is not possible to predict the future with any degee of certainity, you need to have an investment thesis or a basic set of reasons why you bought the stock. Write down your reasons.</t>
  </si>
  <si>
    <t>Do not be taken in by recent  experiences of appreciation in the value of your investments. Learn to see these as the buffer for the inevitable correction that will come in the future.</t>
  </si>
  <si>
    <t xml:space="preserve">Do not hope to recover your loss from the stock you wrongly picked. You can make it in a another stock.By letting your losses to persist, you are allowing your capital to bleed. </t>
  </si>
  <si>
    <t>http://www.bseindia.com/corporates/Sharehold_Searchnew.aspx?expandable=3</t>
  </si>
  <si>
    <t>P/L - Annual - YoY change</t>
  </si>
  <si>
    <t>Philip Fisher on What to Buy</t>
  </si>
  <si>
    <t>1.Does the company have products or services with sufficient market potential to make possible a sizeable increase in sales for atleast several years</t>
  </si>
  <si>
    <t>2.Does the management has determination to continue to develop products or processes that will further increase total sales potential when the growth potential of currently attractive product lines have largely been exploited</t>
  </si>
  <si>
    <t>3.How effective are the company's research and development efforts in relation to its size</t>
  </si>
  <si>
    <t>4.Does the company have an above average sales organization</t>
  </si>
  <si>
    <t>5.Does the company have a worthwhile profit margin</t>
  </si>
  <si>
    <t>6.What is the company doing to maintain or improve its profit margin</t>
  </si>
  <si>
    <t>7.Does the company have outstanding labor and personel relations</t>
  </si>
  <si>
    <t>8.Does the company have outstanding executive relations</t>
  </si>
  <si>
    <t>9.Does the company have depth to its management</t>
  </si>
  <si>
    <t>10.How good are the company's cost analysis and accounting controls</t>
  </si>
  <si>
    <t>11.Are there other aspects of the business, somewhat peculiar to the industry involved, which will give the investor important clues as to how outstanding the company maybe in relation to its competitors</t>
  </si>
  <si>
    <t>12.Does the company have a short-range or a long-range outlook in regard to its profits</t>
  </si>
  <si>
    <t>13.In the foreseeable future will the growth of the company require sufficient equity financing so that the large number of shares then outstanding will largely cancel the existing share holder's benefit from this anticipated growth</t>
  </si>
  <si>
    <t>14.Does the management talk freely to investors about its affairs when things are going well but calm up when trouble and disappointments happen</t>
  </si>
  <si>
    <t>15. Dies the company has management of unquestionable integrity</t>
  </si>
  <si>
    <t>P/L - QoQ - change</t>
  </si>
  <si>
    <t xml:space="preserve">Sales </t>
  </si>
  <si>
    <t>Sales QoQ</t>
  </si>
  <si>
    <t>NP QoQ</t>
  </si>
  <si>
    <t>Sales YoY</t>
  </si>
  <si>
    <t>EPS YoY</t>
  </si>
  <si>
    <r>
      <t xml:space="preserve">EPS - </t>
    </r>
    <r>
      <rPr>
        <b/>
        <i/>
        <sz val="10"/>
        <color theme="1"/>
        <rFont val="Arial"/>
        <family val="2"/>
      </rPr>
      <t>Annl</t>
    </r>
  </si>
  <si>
    <r>
      <t xml:space="preserve">Total Income - </t>
    </r>
    <r>
      <rPr>
        <b/>
        <i/>
        <sz val="12"/>
        <color theme="1"/>
        <rFont val="Calibri"/>
        <family val="2"/>
        <scheme val="minor"/>
      </rPr>
      <t>Annl</t>
    </r>
  </si>
  <si>
    <r>
      <t xml:space="preserve">Income Dist - </t>
    </r>
    <r>
      <rPr>
        <b/>
        <i/>
        <sz val="10"/>
        <color theme="1"/>
        <rFont val="Arial"/>
        <family val="2"/>
      </rPr>
      <t>Annl</t>
    </r>
  </si>
  <si>
    <r>
      <t xml:space="preserve">Income Dist - </t>
    </r>
    <r>
      <rPr>
        <b/>
        <i/>
        <sz val="10"/>
        <color theme="1"/>
        <rFont val="Arial"/>
        <family val="2"/>
      </rPr>
      <t>Qtrly</t>
    </r>
  </si>
  <si>
    <r>
      <t xml:space="preserve">Net Profit - </t>
    </r>
    <r>
      <rPr>
        <b/>
        <i/>
        <sz val="10"/>
        <color theme="1"/>
        <rFont val="Arial"/>
        <family val="2"/>
      </rPr>
      <t>Annl</t>
    </r>
  </si>
  <si>
    <r>
      <t xml:space="preserve">Total Income - </t>
    </r>
    <r>
      <rPr>
        <b/>
        <i/>
        <sz val="12"/>
        <color theme="1"/>
        <rFont val="Calibri"/>
        <family val="2"/>
        <scheme val="minor"/>
      </rPr>
      <t>Qtrly</t>
    </r>
  </si>
  <si>
    <r>
      <t xml:space="preserve">Liabilities - </t>
    </r>
    <r>
      <rPr>
        <b/>
        <i/>
        <sz val="12"/>
        <color theme="1"/>
        <rFont val="Calibri"/>
        <family val="2"/>
        <scheme val="minor"/>
      </rPr>
      <t>Annl</t>
    </r>
  </si>
  <si>
    <r>
      <t xml:space="preserve">Tangible Assets - </t>
    </r>
    <r>
      <rPr>
        <b/>
        <i/>
        <sz val="12"/>
        <color theme="1"/>
        <rFont val="Calibri"/>
        <family val="2"/>
        <scheme val="minor"/>
      </rPr>
      <t>Annl</t>
    </r>
  </si>
  <si>
    <r>
      <t xml:space="preserve">Asset Dist. - </t>
    </r>
    <r>
      <rPr>
        <b/>
        <i/>
        <sz val="10"/>
        <color theme="1"/>
        <rFont val="Arial"/>
        <family val="2"/>
      </rPr>
      <t>Annl</t>
    </r>
  </si>
  <si>
    <t>GHCL LTD</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</si>
</sst>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gt;9999999]##\,##\,##\,##0.00;[&gt;99999]##\,##\,##0.00;##,##0.00"/>
    <numFmt numFmtId="165" formatCode="_ &quot;₹&quot;\ * #,##0_ ;_ &quot;₹&quot;\ * \-#,##0_ ;_ &quot;₹&quot;\ * &quot;-&quot;??_ ;_ @_ "/>
    <numFmt numFmtId="166" formatCode="_(* #,##0_);_(* \(#,##0\);_(* &quot;-&quot;??_);_(@_)"/>
    <numFmt numFmtId="167" formatCode="0.0"/>
    <numFmt numFmtId="168" formatCode="0.0%"/>
    <numFmt numFmtId="169" formatCode="_(* #,##0.0_);_(* \(#,##0.0\);_(* &quot;-&quot;??_);_(@_)"/>
    <numFmt numFmtId="170" formatCode="_ * #,##0.00_ ;_ * \-#,##0.00_ ;_ * &quot;-&quot;??_ ;_ @_ "/>
    <numFmt numFmtId="171" formatCode="[$-409]mmm\-yy;@"/>
  </numFmts>
  <fonts count="58">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b/>
      <sz val="11"/>
      <color theme="1"/>
      <name val="Arial"/>
      <family val="2"/>
    </font>
    <font>
      <sz val="11"/>
      <color theme="1"/>
      <name val="Arial"/>
      <family val="2"/>
    </font>
    <font>
      <sz val="11"/>
      <color theme="0"/>
      <name val="Arial"/>
      <family val="2"/>
    </font>
    <font>
      <sz val="10"/>
      <color theme="0"/>
      <name val="Arial"/>
      <family val="2"/>
    </font>
    <font>
      <u/>
      <sz val="11"/>
      <color theme="10"/>
      <name val="Arial"/>
      <family val="2"/>
    </font>
    <font>
      <b/>
      <sz val="12"/>
      <color theme="3" tint="-0.249977111117893"/>
      <name val="Georgia"/>
      <family val="1"/>
    </font>
    <font>
      <u/>
      <sz val="10"/>
      <color theme="10"/>
      <name val="Arial"/>
      <family val="2"/>
    </font>
    <font>
      <sz val="10"/>
      <color theme="1"/>
      <name val="Arial"/>
      <family val="2"/>
    </font>
    <font>
      <sz val="10"/>
      <color theme="0"/>
      <name val="Calibri"/>
      <family val="2"/>
      <scheme val="minor"/>
    </font>
    <font>
      <b/>
      <sz val="10"/>
      <color theme="1"/>
      <name val="Arial"/>
      <family val="2"/>
    </font>
    <font>
      <b/>
      <sz val="10"/>
      <color theme="0"/>
      <name val="Calibri"/>
      <family val="2"/>
      <scheme val="minor"/>
    </font>
    <font>
      <sz val="11"/>
      <name val="Arial"/>
      <family val="2"/>
    </font>
    <font>
      <sz val="11"/>
      <color rgb="FF3F3F76"/>
      <name val="Calibri"/>
      <family val="2"/>
      <scheme val="minor"/>
    </font>
    <font>
      <sz val="11"/>
      <color rgb="FFFF0000"/>
      <name val="Calibri"/>
      <family val="2"/>
      <scheme val="minor"/>
    </font>
    <font>
      <sz val="10"/>
      <name val="Arial"/>
      <family val="2"/>
    </font>
    <font>
      <sz val="11"/>
      <color theme="1"/>
      <name val="Calibri"/>
      <family val="2"/>
      <scheme val="minor"/>
    </font>
    <font>
      <b/>
      <sz val="11"/>
      <color rgb="FF7030A0"/>
      <name val="Calibri"/>
      <family val="2"/>
      <scheme val="minor"/>
    </font>
    <font>
      <b/>
      <sz val="11"/>
      <color rgb="FF00B050"/>
      <name val="Calibri"/>
      <family val="2"/>
      <scheme val="minor"/>
    </font>
    <font>
      <sz val="9"/>
      <color theme="1"/>
      <name val="Arial"/>
      <family val="2"/>
    </font>
    <font>
      <sz val="9"/>
      <color rgb="FF3F3F76"/>
      <name val="Calibri"/>
      <family val="2"/>
      <scheme val="minor"/>
    </font>
    <font>
      <b/>
      <sz val="11"/>
      <color theme="0"/>
      <name val="Calibri"/>
      <family val="2"/>
      <scheme val="minor"/>
    </font>
    <font>
      <b/>
      <sz val="11"/>
      <color rgb="FFFF0000"/>
      <name val="Calibri"/>
      <family val="2"/>
      <scheme val="minor"/>
    </font>
    <font>
      <sz val="11"/>
      <color rgb="FF00B050"/>
      <name val="Calibri"/>
      <family val="2"/>
      <scheme val="minor"/>
    </font>
    <font>
      <u/>
      <sz val="11"/>
      <color rgb="FF555555"/>
      <name val="Inherit"/>
    </font>
    <font>
      <sz val="26"/>
      <color theme="1"/>
      <name val="Calibri"/>
      <family val="2"/>
    </font>
    <font>
      <vertAlign val="subscript"/>
      <sz val="11"/>
      <color theme="1"/>
      <name val="Calibri"/>
      <family val="2"/>
      <scheme val="minor"/>
    </font>
    <font>
      <sz val="9"/>
      <color theme="1"/>
      <name val="Cambria"/>
      <family val="1"/>
      <scheme val="major"/>
    </font>
    <font>
      <b/>
      <sz val="9"/>
      <color theme="1"/>
      <name val="Cambria"/>
      <family val="1"/>
      <scheme val="major"/>
    </font>
    <font>
      <sz val="9"/>
      <color rgb="FF444444"/>
      <name val="Cambria"/>
      <family val="1"/>
      <scheme val="major"/>
    </font>
    <font>
      <b/>
      <sz val="9"/>
      <color rgb="FF444444"/>
      <name val="Cambria"/>
      <family val="1"/>
      <scheme val="major"/>
    </font>
    <font>
      <b/>
      <sz val="9"/>
      <color theme="1"/>
      <name val="Calibri"/>
      <family val="2"/>
    </font>
    <font>
      <sz val="9"/>
      <color theme="1"/>
      <name val="Calibri"/>
      <family val="2"/>
      <charset val="1"/>
    </font>
    <font>
      <sz val="11"/>
      <color theme="1"/>
      <name val="Calibri"/>
      <family val="2"/>
      <charset val="1"/>
    </font>
    <font>
      <sz val="9"/>
      <color theme="1"/>
      <name val="Calibri"/>
      <family val="2"/>
    </font>
    <font>
      <sz val="9"/>
      <color indexed="81"/>
      <name val="Tahoma"/>
      <family val="2"/>
    </font>
    <font>
      <b/>
      <sz val="11"/>
      <name val="Calibri"/>
      <family val="2"/>
      <charset val="1"/>
    </font>
    <font>
      <sz val="11"/>
      <name val="Calibri"/>
      <family val="2"/>
      <charset val="1"/>
    </font>
    <font>
      <b/>
      <sz val="11"/>
      <color indexed="9"/>
      <name val="Calibri"/>
      <family val="2"/>
      <charset val="1"/>
    </font>
    <font>
      <sz val="10"/>
      <name val="Calibri"/>
      <family val="2"/>
      <charset val="1"/>
    </font>
    <font>
      <b/>
      <sz val="10"/>
      <name val="Calibri"/>
      <family val="2"/>
      <charset val="1"/>
    </font>
    <font>
      <sz val="10"/>
      <color indexed="59"/>
      <name val="Calibri"/>
      <family val="2"/>
      <charset val="1"/>
    </font>
    <font>
      <sz val="9"/>
      <name val="Arial"/>
      <family val="2"/>
      <charset val="1"/>
    </font>
    <font>
      <sz val="10"/>
      <color indexed="8"/>
      <name val="Calibri"/>
      <family val="2"/>
      <charset val="1"/>
    </font>
    <font>
      <b/>
      <sz val="9"/>
      <color indexed="81"/>
      <name val="Tahoma"/>
      <family val="2"/>
    </font>
    <font>
      <u/>
      <sz val="11"/>
      <color theme="10"/>
      <name val="Calibri"/>
      <family val="2"/>
    </font>
    <font>
      <sz val="8"/>
      <color theme="1"/>
      <name val="Arial"/>
      <family val="2"/>
    </font>
    <font>
      <sz val="10"/>
      <color theme="1"/>
      <name val="Calibri"/>
      <family val="2"/>
      <scheme val="minor"/>
    </font>
    <font>
      <sz val="9"/>
      <color theme="1"/>
      <name val="Calibri"/>
      <family val="2"/>
      <scheme val="minor"/>
    </font>
    <font>
      <sz val="8"/>
      <color rgb="FF000000"/>
      <name val="Segoe UI"/>
      <family val="2"/>
    </font>
    <font>
      <vertAlign val="subscript"/>
      <sz val="10"/>
      <color theme="1"/>
      <name val="Arial"/>
      <family val="2"/>
    </font>
    <font>
      <b/>
      <i/>
      <sz val="10"/>
      <color theme="1"/>
      <name val="Arial"/>
      <family val="2"/>
    </font>
    <font>
      <b/>
      <sz val="12"/>
      <color theme="1"/>
      <name val="Calibri"/>
      <family val="2"/>
      <scheme val="minor"/>
    </font>
    <font>
      <b/>
      <i/>
      <sz val="12"/>
      <color theme="1"/>
      <name val="Calibri"/>
      <family val="2"/>
      <scheme val="minor"/>
    </font>
  </fonts>
  <fills count="30">
    <fill>
      <patternFill patternType="none"/>
    </fill>
    <fill>
      <patternFill patternType="gray125"/>
    </fill>
    <fill>
      <patternFill patternType="solid">
        <fgColor theme="4"/>
      </patternFill>
    </fill>
    <fill>
      <patternFill patternType="solid">
        <fgColor theme="7"/>
      </patternFill>
    </fill>
    <fill>
      <patternFill patternType="solid">
        <fgColor theme="1"/>
        <bgColor indexed="64"/>
      </patternFill>
    </fill>
    <fill>
      <patternFill patternType="solid">
        <fgColor rgb="FFFFFFFF"/>
        <bgColor indexed="64"/>
      </patternFill>
    </fill>
    <fill>
      <patternFill patternType="solid">
        <fgColor rgb="FFFFFF00"/>
        <bgColor indexed="64"/>
      </patternFill>
    </fill>
    <fill>
      <patternFill patternType="solid">
        <fgColor theme="6"/>
      </patternFill>
    </fill>
    <fill>
      <patternFill patternType="solid">
        <fgColor theme="3" tint="0.79998168889431442"/>
        <bgColor indexed="64"/>
      </patternFill>
    </fill>
    <fill>
      <patternFill patternType="solid">
        <fgColor theme="5"/>
        <bgColor indexed="64"/>
      </patternFill>
    </fill>
    <fill>
      <patternFill patternType="solid">
        <fgColor rgb="FF92D050"/>
        <bgColor indexed="64"/>
      </patternFill>
    </fill>
    <fill>
      <patternFill patternType="solid">
        <fgColor theme="7"/>
        <bgColor indexed="64"/>
      </patternFill>
    </fill>
    <fill>
      <patternFill patternType="solid">
        <fgColor rgb="FFFFCC99"/>
      </patternFill>
    </fill>
    <fill>
      <patternFill patternType="solid">
        <fgColor rgb="FFFFC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bgColor indexed="64"/>
      </patternFill>
    </fill>
    <fill>
      <patternFill patternType="solid">
        <fgColor theme="7" tint="-0.249977111117893"/>
        <bgColor indexed="64"/>
      </patternFill>
    </fill>
    <fill>
      <patternFill patternType="solid">
        <fgColor theme="9"/>
      </patternFill>
    </fill>
    <fill>
      <patternFill patternType="solid">
        <fgColor theme="0" tint="-4.9989318521683403E-2"/>
        <bgColor indexed="64"/>
      </patternFill>
    </fill>
    <fill>
      <patternFill patternType="solid">
        <fgColor rgb="FFC7E6A4"/>
        <bgColor indexed="64"/>
      </patternFill>
    </fill>
    <fill>
      <patternFill patternType="solid">
        <fgColor rgb="FFF2F2F2"/>
        <bgColor indexed="64"/>
      </patternFill>
    </fill>
    <fill>
      <patternFill patternType="solid">
        <fgColor indexed="16"/>
        <bgColor indexed="37"/>
      </patternFill>
    </fill>
    <fill>
      <patternFill patternType="solid">
        <fgColor indexed="50"/>
        <bgColor indexed="55"/>
      </patternFill>
    </fill>
    <fill>
      <patternFill patternType="solid">
        <fgColor indexed="30"/>
        <bgColor indexed="40"/>
      </patternFill>
    </fill>
    <fill>
      <patternFill patternType="solid">
        <fgColor indexed="41"/>
        <bgColor indexed="31"/>
      </patternFill>
    </fill>
    <fill>
      <patternFill patternType="solid">
        <fgColor indexed="51"/>
        <bgColor indexed="52"/>
      </patternFill>
    </fill>
    <fill>
      <patternFill patternType="solid">
        <fgColor indexed="40"/>
        <bgColor indexed="30"/>
      </patternFill>
    </fill>
    <fill>
      <patternFill patternType="solid">
        <fgColor rgb="FF0275D8"/>
        <bgColor indexed="64"/>
      </patternFill>
    </fill>
    <fill>
      <patternFill patternType="solid">
        <fgColor theme="0" tint="-0.3499862666707357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right/>
      <top style="thin">
        <color rgb="FF7F7F7F"/>
      </top>
      <bottom/>
      <diagonal/>
    </border>
    <border>
      <left/>
      <right style="thin">
        <color indexed="64"/>
      </right>
      <top style="thin">
        <color rgb="FF7F7F7F"/>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double">
        <color auto="1"/>
      </top>
      <bottom/>
      <diagonal/>
    </border>
    <border>
      <left/>
      <right/>
      <top/>
      <bottom style="double">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indexed="8"/>
      </left>
      <right style="hair">
        <color indexed="8"/>
      </right>
      <top style="hair">
        <color indexed="8"/>
      </top>
      <bottom style="hair">
        <color indexed="8"/>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hair">
        <color indexed="8"/>
      </left>
      <right style="hair">
        <color indexed="8"/>
      </right>
      <top/>
      <bottom/>
      <diagonal/>
    </border>
    <border>
      <left style="medium">
        <color indexed="64"/>
      </left>
      <right/>
      <top/>
      <bottom/>
      <diagonal/>
    </border>
    <border>
      <left style="thin">
        <color indexed="64"/>
      </left>
      <right/>
      <top style="thin">
        <color indexed="64"/>
      </top>
      <bottom/>
      <diagonal/>
    </border>
    <border>
      <left/>
      <right/>
      <top style="double">
        <color theme="0" tint="-0.499984740745262"/>
      </top>
      <bottom/>
      <diagonal/>
    </border>
    <border>
      <left/>
      <right/>
      <top/>
      <bottom style="double">
        <color theme="0" tint="-0.499984740745262"/>
      </bottom>
      <diagonal/>
    </border>
  </borders>
  <cellStyleXfs count="12">
    <xf numFmtId="0" fontId="0" fillId="0" borderId="0"/>
    <xf numFmtId="0" fontId="2" fillId="2" borderId="0" applyNumberFormat="0" applyBorder="0" applyAlignment="0" applyProtection="0"/>
    <xf numFmtId="0" fontId="2" fillId="3" borderId="0" applyNumberFormat="0" applyBorder="0" applyAlignment="0" applyProtection="0"/>
    <xf numFmtId="0" fontId="4" fillId="0" borderId="0" applyNumberFormat="0" applyFill="0" applyBorder="0" applyAlignment="0" applyProtection="0"/>
    <xf numFmtId="0" fontId="2" fillId="7" borderId="0" applyNumberFormat="0" applyBorder="0" applyAlignment="0" applyProtection="0"/>
    <xf numFmtId="0" fontId="17" fillId="12" borderId="8" applyNumberFormat="0" applyAlignment="0" applyProtection="0"/>
    <xf numFmtId="9" fontId="20" fillId="0" borderId="0" applyFont="0" applyFill="0" applyBorder="0" applyAlignment="0" applyProtection="0"/>
    <xf numFmtId="43" fontId="20" fillId="0" borderId="0" applyFont="0" applyFill="0" applyBorder="0" applyAlignment="0" applyProtection="0"/>
    <xf numFmtId="0" fontId="2" fillId="18" borderId="0" applyNumberFormat="0" applyBorder="0" applyAlignment="0" applyProtection="0"/>
    <xf numFmtId="0" fontId="19" fillId="0" borderId="0"/>
    <xf numFmtId="170" fontId="20" fillId="0" borderId="0" applyFont="0" applyFill="0" applyBorder="0" applyAlignment="0" applyProtection="0"/>
    <xf numFmtId="0" fontId="49" fillId="0" borderId="0" applyNumberFormat="0" applyFill="0" applyBorder="0" applyAlignment="0" applyProtection="0">
      <alignment vertical="top"/>
      <protection locked="0"/>
    </xf>
  </cellStyleXfs>
  <cellXfs count="332">
    <xf numFmtId="0" fontId="0" fillId="0" borderId="0" xfId="0"/>
    <xf numFmtId="164" fontId="7" fillId="2" borderId="1" xfId="1" applyNumberFormat="1" applyFont="1" applyBorder="1" applyAlignment="1" applyProtection="1">
      <alignment horizontal="center" vertical="center" wrapText="1"/>
      <protection hidden="1"/>
    </xf>
    <xf numFmtId="0" fontId="0" fillId="0" borderId="0" xfId="0" applyProtection="1">
      <protection locked="0"/>
    </xf>
    <xf numFmtId="0" fontId="7" fillId="2" borderId="1" xfId="1" applyFont="1" applyBorder="1" applyAlignment="1" applyProtection="1">
      <alignment horizontal="center" vertical="center"/>
      <protection locked="0"/>
    </xf>
    <xf numFmtId="0" fontId="7" fillId="9" borderId="0" xfId="0" applyFont="1" applyFill="1" applyProtection="1">
      <protection locked="0"/>
    </xf>
    <xf numFmtId="0" fontId="0" fillId="0" borderId="0" xfId="0" applyAlignment="1" applyProtection="1">
      <alignment wrapText="1"/>
      <protection locked="0"/>
    </xf>
    <xf numFmtId="0" fontId="16" fillId="10" borderId="0" xfId="0" applyFont="1" applyFill="1" applyProtection="1">
      <protection locked="0"/>
    </xf>
    <xf numFmtId="0" fontId="7" fillId="11" borderId="0" xfId="0" applyFont="1" applyFill="1" applyProtection="1">
      <protection locked="0"/>
    </xf>
    <xf numFmtId="0" fontId="12" fillId="0" borderId="0" xfId="0" applyFont="1" applyProtection="1">
      <protection hidden="1"/>
    </xf>
    <xf numFmtId="0" fontId="12" fillId="0" borderId="1" xfId="0" applyFont="1" applyBorder="1" applyProtection="1">
      <protection hidden="1"/>
    </xf>
    <xf numFmtId="2" fontId="12" fillId="0" borderId="1" xfId="0" applyNumberFormat="1" applyFont="1" applyBorder="1" applyProtection="1">
      <protection hidden="1"/>
    </xf>
    <xf numFmtId="10" fontId="12" fillId="0" borderId="1" xfId="0" applyNumberFormat="1" applyFont="1" applyBorder="1" applyProtection="1">
      <protection hidden="1"/>
    </xf>
    <xf numFmtId="0" fontId="12" fillId="0" borderId="2" xfId="0" applyFont="1" applyBorder="1" applyProtection="1">
      <protection hidden="1"/>
    </xf>
    <xf numFmtId="0" fontId="12" fillId="0" borderId="0" xfId="0" applyFont="1" applyBorder="1" applyProtection="1">
      <protection hidden="1"/>
    </xf>
    <xf numFmtId="10" fontId="12" fillId="6" borderId="2" xfId="0" applyNumberFormat="1" applyFont="1" applyFill="1" applyBorder="1" applyProtection="1">
      <protection hidden="1"/>
    </xf>
    <xf numFmtId="1" fontId="12" fillId="0" borderId="1" xfId="0" applyNumberFormat="1" applyFont="1" applyBorder="1" applyAlignment="1" applyProtection="1">
      <alignment horizontal="right"/>
      <protection hidden="1"/>
    </xf>
    <xf numFmtId="2" fontId="12" fillId="0" borderId="2" xfId="0" applyNumberFormat="1" applyFont="1" applyBorder="1" applyProtection="1">
      <protection hidden="1"/>
    </xf>
    <xf numFmtId="0" fontId="17" fillId="12" borderId="8" xfId="5" applyAlignment="1" applyProtection="1">
      <alignment horizontal="center" vertical="center" wrapText="1"/>
      <protection locked="0"/>
    </xf>
    <xf numFmtId="10" fontId="17" fillId="12" borderId="8" xfId="5" applyNumberFormat="1" applyAlignment="1" applyProtection="1">
      <alignment horizontal="center" vertical="center" wrapText="1"/>
      <protection locked="0"/>
    </xf>
    <xf numFmtId="0" fontId="17" fillId="12" borderId="8" xfId="5" applyAlignment="1" applyProtection="1">
      <alignment horizontal="left" vertical="center" wrapText="1"/>
      <protection locked="0"/>
    </xf>
    <xf numFmtId="0" fontId="15" fillId="7" borderId="1" xfId="4" applyFont="1" applyBorder="1" applyProtection="1">
      <protection hidden="1"/>
    </xf>
    <xf numFmtId="14" fontId="15" fillId="7" borderId="1" xfId="4" applyNumberFormat="1" applyFont="1" applyBorder="1" applyAlignment="1" applyProtection="1">
      <alignment horizontal="right" vertical="center" wrapText="1"/>
      <protection hidden="1"/>
    </xf>
    <xf numFmtId="0" fontId="6" fillId="0" borderId="1" xfId="0" applyFont="1" applyBorder="1" applyProtection="1">
      <protection hidden="1"/>
    </xf>
    <xf numFmtId="2" fontId="6" fillId="0" borderId="1" xfId="0" applyNumberFormat="1" applyFont="1" applyBorder="1" applyProtection="1">
      <protection hidden="1"/>
    </xf>
    <xf numFmtId="0" fontId="6" fillId="0" borderId="1" xfId="0" applyFont="1" applyFill="1" applyBorder="1" applyProtection="1">
      <protection hidden="1"/>
    </xf>
    <xf numFmtId="10" fontId="6" fillId="0" borderId="1" xfId="0" applyNumberFormat="1" applyFont="1" applyBorder="1" applyProtection="1">
      <protection hidden="1"/>
    </xf>
    <xf numFmtId="0" fontId="6" fillId="6" borderId="1" xfId="0" applyFont="1" applyFill="1" applyBorder="1" applyProtection="1">
      <protection hidden="1"/>
    </xf>
    <xf numFmtId="3" fontId="6" fillId="0" borderId="1" xfId="0" applyNumberFormat="1" applyFont="1" applyBorder="1" applyProtection="1">
      <protection hidden="1"/>
    </xf>
    <xf numFmtId="0" fontId="6" fillId="0" borderId="0" xfId="0" applyFont="1" applyBorder="1" applyProtection="1">
      <protection hidden="1"/>
    </xf>
    <xf numFmtId="0" fontId="6" fillId="0" borderId="0" xfId="0" applyFont="1" applyProtection="1">
      <protection hidden="1"/>
    </xf>
    <xf numFmtId="0" fontId="7" fillId="7" borderId="1" xfId="4" applyFont="1" applyBorder="1" applyProtection="1">
      <protection hidden="1"/>
    </xf>
    <xf numFmtId="14" fontId="7" fillId="7" borderId="1" xfId="4" applyNumberFormat="1" applyFont="1" applyBorder="1" applyAlignment="1" applyProtection="1">
      <alignment horizontal="center" vertical="center" wrapText="1"/>
      <protection hidden="1"/>
    </xf>
    <xf numFmtId="0" fontId="7" fillId="0" borderId="0" xfId="0" applyFont="1" applyProtection="1">
      <protection hidden="1"/>
    </xf>
    <xf numFmtId="0" fontId="6" fillId="0" borderId="2" xfId="0" applyFont="1" applyBorder="1" applyProtection="1">
      <protection hidden="1"/>
    </xf>
    <xf numFmtId="1" fontId="7" fillId="0" borderId="0" xfId="0" applyNumberFormat="1" applyFont="1" applyProtection="1">
      <protection hidden="1"/>
    </xf>
    <xf numFmtId="0" fontId="6" fillId="0" borderId="1" xfId="0" applyNumberFormat="1" applyFont="1" applyFill="1" applyBorder="1" applyAlignment="1" applyProtection="1">
      <alignment horizontal="right"/>
      <protection hidden="1"/>
    </xf>
    <xf numFmtId="0" fontId="6" fillId="0" borderId="0" xfId="0" applyNumberFormat="1" applyFont="1" applyFill="1" applyBorder="1" applyAlignment="1" applyProtection="1">
      <alignment horizontal="right"/>
      <protection hidden="1"/>
    </xf>
    <xf numFmtId="0" fontId="6" fillId="0" borderId="1" xfId="0" applyNumberFormat="1" applyFont="1" applyBorder="1" applyAlignment="1" applyProtection="1">
      <alignment horizontal="right"/>
      <protection hidden="1"/>
    </xf>
    <xf numFmtId="0" fontId="6" fillId="0" borderId="0" xfId="0" applyNumberFormat="1" applyFont="1" applyBorder="1" applyAlignment="1" applyProtection="1">
      <alignment horizontal="right"/>
      <protection hidden="1"/>
    </xf>
    <xf numFmtId="0" fontId="5" fillId="6" borderId="1" xfId="0" applyFont="1" applyFill="1" applyBorder="1" applyAlignment="1" applyProtection="1">
      <alignment wrapText="1"/>
      <protection hidden="1"/>
    </xf>
    <xf numFmtId="0" fontId="5" fillId="6" borderId="1" xfId="0" applyNumberFormat="1" applyFont="1" applyFill="1" applyBorder="1" applyAlignment="1" applyProtection="1">
      <alignment horizontal="right"/>
      <protection hidden="1"/>
    </xf>
    <xf numFmtId="0" fontId="5" fillId="0" borderId="0" xfId="0" applyNumberFormat="1" applyFont="1" applyBorder="1" applyAlignment="1" applyProtection="1">
      <alignment horizontal="right"/>
      <protection hidden="1"/>
    </xf>
    <xf numFmtId="0" fontId="5" fillId="0" borderId="1" xfId="0" applyFont="1" applyBorder="1" applyAlignment="1" applyProtection="1">
      <alignment horizontal="center"/>
      <protection hidden="1"/>
    </xf>
    <xf numFmtId="0" fontId="16" fillId="0" borderId="0" xfId="0" applyFont="1" applyProtection="1">
      <protection hidden="1"/>
    </xf>
    <xf numFmtId="2" fontId="6" fillId="6" borderId="1" xfId="0" applyNumberFormat="1" applyFont="1" applyFill="1" applyBorder="1" applyProtection="1">
      <protection hidden="1"/>
    </xf>
    <xf numFmtId="0" fontId="2" fillId="7" borderId="0" xfId="4" applyProtection="1">
      <protection hidden="1"/>
    </xf>
    <xf numFmtId="0" fontId="0" fillId="0" borderId="0" xfId="0" applyAlignment="1">
      <alignment horizontal="left" vertical="center" indent="1"/>
    </xf>
    <xf numFmtId="0" fontId="21" fillId="0" borderId="0" xfId="0" applyFont="1"/>
    <xf numFmtId="0" fontId="0" fillId="13" borderId="1" xfId="0" applyFill="1" applyBorder="1" applyAlignment="1" applyProtection="1">
      <alignment horizontal="center"/>
      <protection hidden="1"/>
    </xf>
    <xf numFmtId="0" fontId="1" fillId="13" borderId="1" xfId="0" applyFont="1" applyFill="1" applyBorder="1" applyAlignment="1" applyProtection="1">
      <alignment horizontal="center" vertical="center" wrapText="1"/>
      <protection hidden="1"/>
    </xf>
    <xf numFmtId="0" fontId="0" fillId="14" borderId="1" xfId="0" applyFill="1" applyBorder="1" applyAlignment="1" applyProtection="1">
      <alignment horizontal="center"/>
      <protection hidden="1"/>
    </xf>
    <xf numFmtId="9" fontId="0" fillId="14" borderId="1" xfId="6" applyFont="1" applyFill="1" applyBorder="1" applyAlignment="1" applyProtection="1">
      <alignment horizontal="center"/>
      <protection hidden="1"/>
    </xf>
    <xf numFmtId="2" fontId="0" fillId="14" borderId="1" xfId="0" applyNumberFormat="1" applyFill="1" applyBorder="1" applyAlignment="1" applyProtection="1">
      <alignment horizontal="center"/>
      <protection hidden="1"/>
    </xf>
    <xf numFmtId="0" fontId="1" fillId="14" borderId="1" xfId="0" applyFont="1" applyFill="1" applyBorder="1" applyAlignment="1" applyProtection="1">
      <alignment horizontal="center"/>
      <protection hidden="1"/>
    </xf>
    <xf numFmtId="9" fontId="1" fillId="14" borderId="1" xfId="6" applyFont="1" applyFill="1" applyBorder="1" applyAlignment="1" applyProtection="1">
      <alignment horizontal="center"/>
      <protection hidden="1"/>
    </xf>
    <xf numFmtId="165" fontId="0" fillId="0" borderId="0" xfId="0" applyNumberFormat="1"/>
    <xf numFmtId="0" fontId="2" fillId="3" borderId="0" xfId="2" applyAlignment="1">
      <alignment wrapText="1"/>
    </xf>
    <xf numFmtId="0" fontId="24" fillId="12" borderId="8" xfId="5" applyFont="1" applyAlignment="1">
      <alignment wrapText="1"/>
    </xf>
    <xf numFmtId="0" fontId="23" fillId="0" borderId="1" xfId="0" applyFont="1" applyBorder="1" applyAlignment="1" applyProtection="1">
      <alignment wrapText="1"/>
      <protection hidden="1"/>
    </xf>
    <xf numFmtId="1" fontId="23" fillId="0" borderId="1" xfId="0" applyNumberFormat="1" applyFont="1" applyBorder="1" applyAlignment="1" applyProtection="1">
      <alignment wrapText="1"/>
      <protection hidden="1"/>
    </xf>
    <xf numFmtId="2" fontId="23" fillId="0" borderId="1" xfId="0" applyNumberFormat="1" applyFont="1" applyBorder="1" applyAlignment="1" applyProtection="1">
      <alignment wrapText="1"/>
      <protection hidden="1"/>
    </xf>
    <xf numFmtId="0" fontId="23" fillId="0" borderId="1" xfId="0" applyFont="1" applyBorder="1" applyProtection="1">
      <protection hidden="1"/>
    </xf>
    <xf numFmtId="0" fontId="23" fillId="0" borderId="6" xfId="0" applyFont="1" applyBorder="1" applyAlignment="1">
      <alignment wrapText="1"/>
    </xf>
    <xf numFmtId="0" fontId="23" fillId="0" borderId="7" xfId="0" applyFont="1" applyBorder="1" applyAlignment="1">
      <alignment wrapText="1"/>
    </xf>
    <xf numFmtId="0" fontId="24" fillId="15" borderId="8" xfId="5" applyFont="1" applyFill="1" applyAlignment="1" applyProtection="1">
      <alignment wrapText="1"/>
      <protection hidden="1"/>
    </xf>
    <xf numFmtId="0" fontId="17" fillId="15" borderId="8" xfId="5" applyFill="1" applyAlignment="1" applyProtection="1">
      <alignment wrapText="1"/>
      <protection hidden="1"/>
    </xf>
    <xf numFmtId="9" fontId="17" fillId="12" borderId="8" xfId="5" applyNumberFormat="1" applyAlignment="1" applyProtection="1">
      <alignment wrapText="1"/>
      <protection locked="0"/>
    </xf>
    <xf numFmtId="0" fontId="0" fillId="16" borderId="0" xfId="0" applyFill="1"/>
    <xf numFmtId="1" fontId="17" fillId="12" borderId="8" xfId="5" applyNumberFormat="1" applyAlignment="1" applyProtection="1">
      <alignment wrapText="1"/>
      <protection locked="0"/>
    </xf>
    <xf numFmtId="1" fontId="0" fillId="16" borderId="0" xfId="0" applyNumberFormat="1" applyFill="1" applyProtection="1">
      <protection hidden="1"/>
    </xf>
    <xf numFmtId="3" fontId="17" fillId="12" borderId="8" xfId="5" applyNumberFormat="1" applyAlignment="1" applyProtection="1">
      <alignment horizontal="center" vertical="center" wrapText="1"/>
      <protection locked="0"/>
    </xf>
    <xf numFmtId="0" fontId="26" fillId="0" borderId="0" xfId="0" applyFont="1"/>
    <xf numFmtId="0" fontId="0" fillId="0" borderId="0" xfId="0" applyBorder="1"/>
    <xf numFmtId="0" fontId="0" fillId="0" borderId="15" xfId="0" applyBorder="1"/>
    <xf numFmtId="0" fontId="0" fillId="0" borderId="16" xfId="0" applyBorder="1"/>
    <xf numFmtId="0" fontId="0" fillId="0" borderId="17" xfId="0" applyBorder="1"/>
    <xf numFmtId="1" fontId="24" fillId="15" borderId="8" xfId="5" applyNumberFormat="1" applyFont="1" applyFill="1" applyAlignment="1" applyProtection="1">
      <alignment wrapText="1"/>
      <protection hidden="1"/>
    </xf>
    <xf numFmtId="0" fontId="28" fillId="0" borderId="0" xfId="0" applyFont="1"/>
    <xf numFmtId="0" fontId="3" fillId="0" borderId="0" xfId="1" applyFont="1" applyFill="1" applyBorder="1" applyAlignment="1" applyProtection="1">
      <alignment horizontal="left" vertical="top"/>
      <protection locked="0"/>
    </xf>
    <xf numFmtId="0" fontId="15" fillId="3" borderId="2" xfId="2" applyFont="1" applyBorder="1" applyAlignment="1" applyProtection="1">
      <alignment horizontal="center"/>
      <protection hidden="1"/>
    </xf>
    <xf numFmtId="0" fontId="31" fillId="0" borderId="0" xfId="0" applyFont="1" applyAlignment="1">
      <alignment wrapText="1"/>
    </xf>
    <xf numFmtId="0" fontId="31" fillId="0" borderId="0" xfId="0" applyFont="1" applyAlignment="1">
      <alignment horizontal="center" wrapText="1"/>
    </xf>
    <xf numFmtId="0" fontId="33" fillId="15" borderId="1" xfId="0" applyFont="1" applyFill="1" applyBorder="1" applyAlignment="1">
      <alignment horizontal="center" vertical="center" wrapText="1"/>
    </xf>
    <xf numFmtId="0" fontId="34" fillId="15" borderId="1" xfId="0" applyFont="1" applyFill="1" applyBorder="1" applyAlignment="1">
      <alignment vertical="center" wrapText="1"/>
    </xf>
    <xf numFmtId="0" fontId="34" fillId="15" borderId="1" xfId="0" applyFont="1" applyFill="1" applyBorder="1" applyAlignment="1">
      <alignment horizontal="center" vertical="center" wrapText="1"/>
    </xf>
    <xf numFmtId="0" fontId="32" fillId="19" borderId="22" xfId="0" applyFont="1" applyFill="1" applyBorder="1" applyAlignment="1">
      <alignment horizontal="center" vertical="center" wrapText="1"/>
    </xf>
    <xf numFmtId="0" fontId="33" fillId="6" borderId="1" xfId="0" applyFont="1" applyFill="1" applyBorder="1" applyAlignment="1">
      <alignment horizontal="center" wrapText="1"/>
    </xf>
    <xf numFmtId="9" fontId="33" fillId="6" borderId="1" xfId="0" applyNumberFormat="1" applyFont="1" applyFill="1" applyBorder="1" applyAlignment="1">
      <alignment horizontal="center" wrapText="1"/>
    </xf>
    <xf numFmtId="0" fontId="33" fillId="5" borderId="1" xfId="0" applyFont="1" applyFill="1" applyBorder="1" applyAlignment="1">
      <alignment horizontal="center" wrapText="1"/>
    </xf>
    <xf numFmtId="0" fontId="32" fillId="20" borderId="1" xfId="0" applyFont="1" applyFill="1" applyBorder="1" applyAlignment="1">
      <alignment horizontal="left" vertical="center" wrapText="1"/>
    </xf>
    <xf numFmtId="9" fontId="32" fillId="0" borderId="1" xfId="0" applyNumberFormat="1" applyFont="1" applyBorder="1" applyAlignment="1">
      <alignment horizontal="center" vertical="center" wrapText="1"/>
    </xf>
    <xf numFmtId="167" fontId="32" fillId="0" borderId="1" xfId="0" applyNumberFormat="1" applyFont="1" applyBorder="1" applyAlignment="1">
      <alignment horizontal="center" vertical="center" wrapText="1"/>
    </xf>
    <xf numFmtId="0" fontId="34" fillId="6" borderId="2" xfId="0" applyFont="1" applyFill="1" applyBorder="1" applyAlignment="1">
      <alignment horizontal="center" vertical="center" wrapText="1"/>
    </xf>
    <xf numFmtId="0" fontId="34" fillId="6" borderId="4" xfId="0" applyFont="1" applyFill="1" applyBorder="1" applyAlignment="1">
      <alignment horizontal="center" vertical="center" wrapText="1"/>
    </xf>
    <xf numFmtId="0" fontId="34" fillId="6" borderId="3" xfId="0" applyFont="1" applyFill="1" applyBorder="1" applyAlignment="1">
      <alignment horizontal="center" vertical="center" wrapText="1"/>
    </xf>
    <xf numFmtId="9" fontId="31" fillId="0" borderId="1" xfId="6" applyFont="1" applyBorder="1" applyAlignment="1">
      <alignment horizontal="center" vertical="center" wrapText="1"/>
    </xf>
    <xf numFmtId="167" fontId="31" fillId="0" borderId="1" xfId="0" applyNumberFormat="1" applyFont="1" applyBorder="1" applyAlignment="1">
      <alignment horizontal="center" vertical="center" wrapText="1"/>
    </xf>
    <xf numFmtId="0" fontId="33" fillId="5" borderId="1" xfId="0" applyFont="1" applyFill="1" applyBorder="1" applyAlignment="1">
      <alignment horizontal="center" vertical="center" wrapText="1"/>
    </xf>
    <xf numFmtId="0" fontId="33" fillId="5" borderId="1" xfId="0" applyFont="1" applyFill="1" applyBorder="1" applyAlignment="1">
      <alignment vertical="center" wrapText="1"/>
    </xf>
    <xf numFmtId="9" fontId="33" fillId="5" borderId="1" xfId="6" applyFont="1" applyFill="1" applyBorder="1" applyAlignment="1">
      <alignment horizontal="center" vertical="center" wrapText="1"/>
    </xf>
    <xf numFmtId="0" fontId="33" fillId="5" borderId="1" xfId="0" applyFont="1" applyFill="1" applyBorder="1" applyAlignment="1">
      <alignment horizontal="left" vertical="center" wrapText="1"/>
    </xf>
    <xf numFmtId="9" fontId="33" fillId="5" borderId="1" xfId="0" applyNumberFormat="1" applyFont="1" applyFill="1" applyBorder="1" applyAlignment="1">
      <alignment horizontal="center" vertical="center" wrapText="1"/>
    </xf>
    <xf numFmtId="0" fontId="33" fillId="5" borderId="3" xfId="0" applyFont="1" applyFill="1" applyBorder="1" applyAlignment="1">
      <alignment horizontal="left" vertical="center" wrapText="1"/>
    </xf>
    <xf numFmtId="0" fontId="33" fillId="5" borderId="1" xfId="0" applyFont="1" applyFill="1" applyBorder="1" applyAlignment="1">
      <alignment horizontal="justify" vertical="center" wrapText="1"/>
    </xf>
    <xf numFmtId="167" fontId="33" fillId="5" borderId="1" xfId="6" applyNumberFormat="1" applyFont="1" applyFill="1" applyBorder="1" applyAlignment="1">
      <alignment horizontal="center" vertical="center" wrapText="1"/>
    </xf>
    <xf numFmtId="2" fontId="33" fillId="5" borderId="1" xfId="0" applyNumberFormat="1" applyFont="1" applyFill="1" applyBorder="1" applyAlignment="1">
      <alignment horizontal="center" vertical="center" wrapText="1"/>
    </xf>
    <xf numFmtId="0" fontId="33" fillId="5" borderId="1" xfId="0" applyFont="1" applyFill="1" applyBorder="1" applyAlignment="1">
      <alignment vertical="top" wrapText="1"/>
    </xf>
    <xf numFmtId="1" fontId="33" fillId="5" borderId="1" xfId="0" applyNumberFormat="1" applyFont="1" applyFill="1" applyBorder="1" applyAlignment="1">
      <alignment horizontal="center" vertical="center" wrapText="1"/>
    </xf>
    <xf numFmtId="9" fontId="33" fillId="6" borderId="1" xfId="0" applyNumberFormat="1" applyFont="1" applyFill="1" applyBorder="1" applyAlignment="1">
      <alignment horizontal="center" vertical="center" wrapText="1"/>
    </xf>
    <xf numFmtId="0" fontId="33" fillId="6" borderId="1" xfId="0" applyFont="1" applyFill="1" applyBorder="1" applyAlignment="1">
      <alignment horizontal="center" vertical="center" wrapText="1"/>
    </xf>
    <xf numFmtId="167" fontId="33" fillId="5" borderId="1" xfId="0" applyNumberFormat="1" applyFont="1" applyFill="1" applyBorder="1" applyAlignment="1">
      <alignment horizontal="center" vertical="center" wrapText="1"/>
    </xf>
    <xf numFmtId="0" fontId="33" fillId="5" borderId="1" xfId="0" applyFont="1" applyFill="1" applyBorder="1" applyAlignment="1">
      <alignment horizontal="center" vertical="top" wrapText="1"/>
    </xf>
    <xf numFmtId="10" fontId="33" fillId="5" borderId="1" xfId="0" applyNumberFormat="1" applyFont="1" applyFill="1" applyBorder="1" applyAlignment="1">
      <alignment horizontal="left" vertical="center" wrapText="1"/>
    </xf>
    <xf numFmtId="9" fontId="33" fillId="5" borderId="1" xfId="0" applyNumberFormat="1" applyFont="1" applyFill="1" applyBorder="1" applyAlignment="1">
      <alignment horizontal="left" vertical="center" wrapText="1"/>
    </xf>
    <xf numFmtId="0" fontId="35" fillId="6" borderId="23" xfId="9" applyFont="1" applyFill="1" applyBorder="1" applyAlignment="1">
      <alignment horizontal="center" vertical="center" wrapText="1"/>
    </xf>
    <xf numFmtId="0" fontId="35" fillId="21" borderId="23" xfId="9" applyFont="1" applyFill="1" applyBorder="1" applyAlignment="1">
      <alignment horizontal="center" vertical="center" wrapText="1"/>
    </xf>
    <xf numFmtId="0" fontId="36" fillId="0" borderId="0" xfId="9" applyFont="1" applyFill="1" applyBorder="1" applyAlignment="1">
      <alignment horizontal="center" vertical="center" wrapText="1"/>
    </xf>
    <xf numFmtId="167" fontId="36" fillId="0" borderId="23" xfId="9" applyNumberFormat="1" applyFont="1" applyFill="1" applyBorder="1" applyAlignment="1">
      <alignment horizontal="center" vertical="center" wrapText="1"/>
    </xf>
    <xf numFmtId="9" fontId="36" fillId="0" borderId="23" xfId="6" applyFont="1" applyFill="1" applyBorder="1" applyAlignment="1">
      <alignment horizontal="center" vertical="center" wrapText="1"/>
    </xf>
    <xf numFmtId="9" fontId="36" fillId="0" borderId="23" xfId="9" applyNumberFormat="1" applyFont="1" applyFill="1" applyBorder="1" applyAlignment="1">
      <alignment horizontal="center" vertical="center" wrapText="1"/>
    </xf>
    <xf numFmtId="10" fontId="36" fillId="0" borderId="23" xfId="9" applyNumberFormat="1" applyFont="1" applyFill="1" applyBorder="1" applyAlignment="1">
      <alignment horizontal="center" vertical="center" wrapText="1"/>
    </xf>
    <xf numFmtId="168" fontId="36" fillId="0" borderId="23" xfId="9" applyNumberFormat="1" applyFont="1" applyFill="1" applyBorder="1" applyAlignment="1">
      <alignment horizontal="center" vertical="center" wrapText="1"/>
    </xf>
    <xf numFmtId="168" fontId="35" fillId="0" borderId="23" xfId="9" applyNumberFormat="1" applyFont="1" applyFill="1" applyBorder="1" applyAlignment="1">
      <alignment horizontal="center" vertical="center" wrapText="1"/>
    </xf>
    <xf numFmtId="168" fontId="36" fillId="0" borderId="23" xfId="6" applyNumberFormat="1" applyFont="1" applyFill="1" applyBorder="1" applyAlignment="1">
      <alignment horizontal="center" vertical="center" wrapText="1"/>
    </xf>
    <xf numFmtId="9" fontId="35" fillId="0" borderId="23" xfId="6" applyFont="1" applyFill="1" applyBorder="1" applyAlignment="1">
      <alignment horizontal="center" vertical="center" wrapText="1"/>
    </xf>
    <xf numFmtId="0" fontId="35" fillId="0" borderId="0" xfId="9" applyFont="1" applyFill="1" applyBorder="1" applyAlignment="1">
      <alignment horizontal="center" vertical="center" wrapText="1"/>
    </xf>
    <xf numFmtId="167" fontId="36" fillId="0" borderId="0" xfId="9" applyNumberFormat="1" applyFont="1" applyFill="1" applyBorder="1" applyAlignment="1">
      <alignment horizontal="center" vertical="center" wrapText="1"/>
    </xf>
    <xf numFmtId="9" fontId="36" fillId="0" borderId="0" xfId="6" applyFont="1" applyFill="1" applyBorder="1" applyAlignment="1">
      <alignment horizontal="center" vertical="center" wrapText="1"/>
    </xf>
    <xf numFmtId="168" fontId="36" fillId="0" borderId="0" xfId="6" applyNumberFormat="1" applyFont="1" applyFill="1" applyBorder="1" applyAlignment="1">
      <alignment horizontal="center" vertical="center" wrapText="1"/>
    </xf>
    <xf numFmtId="0" fontId="36" fillId="0" borderId="0" xfId="9" applyFont="1" applyFill="1" applyBorder="1" applyAlignment="1">
      <alignment horizontal="center" vertical="center" wrapText="1"/>
    </xf>
    <xf numFmtId="9" fontId="31" fillId="0" borderId="23" xfId="6" applyFont="1" applyFill="1" applyBorder="1" applyAlignment="1">
      <alignment horizontal="center" vertical="center" wrapText="1"/>
    </xf>
    <xf numFmtId="168" fontId="36" fillId="0" borderId="0" xfId="9" applyNumberFormat="1" applyFont="1" applyFill="1" applyBorder="1" applyAlignment="1">
      <alignment horizontal="center" vertical="center" wrapText="1"/>
    </xf>
    <xf numFmtId="10" fontId="36" fillId="0" borderId="0" xfId="9" applyNumberFormat="1" applyFont="1" applyFill="1" applyBorder="1" applyAlignment="1">
      <alignment horizontal="center" vertical="center" wrapText="1"/>
    </xf>
    <xf numFmtId="9" fontId="36" fillId="0" borderId="0" xfId="9" applyNumberFormat="1" applyFont="1" applyFill="1" applyBorder="1" applyAlignment="1">
      <alignment horizontal="center" vertical="center" wrapText="1"/>
    </xf>
    <xf numFmtId="0" fontId="36" fillId="21" borderId="23" xfId="9" applyFont="1" applyFill="1" applyBorder="1" applyAlignment="1">
      <alignment horizontal="center" vertical="center" wrapText="1"/>
    </xf>
    <xf numFmtId="2" fontId="36" fillId="0" borderId="0" xfId="9" applyNumberFormat="1" applyFont="1" applyFill="1" applyBorder="1" applyAlignment="1">
      <alignment horizontal="center" vertical="center" wrapText="1"/>
    </xf>
    <xf numFmtId="168" fontId="37" fillId="0" borderId="23" xfId="6" applyNumberFormat="1" applyFont="1" applyFill="1" applyBorder="1" applyAlignment="1">
      <alignment horizontal="center" vertical="center"/>
    </xf>
    <xf numFmtId="168" fontId="31" fillId="0" borderId="23" xfId="6" applyNumberFormat="1" applyFont="1" applyFill="1" applyBorder="1" applyAlignment="1">
      <alignment horizontal="center" vertical="center" wrapText="1"/>
    </xf>
    <xf numFmtId="0" fontId="40" fillId="0" borderId="0" xfId="0" applyFont="1" applyBorder="1"/>
    <xf numFmtId="0" fontId="41" fillId="0" borderId="0" xfId="0" applyFont="1" applyBorder="1"/>
    <xf numFmtId="0" fontId="43" fillId="23" borderId="0" xfId="0" applyFont="1" applyFill="1"/>
    <xf numFmtId="0" fontId="43" fillId="0" borderId="0" xfId="0" applyFont="1"/>
    <xf numFmtId="0" fontId="42" fillId="24" borderId="24" xfId="0" applyFont="1" applyFill="1" applyBorder="1" applyAlignment="1">
      <alignment horizontal="center"/>
    </xf>
    <xf numFmtId="0" fontId="44" fillId="0" borderId="24" xfId="0" applyFont="1" applyBorder="1"/>
    <xf numFmtId="0" fontId="43" fillId="0" borderId="24" xfId="0" applyFont="1" applyBorder="1"/>
    <xf numFmtId="0" fontId="43" fillId="0" borderId="24" xfId="0" applyFont="1" applyFill="1" applyBorder="1" applyAlignment="1">
      <alignment horizontal="left" wrapText="1"/>
    </xf>
    <xf numFmtId="4" fontId="45" fillId="0" borderId="1" xfId="0" applyNumberFormat="1" applyFont="1" applyFill="1" applyBorder="1" applyAlignment="1">
      <alignment horizontal="right" vertical="center" wrapText="1"/>
    </xf>
    <xf numFmtId="0" fontId="46" fillId="26" borderId="25" xfId="0" applyFont="1" applyFill="1" applyBorder="1" applyAlignment="1">
      <alignment horizontal="right" vertical="center" wrapText="1"/>
    </xf>
    <xf numFmtId="0" fontId="42" fillId="27" borderId="25" xfId="0" applyFont="1" applyFill="1" applyBorder="1"/>
    <xf numFmtId="0" fontId="43" fillId="0" borderId="25" xfId="0" applyFont="1" applyFill="1" applyBorder="1"/>
    <xf numFmtId="2" fontId="43" fillId="0" borderId="25" xfId="0" applyNumberFormat="1" applyFont="1" applyFill="1" applyBorder="1"/>
    <xf numFmtId="2" fontId="43" fillId="0" borderId="25" xfId="0" applyNumberFormat="1" applyFont="1" applyFill="1" applyBorder="1" applyAlignment="1">
      <alignment horizontal="right"/>
    </xf>
    <xf numFmtId="10" fontId="43" fillId="0" borderId="0" xfId="0" applyNumberFormat="1" applyFont="1" applyFill="1"/>
    <xf numFmtId="0" fontId="43" fillId="13" borderId="25" xfId="0" applyFont="1" applyFill="1" applyBorder="1"/>
    <xf numFmtId="0" fontId="42" fillId="24" borderId="26" xfId="0" applyFont="1" applyFill="1" applyBorder="1" applyAlignment="1">
      <alignment horizontal="center"/>
    </xf>
    <xf numFmtId="0" fontId="43" fillId="0" borderId="1" xfId="0" applyFont="1" applyBorder="1"/>
    <xf numFmtId="0" fontId="43" fillId="23" borderId="27" xfId="0" applyFont="1" applyFill="1" applyBorder="1"/>
    <xf numFmtId="0" fontId="43" fillId="0" borderId="1" xfId="0" applyFont="1" applyFill="1" applyBorder="1"/>
    <xf numFmtId="2" fontId="43" fillId="0" borderId="1" xfId="0" applyNumberFormat="1" applyFont="1" applyBorder="1"/>
    <xf numFmtId="0" fontId="43" fillId="13" borderId="1" xfId="0" applyFont="1" applyFill="1" applyBorder="1"/>
    <xf numFmtId="0" fontId="43" fillId="6" borderId="1" xfId="0" applyFont="1" applyFill="1" applyBorder="1"/>
    <xf numFmtId="0" fontId="41" fillId="0" borderId="1" xfId="0" applyFont="1" applyBorder="1"/>
    <xf numFmtId="167" fontId="43" fillId="0" borderId="1" xfId="0" applyNumberFormat="1" applyFont="1" applyBorder="1"/>
    <xf numFmtId="9" fontId="47" fillId="0" borderId="1" xfId="6" applyFont="1" applyBorder="1"/>
    <xf numFmtId="0" fontId="43" fillId="0" borderId="25" xfId="0" applyFont="1" applyFill="1" applyBorder="1" applyAlignment="1">
      <alignment horizontal="left"/>
    </xf>
    <xf numFmtId="0" fontId="43" fillId="0" borderId="25" xfId="0" applyFont="1" applyBorder="1"/>
    <xf numFmtId="0" fontId="43" fillId="0" borderId="1" xfId="0" applyFont="1" applyFill="1" applyBorder="1" applyAlignment="1"/>
    <xf numFmtId="2" fontId="43" fillId="0" borderId="1" xfId="0" applyNumberFormat="1" applyFont="1" applyFill="1" applyBorder="1" applyAlignment="1">
      <alignment horizontal="center" vertical="center"/>
    </xf>
    <xf numFmtId="2" fontId="43" fillId="0" borderId="1" xfId="0" applyNumberFormat="1" applyFont="1" applyBorder="1" applyAlignment="1">
      <alignment horizontal="center" vertical="center"/>
    </xf>
    <xf numFmtId="10" fontId="43" fillId="0" borderId="1" xfId="0" applyNumberFormat="1" applyFont="1" applyBorder="1"/>
    <xf numFmtId="0" fontId="43" fillId="0" borderId="0" xfId="0" applyFont="1" applyBorder="1"/>
    <xf numFmtId="10" fontId="43" fillId="0" borderId="0" xfId="0" applyNumberFormat="1" applyFont="1" applyBorder="1"/>
    <xf numFmtId="169" fontId="43" fillId="0" borderId="0" xfId="0" applyNumberFormat="1" applyFont="1" applyBorder="1"/>
    <xf numFmtId="170" fontId="1" fillId="0" borderId="0" xfId="10" applyFont="1" applyBorder="1"/>
    <xf numFmtId="170" fontId="0" fillId="0" borderId="0" xfId="10" applyFont="1" applyBorder="1"/>
    <xf numFmtId="171" fontId="25" fillId="28" borderId="0" xfId="10" applyNumberFormat="1" applyFont="1" applyFill="1" applyBorder="1"/>
    <xf numFmtId="171" fontId="25" fillId="28" borderId="0" xfId="0" applyNumberFormat="1" applyFont="1" applyFill="1" applyBorder="1" applyAlignment="1">
      <alignment horizontal="center"/>
    </xf>
    <xf numFmtId="171" fontId="3" fillId="0" borderId="0" xfId="10" applyNumberFormat="1" applyFont="1" applyFill="1" applyBorder="1"/>
    <xf numFmtId="170" fontId="20" fillId="0" borderId="0" xfId="10" applyFont="1" applyBorder="1"/>
    <xf numFmtId="43" fontId="0" fillId="0" borderId="0" xfId="10" applyNumberFormat="1" applyFont="1" applyBorder="1"/>
    <xf numFmtId="9" fontId="6" fillId="0" borderId="1" xfId="6" applyFont="1" applyBorder="1" applyProtection="1">
      <protection hidden="1"/>
    </xf>
    <xf numFmtId="168" fontId="6" fillId="0" borderId="1" xfId="6" applyNumberFormat="1" applyFont="1" applyBorder="1" applyProtection="1">
      <protection hidden="1"/>
    </xf>
    <xf numFmtId="1" fontId="43" fillId="0" borderId="1" xfId="0" applyNumberFormat="1" applyFont="1" applyFill="1" applyBorder="1" applyAlignment="1">
      <alignment horizontal="center" vertical="center"/>
    </xf>
    <xf numFmtId="167" fontId="12" fillId="0" borderId="1" xfId="0" applyNumberFormat="1" applyFont="1" applyBorder="1" applyProtection="1">
      <protection hidden="1"/>
    </xf>
    <xf numFmtId="3" fontId="6" fillId="0" borderId="0" xfId="0" applyNumberFormat="1" applyFont="1" applyBorder="1" applyProtection="1">
      <protection hidden="1"/>
    </xf>
    <xf numFmtId="1" fontId="17" fillId="12" borderId="8" xfId="5" applyNumberFormat="1" applyAlignment="1" applyProtection="1">
      <alignment horizontal="center" vertical="center" wrapText="1"/>
      <protection locked="0"/>
    </xf>
    <xf numFmtId="9" fontId="12" fillId="0" borderId="1" xfId="0" applyNumberFormat="1" applyFont="1" applyBorder="1" applyProtection="1">
      <protection hidden="1"/>
    </xf>
    <xf numFmtId="1" fontId="12" fillId="0" borderId="2" xfId="0" applyNumberFormat="1" applyFont="1" applyBorder="1" applyProtection="1">
      <protection hidden="1"/>
    </xf>
    <xf numFmtId="0" fontId="50" fillId="0" borderId="0" xfId="0" applyFont="1" applyAlignment="1" applyProtection="1">
      <alignment horizontal="left"/>
      <protection hidden="1"/>
    </xf>
    <xf numFmtId="1" fontId="12" fillId="0" borderId="0" xfId="0" applyNumberFormat="1" applyFont="1" applyBorder="1" applyProtection="1">
      <protection hidden="1"/>
    </xf>
    <xf numFmtId="9" fontId="33" fillId="5" borderId="1" xfId="6" applyNumberFormat="1" applyFont="1" applyFill="1" applyBorder="1" applyAlignment="1">
      <alignment horizontal="center" vertical="center" wrapText="1"/>
    </xf>
    <xf numFmtId="9" fontId="12" fillId="0" borderId="0" xfId="0" applyNumberFormat="1" applyFont="1" applyProtection="1">
      <protection hidden="1"/>
    </xf>
    <xf numFmtId="0" fontId="12" fillId="0" borderId="3" xfId="0" applyFont="1" applyBorder="1" applyProtection="1">
      <protection hidden="1"/>
    </xf>
    <xf numFmtId="168" fontId="38" fillId="0" borderId="23" xfId="9" applyNumberFormat="1" applyFont="1" applyFill="1" applyBorder="1" applyAlignment="1">
      <alignment horizontal="center" vertical="center" wrapText="1"/>
    </xf>
    <xf numFmtId="0" fontId="51" fillId="0" borderId="0" xfId="0" applyFont="1" applyAlignment="1">
      <alignment horizontal="left" vertical="center"/>
    </xf>
    <xf numFmtId="0" fontId="0" fillId="0" borderId="0" xfId="0" applyAlignment="1">
      <alignment horizontal="left" vertical="center"/>
    </xf>
    <xf numFmtId="171" fontId="42" fillId="24" borderId="26" xfId="0" applyNumberFormat="1" applyFont="1" applyFill="1" applyBorder="1" applyAlignment="1">
      <alignment horizontal="center"/>
    </xf>
    <xf numFmtId="0" fontId="51" fillId="0" borderId="23" xfId="0" applyFont="1" applyBorder="1" applyAlignment="1">
      <alignment horizontal="left" vertical="center"/>
    </xf>
    <xf numFmtId="10" fontId="51" fillId="0" borderId="23" xfId="0" applyNumberFormat="1" applyFont="1" applyBorder="1" applyAlignment="1">
      <alignment horizontal="left" vertical="center"/>
    </xf>
    <xf numFmtId="9" fontId="51" fillId="0" borderId="23" xfId="0" applyNumberFormat="1" applyFont="1" applyBorder="1" applyAlignment="1">
      <alignment horizontal="left" vertical="center"/>
    </xf>
    <xf numFmtId="0" fontId="0" fillId="0" borderId="23" xfId="0" applyBorder="1" applyAlignment="1">
      <alignment horizontal="left" vertical="center"/>
    </xf>
    <xf numFmtId="0" fontId="51" fillId="6" borderId="23" xfId="0" applyFont="1" applyFill="1" applyBorder="1" applyAlignment="1">
      <alignment horizontal="left" vertical="center"/>
    </xf>
    <xf numFmtId="9" fontId="51" fillId="0" borderId="23" xfId="6" applyFont="1" applyBorder="1" applyAlignment="1">
      <alignment horizontal="left" vertical="center"/>
    </xf>
    <xf numFmtId="0" fontId="52" fillId="0" borderId="23" xfId="0" applyFont="1" applyBorder="1" applyAlignment="1">
      <alignment horizontal="left" vertical="center" wrapText="1"/>
    </xf>
    <xf numFmtId="10" fontId="12" fillId="0" borderId="2" xfId="0" applyNumberFormat="1" applyFont="1" applyFill="1" applyBorder="1" applyProtection="1">
      <protection hidden="1"/>
    </xf>
    <xf numFmtId="0" fontId="43" fillId="25" borderId="26" xfId="0" applyFont="1" applyFill="1" applyBorder="1" applyAlignment="1"/>
    <xf numFmtId="1" fontId="12" fillId="0" borderId="0" xfId="0" applyNumberFormat="1" applyFont="1" applyProtection="1">
      <protection hidden="1"/>
    </xf>
    <xf numFmtId="9" fontId="36" fillId="0" borderId="23" xfId="6" applyNumberFormat="1" applyFont="1" applyFill="1" applyBorder="1" applyAlignment="1">
      <alignment horizontal="center" vertical="center" wrapText="1"/>
    </xf>
    <xf numFmtId="167" fontId="43" fillId="23" borderId="27" xfId="0" applyNumberFormat="1" applyFont="1" applyFill="1" applyBorder="1"/>
    <xf numFmtId="166" fontId="43" fillId="23" borderId="27" xfId="7" applyNumberFormat="1" applyFont="1" applyFill="1" applyBorder="1"/>
    <xf numFmtId="168" fontId="33" fillId="5" borderId="1" xfId="6" applyNumberFormat="1" applyFont="1" applyFill="1" applyBorder="1" applyAlignment="1">
      <alignment horizontal="center" vertical="center" wrapText="1"/>
    </xf>
    <xf numFmtId="10" fontId="12" fillId="0" borderId="2" xfId="0" applyNumberFormat="1" applyFont="1" applyBorder="1" applyProtection="1">
      <protection hidden="1"/>
    </xf>
    <xf numFmtId="168" fontId="12" fillId="0" borderId="2" xfId="0" applyNumberFormat="1" applyFont="1" applyBorder="1" applyProtection="1">
      <protection hidden="1"/>
    </xf>
    <xf numFmtId="0" fontId="15" fillId="3" borderId="4" xfId="2" applyFont="1" applyBorder="1" applyAlignment="1" applyProtection="1">
      <alignment horizontal="center"/>
      <protection hidden="1"/>
    </xf>
    <xf numFmtId="9" fontId="12" fillId="0" borderId="33" xfId="6" applyFont="1" applyBorder="1" applyProtection="1">
      <protection hidden="1"/>
    </xf>
    <xf numFmtId="0" fontId="15" fillId="7" borderId="3" xfId="4" applyFont="1" applyBorder="1" applyProtection="1">
      <protection hidden="1"/>
    </xf>
    <xf numFmtId="0" fontId="12" fillId="0" borderId="3" xfId="0" applyFont="1" applyFill="1" applyBorder="1" applyProtection="1">
      <protection hidden="1"/>
    </xf>
    <xf numFmtId="0" fontId="14" fillId="0" borderId="3" xfId="0" applyFont="1" applyBorder="1" applyProtection="1">
      <protection hidden="1"/>
    </xf>
    <xf numFmtId="0" fontId="12" fillId="6" borderId="3" xfId="0" applyFont="1" applyFill="1" applyBorder="1" applyProtection="1">
      <protection hidden="1"/>
    </xf>
    <xf numFmtId="0" fontId="0" fillId="0" borderId="0" xfId="0" applyFill="1" applyBorder="1"/>
    <xf numFmtId="0" fontId="15" fillId="0" borderId="0" xfId="4" applyFont="1" applyFill="1" applyBorder="1" applyAlignment="1" applyProtection="1">
      <alignment horizontal="center"/>
      <protection hidden="1"/>
    </xf>
    <xf numFmtId="0" fontId="12" fillId="0" borderId="0" xfId="0" applyFont="1" applyFill="1" applyBorder="1" applyProtection="1">
      <protection hidden="1"/>
    </xf>
    <xf numFmtId="2" fontId="12" fillId="0" borderId="0" xfId="0" applyNumberFormat="1" applyFont="1" applyFill="1" applyBorder="1" applyProtection="1">
      <protection hidden="1"/>
    </xf>
    <xf numFmtId="9" fontId="12" fillId="0" borderId="0" xfId="0" applyNumberFormat="1" applyFont="1" applyFill="1" applyBorder="1" applyProtection="1">
      <protection hidden="1"/>
    </xf>
    <xf numFmtId="10" fontId="12" fillId="0" borderId="0" xfId="0" applyNumberFormat="1" applyFont="1" applyFill="1" applyBorder="1" applyProtection="1">
      <protection hidden="1"/>
    </xf>
    <xf numFmtId="0" fontId="13" fillId="0" borderId="0" xfId="4" applyFont="1" applyFill="1" applyBorder="1" applyAlignment="1" applyProtection="1">
      <alignment horizontal="center"/>
      <protection hidden="1"/>
    </xf>
    <xf numFmtId="168" fontId="12" fillId="0" borderId="0" xfId="0" applyNumberFormat="1" applyFont="1" applyFill="1" applyBorder="1" applyProtection="1">
      <protection hidden="1"/>
    </xf>
    <xf numFmtId="0" fontId="15" fillId="0" borderId="0" xfId="2" applyFont="1" applyFill="1" applyBorder="1" applyAlignment="1" applyProtection="1">
      <alignment horizontal="center"/>
      <protection hidden="1"/>
    </xf>
    <xf numFmtId="9" fontId="12" fillId="0" borderId="0" xfId="6" applyFont="1" applyFill="1" applyBorder="1" applyProtection="1">
      <protection hidden="1"/>
    </xf>
    <xf numFmtId="1" fontId="12" fillId="0" borderId="0" xfId="0" applyNumberFormat="1" applyFont="1" applyFill="1" applyBorder="1" applyProtection="1">
      <protection hidden="1"/>
    </xf>
    <xf numFmtId="0" fontId="43" fillId="25" borderId="26" xfId="0" applyFont="1" applyFill="1" applyBorder="1" applyAlignment="1"/>
    <xf numFmtId="9" fontId="12" fillId="0" borderId="0" xfId="6" applyFont="1" applyBorder="1" applyProtection="1">
      <protection hidden="1"/>
    </xf>
    <xf numFmtId="9" fontId="1" fillId="0" borderId="34" xfId="6" applyFont="1" applyBorder="1" applyAlignment="1" applyProtection="1">
      <protection locked="0"/>
    </xf>
    <xf numFmtId="9" fontId="1" fillId="0" borderId="35" xfId="6" applyFont="1" applyBorder="1" applyAlignment="1" applyProtection="1">
      <protection locked="0"/>
    </xf>
    <xf numFmtId="0" fontId="51" fillId="0" borderId="23" xfId="0" applyFont="1" applyBorder="1" applyAlignment="1">
      <alignment horizontal="left" vertical="center" wrapText="1"/>
    </xf>
    <xf numFmtId="0" fontId="3" fillId="0" borderId="0" xfId="1" applyFont="1" applyFill="1" applyBorder="1" applyAlignment="1" applyProtection="1">
      <alignment horizontal="left" vertical="top"/>
      <protection locked="0"/>
    </xf>
    <xf numFmtId="0" fontId="1" fillId="13" borderId="0" xfId="0" applyFont="1" applyFill="1" applyBorder="1" applyAlignment="1" applyProtection="1">
      <alignment horizontal="center" vertical="center" wrapText="1"/>
      <protection hidden="1"/>
    </xf>
    <xf numFmtId="0" fontId="0" fillId="14" borderId="1" xfId="0" applyFill="1" applyBorder="1" applyAlignment="1" applyProtection="1">
      <alignment horizontal="left"/>
      <protection hidden="1"/>
    </xf>
    <xf numFmtId="168" fontId="0" fillId="14" borderId="1" xfId="6" applyNumberFormat="1" applyFont="1" applyFill="1" applyBorder="1" applyAlignment="1" applyProtection="1">
      <alignment horizontal="center"/>
      <protection hidden="1"/>
    </xf>
    <xf numFmtId="0" fontId="51" fillId="0" borderId="0" xfId="0" applyFont="1"/>
    <xf numFmtId="0" fontId="1" fillId="0" borderId="0" xfId="0" applyFont="1"/>
    <xf numFmtId="1" fontId="43" fillId="0" borderId="1" xfId="0" applyNumberFormat="1" applyFont="1" applyBorder="1"/>
    <xf numFmtId="9" fontId="43" fillId="0" borderId="0" xfId="6" applyFont="1"/>
    <xf numFmtId="1" fontId="43" fillId="0" borderId="1" xfId="0" applyNumberFormat="1" applyFont="1" applyFill="1" applyBorder="1"/>
    <xf numFmtId="1" fontId="43" fillId="0" borderId="0" xfId="0" applyNumberFormat="1" applyFont="1"/>
    <xf numFmtId="1" fontId="41" fillId="0" borderId="1" xfId="0" applyNumberFormat="1" applyFont="1" applyBorder="1"/>
    <xf numFmtId="0" fontId="0" fillId="6" borderId="0" xfId="0" applyFill="1"/>
    <xf numFmtId="1" fontId="0" fillId="0" borderId="0" xfId="0" applyNumberFormat="1"/>
    <xf numFmtId="0" fontId="43" fillId="6" borderId="0" xfId="0" applyFont="1" applyFill="1"/>
    <xf numFmtId="9" fontId="0" fillId="0" borderId="0" xfId="6" applyFont="1"/>
    <xf numFmtId="9" fontId="0" fillId="0" borderId="0" xfId="0" applyNumberFormat="1"/>
    <xf numFmtId="1" fontId="6" fillId="0" borderId="0" xfId="0" applyNumberFormat="1" applyFont="1" applyProtection="1">
      <protection hidden="1"/>
    </xf>
    <xf numFmtId="167" fontId="12" fillId="0" borderId="0" xfId="0" applyNumberFormat="1" applyFont="1" applyProtection="1">
      <protection hidden="1"/>
    </xf>
    <xf numFmtId="9" fontId="12" fillId="0" borderId="0" xfId="6" applyFont="1" applyProtection="1">
      <protection hidden="1"/>
    </xf>
    <xf numFmtId="168" fontId="12" fillId="0" borderId="0" xfId="6" applyNumberFormat="1" applyFont="1" applyProtection="1">
      <protection hidden="1"/>
    </xf>
    <xf numFmtId="10" fontId="12" fillId="0" borderId="0" xfId="6" applyNumberFormat="1" applyFont="1" applyProtection="1">
      <protection hidden="1"/>
    </xf>
    <xf numFmtId="9" fontId="1" fillId="0" borderId="34" xfId="6" applyNumberFormat="1" applyFont="1" applyBorder="1" applyAlignment="1" applyProtection="1">
      <protection locked="0"/>
    </xf>
    <xf numFmtId="0" fontId="1" fillId="0" borderId="0" xfId="0" applyFont="1" applyProtection="1">
      <protection locked="0"/>
    </xf>
    <xf numFmtId="171" fontId="0" fillId="0" borderId="0" xfId="0" applyNumberFormat="1"/>
    <xf numFmtId="171" fontId="43" fillId="0" borderId="0" xfId="0" applyNumberFormat="1" applyFont="1"/>
    <xf numFmtId="0" fontId="4" fillId="0" borderId="0" xfId="3" applyAlignment="1">
      <alignment horizontal="left" vertical="center"/>
    </xf>
    <xf numFmtId="0" fontId="43" fillId="0" borderId="0" xfId="0" applyFont="1" applyFill="1"/>
    <xf numFmtId="9" fontId="43" fillId="0" borderId="0" xfId="6" applyFont="1" applyFill="1"/>
    <xf numFmtId="0" fontId="0" fillId="0" borderId="0" xfId="0" applyFill="1"/>
    <xf numFmtId="170" fontId="0" fillId="0" borderId="0" xfId="10" applyFont="1" applyFill="1" applyBorder="1"/>
    <xf numFmtId="171" fontId="43" fillId="0" borderId="0" xfId="6" applyNumberFormat="1" applyFont="1"/>
    <xf numFmtId="0" fontId="3" fillId="0" borderId="0" xfId="1" applyFont="1" applyFill="1" applyBorder="1" applyAlignment="1" applyProtection="1">
      <alignment horizontal="left" vertical="top"/>
      <protection locked="0"/>
    </xf>
    <xf numFmtId="0" fontId="3" fillId="0" borderId="0" xfId="1" applyFont="1" applyFill="1" applyBorder="1" applyAlignment="1" applyProtection="1">
      <alignment horizontal="left" vertical="top"/>
      <protection locked="0"/>
    </xf>
    <xf numFmtId="1" fontId="43" fillId="0" borderId="0" xfId="6" applyNumberFormat="1" applyFont="1"/>
    <xf numFmtId="169" fontId="43" fillId="0" borderId="0" xfId="7" applyNumberFormat="1" applyFont="1"/>
    <xf numFmtId="166" fontId="43" fillId="0" borderId="0" xfId="7" applyNumberFormat="1" applyFont="1"/>
    <xf numFmtId="0" fontId="56" fillId="29" borderId="0" xfId="0" applyFont="1" applyFill="1" applyBorder="1" applyAlignment="1" applyProtection="1">
      <alignment horizontal="center"/>
      <protection locked="0"/>
    </xf>
    <xf numFmtId="0" fontId="56" fillId="29" borderId="0" xfId="0" applyFont="1" applyFill="1" applyBorder="1" applyAlignment="1" applyProtection="1">
      <protection locked="0"/>
    </xf>
    <xf numFmtId="0" fontId="56" fillId="29" borderId="0" xfId="0" applyFont="1" applyFill="1" applyBorder="1" applyAlignment="1" applyProtection="1">
      <alignment horizontal="center"/>
      <protection locked="0"/>
    </xf>
    <xf numFmtId="0" fontId="56" fillId="29" borderId="0" xfId="0" applyFont="1" applyFill="1" applyBorder="1" applyAlignment="1" applyProtection="1">
      <alignment horizontal="left"/>
      <protection locked="0"/>
    </xf>
    <xf numFmtId="0" fontId="10" fillId="8" borderId="0" xfId="0" applyFont="1" applyFill="1" applyAlignment="1" applyProtection="1">
      <alignment horizontal="center"/>
      <protection locked="0"/>
    </xf>
    <xf numFmtId="0" fontId="0" fillId="0" borderId="0" xfId="0" applyAlignment="1" applyProtection="1">
      <alignment horizontal="center"/>
      <protection locked="0"/>
    </xf>
    <xf numFmtId="0" fontId="7" fillId="9" borderId="0" xfId="0" applyFont="1" applyFill="1" applyAlignment="1" applyProtection="1">
      <alignment horizontal="center"/>
      <protection locked="0"/>
    </xf>
    <xf numFmtId="0" fontId="6" fillId="10" borderId="0" xfId="0" applyFont="1" applyFill="1" applyAlignment="1" applyProtection="1">
      <alignment horizontal="center"/>
      <protection locked="0"/>
    </xf>
    <xf numFmtId="0" fontId="7" fillId="11" borderId="0" xfId="0" applyFont="1" applyFill="1" applyAlignment="1" applyProtection="1">
      <alignment horizontal="center"/>
      <protection locked="0"/>
    </xf>
    <xf numFmtId="0" fontId="3" fillId="0" borderId="0" xfId="1" applyFont="1" applyFill="1" applyBorder="1" applyAlignment="1" applyProtection="1">
      <alignment horizontal="left" vertical="top"/>
      <protection locked="0"/>
    </xf>
    <xf numFmtId="0" fontId="5" fillId="8" borderId="32" xfId="0" applyFont="1" applyFill="1" applyBorder="1" applyAlignment="1" applyProtection="1">
      <alignment horizontal="center"/>
      <protection locked="0"/>
    </xf>
    <xf numFmtId="0" fontId="5" fillId="8" borderId="0" xfId="0" applyFont="1" applyFill="1" applyBorder="1" applyAlignment="1" applyProtection="1">
      <alignment horizontal="center"/>
      <protection locked="0"/>
    </xf>
    <xf numFmtId="0" fontId="1" fillId="0" borderId="34" xfId="0" applyFont="1" applyBorder="1" applyAlignment="1" applyProtection="1">
      <alignment horizontal="left"/>
      <protection locked="0"/>
    </xf>
    <xf numFmtId="0" fontId="1" fillId="0" borderId="35" xfId="0" applyFont="1" applyBorder="1" applyAlignment="1" applyProtection="1">
      <alignment horizontal="left"/>
      <protection locked="0"/>
    </xf>
    <xf numFmtId="0" fontId="34" fillId="6" borderId="2" xfId="0" applyFont="1" applyFill="1" applyBorder="1" applyAlignment="1">
      <alignment horizontal="center" vertical="center" wrapText="1"/>
    </xf>
    <xf numFmtId="0" fontId="34" fillId="6" borderId="4"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32" fillId="15" borderId="20" xfId="0" applyFont="1" applyFill="1" applyBorder="1" applyAlignment="1">
      <alignment horizontal="center" vertical="center" wrapText="1"/>
    </xf>
    <xf numFmtId="0" fontId="32" fillId="15" borderId="21" xfId="0" applyFont="1" applyFill="1" applyBorder="1" applyAlignment="1">
      <alignment horizontal="center" vertical="center" wrapText="1"/>
    </xf>
    <xf numFmtId="0" fontId="15" fillId="7" borderId="2" xfId="4" applyFont="1" applyBorder="1" applyAlignment="1" applyProtection="1">
      <alignment horizontal="center"/>
      <protection hidden="1"/>
    </xf>
    <xf numFmtId="0" fontId="15" fillId="7" borderId="3" xfId="4" applyFont="1" applyBorder="1" applyAlignment="1" applyProtection="1">
      <alignment horizontal="center"/>
      <protection hidden="1"/>
    </xf>
    <xf numFmtId="0" fontId="13" fillId="7" borderId="2" xfId="4" applyFont="1" applyBorder="1" applyAlignment="1" applyProtection="1">
      <alignment horizontal="center"/>
      <protection hidden="1"/>
    </xf>
    <xf numFmtId="0" fontId="13" fillId="7" borderId="3" xfId="4" applyFont="1" applyBorder="1" applyAlignment="1" applyProtection="1">
      <alignment horizontal="center"/>
      <protection hidden="1"/>
    </xf>
    <xf numFmtId="0" fontId="19" fillId="13" borderId="0" xfId="2" applyFont="1" applyFill="1" applyAlignment="1" applyProtection="1">
      <alignment horizontal="center" vertical="center"/>
      <protection hidden="1"/>
    </xf>
    <xf numFmtId="0" fontId="11" fillId="0" borderId="0" xfId="3" applyFont="1" applyAlignment="1" applyProtection="1">
      <alignment horizontal="center" vertical="center"/>
      <protection hidden="1"/>
    </xf>
    <xf numFmtId="166" fontId="0" fillId="0" borderId="0" xfId="7" applyNumberFormat="1" applyFont="1" applyAlignment="1">
      <alignment horizontal="center" vertical="center"/>
    </xf>
    <xf numFmtId="166" fontId="0" fillId="0" borderId="18" xfId="7" applyNumberFormat="1" applyFont="1" applyBorder="1" applyAlignment="1">
      <alignment horizontal="center" vertical="center"/>
    </xf>
    <xf numFmtId="166" fontId="0" fillId="0" borderId="0" xfId="7" applyNumberFormat="1" applyFont="1" applyBorder="1" applyAlignment="1">
      <alignment horizontal="center" vertical="center"/>
    </xf>
    <xf numFmtId="0" fontId="29" fillId="0" borderId="0" xfId="0" applyFont="1" applyAlignment="1">
      <alignment horizontal="center" vertical="center"/>
    </xf>
    <xf numFmtId="9" fontId="0" fillId="0" borderId="0" xfId="6" applyFont="1" applyBorder="1" applyAlignment="1">
      <alignment horizontal="center"/>
    </xf>
    <xf numFmtId="9" fontId="0" fillId="0" borderId="19" xfId="6" applyFont="1" applyBorder="1" applyAlignment="1">
      <alignment horizont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xf>
    <xf numFmtId="0" fontId="9" fillId="0" borderId="0" xfId="3" applyFont="1" applyBorder="1" applyAlignment="1" applyProtection="1">
      <alignment horizontal="center"/>
      <protection hidden="1"/>
    </xf>
    <xf numFmtId="0" fontId="6" fillId="0" borderId="0" xfId="0" applyFont="1" applyBorder="1" applyAlignment="1" applyProtection="1">
      <alignment horizontal="center"/>
      <protection hidden="1"/>
    </xf>
    <xf numFmtId="0" fontId="2" fillId="3" borderId="5" xfId="2" applyBorder="1" applyAlignment="1" applyProtection="1">
      <alignment horizontal="center"/>
      <protection hidden="1"/>
    </xf>
    <xf numFmtId="0" fontId="2" fillId="7" borderId="2" xfId="4" applyBorder="1" applyAlignment="1" applyProtection="1">
      <alignment horizontal="center"/>
      <protection hidden="1"/>
    </xf>
    <xf numFmtId="0" fontId="2" fillId="7" borderId="4" xfId="4" applyBorder="1" applyAlignment="1" applyProtection="1">
      <alignment horizontal="center"/>
      <protection hidden="1"/>
    </xf>
    <xf numFmtId="0" fontId="2" fillId="7" borderId="3" xfId="4" applyBorder="1" applyAlignment="1" applyProtection="1">
      <alignment horizontal="center"/>
      <protection hidden="1"/>
    </xf>
    <xf numFmtId="0" fontId="1" fillId="0" borderId="0" xfId="0" applyFont="1" applyAlignment="1">
      <alignment horizontal="center"/>
    </xf>
    <xf numFmtId="0" fontId="24" fillId="0" borderId="10" xfId="5" applyFont="1" applyFill="1" applyBorder="1" applyAlignment="1">
      <alignment horizontal="center" wrapText="1"/>
    </xf>
    <xf numFmtId="0" fontId="24" fillId="0" borderId="11" xfId="5" applyFont="1" applyFill="1" applyBorder="1" applyAlignment="1">
      <alignment horizontal="center" wrapText="1"/>
    </xf>
    <xf numFmtId="0" fontId="24" fillId="0" borderId="0" xfId="5" applyFont="1" applyFill="1" applyBorder="1" applyAlignment="1">
      <alignment horizontal="center" wrapText="1"/>
    </xf>
    <xf numFmtId="0" fontId="24" fillId="0" borderId="9" xfId="5" applyFont="1" applyFill="1" applyBorder="1" applyAlignment="1">
      <alignment horizontal="center" wrapText="1"/>
    </xf>
    <xf numFmtId="0" fontId="2" fillId="3" borderId="0" xfId="2" applyAlignment="1">
      <alignment horizontal="center" wrapText="1"/>
    </xf>
    <xf numFmtId="0" fontId="2" fillId="17" borderId="12" xfId="0" applyFont="1" applyFill="1" applyBorder="1" applyAlignment="1">
      <alignment horizontal="center"/>
    </xf>
    <xf numFmtId="0" fontId="2" fillId="17" borderId="13" xfId="0" applyFont="1" applyFill="1" applyBorder="1" applyAlignment="1">
      <alignment horizontal="center"/>
    </xf>
    <xf numFmtId="0" fontId="2" fillId="17" borderId="14" xfId="0" applyFont="1" applyFill="1" applyBorder="1" applyAlignment="1">
      <alignment horizontal="center"/>
    </xf>
    <xf numFmtId="0" fontId="0" fillId="0" borderId="0" xfId="0" applyBorder="1" applyAlignment="1">
      <alignment horizontal="center"/>
    </xf>
    <xf numFmtId="0" fontId="0" fillId="0" borderId="15" xfId="0" applyBorder="1" applyAlignment="1">
      <alignment horizontal="center"/>
    </xf>
    <xf numFmtId="0" fontId="25" fillId="4" borderId="16" xfId="0" applyFont="1" applyFill="1" applyBorder="1" applyAlignment="1">
      <alignment horizontal="center"/>
    </xf>
    <xf numFmtId="0" fontId="43" fillId="25" borderId="27" xfId="0" applyFont="1" applyFill="1" applyBorder="1" applyAlignment="1"/>
    <xf numFmtId="0" fontId="42" fillId="22" borderId="0" xfId="0" applyFont="1" applyFill="1" applyBorder="1" applyAlignment="1">
      <alignment horizontal="center"/>
    </xf>
    <xf numFmtId="0" fontId="43" fillId="25" borderId="24" xfId="0" applyFont="1" applyFill="1" applyBorder="1" applyAlignment="1"/>
    <xf numFmtId="0" fontId="43" fillId="0" borderId="28" xfId="0" applyFont="1" applyBorder="1" applyAlignment="1">
      <alignment horizontal="center"/>
    </xf>
    <xf numFmtId="0" fontId="43" fillId="0" borderId="29" xfId="0" applyFont="1" applyBorder="1" applyAlignment="1">
      <alignment horizontal="center"/>
    </xf>
    <xf numFmtId="0" fontId="43" fillId="0" borderId="30" xfId="0" applyFont="1" applyBorder="1" applyAlignment="1">
      <alignment horizontal="center"/>
    </xf>
    <xf numFmtId="0" fontId="43" fillId="25" borderId="31" xfId="0" applyFont="1" applyFill="1" applyBorder="1" applyAlignment="1"/>
    <xf numFmtId="170" fontId="49" fillId="0" borderId="0" xfId="11" applyNumberFormat="1" applyBorder="1" applyAlignment="1" applyProtection="1">
      <alignment horizontal="center"/>
    </xf>
    <xf numFmtId="170" fontId="25" fillId="18" borderId="0" xfId="8" applyNumberFormat="1" applyFont="1" applyBorder="1" applyAlignment="1">
      <alignment horizontal="center"/>
    </xf>
  </cellXfs>
  <cellStyles count="12">
    <cellStyle name="Accent1" xfId="1" builtinId="29"/>
    <cellStyle name="Accent3" xfId="4" builtinId="37"/>
    <cellStyle name="Accent4" xfId="2" builtinId="41"/>
    <cellStyle name="Accent6" xfId="8" builtinId="49"/>
    <cellStyle name="Comma" xfId="7" builtinId="3"/>
    <cellStyle name="Comma 2" xfId="10"/>
    <cellStyle name="Hyperlink" xfId="3" builtinId="8"/>
    <cellStyle name="Hyperlink 2" xfId="11"/>
    <cellStyle name="Input" xfId="5" builtinId="20"/>
    <cellStyle name="Normal" xfId="0" builtinId="0"/>
    <cellStyle name="Normal 2" xfId="9"/>
    <cellStyle name="Percent" xfId="6" builtinId="5"/>
  </cellStyles>
  <dxfs count="2">
    <dxf>
      <font>
        <b/>
        <i val="0"/>
        <color theme="0"/>
      </font>
      <fill>
        <patternFill>
          <bgColor theme="5"/>
        </patternFill>
      </fill>
    </dxf>
    <dxf>
      <fill>
        <patternFill>
          <bgColor rgb="FF00B05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507367032108087"/>
          <c:y val="0.20476404806845408"/>
          <c:w val="0.73114081377384943"/>
          <c:h val="0.63001023434251691"/>
        </c:manualLayout>
      </c:layout>
      <c:barChart>
        <c:barDir val="bar"/>
        <c:grouping val="clustered"/>
        <c:varyColors val="0"/>
        <c:ser>
          <c:idx val="1"/>
          <c:order val="0"/>
          <c:tx>
            <c:strRef>
              <c:f>Valuation!$A$26</c:f>
              <c:strCache>
                <c:ptCount val="1"/>
                <c:pt idx="0">
                  <c:v>Historical Earnings Growth</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
              <c:pt idx="0">
                <c:v>Historical Basis</c:v>
              </c:pt>
            </c:strLit>
          </c:cat>
          <c:val>
            <c:numRef>
              <c:f>Valuation!$B$26</c:f>
              <c:numCache>
                <c:formatCode>0</c:formatCode>
                <c:ptCount val="1"/>
                <c:pt idx="0">
                  <c:v>486.35540038896517</c:v>
                </c:pt>
              </c:numCache>
            </c:numRef>
          </c:val>
        </c:ser>
        <c:ser>
          <c:idx val="2"/>
          <c:order val="1"/>
          <c:tx>
            <c:strRef>
              <c:f>Valuation!$A$25</c:f>
              <c:strCache>
                <c:ptCount val="1"/>
                <c:pt idx="0">
                  <c:v>P E/B Valuation</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
              <c:pt idx="0">
                <c:v>Historical Basis</c:v>
              </c:pt>
            </c:strLit>
          </c:cat>
          <c:val>
            <c:numRef>
              <c:f>Valuation!$B$25</c:f>
              <c:numCache>
                <c:formatCode>0</c:formatCode>
                <c:ptCount val="1"/>
                <c:pt idx="0">
                  <c:v>196.60035175259483</c:v>
                </c:pt>
              </c:numCache>
            </c:numRef>
          </c:val>
        </c:ser>
        <c:dLbls>
          <c:dLblPos val="outEnd"/>
          <c:showLegendKey val="0"/>
          <c:showVal val="1"/>
          <c:showCatName val="0"/>
          <c:showSerName val="0"/>
          <c:showPercent val="0"/>
          <c:showBubbleSize val="0"/>
        </c:dLbls>
        <c:gapWidth val="150"/>
        <c:axId val="-536118032"/>
        <c:axId val="-536117488"/>
      </c:barChart>
      <c:catAx>
        <c:axId val="-536118032"/>
        <c:scaling>
          <c:orientation val="minMax"/>
        </c:scaling>
        <c:delete val="0"/>
        <c:axPos val="l"/>
        <c:majorGridlines/>
        <c:numFmt formatCode="General" sourceLinked="0"/>
        <c:majorTickMark val="out"/>
        <c:minorTickMark val="none"/>
        <c:tickLblPos val="nextTo"/>
        <c:crossAx val="-536117488"/>
        <c:crosses val="autoZero"/>
        <c:auto val="1"/>
        <c:lblAlgn val="ctr"/>
        <c:lblOffset val="100"/>
        <c:noMultiLvlLbl val="0"/>
      </c:catAx>
      <c:valAx>
        <c:axId val="-536117488"/>
        <c:scaling>
          <c:orientation val="minMax"/>
        </c:scaling>
        <c:delete val="1"/>
        <c:axPos val="b"/>
        <c:numFmt formatCode="0" sourceLinked="1"/>
        <c:majorTickMark val="out"/>
        <c:minorTickMark val="none"/>
        <c:tickLblPos val="nextTo"/>
        <c:crossAx val="-536118032"/>
        <c:crosses val="autoZero"/>
        <c:crossBetween val="between"/>
      </c:valAx>
      <c:spPr>
        <a:noFill/>
        <a:ln w="25400">
          <a:noFill/>
        </a:ln>
      </c:spPr>
    </c:plotArea>
    <c:legend>
      <c:legendPos val="b"/>
      <c:layout/>
      <c:overlay val="0"/>
    </c:legend>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55E-2"/>
          <c:y val="2.4675774164750371E-2"/>
          <c:w val="0.7583333333333333"/>
          <c:h val="0.8717707337780346"/>
        </c:manualLayout>
      </c:layout>
      <c:areaChart>
        <c:grouping val="percentStacked"/>
        <c:varyColors val="0"/>
        <c:ser>
          <c:idx val="0"/>
          <c:order val="0"/>
          <c:tx>
            <c:strRef>
              <c:f>'Polished Data'!$A$111</c:f>
              <c:strCache>
                <c:ptCount val="1"/>
                <c:pt idx="0">
                  <c:v>Raw Mat + Invt change</c:v>
                </c:pt>
              </c:strCache>
            </c:strRef>
          </c:tx>
          <c:spPr>
            <a:solidFill>
              <a:srgbClr val="FF0000">
                <a:alpha val="85000"/>
              </a:srgbClr>
            </a:solidFill>
            <a:ln w="9525" cap="flat" cmpd="sng" algn="ctr">
              <a:solidFill>
                <a:schemeClr val="lt1">
                  <a:alpha val="50000"/>
                </a:schemeClr>
              </a:solidFill>
              <a:round/>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Data'!$C$4:$L$4</c:f>
              <c:numCache>
                <c:formatCode>[$-409]mmm\-yy;@</c:formatCode>
                <c:ptCount val="10"/>
                <c:pt idx="0">
                  <c:v>39538</c:v>
                </c:pt>
                <c:pt idx="1">
                  <c:v>39903</c:v>
                </c:pt>
                <c:pt idx="2">
                  <c:v>40268</c:v>
                </c:pt>
                <c:pt idx="3">
                  <c:v>40633</c:v>
                </c:pt>
                <c:pt idx="4">
                  <c:v>40999</c:v>
                </c:pt>
                <c:pt idx="5">
                  <c:v>41364</c:v>
                </c:pt>
                <c:pt idx="6">
                  <c:v>41729</c:v>
                </c:pt>
                <c:pt idx="7">
                  <c:v>42094</c:v>
                </c:pt>
                <c:pt idx="8">
                  <c:v>42460</c:v>
                </c:pt>
                <c:pt idx="9">
                  <c:v>42825</c:v>
                </c:pt>
              </c:numCache>
            </c:numRef>
          </c:cat>
          <c:val>
            <c:numRef>
              <c:f>'Polished Data'!$C$111:$L$111</c:f>
              <c:numCache>
                <c:formatCode>0%</c:formatCode>
                <c:ptCount val="10"/>
                <c:pt idx="0">
                  <c:v>0.3837406066340362</c:v>
                </c:pt>
                <c:pt idx="1">
                  <c:v>0.37092157985117352</c:v>
                </c:pt>
                <c:pt idx="2">
                  <c:v>0.35210354911604425</c:v>
                </c:pt>
                <c:pt idx="3">
                  <c:v>0.34582258197542209</c:v>
                </c:pt>
                <c:pt idx="4">
                  <c:v>0.43942054203638381</c:v>
                </c:pt>
                <c:pt idx="5">
                  <c:v>0.40261721371878101</c:v>
                </c:pt>
                <c:pt idx="6">
                  <c:v>0.4088438912404046</c:v>
                </c:pt>
                <c:pt idx="7">
                  <c:v>0.39958251946985002</c:v>
                </c:pt>
                <c:pt idx="8">
                  <c:v>0.37974768276068449</c:v>
                </c:pt>
                <c:pt idx="9">
                  <c:v>0.40055096221359282</c:v>
                </c:pt>
              </c:numCache>
            </c:numRef>
          </c:val>
        </c:ser>
        <c:ser>
          <c:idx val="1"/>
          <c:order val="1"/>
          <c:tx>
            <c:strRef>
              <c:f>'Polished Data'!$A$112</c:f>
              <c:strCache>
                <c:ptCount val="1"/>
                <c:pt idx="0">
                  <c:v>Power and Fuel</c:v>
                </c:pt>
              </c:strCache>
            </c:strRef>
          </c:tx>
          <c:spPr>
            <a:solidFill>
              <a:schemeClr val="accent2">
                <a:alpha val="85000"/>
              </a:schemeClr>
            </a:solidFill>
            <a:ln w="9525" cap="flat" cmpd="sng" algn="ctr">
              <a:solidFill>
                <a:schemeClr val="lt1">
                  <a:alpha val="50000"/>
                </a:schemeClr>
              </a:solidFill>
              <a:round/>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Data'!$C$4:$L$4</c:f>
              <c:numCache>
                <c:formatCode>[$-409]mmm\-yy;@</c:formatCode>
                <c:ptCount val="10"/>
                <c:pt idx="0">
                  <c:v>39538</c:v>
                </c:pt>
                <c:pt idx="1">
                  <c:v>39903</c:v>
                </c:pt>
                <c:pt idx="2">
                  <c:v>40268</c:v>
                </c:pt>
                <c:pt idx="3">
                  <c:v>40633</c:v>
                </c:pt>
                <c:pt idx="4">
                  <c:v>40999</c:v>
                </c:pt>
                <c:pt idx="5">
                  <c:v>41364</c:v>
                </c:pt>
                <c:pt idx="6">
                  <c:v>41729</c:v>
                </c:pt>
                <c:pt idx="7">
                  <c:v>42094</c:v>
                </c:pt>
                <c:pt idx="8">
                  <c:v>42460</c:v>
                </c:pt>
                <c:pt idx="9">
                  <c:v>42825</c:v>
                </c:pt>
              </c:numCache>
            </c:numRef>
          </c:cat>
          <c:val>
            <c:numRef>
              <c:f>'Polished Data'!$C$112:$L$112</c:f>
              <c:numCache>
                <c:formatCode>0%</c:formatCode>
                <c:ptCount val="10"/>
                <c:pt idx="0">
                  <c:v>0.14710966356738658</c:v>
                </c:pt>
                <c:pt idx="1">
                  <c:v>0.17102788453675691</c:v>
                </c:pt>
                <c:pt idx="2">
                  <c:v>0.15524890336302011</c:v>
                </c:pt>
                <c:pt idx="3">
                  <c:v>0.13426531405747411</c:v>
                </c:pt>
                <c:pt idx="4">
                  <c:v>0.13572398178187517</c:v>
                </c:pt>
                <c:pt idx="5">
                  <c:v>0.15991006848125569</c:v>
                </c:pt>
                <c:pt idx="6">
                  <c:v>0.17279754645239973</c:v>
                </c:pt>
                <c:pt idx="7">
                  <c:v>0.16329105434791719</c:v>
                </c:pt>
                <c:pt idx="8">
                  <c:v>0.14013293117976422</c:v>
                </c:pt>
                <c:pt idx="9">
                  <c:v>0.10980555117715333</c:v>
                </c:pt>
              </c:numCache>
            </c:numRef>
          </c:val>
        </c:ser>
        <c:ser>
          <c:idx val="2"/>
          <c:order val="2"/>
          <c:tx>
            <c:strRef>
              <c:f>'Polished Data'!$A$113</c:f>
              <c:strCache>
                <c:ptCount val="1"/>
                <c:pt idx="0">
                  <c:v>Other Mfr. Exp</c:v>
                </c:pt>
              </c:strCache>
            </c:strRef>
          </c:tx>
          <c:spPr>
            <a:solidFill>
              <a:schemeClr val="accent3">
                <a:alpha val="85000"/>
              </a:schemeClr>
            </a:solidFill>
            <a:ln w="9525" cap="flat" cmpd="sng" algn="ctr">
              <a:solidFill>
                <a:schemeClr val="lt1">
                  <a:alpha val="50000"/>
                </a:schemeClr>
              </a:solidFill>
              <a:round/>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Data'!$C$4:$L$4</c:f>
              <c:numCache>
                <c:formatCode>[$-409]mmm\-yy;@</c:formatCode>
                <c:ptCount val="10"/>
                <c:pt idx="0">
                  <c:v>39538</c:v>
                </c:pt>
                <c:pt idx="1">
                  <c:v>39903</c:v>
                </c:pt>
                <c:pt idx="2">
                  <c:v>40268</c:v>
                </c:pt>
                <c:pt idx="3">
                  <c:v>40633</c:v>
                </c:pt>
                <c:pt idx="4">
                  <c:v>40999</c:v>
                </c:pt>
                <c:pt idx="5">
                  <c:v>41364</c:v>
                </c:pt>
                <c:pt idx="6">
                  <c:v>41729</c:v>
                </c:pt>
                <c:pt idx="7">
                  <c:v>42094</c:v>
                </c:pt>
                <c:pt idx="8">
                  <c:v>42460</c:v>
                </c:pt>
                <c:pt idx="9">
                  <c:v>42825</c:v>
                </c:pt>
              </c:numCache>
            </c:numRef>
          </c:cat>
          <c:val>
            <c:numRef>
              <c:f>'Polished Data'!$C$113:$L$113</c:f>
              <c:numCache>
                <c:formatCode>0%</c:formatCode>
                <c:ptCount val="10"/>
                <c:pt idx="0">
                  <c:v>8.4799577867137307E-2</c:v>
                </c:pt>
                <c:pt idx="1">
                  <c:v>7.1453103279090685E-2</c:v>
                </c:pt>
                <c:pt idx="2">
                  <c:v>8.7008174930214024E-2</c:v>
                </c:pt>
                <c:pt idx="3">
                  <c:v>7.9666089333474716E-2</c:v>
                </c:pt>
                <c:pt idx="4">
                  <c:v>6.7170163365636082E-2</c:v>
                </c:pt>
                <c:pt idx="5">
                  <c:v>6.5270756767159044E-2</c:v>
                </c:pt>
                <c:pt idx="6">
                  <c:v>6.7822297151876015E-2</c:v>
                </c:pt>
                <c:pt idx="7">
                  <c:v>6.903099248032056E-2</c:v>
                </c:pt>
                <c:pt idx="8">
                  <c:v>7.9813833347770965E-2</c:v>
                </c:pt>
                <c:pt idx="9">
                  <c:v>7.9739063149297143E-2</c:v>
                </c:pt>
              </c:numCache>
            </c:numRef>
          </c:val>
        </c:ser>
        <c:ser>
          <c:idx val="3"/>
          <c:order val="3"/>
          <c:tx>
            <c:strRef>
              <c:f>'Polished Data'!$A$114</c:f>
              <c:strCache>
                <c:ptCount val="1"/>
                <c:pt idx="0">
                  <c:v>Employee Cost</c:v>
                </c:pt>
              </c:strCache>
            </c:strRef>
          </c:tx>
          <c:spPr>
            <a:solidFill>
              <a:schemeClr val="accent4">
                <a:alpha val="85000"/>
              </a:schemeClr>
            </a:solidFill>
            <a:ln w="9525" cap="flat" cmpd="sng" algn="ctr">
              <a:solidFill>
                <a:schemeClr val="lt1">
                  <a:alpha val="50000"/>
                </a:schemeClr>
              </a:solidFill>
              <a:round/>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Data'!$C$4:$L$4</c:f>
              <c:numCache>
                <c:formatCode>[$-409]mmm\-yy;@</c:formatCode>
                <c:ptCount val="10"/>
                <c:pt idx="0">
                  <c:v>39538</c:v>
                </c:pt>
                <c:pt idx="1">
                  <c:v>39903</c:v>
                </c:pt>
                <c:pt idx="2">
                  <c:v>40268</c:v>
                </c:pt>
                <c:pt idx="3">
                  <c:v>40633</c:v>
                </c:pt>
                <c:pt idx="4">
                  <c:v>40999</c:v>
                </c:pt>
                <c:pt idx="5">
                  <c:v>41364</c:v>
                </c:pt>
                <c:pt idx="6">
                  <c:v>41729</c:v>
                </c:pt>
                <c:pt idx="7">
                  <c:v>42094</c:v>
                </c:pt>
                <c:pt idx="8">
                  <c:v>42460</c:v>
                </c:pt>
                <c:pt idx="9">
                  <c:v>42825</c:v>
                </c:pt>
              </c:numCache>
            </c:numRef>
          </c:cat>
          <c:val>
            <c:numRef>
              <c:f>'Polished Data'!$C$114:$L$114</c:f>
              <c:numCache>
                <c:formatCode>0%</c:formatCode>
                <c:ptCount val="10"/>
                <c:pt idx="0">
                  <c:v>5.5696064338870789E-2</c:v>
                </c:pt>
                <c:pt idx="1">
                  <c:v>6.199198626216372E-2</c:v>
                </c:pt>
                <c:pt idx="2">
                  <c:v>6.2632925694536767E-2</c:v>
                </c:pt>
                <c:pt idx="3">
                  <c:v>5.3951197671815533E-2</c:v>
                </c:pt>
                <c:pt idx="4">
                  <c:v>5.049816822939323E-2</c:v>
                </c:pt>
                <c:pt idx="5">
                  <c:v>5.0668619250789727E-2</c:v>
                </c:pt>
                <c:pt idx="6">
                  <c:v>5.3317131788507062E-2</c:v>
                </c:pt>
                <c:pt idx="7">
                  <c:v>5.1334177236413016E-2</c:v>
                </c:pt>
                <c:pt idx="8">
                  <c:v>5.2463715615476095E-2</c:v>
                </c:pt>
                <c:pt idx="9">
                  <c:v>5.6647369853984261E-2</c:v>
                </c:pt>
              </c:numCache>
            </c:numRef>
          </c:val>
        </c:ser>
        <c:ser>
          <c:idx val="4"/>
          <c:order val="4"/>
          <c:tx>
            <c:strRef>
              <c:f>'Polished Data'!$A$115</c:f>
              <c:strCache>
                <c:ptCount val="1"/>
                <c:pt idx="0">
                  <c:v>Selling and admin</c:v>
                </c:pt>
              </c:strCache>
            </c:strRef>
          </c:tx>
          <c:spPr>
            <a:solidFill>
              <a:schemeClr val="accent5">
                <a:alpha val="85000"/>
              </a:schemeClr>
            </a:solidFill>
            <a:ln w="9525" cap="flat" cmpd="sng" algn="ctr">
              <a:solidFill>
                <a:schemeClr val="lt1">
                  <a:alpha val="50000"/>
                </a:schemeClr>
              </a:solidFill>
              <a:round/>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Data'!$C$4:$L$4</c:f>
              <c:numCache>
                <c:formatCode>[$-409]mmm\-yy;@</c:formatCode>
                <c:ptCount val="10"/>
                <c:pt idx="0">
                  <c:v>39538</c:v>
                </c:pt>
                <c:pt idx="1">
                  <c:v>39903</c:v>
                </c:pt>
                <c:pt idx="2">
                  <c:v>40268</c:v>
                </c:pt>
                <c:pt idx="3">
                  <c:v>40633</c:v>
                </c:pt>
                <c:pt idx="4">
                  <c:v>40999</c:v>
                </c:pt>
                <c:pt idx="5">
                  <c:v>41364</c:v>
                </c:pt>
                <c:pt idx="6">
                  <c:v>41729</c:v>
                </c:pt>
                <c:pt idx="7">
                  <c:v>42094</c:v>
                </c:pt>
                <c:pt idx="8">
                  <c:v>42460</c:v>
                </c:pt>
                <c:pt idx="9">
                  <c:v>42825</c:v>
                </c:pt>
              </c:numCache>
            </c:numRef>
          </c:cat>
          <c:val>
            <c:numRef>
              <c:f>'Polished Data'!$C$115:$L$115</c:f>
              <c:numCache>
                <c:formatCode>0%</c:formatCode>
                <c:ptCount val="10"/>
                <c:pt idx="0">
                  <c:v>8.2161247475390747E-2</c:v>
                </c:pt>
                <c:pt idx="1">
                  <c:v>8.3719028538719445E-2</c:v>
                </c:pt>
                <c:pt idx="2">
                  <c:v>0.1028180247241792</c:v>
                </c:pt>
                <c:pt idx="3">
                  <c:v>6.3653929989513747E-2</c:v>
                </c:pt>
                <c:pt idx="4">
                  <c:v>9.2531931509075002E-2</c:v>
                </c:pt>
                <c:pt idx="5">
                  <c:v>8.6631839324856491E-2</c:v>
                </c:pt>
                <c:pt idx="6">
                  <c:v>8.3390128416672635E-2</c:v>
                </c:pt>
                <c:pt idx="7">
                  <c:v>8.6555953289126214E-2</c:v>
                </c:pt>
                <c:pt idx="8">
                  <c:v>9.1787877117409433E-2</c:v>
                </c:pt>
                <c:pt idx="9">
                  <c:v>8.6978950234284327E-2</c:v>
                </c:pt>
              </c:numCache>
            </c:numRef>
          </c:val>
        </c:ser>
        <c:ser>
          <c:idx val="5"/>
          <c:order val="5"/>
          <c:tx>
            <c:strRef>
              <c:f>'Polished Data'!$A$116</c:f>
              <c:strCache>
                <c:ptCount val="1"/>
                <c:pt idx="0">
                  <c:v>Other Expenses</c:v>
                </c:pt>
              </c:strCache>
            </c:strRef>
          </c:tx>
          <c:spPr>
            <a:solidFill>
              <a:schemeClr val="accent6">
                <a:alpha val="85000"/>
              </a:schemeClr>
            </a:solidFill>
            <a:ln w="9525" cap="flat" cmpd="sng" algn="ctr">
              <a:solidFill>
                <a:schemeClr val="lt1">
                  <a:alpha val="50000"/>
                </a:schemeClr>
              </a:solidFill>
              <a:round/>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Data'!$C$4:$L$4</c:f>
              <c:numCache>
                <c:formatCode>[$-409]mmm\-yy;@</c:formatCode>
                <c:ptCount val="10"/>
                <c:pt idx="0">
                  <c:v>39538</c:v>
                </c:pt>
                <c:pt idx="1">
                  <c:v>39903</c:v>
                </c:pt>
                <c:pt idx="2">
                  <c:v>40268</c:v>
                </c:pt>
                <c:pt idx="3">
                  <c:v>40633</c:v>
                </c:pt>
                <c:pt idx="4">
                  <c:v>40999</c:v>
                </c:pt>
                <c:pt idx="5">
                  <c:v>41364</c:v>
                </c:pt>
                <c:pt idx="6">
                  <c:v>41729</c:v>
                </c:pt>
                <c:pt idx="7">
                  <c:v>42094</c:v>
                </c:pt>
                <c:pt idx="8">
                  <c:v>42460</c:v>
                </c:pt>
                <c:pt idx="9">
                  <c:v>42825</c:v>
                </c:pt>
              </c:numCache>
            </c:numRef>
          </c:cat>
          <c:val>
            <c:numRef>
              <c:f>'Polished Data'!$C$116:$L$116</c:f>
              <c:numCache>
                <c:formatCode>0%</c:formatCode>
                <c:ptCount val="10"/>
                <c:pt idx="0">
                  <c:v>-7.9877727032879042E-3</c:v>
                </c:pt>
                <c:pt idx="1">
                  <c:v>7.0733502330525807E-3</c:v>
                </c:pt>
                <c:pt idx="2">
                  <c:v>-1.2004851787850592E-2</c:v>
                </c:pt>
                <c:pt idx="3">
                  <c:v>0.11587312808549244</c:v>
                </c:pt>
                <c:pt idx="4">
                  <c:v>1.2300903044565223E-2</c:v>
                </c:pt>
                <c:pt idx="5">
                  <c:v>5.5334168814039839E-2</c:v>
                </c:pt>
                <c:pt idx="6">
                  <c:v>3.296057823373269E-2</c:v>
                </c:pt>
                <c:pt idx="7">
                  <c:v>1.7650707956441185E-2</c:v>
                </c:pt>
                <c:pt idx="8">
                  <c:v>1.1036910452580267E-2</c:v>
                </c:pt>
                <c:pt idx="9">
                  <c:v>7.8524653588777291E-3</c:v>
                </c:pt>
              </c:numCache>
            </c:numRef>
          </c:val>
        </c:ser>
        <c:ser>
          <c:idx val="6"/>
          <c:order val="6"/>
          <c:tx>
            <c:strRef>
              <c:f>'Polished Data'!$A$117</c:f>
              <c:strCache>
                <c:ptCount val="1"/>
                <c:pt idx="0">
                  <c:v>Depreciation</c:v>
                </c:pt>
              </c:strCache>
            </c:strRef>
          </c:tx>
          <c:spPr>
            <a:solidFill>
              <a:schemeClr val="accent1">
                <a:lumMod val="60000"/>
                <a:alpha val="85000"/>
              </a:schemeClr>
            </a:solidFill>
            <a:ln w="9525" cap="flat" cmpd="sng" algn="ctr">
              <a:solidFill>
                <a:schemeClr val="lt1">
                  <a:alpha val="50000"/>
                </a:schemeClr>
              </a:solidFill>
              <a:round/>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Data'!$C$4:$L$4</c:f>
              <c:numCache>
                <c:formatCode>[$-409]mmm\-yy;@</c:formatCode>
                <c:ptCount val="10"/>
                <c:pt idx="0">
                  <c:v>39538</c:v>
                </c:pt>
                <c:pt idx="1">
                  <c:v>39903</c:v>
                </c:pt>
                <c:pt idx="2">
                  <c:v>40268</c:v>
                </c:pt>
                <c:pt idx="3">
                  <c:v>40633</c:v>
                </c:pt>
                <c:pt idx="4">
                  <c:v>40999</c:v>
                </c:pt>
                <c:pt idx="5">
                  <c:v>41364</c:v>
                </c:pt>
                <c:pt idx="6">
                  <c:v>41729</c:v>
                </c:pt>
                <c:pt idx="7">
                  <c:v>42094</c:v>
                </c:pt>
                <c:pt idx="8">
                  <c:v>42460</c:v>
                </c:pt>
                <c:pt idx="9">
                  <c:v>42825</c:v>
                </c:pt>
              </c:numCache>
            </c:numRef>
          </c:cat>
          <c:val>
            <c:numRef>
              <c:f>'Polished Data'!$C$117:$L$117</c:f>
              <c:numCache>
                <c:formatCode>0%</c:formatCode>
                <c:ptCount val="10"/>
                <c:pt idx="0">
                  <c:v>5.8607325460798047E-2</c:v>
                </c:pt>
                <c:pt idx="1">
                  <c:v>5.6922070488183832E-2</c:v>
                </c:pt>
                <c:pt idx="2">
                  <c:v>6.3231091319952151E-2</c:v>
                </c:pt>
                <c:pt idx="3">
                  <c:v>4.9721348367560946E-2</c:v>
                </c:pt>
                <c:pt idx="4">
                  <c:v>4.2374435924716583E-2</c:v>
                </c:pt>
                <c:pt idx="5">
                  <c:v>3.8474355905393547E-2</c:v>
                </c:pt>
                <c:pt idx="6">
                  <c:v>3.657453906306047E-2</c:v>
                </c:pt>
                <c:pt idx="7">
                  <c:v>3.539782205940295E-2</c:v>
                </c:pt>
                <c:pt idx="8">
                  <c:v>3.2185410645519476E-2</c:v>
                </c:pt>
                <c:pt idx="9">
                  <c:v>3.0696977947182139E-2</c:v>
                </c:pt>
              </c:numCache>
            </c:numRef>
          </c:val>
        </c:ser>
        <c:ser>
          <c:idx val="7"/>
          <c:order val="7"/>
          <c:tx>
            <c:strRef>
              <c:f>'Polished Data'!$A$118</c:f>
              <c:strCache>
                <c:ptCount val="1"/>
                <c:pt idx="0">
                  <c:v>Interest</c:v>
                </c:pt>
              </c:strCache>
            </c:strRef>
          </c:tx>
          <c:spPr>
            <a:solidFill>
              <a:schemeClr val="accent2">
                <a:lumMod val="60000"/>
                <a:alpha val="85000"/>
              </a:schemeClr>
            </a:solidFill>
            <a:ln w="9525" cap="flat" cmpd="sng" algn="ctr">
              <a:solidFill>
                <a:schemeClr val="lt1">
                  <a:alpha val="50000"/>
                </a:schemeClr>
              </a:solidFill>
              <a:round/>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Data'!$C$4:$L$4</c:f>
              <c:numCache>
                <c:formatCode>[$-409]mmm\-yy;@</c:formatCode>
                <c:ptCount val="10"/>
                <c:pt idx="0">
                  <c:v>39538</c:v>
                </c:pt>
                <c:pt idx="1">
                  <c:v>39903</c:v>
                </c:pt>
                <c:pt idx="2">
                  <c:v>40268</c:v>
                </c:pt>
                <c:pt idx="3">
                  <c:v>40633</c:v>
                </c:pt>
                <c:pt idx="4">
                  <c:v>40999</c:v>
                </c:pt>
                <c:pt idx="5">
                  <c:v>41364</c:v>
                </c:pt>
                <c:pt idx="6">
                  <c:v>41729</c:v>
                </c:pt>
                <c:pt idx="7">
                  <c:v>42094</c:v>
                </c:pt>
                <c:pt idx="8">
                  <c:v>42460</c:v>
                </c:pt>
                <c:pt idx="9">
                  <c:v>42825</c:v>
                </c:pt>
              </c:numCache>
            </c:numRef>
          </c:cat>
          <c:val>
            <c:numRef>
              <c:f>'Polished Data'!$C$118:$L$118</c:f>
              <c:numCache>
                <c:formatCode>0%</c:formatCode>
                <c:ptCount val="10"/>
                <c:pt idx="0">
                  <c:v>5.8252515511563165E-2</c:v>
                </c:pt>
                <c:pt idx="1">
                  <c:v>7.3783629078420163E-2</c:v>
                </c:pt>
                <c:pt idx="2">
                  <c:v>8.8096504054233707E-2</c:v>
                </c:pt>
                <c:pt idx="3">
                  <c:v>6.5786528106700604E-2</c:v>
                </c:pt>
                <c:pt idx="4">
                  <c:v>9.7794013595459098E-2</c:v>
                </c:pt>
                <c:pt idx="5">
                  <c:v>7.5352849787140172E-2</c:v>
                </c:pt>
                <c:pt idx="6">
                  <c:v>7.6924456560728882E-2</c:v>
                </c:pt>
                <c:pt idx="7">
                  <c:v>6.9039375623496269E-2</c:v>
                </c:pt>
                <c:pt idx="8">
                  <c:v>6.4110943984627869E-2</c:v>
                </c:pt>
                <c:pt idx="9">
                  <c:v>4.7920816197859206E-2</c:v>
                </c:pt>
              </c:numCache>
            </c:numRef>
          </c:val>
        </c:ser>
        <c:ser>
          <c:idx val="8"/>
          <c:order val="8"/>
          <c:tx>
            <c:strRef>
              <c:f>'Polished Data'!$A$119</c:f>
              <c:strCache>
                <c:ptCount val="1"/>
                <c:pt idx="0">
                  <c:v>Tax</c:v>
                </c:pt>
              </c:strCache>
            </c:strRef>
          </c:tx>
          <c:spPr>
            <a:solidFill>
              <a:schemeClr val="bg1">
                <a:lumMod val="65000"/>
                <a:alpha val="85000"/>
              </a:schemeClr>
            </a:solidFill>
            <a:ln w="9525" cap="flat" cmpd="sng" algn="ctr">
              <a:solidFill>
                <a:schemeClr val="bg1">
                  <a:lumMod val="65000"/>
                  <a:alpha val="50000"/>
                </a:schemeClr>
              </a:solidFill>
              <a:round/>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Data'!$C$4:$L$4</c:f>
              <c:numCache>
                <c:formatCode>[$-409]mmm\-yy;@</c:formatCode>
                <c:ptCount val="10"/>
                <c:pt idx="0">
                  <c:v>39538</c:v>
                </c:pt>
                <c:pt idx="1">
                  <c:v>39903</c:v>
                </c:pt>
                <c:pt idx="2">
                  <c:v>40268</c:v>
                </c:pt>
                <c:pt idx="3">
                  <c:v>40633</c:v>
                </c:pt>
                <c:pt idx="4">
                  <c:v>40999</c:v>
                </c:pt>
                <c:pt idx="5">
                  <c:v>41364</c:v>
                </c:pt>
                <c:pt idx="6">
                  <c:v>41729</c:v>
                </c:pt>
                <c:pt idx="7">
                  <c:v>42094</c:v>
                </c:pt>
                <c:pt idx="8">
                  <c:v>42460</c:v>
                </c:pt>
                <c:pt idx="9">
                  <c:v>42825</c:v>
                </c:pt>
              </c:numCache>
            </c:numRef>
          </c:cat>
          <c:val>
            <c:numRef>
              <c:f>'Polished Data'!$C$119:$L$119</c:f>
              <c:numCache>
                <c:formatCode>0%</c:formatCode>
                <c:ptCount val="10"/>
                <c:pt idx="0">
                  <c:v>4.5206426608926653E-2</c:v>
                </c:pt>
                <c:pt idx="1">
                  <c:v>1.6043830239594409E-2</c:v>
                </c:pt>
                <c:pt idx="2">
                  <c:v>-1.6233550445301077E-2</c:v>
                </c:pt>
                <c:pt idx="3">
                  <c:v>2.2728076066593616E-2</c:v>
                </c:pt>
                <c:pt idx="4">
                  <c:v>6.1321076106268899E-4</c:v>
                </c:pt>
                <c:pt idx="5">
                  <c:v>1.1790604127650189E-2</c:v>
                </c:pt>
                <c:pt idx="6">
                  <c:v>1.5231544587129634E-2</c:v>
                </c:pt>
                <c:pt idx="7">
                  <c:v>3.1403254336180804E-2</c:v>
                </c:pt>
                <c:pt idx="8">
                  <c:v>4.767173558665333E-2</c:v>
                </c:pt>
                <c:pt idx="9">
                  <c:v>4.1254101766804704E-2</c:v>
                </c:pt>
              </c:numCache>
            </c:numRef>
          </c:val>
        </c:ser>
        <c:ser>
          <c:idx val="9"/>
          <c:order val="9"/>
          <c:tx>
            <c:strRef>
              <c:f>'Polished Data'!$A$120</c:f>
              <c:strCache>
                <c:ptCount val="1"/>
                <c:pt idx="0">
                  <c:v>Net profit</c:v>
                </c:pt>
              </c:strCache>
            </c:strRef>
          </c:tx>
          <c:spPr>
            <a:solidFill>
              <a:srgbClr val="00B050">
                <a:alpha val="85000"/>
              </a:srgbClr>
            </a:solidFill>
            <a:ln w="9525" cap="flat" cmpd="sng" algn="ctr">
              <a:solidFill>
                <a:srgbClr val="00B050">
                  <a:alpha val="50000"/>
                </a:srgbClr>
              </a:solidFill>
              <a:round/>
            </a:ln>
            <a:effectLst/>
          </c:spPr>
          <c:dLbls>
            <c:spPr>
              <a:solidFill>
                <a:schemeClr val="tx1">
                  <a:lumMod val="65000"/>
                  <a:lumOff val="35000"/>
                </a:schemeClr>
              </a:solid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Data'!$C$4:$L$4</c:f>
              <c:numCache>
                <c:formatCode>[$-409]mmm\-yy;@</c:formatCode>
                <c:ptCount val="10"/>
                <c:pt idx="0">
                  <c:v>39538</c:v>
                </c:pt>
                <c:pt idx="1">
                  <c:v>39903</c:v>
                </c:pt>
                <c:pt idx="2">
                  <c:v>40268</c:v>
                </c:pt>
                <c:pt idx="3">
                  <c:v>40633</c:v>
                </c:pt>
                <c:pt idx="4">
                  <c:v>40999</c:v>
                </c:pt>
                <c:pt idx="5">
                  <c:v>41364</c:v>
                </c:pt>
                <c:pt idx="6">
                  <c:v>41729</c:v>
                </c:pt>
                <c:pt idx="7">
                  <c:v>42094</c:v>
                </c:pt>
                <c:pt idx="8">
                  <c:v>42460</c:v>
                </c:pt>
                <c:pt idx="9">
                  <c:v>42825</c:v>
                </c:pt>
              </c:numCache>
            </c:numRef>
          </c:cat>
          <c:val>
            <c:numRef>
              <c:f>'Polished Data'!$C$120:$L$120</c:f>
              <c:numCache>
                <c:formatCode>0%</c:formatCode>
                <c:ptCount val="10"/>
                <c:pt idx="0">
                  <c:v>9.2414345239178283E-2</c:v>
                </c:pt>
                <c:pt idx="1">
                  <c:v>8.7063537492844886E-2</c:v>
                </c:pt>
                <c:pt idx="2">
                  <c:v>0.1170992290309717</c:v>
                </c:pt>
                <c:pt idx="3">
                  <c:v>6.8531806345952184E-2</c:v>
                </c:pt>
                <c:pt idx="4">
                  <c:v>6.1572649751833082E-2</c:v>
                </c:pt>
                <c:pt idx="5">
                  <c:v>5.394483011110017E-2</c:v>
                </c:pt>
                <c:pt idx="6">
                  <c:v>5.2142370327857089E-2</c:v>
                </c:pt>
                <c:pt idx="7">
                  <c:v>7.6714143200851723E-2</c:v>
                </c:pt>
                <c:pt idx="8">
                  <c:v>0.10104895930951388</c:v>
                </c:pt>
                <c:pt idx="9">
                  <c:v>0.13855374210096436</c:v>
                </c:pt>
              </c:numCache>
            </c:numRef>
          </c:val>
        </c:ser>
        <c:dLbls>
          <c:showLegendKey val="0"/>
          <c:showVal val="1"/>
          <c:showCatName val="0"/>
          <c:showSerName val="0"/>
          <c:showPercent val="0"/>
          <c:showBubbleSize val="0"/>
        </c:dLbls>
        <c:axId val="-486913488"/>
        <c:axId val="-486918384"/>
      </c:areaChart>
      <c:dateAx>
        <c:axId val="-486913488"/>
        <c:scaling>
          <c:orientation val="minMax"/>
        </c:scaling>
        <c:delete val="0"/>
        <c:axPos val="b"/>
        <c:numFmt formatCode="[$-409]mmm\-yy;@"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00" b="0" i="0" u="none" strike="noStrike" kern="1200" cap="all" baseline="0">
                <a:solidFill>
                  <a:schemeClr val="dk1">
                    <a:lumMod val="75000"/>
                    <a:lumOff val="25000"/>
                  </a:schemeClr>
                </a:solidFill>
                <a:latin typeface="+mn-lt"/>
                <a:ea typeface="+mn-ea"/>
                <a:cs typeface="+mn-cs"/>
              </a:defRPr>
            </a:pPr>
            <a:endParaRPr lang="en-US"/>
          </a:p>
        </c:txPr>
        <c:crossAx val="-486918384"/>
        <c:crosses val="autoZero"/>
        <c:auto val="1"/>
        <c:lblOffset val="100"/>
        <c:baseTimeUnit val="years"/>
      </c:dateAx>
      <c:valAx>
        <c:axId val="-48691838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86913488"/>
        <c:crosses val="autoZero"/>
        <c:crossBetween val="midCat"/>
      </c:valAx>
      <c:spPr>
        <a:noFill/>
        <a:ln>
          <a:noFill/>
        </a:ln>
        <a:effectLst/>
      </c:spPr>
    </c:plotArea>
    <c:legend>
      <c:legendPos val="r"/>
      <c:layout>
        <c:manualLayout>
          <c:xMode val="edge"/>
          <c:yMode val="edge"/>
          <c:x val="0.81952101689421786"/>
          <c:y val="5.9422592973785602E-4"/>
          <c:w val="0.17567055350778257"/>
          <c:h val="0.9994057740702621"/>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543866995422149E-2"/>
          <c:y val="5.4502818311879121E-2"/>
          <c:w val="0.89784315299318185"/>
          <c:h val="0.74558580189085655"/>
        </c:manualLayout>
      </c:layout>
      <c:areaChart>
        <c:grouping val="percentStacked"/>
        <c:varyColors val="0"/>
        <c:ser>
          <c:idx val="0"/>
          <c:order val="0"/>
          <c:tx>
            <c:strRef>
              <c:f>'Polished Data'!$A$97</c:f>
              <c:strCache>
                <c:ptCount val="1"/>
                <c:pt idx="0">
                  <c:v>Tangible assets (Non-current)</c:v>
                </c:pt>
              </c:strCache>
            </c:strRef>
          </c:tx>
          <c:spPr>
            <a:solidFill>
              <a:schemeClr val="accent1">
                <a:alpha val="85000"/>
              </a:schemeClr>
            </a:solidFill>
            <a:ln>
              <a:noFill/>
            </a:ln>
            <a:effectLst>
              <a:innerShdw dist="12700" dir="16200000">
                <a:schemeClr val="lt1"/>
              </a:innerShdw>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Data'!$C$4:$L$4</c:f>
              <c:numCache>
                <c:formatCode>[$-409]mmm\-yy;@</c:formatCode>
                <c:ptCount val="10"/>
                <c:pt idx="0">
                  <c:v>39538</c:v>
                </c:pt>
                <c:pt idx="1">
                  <c:v>39903</c:v>
                </c:pt>
                <c:pt idx="2">
                  <c:v>40268</c:v>
                </c:pt>
                <c:pt idx="3">
                  <c:v>40633</c:v>
                </c:pt>
                <c:pt idx="4">
                  <c:v>40999</c:v>
                </c:pt>
                <c:pt idx="5">
                  <c:v>41364</c:v>
                </c:pt>
                <c:pt idx="6">
                  <c:v>41729</c:v>
                </c:pt>
                <c:pt idx="7">
                  <c:v>42094</c:v>
                </c:pt>
                <c:pt idx="8">
                  <c:v>42460</c:v>
                </c:pt>
                <c:pt idx="9">
                  <c:v>42825</c:v>
                </c:pt>
              </c:numCache>
            </c:numRef>
          </c:cat>
          <c:val>
            <c:numRef>
              <c:f>'Polished Data'!$C$97:$L$97</c:f>
              <c:numCache>
                <c:formatCode>0%</c:formatCode>
                <c:ptCount val="10"/>
                <c:pt idx="0">
                  <c:v>0.48286106258451028</c:v>
                </c:pt>
                <c:pt idx="1">
                  <c:v>0.67823439674999753</c:v>
                </c:pt>
                <c:pt idx="2">
                  <c:v>0.68807408062114594</c:v>
                </c:pt>
                <c:pt idx="3">
                  <c:v>0.66446657784532137</c:v>
                </c:pt>
                <c:pt idx="4">
                  <c:v>0.67319944199959736</c:v>
                </c:pt>
                <c:pt idx="5">
                  <c:v>0.64421663056616385</c:v>
                </c:pt>
                <c:pt idx="6">
                  <c:v>0.64738487777146103</c:v>
                </c:pt>
                <c:pt idx="7">
                  <c:v>0.69021867253412961</c:v>
                </c:pt>
                <c:pt idx="8">
                  <c:v>0.70096817484662577</c:v>
                </c:pt>
                <c:pt idx="9">
                  <c:v>0.68975282695011408</c:v>
                </c:pt>
              </c:numCache>
            </c:numRef>
          </c:val>
        </c:ser>
        <c:ser>
          <c:idx val="2"/>
          <c:order val="1"/>
          <c:tx>
            <c:strRef>
              <c:f>'Polished Data'!$A$98</c:f>
              <c:strCache>
                <c:ptCount val="1"/>
                <c:pt idx="0">
                  <c:v>Investments (Current)</c:v>
                </c:pt>
              </c:strCache>
            </c:strRef>
          </c:tx>
          <c:spPr>
            <a:solidFill>
              <a:schemeClr val="accent3">
                <a:alpha val="85000"/>
              </a:schemeClr>
            </a:solidFill>
            <a:ln>
              <a:noFill/>
            </a:ln>
            <a:effectLst>
              <a:innerShdw dist="12700" dir="16200000">
                <a:schemeClr val="lt1"/>
              </a:innerShdw>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Data'!$C$4:$L$4</c:f>
              <c:numCache>
                <c:formatCode>[$-409]mmm\-yy;@</c:formatCode>
                <c:ptCount val="10"/>
                <c:pt idx="0">
                  <c:v>39538</c:v>
                </c:pt>
                <c:pt idx="1">
                  <c:v>39903</c:v>
                </c:pt>
                <c:pt idx="2">
                  <c:v>40268</c:v>
                </c:pt>
                <c:pt idx="3">
                  <c:v>40633</c:v>
                </c:pt>
                <c:pt idx="4">
                  <c:v>40999</c:v>
                </c:pt>
                <c:pt idx="5">
                  <c:v>41364</c:v>
                </c:pt>
                <c:pt idx="6">
                  <c:v>41729</c:v>
                </c:pt>
                <c:pt idx="7">
                  <c:v>42094</c:v>
                </c:pt>
                <c:pt idx="8">
                  <c:v>42460</c:v>
                </c:pt>
                <c:pt idx="9">
                  <c:v>42825</c:v>
                </c:pt>
              </c:numCache>
            </c:numRef>
          </c:cat>
          <c:val>
            <c:numRef>
              <c:f>'Polished Data'!$C$98:$L$98</c:f>
              <c:numCache>
                <c:formatCode>0%</c:formatCode>
                <c:ptCount val="10"/>
                <c:pt idx="0">
                  <c:v>6.8506400576397314E-2</c:v>
                </c:pt>
                <c:pt idx="1">
                  <c:v>1.2885178372929108E-2</c:v>
                </c:pt>
                <c:pt idx="2">
                  <c:v>2.0117892618453526E-2</c:v>
                </c:pt>
                <c:pt idx="3">
                  <c:v>8.5288936290561657E-3</c:v>
                </c:pt>
                <c:pt idx="4">
                  <c:v>1.0329479103747806E-2</c:v>
                </c:pt>
                <c:pt idx="5">
                  <c:v>1.9215339212722072E-3</c:v>
                </c:pt>
                <c:pt idx="6">
                  <c:v>2.6276016029063076E-3</c:v>
                </c:pt>
                <c:pt idx="7">
                  <c:v>5.6793421964409455E-4</c:v>
                </c:pt>
                <c:pt idx="8">
                  <c:v>2.0849309815950921E-3</c:v>
                </c:pt>
                <c:pt idx="9">
                  <c:v>2.535845411183596E-3</c:v>
                </c:pt>
              </c:numCache>
            </c:numRef>
          </c:val>
        </c:ser>
        <c:ser>
          <c:idx val="3"/>
          <c:order val="2"/>
          <c:tx>
            <c:strRef>
              <c:f>'Polished Data'!$A$99</c:f>
              <c:strCache>
                <c:ptCount val="1"/>
                <c:pt idx="0">
                  <c:v>Inventories (Current)</c:v>
                </c:pt>
              </c:strCache>
            </c:strRef>
          </c:tx>
          <c:spPr>
            <a:solidFill>
              <a:schemeClr val="accent4">
                <a:alpha val="85000"/>
              </a:schemeClr>
            </a:solidFill>
            <a:ln>
              <a:noFill/>
            </a:ln>
            <a:effectLst>
              <a:innerShdw dist="12700" dir="16200000">
                <a:schemeClr val="lt1"/>
              </a:innerShdw>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Data'!$C$4:$L$4</c:f>
              <c:numCache>
                <c:formatCode>[$-409]mmm\-yy;@</c:formatCode>
                <c:ptCount val="10"/>
                <c:pt idx="0">
                  <c:v>39538</c:v>
                </c:pt>
                <c:pt idx="1">
                  <c:v>39903</c:v>
                </c:pt>
                <c:pt idx="2">
                  <c:v>40268</c:v>
                </c:pt>
                <c:pt idx="3">
                  <c:v>40633</c:v>
                </c:pt>
                <c:pt idx="4">
                  <c:v>40999</c:v>
                </c:pt>
                <c:pt idx="5">
                  <c:v>41364</c:v>
                </c:pt>
                <c:pt idx="6">
                  <c:v>41729</c:v>
                </c:pt>
                <c:pt idx="7">
                  <c:v>42094</c:v>
                </c:pt>
                <c:pt idx="8">
                  <c:v>42460</c:v>
                </c:pt>
                <c:pt idx="9">
                  <c:v>42825</c:v>
                </c:pt>
              </c:numCache>
            </c:numRef>
          </c:cat>
          <c:val>
            <c:numRef>
              <c:f>'Polished Data'!$C$99:$L$99</c:f>
              <c:numCache>
                <c:formatCode>0%</c:formatCode>
                <c:ptCount val="10"/>
                <c:pt idx="0">
                  <c:v>0.12838164608809796</c:v>
                </c:pt>
                <c:pt idx="1">
                  <c:v>8.6874810143906744E-2</c:v>
                </c:pt>
                <c:pt idx="2">
                  <c:v>0.10570902143687577</c:v>
                </c:pt>
                <c:pt idx="3">
                  <c:v>0.13057078504666528</c:v>
                </c:pt>
                <c:pt idx="4">
                  <c:v>0.11667673368424079</c:v>
                </c:pt>
                <c:pt idx="5">
                  <c:v>0.13466922412041613</c:v>
                </c:pt>
                <c:pt idx="6">
                  <c:v>0.14010870921671126</c:v>
                </c:pt>
                <c:pt idx="7">
                  <c:v>0.14906665904658489</c:v>
                </c:pt>
                <c:pt idx="8">
                  <c:v>0.13955343448729185</c:v>
                </c:pt>
                <c:pt idx="9">
                  <c:v>0.14641200875182928</c:v>
                </c:pt>
              </c:numCache>
            </c:numRef>
          </c:val>
        </c:ser>
        <c:ser>
          <c:idx val="4"/>
          <c:order val="3"/>
          <c:tx>
            <c:strRef>
              <c:f>'Polished Data'!$A$100</c:f>
              <c:strCache>
                <c:ptCount val="1"/>
                <c:pt idx="0">
                  <c:v>Receivables (Current)</c:v>
                </c:pt>
              </c:strCache>
            </c:strRef>
          </c:tx>
          <c:spPr>
            <a:solidFill>
              <a:schemeClr val="accent5">
                <a:alpha val="85000"/>
              </a:schemeClr>
            </a:solidFill>
            <a:ln>
              <a:noFill/>
            </a:ln>
            <a:effectLst>
              <a:innerShdw dist="12700" dir="16200000">
                <a:schemeClr val="lt1"/>
              </a:innerShdw>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Data'!$C$4:$L$4</c:f>
              <c:numCache>
                <c:formatCode>[$-409]mmm\-yy;@</c:formatCode>
                <c:ptCount val="10"/>
                <c:pt idx="0">
                  <c:v>39538</c:v>
                </c:pt>
                <c:pt idx="1">
                  <c:v>39903</c:v>
                </c:pt>
                <c:pt idx="2">
                  <c:v>40268</c:v>
                </c:pt>
                <c:pt idx="3">
                  <c:v>40633</c:v>
                </c:pt>
                <c:pt idx="4">
                  <c:v>40999</c:v>
                </c:pt>
                <c:pt idx="5">
                  <c:v>41364</c:v>
                </c:pt>
                <c:pt idx="6">
                  <c:v>41729</c:v>
                </c:pt>
                <c:pt idx="7">
                  <c:v>42094</c:v>
                </c:pt>
                <c:pt idx="8">
                  <c:v>42460</c:v>
                </c:pt>
                <c:pt idx="9">
                  <c:v>42825</c:v>
                </c:pt>
              </c:numCache>
            </c:numRef>
          </c:cat>
          <c:val>
            <c:numRef>
              <c:f>'Polished Data'!$C$100:$L$100</c:f>
              <c:numCache>
                <c:formatCode>0%</c:formatCode>
                <c:ptCount val="10"/>
                <c:pt idx="0">
                  <c:v>6.6784117490302913E-2</c:v>
                </c:pt>
                <c:pt idx="1">
                  <c:v>3.9636945077761714E-2</c:v>
                </c:pt>
                <c:pt idx="2">
                  <c:v>5.1569521970588034E-2</c:v>
                </c:pt>
                <c:pt idx="3">
                  <c:v>6.4067222538359586E-2</c:v>
                </c:pt>
                <c:pt idx="4">
                  <c:v>6.8132136796387383E-2</c:v>
                </c:pt>
                <c:pt idx="5">
                  <c:v>8.3035748106875862E-2</c:v>
                </c:pt>
                <c:pt idx="6">
                  <c:v>0.10325642341130631</c:v>
                </c:pt>
                <c:pt idx="7">
                  <c:v>9.5552253520120589E-2</c:v>
                </c:pt>
                <c:pt idx="8">
                  <c:v>8.4407181200701148E-2</c:v>
                </c:pt>
                <c:pt idx="9">
                  <c:v>9.3972910730766246E-2</c:v>
                </c:pt>
              </c:numCache>
            </c:numRef>
          </c:val>
        </c:ser>
        <c:ser>
          <c:idx val="5"/>
          <c:order val="4"/>
          <c:tx>
            <c:strRef>
              <c:f>'Polished Data'!$A$101</c:f>
              <c:strCache>
                <c:ptCount val="1"/>
                <c:pt idx="0">
                  <c:v>Cash (Current)</c:v>
                </c:pt>
              </c:strCache>
            </c:strRef>
          </c:tx>
          <c:spPr>
            <a:solidFill>
              <a:schemeClr val="accent6">
                <a:alpha val="85000"/>
              </a:schemeClr>
            </a:solidFill>
            <a:ln>
              <a:noFill/>
            </a:ln>
            <a:effectLst>
              <a:innerShdw dist="12700" dir="16200000">
                <a:schemeClr val="lt1"/>
              </a:innerShdw>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Data'!$C$4:$L$4</c:f>
              <c:numCache>
                <c:formatCode>[$-409]mmm\-yy;@</c:formatCode>
                <c:ptCount val="10"/>
                <c:pt idx="0">
                  <c:v>39538</c:v>
                </c:pt>
                <c:pt idx="1">
                  <c:v>39903</c:v>
                </c:pt>
                <c:pt idx="2">
                  <c:v>40268</c:v>
                </c:pt>
                <c:pt idx="3">
                  <c:v>40633</c:v>
                </c:pt>
                <c:pt idx="4">
                  <c:v>40999</c:v>
                </c:pt>
                <c:pt idx="5">
                  <c:v>41364</c:v>
                </c:pt>
                <c:pt idx="6">
                  <c:v>41729</c:v>
                </c:pt>
                <c:pt idx="7">
                  <c:v>42094</c:v>
                </c:pt>
                <c:pt idx="8">
                  <c:v>42460</c:v>
                </c:pt>
                <c:pt idx="9">
                  <c:v>42825</c:v>
                </c:pt>
              </c:numCache>
            </c:numRef>
          </c:cat>
          <c:val>
            <c:numRef>
              <c:f>'Polished Data'!$C$101:$L$101</c:f>
              <c:numCache>
                <c:formatCode>0%</c:formatCode>
                <c:ptCount val="10"/>
                <c:pt idx="0">
                  <c:v>1.1799366357741391E-2</c:v>
                </c:pt>
                <c:pt idx="1">
                  <c:v>1.5672516181580873E-2</c:v>
                </c:pt>
                <c:pt idx="2">
                  <c:v>8.4918039474310425E-3</c:v>
                </c:pt>
                <c:pt idx="3">
                  <c:v>1.0713080930784094E-2</c:v>
                </c:pt>
                <c:pt idx="4">
                  <c:v>1.0825639255615957E-2</c:v>
                </c:pt>
                <c:pt idx="5">
                  <c:v>9.8797147314157036E-3</c:v>
                </c:pt>
                <c:pt idx="6">
                  <c:v>1.3540121188591079E-2</c:v>
                </c:pt>
                <c:pt idx="7">
                  <c:v>1.1426550746172695E-2</c:v>
                </c:pt>
                <c:pt idx="8">
                  <c:v>1.3988551709027169E-2</c:v>
                </c:pt>
                <c:pt idx="9">
                  <c:v>9.1974710548484388E-3</c:v>
                </c:pt>
              </c:numCache>
            </c:numRef>
          </c:val>
        </c:ser>
        <c:ser>
          <c:idx val="1"/>
          <c:order val="5"/>
          <c:tx>
            <c:strRef>
              <c:f>'Polished Data'!$A$102</c:f>
              <c:strCache>
                <c:ptCount val="1"/>
                <c:pt idx="0">
                  <c:v>Rest</c:v>
                </c:pt>
              </c:strCache>
            </c:strRef>
          </c:tx>
          <c:spPr>
            <a:solidFill>
              <a:schemeClr val="accent2">
                <a:alpha val="85000"/>
              </a:schemeClr>
            </a:solidFill>
            <a:ln>
              <a:noFill/>
            </a:ln>
            <a:effectLst>
              <a:innerShdw dist="12700" dir="16200000">
                <a:schemeClr val="lt1"/>
              </a:innerShdw>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Data'!$C$4:$L$4</c:f>
              <c:numCache>
                <c:formatCode>[$-409]mmm\-yy;@</c:formatCode>
                <c:ptCount val="10"/>
                <c:pt idx="0">
                  <c:v>39538</c:v>
                </c:pt>
                <c:pt idx="1">
                  <c:v>39903</c:v>
                </c:pt>
                <c:pt idx="2">
                  <c:v>40268</c:v>
                </c:pt>
                <c:pt idx="3">
                  <c:v>40633</c:v>
                </c:pt>
                <c:pt idx="4">
                  <c:v>40999</c:v>
                </c:pt>
                <c:pt idx="5">
                  <c:v>41364</c:v>
                </c:pt>
                <c:pt idx="6">
                  <c:v>41729</c:v>
                </c:pt>
                <c:pt idx="7">
                  <c:v>42094</c:v>
                </c:pt>
                <c:pt idx="8">
                  <c:v>42460</c:v>
                </c:pt>
                <c:pt idx="9">
                  <c:v>42825</c:v>
                </c:pt>
              </c:numCache>
            </c:numRef>
          </c:cat>
          <c:val>
            <c:numRef>
              <c:f>'Polished Data'!$C$102:$L$102</c:f>
              <c:numCache>
                <c:formatCode>0%</c:formatCode>
                <c:ptCount val="10"/>
                <c:pt idx="0">
                  <c:v>0.24166740690295013</c:v>
                </c:pt>
                <c:pt idx="1">
                  <c:v>0.16669615347382408</c:v>
                </c:pt>
                <c:pt idx="2">
                  <c:v>0.12603767940550575</c:v>
                </c:pt>
                <c:pt idx="3">
                  <c:v>0.12165344000981353</c:v>
                </c:pt>
                <c:pt idx="4">
                  <c:v>0.12083656916041075</c:v>
                </c:pt>
                <c:pt idx="5">
                  <c:v>0.12627714855385633</c:v>
                </c:pt>
                <c:pt idx="6">
                  <c:v>9.3082266809024053E-2</c:v>
                </c:pt>
                <c:pt idx="7">
                  <c:v>5.3167929933348089E-2</c:v>
                </c:pt>
                <c:pt idx="8">
                  <c:v>5.899772677475898E-2</c:v>
                </c:pt>
                <c:pt idx="9">
                  <c:v>5.8128937101258417E-2</c:v>
                </c:pt>
              </c:numCache>
            </c:numRef>
          </c:val>
        </c:ser>
        <c:dLbls>
          <c:showLegendKey val="0"/>
          <c:showVal val="1"/>
          <c:showCatName val="0"/>
          <c:showSerName val="0"/>
          <c:showPercent val="0"/>
          <c:showBubbleSize val="0"/>
        </c:dLbls>
        <c:axId val="-486914032"/>
        <c:axId val="-486911312"/>
      </c:areaChart>
      <c:dateAx>
        <c:axId val="-486914032"/>
        <c:scaling>
          <c:orientation val="minMax"/>
        </c:scaling>
        <c:delete val="0"/>
        <c:axPos val="b"/>
        <c:numFmt formatCode="[$-409]mmm\-yy;@"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486911312"/>
        <c:crosses val="autoZero"/>
        <c:auto val="1"/>
        <c:lblOffset val="100"/>
        <c:baseTimeUnit val="years"/>
      </c:dateAx>
      <c:valAx>
        <c:axId val="-486911312"/>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486914032"/>
        <c:crosses val="autoZero"/>
        <c:crossBetween val="midCat"/>
      </c:valAx>
      <c:spPr>
        <a:noFill/>
        <a:ln>
          <a:noFill/>
        </a:ln>
        <a:effectLst/>
      </c:spPr>
    </c:plotArea>
    <c:legend>
      <c:legendPos val="b"/>
      <c:layout>
        <c:manualLayout>
          <c:xMode val="edge"/>
          <c:yMode val="edge"/>
          <c:x val="9.7819076446525929E-3"/>
          <c:y val="0.92637052643262852"/>
          <c:w val="0.96365902350050647"/>
          <c:h val="5.5785499893147683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931972789115645E-2"/>
          <c:y val="0.10676595744680853"/>
          <c:w val="0.94013605442176873"/>
          <c:h val="0.67164516669458874"/>
        </c:manualLayout>
      </c:layout>
      <c:barChart>
        <c:barDir val="col"/>
        <c:grouping val="percentStacked"/>
        <c:varyColors val="0"/>
        <c:ser>
          <c:idx val="0"/>
          <c:order val="0"/>
          <c:tx>
            <c:strRef>
              <c:f>'Polished Data'!$A$105</c:f>
              <c:strCache>
                <c:ptCount val="1"/>
                <c:pt idx="0">
                  <c:v>Shareholder Funds</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Data'!$C$4:$L$4</c:f>
              <c:numCache>
                <c:formatCode>[$-409]mmm\-yy;@</c:formatCode>
                <c:ptCount val="10"/>
                <c:pt idx="0">
                  <c:v>39538</c:v>
                </c:pt>
                <c:pt idx="1">
                  <c:v>39903</c:v>
                </c:pt>
                <c:pt idx="2">
                  <c:v>40268</c:v>
                </c:pt>
                <c:pt idx="3">
                  <c:v>40633</c:v>
                </c:pt>
                <c:pt idx="4">
                  <c:v>40999</c:v>
                </c:pt>
                <c:pt idx="5">
                  <c:v>41364</c:v>
                </c:pt>
                <c:pt idx="6">
                  <c:v>41729</c:v>
                </c:pt>
                <c:pt idx="7">
                  <c:v>42094</c:v>
                </c:pt>
                <c:pt idx="8">
                  <c:v>42460</c:v>
                </c:pt>
                <c:pt idx="9">
                  <c:v>42825</c:v>
                </c:pt>
              </c:numCache>
            </c:numRef>
          </c:cat>
          <c:val>
            <c:numRef>
              <c:f>'Polished Data'!$C$105:$L$105</c:f>
              <c:numCache>
                <c:formatCode>0%</c:formatCode>
                <c:ptCount val="10"/>
                <c:pt idx="0">
                  <c:v>0.24799889458048338</c:v>
                </c:pt>
                <c:pt idx="1">
                  <c:v>0.4052588886032934</c:v>
                </c:pt>
                <c:pt idx="2">
                  <c:v>0.40278278251055527</c:v>
                </c:pt>
                <c:pt idx="3">
                  <c:v>0.34738800502942352</c:v>
                </c:pt>
                <c:pt idx="4">
                  <c:v>0.34571936031294037</c:v>
                </c:pt>
                <c:pt idx="5">
                  <c:v>0.36759494891405786</c:v>
                </c:pt>
                <c:pt idx="6">
                  <c:v>0.29804905780723523</c:v>
                </c:pt>
                <c:pt idx="7">
                  <c:v>0.2749408848343704</c:v>
                </c:pt>
                <c:pt idx="8">
                  <c:v>0.35374671340929009</c:v>
                </c:pt>
                <c:pt idx="9">
                  <c:v>0.38851911803181594</c:v>
                </c:pt>
              </c:numCache>
            </c:numRef>
          </c:val>
        </c:ser>
        <c:ser>
          <c:idx val="1"/>
          <c:order val="1"/>
          <c:tx>
            <c:strRef>
              <c:f>'Polished Data'!$A$106</c:f>
              <c:strCache>
                <c:ptCount val="1"/>
                <c:pt idx="0">
                  <c:v>Rest</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Data'!$C$4:$L$4</c:f>
              <c:numCache>
                <c:formatCode>[$-409]mmm\-yy;@</c:formatCode>
                <c:ptCount val="10"/>
                <c:pt idx="0">
                  <c:v>39538</c:v>
                </c:pt>
                <c:pt idx="1">
                  <c:v>39903</c:v>
                </c:pt>
                <c:pt idx="2">
                  <c:v>40268</c:v>
                </c:pt>
                <c:pt idx="3">
                  <c:v>40633</c:v>
                </c:pt>
                <c:pt idx="4">
                  <c:v>40999</c:v>
                </c:pt>
                <c:pt idx="5">
                  <c:v>41364</c:v>
                </c:pt>
                <c:pt idx="6">
                  <c:v>41729</c:v>
                </c:pt>
                <c:pt idx="7">
                  <c:v>42094</c:v>
                </c:pt>
                <c:pt idx="8">
                  <c:v>42460</c:v>
                </c:pt>
                <c:pt idx="9">
                  <c:v>42825</c:v>
                </c:pt>
              </c:numCache>
            </c:numRef>
          </c:cat>
          <c:val>
            <c:numRef>
              <c:f>'Polished Data'!$C$106:$L$106</c:f>
              <c:numCache>
                <c:formatCode>0%</c:formatCode>
                <c:ptCount val="10"/>
                <c:pt idx="0">
                  <c:v>0.75200110541951659</c:v>
                </c:pt>
                <c:pt idx="1">
                  <c:v>0.5947411113967066</c:v>
                </c:pt>
                <c:pt idx="2">
                  <c:v>0.59721721748944478</c:v>
                </c:pt>
                <c:pt idx="3">
                  <c:v>0.65261199497057643</c:v>
                </c:pt>
                <c:pt idx="4">
                  <c:v>0.65428063968705963</c:v>
                </c:pt>
                <c:pt idx="5">
                  <c:v>0.63240505108594214</c:v>
                </c:pt>
                <c:pt idx="6">
                  <c:v>0.70195094219276477</c:v>
                </c:pt>
                <c:pt idx="7">
                  <c:v>0.7250591151656296</c:v>
                </c:pt>
                <c:pt idx="8">
                  <c:v>0.64625328659070991</c:v>
                </c:pt>
                <c:pt idx="9">
                  <c:v>0.61148088196818406</c:v>
                </c:pt>
              </c:numCache>
            </c:numRef>
          </c:val>
        </c:ser>
        <c:dLbls>
          <c:dLblPos val="ctr"/>
          <c:showLegendKey val="0"/>
          <c:showVal val="1"/>
          <c:showCatName val="0"/>
          <c:showSerName val="0"/>
          <c:showPercent val="0"/>
          <c:showBubbleSize val="0"/>
        </c:dLbls>
        <c:gapWidth val="150"/>
        <c:overlap val="100"/>
        <c:axId val="-486916208"/>
        <c:axId val="-486915664"/>
      </c:barChart>
      <c:dateAx>
        <c:axId val="-486916208"/>
        <c:scaling>
          <c:orientation val="minMax"/>
        </c:scaling>
        <c:delete val="0"/>
        <c:axPos val="b"/>
        <c:numFmt formatCode="[$-409]mmm\-yy;@"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00" b="0" i="0" u="none" strike="noStrike" kern="1200" cap="all" baseline="0">
                <a:solidFill>
                  <a:schemeClr val="dk1">
                    <a:lumMod val="75000"/>
                    <a:lumOff val="25000"/>
                  </a:schemeClr>
                </a:solidFill>
                <a:latin typeface="+mn-lt"/>
                <a:ea typeface="+mn-ea"/>
                <a:cs typeface="+mn-cs"/>
              </a:defRPr>
            </a:pPr>
            <a:endParaRPr lang="en-US"/>
          </a:p>
        </c:txPr>
        <c:crossAx val="-486915664"/>
        <c:crosses val="autoZero"/>
        <c:auto val="1"/>
        <c:lblOffset val="100"/>
        <c:baseTimeUnit val="years"/>
      </c:dateAx>
      <c:valAx>
        <c:axId val="-4869156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86916208"/>
        <c:crosses val="autoZero"/>
        <c:crossBetween val="between"/>
      </c:valAx>
      <c:spPr>
        <a:noFill/>
        <a:ln>
          <a:noFill/>
        </a:ln>
        <a:effectLst/>
      </c:spPr>
    </c:plotArea>
    <c:legend>
      <c:legendPos val="b"/>
      <c:layout>
        <c:manualLayout>
          <c:xMode val="edge"/>
          <c:yMode val="edge"/>
          <c:x val="1.2694663167104004E-3"/>
          <c:y val="0.92187445319335082"/>
          <c:w val="0.41276726123520269"/>
          <c:h val="7.8125546806649182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spPr>
            <a:ln w="28575">
              <a:solidFill>
                <a:schemeClr val="accent1">
                  <a:alpha val="20000"/>
                </a:schemeClr>
              </a:solidFill>
            </a:ln>
            <a:effectLst/>
          </c:spPr>
          <c:marker>
            <c:symbol val="circle"/>
            <c:size val="4"/>
            <c:spPr>
              <a:solidFill>
                <a:schemeClr val="accent1"/>
              </a:solidFill>
              <a:ln w="9525" cap="flat" cmpd="sng" algn="ctr">
                <a:solidFill>
                  <a:schemeClr val="accent1"/>
                </a:solidFill>
                <a:round/>
              </a:ln>
              <a:effectLst/>
            </c:spPr>
          </c:marker>
          <c:xVal>
            <c:numRef>
              <c:f>'Polished Data'!$C$4:$L$4</c:f>
              <c:numCache>
                <c:formatCode>[$-409]mmm\-yy;@</c:formatCode>
                <c:ptCount val="10"/>
                <c:pt idx="0">
                  <c:v>39538</c:v>
                </c:pt>
                <c:pt idx="1">
                  <c:v>39903</c:v>
                </c:pt>
                <c:pt idx="2">
                  <c:v>40268</c:v>
                </c:pt>
                <c:pt idx="3">
                  <c:v>40633</c:v>
                </c:pt>
                <c:pt idx="4">
                  <c:v>40999</c:v>
                </c:pt>
                <c:pt idx="5">
                  <c:v>41364</c:v>
                </c:pt>
                <c:pt idx="6">
                  <c:v>41729</c:v>
                </c:pt>
                <c:pt idx="7">
                  <c:v>42094</c:v>
                </c:pt>
                <c:pt idx="8">
                  <c:v>42460</c:v>
                </c:pt>
                <c:pt idx="9">
                  <c:v>42825</c:v>
                </c:pt>
              </c:numCache>
            </c:numRef>
          </c:xVal>
          <c:yVal>
            <c:numRef>
              <c:f>'Polished Data'!$C$96:$L$96</c:f>
              <c:numCache>
                <c:formatCode>0</c:formatCode>
                <c:ptCount val="10"/>
                <c:pt idx="0">
                  <c:v>978.46</c:v>
                </c:pt>
                <c:pt idx="1">
                  <c:v>2031.78</c:v>
                </c:pt>
                <c:pt idx="2">
                  <c:v>2024.08</c:v>
                </c:pt>
                <c:pt idx="3">
                  <c:v>1950.03</c:v>
                </c:pt>
                <c:pt idx="4">
                  <c:v>1872.41</c:v>
                </c:pt>
                <c:pt idx="5">
                  <c:v>1870.76</c:v>
                </c:pt>
                <c:pt idx="6">
                  <c:v>1867.55</c:v>
                </c:pt>
                <c:pt idx="7">
                  <c:v>1932.35</c:v>
                </c:pt>
                <c:pt idx="8">
                  <c:v>2047.5</c:v>
                </c:pt>
                <c:pt idx="9">
                  <c:v>2399.0500000000002</c:v>
                </c:pt>
              </c:numCache>
            </c:numRef>
          </c:yVal>
          <c:smooth val="1"/>
        </c:ser>
        <c:dLbls>
          <c:showLegendKey val="0"/>
          <c:showVal val="0"/>
          <c:showCatName val="0"/>
          <c:showSerName val="0"/>
          <c:showPercent val="0"/>
          <c:showBubbleSize val="0"/>
        </c:dLbls>
        <c:axId val="-486910224"/>
        <c:axId val="-486920016"/>
      </c:scatterChart>
      <c:valAx>
        <c:axId val="-486910224"/>
        <c:scaling>
          <c:orientation val="minMax"/>
        </c:scaling>
        <c:delete val="0"/>
        <c:axPos val="b"/>
        <c:majorGridlines>
          <c:spPr>
            <a:ln w="9525" cap="flat" cmpd="sng" algn="ctr">
              <a:solidFill>
                <a:schemeClr val="dk1">
                  <a:lumMod val="15000"/>
                  <a:lumOff val="85000"/>
                </a:schemeClr>
              </a:solidFill>
              <a:round/>
            </a:ln>
            <a:effectLst/>
          </c:spPr>
        </c:majorGridlines>
        <c:numFmt formatCode="[$-409]mmm\-yy;@"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486920016"/>
        <c:crosses val="autoZero"/>
        <c:crossBetween val="midCat"/>
      </c:valAx>
      <c:valAx>
        <c:axId val="-48692001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486910224"/>
        <c:crosses val="autoZero"/>
        <c:crossBetween val="midCat"/>
      </c:valAx>
      <c:spPr>
        <a:noFill/>
        <a:ln>
          <a:noFill/>
        </a:ln>
        <a:effectLst/>
      </c:spPr>
    </c:plotArea>
    <c:plotVisOnly val="1"/>
    <c:dispBlanksAs val="gap"/>
    <c:showDLblsOverMax val="0"/>
  </c:chart>
  <c: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120044335545495E-2"/>
          <c:y val="8.5099999999999995E-2"/>
          <c:w val="0.77090653363363681"/>
          <c:h val="0.74193333333333333"/>
        </c:manualLayout>
      </c:layout>
      <c:areaChart>
        <c:grouping val="percentStacked"/>
        <c:varyColors val="0"/>
        <c:ser>
          <c:idx val="0"/>
          <c:order val="0"/>
          <c:tx>
            <c:strRef>
              <c:f>'Polished Data'!$A$136</c:f>
              <c:strCache>
                <c:ptCount val="1"/>
                <c:pt idx="0">
                  <c:v>Expenses</c:v>
                </c:pt>
              </c:strCache>
            </c:strRef>
          </c:tx>
          <c:spPr>
            <a:solidFill>
              <a:srgbClr val="FF0000">
                <a:alpha val="85000"/>
              </a:srgbClr>
            </a:solidFill>
            <a:ln w="9525" cap="flat" cmpd="sng" algn="ctr">
              <a:solidFill>
                <a:schemeClr val="lt1">
                  <a:alpha val="50000"/>
                </a:schemeClr>
              </a:solidFill>
              <a:round/>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Data'!$C$135:$L$135</c:f>
              <c:numCache>
                <c:formatCode>[$-409]mmm\-yy;@</c:formatCode>
                <c:ptCount val="10"/>
                <c:pt idx="0">
                  <c:v>42277</c:v>
                </c:pt>
                <c:pt idx="1">
                  <c:v>42369</c:v>
                </c:pt>
                <c:pt idx="2">
                  <c:v>42460</c:v>
                </c:pt>
                <c:pt idx="3">
                  <c:v>42551</c:v>
                </c:pt>
                <c:pt idx="4">
                  <c:v>42643</c:v>
                </c:pt>
                <c:pt idx="5">
                  <c:v>42735</c:v>
                </c:pt>
                <c:pt idx="6">
                  <c:v>42825</c:v>
                </c:pt>
                <c:pt idx="7">
                  <c:v>42916</c:v>
                </c:pt>
                <c:pt idx="8">
                  <c:v>43008</c:v>
                </c:pt>
                <c:pt idx="9">
                  <c:v>43100</c:v>
                </c:pt>
              </c:numCache>
            </c:numRef>
          </c:cat>
          <c:val>
            <c:numRef>
              <c:f>'Polished Data'!$C$136:$L$136</c:f>
              <c:numCache>
                <c:formatCode>0%</c:formatCode>
                <c:ptCount val="10"/>
                <c:pt idx="0">
                  <c:v>0.76964033634075979</c:v>
                </c:pt>
                <c:pt idx="1">
                  <c:v>0.76126820131714101</c:v>
                </c:pt>
                <c:pt idx="2">
                  <c:v>0.72813555102612371</c:v>
                </c:pt>
                <c:pt idx="3">
                  <c:v>0.71446431167320823</c:v>
                </c:pt>
                <c:pt idx="4">
                  <c:v>0.7314994246956944</c:v>
                </c:pt>
                <c:pt idx="5">
                  <c:v>0.73641229644722583</c:v>
                </c:pt>
                <c:pt idx="6">
                  <c:v>0.77650790576043005</c:v>
                </c:pt>
                <c:pt idx="7">
                  <c:v>0.77840320739187008</c:v>
                </c:pt>
                <c:pt idx="8">
                  <c:v>0.80642058602135547</c:v>
                </c:pt>
                <c:pt idx="9">
                  <c:v>0.78533591643748379</c:v>
                </c:pt>
              </c:numCache>
            </c:numRef>
          </c:val>
        </c:ser>
        <c:ser>
          <c:idx val="1"/>
          <c:order val="1"/>
          <c:tx>
            <c:strRef>
              <c:f>'Polished Data'!$A$137</c:f>
              <c:strCache>
                <c:ptCount val="1"/>
                <c:pt idx="0">
                  <c:v>Depreciation</c:v>
                </c:pt>
              </c:strCache>
            </c:strRef>
          </c:tx>
          <c:spPr>
            <a:solidFill>
              <a:schemeClr val="accent2">
                <a:alpha val="85000"/>
              </a:schemeClr>
            </a:solidFill>
            <a:ln w="9525" cap="flat" cmpd="sng" algn="ctr">
              <a:solidFill>
                <a:schemeClr val="lt1">
                  <a:alpha val="50000"/>
                </a:schemeClr>
              </a:solidFill>
              <a:round/>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Data'!$C$135:$L$135</c:f>
              <c:numCache>
                <c:formatCode>[$-409]mmm\-yy;@</c:formatCode>
                <c:ptCount val="10"/>
                <c:pt idx="0">
                  <c:v>42277</c:v>
                </c:pt>
                <c:pt idx="1">
                  <c:v>42369</c:v>
                </c:pt>
                <c:pt idx="2">
                  <c:v>42460</c:v>
                </c:pt>
                <c:pt idx="3">
                  <c:v>42551</c:v>
                </c:pt>
                <c:pt idx="4">
                  <c:v>42643</c:v>
                </c:pt>
                <c:pt idx="5">
                  <c:v>42735</c:v>
                </c:pt>
                <c:pt idx="6">
                  <c:v>42825</c:v>
                </c:pt>
                <c:pt idx="7">
                  <c:v>42916</c:v>
                </c:pt>
                <c:pt idx="8">
                  <c:v>43008</c:v>
                </c:pt>
                <c:pt idx="9">
                  <c:v>43100</c:v>
                </c:pt>
              </c:numCache>
            </c:numRef>
          </c:cat>
          <c:val>
            <c:numRef>
              <c:f>'Polished Data'!$C$137:$L$137</c:f>
              <c:numCache>
                <c:formatCode>0%</c:formatCode>
                <c:ptCount val="10"/>
                <c:pt idx="0">
                  <c:v>3.0703369545203463E-2</c:v>
                </c:pt>
                <c:pt idx="1">
                  <c:v>3.0511751555797235E-2</c:v>
                </c:pt>
                <c:pt idx="2">
                  <c:v>3.3234273622629179E-2</c:v>
                </c:pt>
                <c:pt idx="3">
                  <c:v>3.083296990841692E-2</c:v>
                </c:pt>
                <c:pt idx="4">
                  <c:v>3.3337370556531215E-2</c:v>
                </c:pt>
                <c:pt idx="5">
                  <c:v>3.5430715244425037E-2</c:v>
                </c:pt>
                <c:pt idx="6">
                  <c:v>2.4879537034795032E-2</c:v>
                </c:pt>
                <c:pt idx="7">
                  <c:v>3.3388205931550854E-2</c:v>
                </c:pt>
                <c:pt idx="8">
                  <c:v>3.4904792439153585E-2</c:v>
                </c:pt>
                <c:pt idx="9">
                  <c:v>3.4370639318277267E-2</c:v>
                </c:pt>
              </c:numCache>
            </c:numRef>
          </c:val>
        </c:ser>
        <c:ser>
          <c:idx val="2"/>
          <c:order val="2"/>
          <c:tx>
            <c:strRef>
              <c:f>'Polished Data'!$A$138</c:f>
              <c:strCache>
                <c:ptCount val="1"/>
                <c:pt idx="0">
                  <c:v>Interest</c:v>
                </c:pt>
              </c:strCache>
            </c:strRef>
          </c:tx>
          <c:spPr>
            <a:solidFill>
              <a:schemeClr val="accent3">
                <a:alpha val="85000"/>
              </a:schemeClr>
            </a:solidFill>
            <a:ln w="9525" cap="flat" cmpd="sng" algn="ctr">
              <a:solidFill>
                <a:schemeClr val="lt1">
                  <a:alpha val="50000"/>
                </a:schemeClr>
              </a:solidFill>
              <a:round/>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Data'!$C$135:$L$135</c:f>
              <c:numCache>
                <c:formatCode>[$-409]mmm\-yy;@</c:formatCode>
                <c:ptCount val="10"/>
                <c:pt idx="0">
                  <c:v>42277</c:v>
                </c:pt>
                <c:pt idx="1">
                  <c:v>42369</c:v>
                </c:pt>
                <c:pt idx="2">
                  <c:v>42460</c:v>
                </c:pt>
                <c:pt idx="3">
                  <c:v>42551</c:v>
                </c:pt>
                <c:pt idx="4">
                  <c:v>42643</c:v>
                </c:pt>
                <c:pt idx="5">
                  <c:v>42735</c:v>
                </c:pt>
                <c:pt idx="6">
                  <c:v>42825</c:v>
                </c:pt>
                <c:pt idx="7">
                  <c:v>42916</c:v>
                </c:pt>
                <c:pt idx="8">
                  <c:v>43008</c:v>
                </c:pt>
                <c:pt idx="9">
                  <c:v>43100</c:v>
                </c:pt>
              </c:numCache>
            </c:numRef>
          </c:cat>
          <c:val>
            <c:numRef>
              <c:f>'Polished Data'!$C$138:$L$138</c:f>
              <c:numCache>
                <c:formatCode>0%</c:formatCode>
                <c:ptCount val="10"/>
                <c:pt idx="0">
                  <c:v>6.7559688209660587E-2</c:v>
                </c:pt>
                <c:pt idx="1">
                  <c:v>5.7066038305842552E-2</c:v>
                </c:pt>
                <c:pt idx="2">
                  <c:v>5.8284451774517278E-2</c:v>
                </c:pt>
                <c:pt idx="3">
                  <c:v>5.0486989387992433E-2</c:v>
                </c:pt>
                <c:pt idx="4">
                  <c:v>5.0475383031550906E-2</c:v>
                </c:pt>
                <c:pt idx="5">
                  <c:v>5.13753456556542E-2</c:v>
                </c:pt>
                <c:pt idx="6">
                  <c:v>4.1066369645754136E-2</c:v>
                </c:pt>
                <c:pt idx="7">
                  <c:v>4.0676526033507687E-2</c:v>
                </c:pt>
                <c:pt idx="8">
                  <c:v>4.835651955727787E-2</c:v>
                </c:pt>
                <c:pt idx="9">
                  <c:v>3.809627030468888E-2</c:v>
                </c:pt>
              </c:numCache>
            </c:numRef>
          </c:val>
        </c:ser>
        <c:ser>
          <c:idx val="3"/>
          <c:order val="3"/>
          <c:tx>
            <c:strRef>
              <c:f>'Polished Data'!$A$139</c:f>
              <c:strCache>
                <c:ptCount val="1"/>
                <c:pt idx="0">
                  <c:v>Tax</c:v>
                </c:pt>
              </c:strCache>
            </c:strRef>
          </c:tx>
          <c:spPr>
            <a:solidFill>
              <a:schemeClr val="accent4">
                <a:alpha val="85000"/>
              </a:schemeClr>
            </a:solidFill>
            <a:ln w="9525" cap="flat" cmpd="sng" algn="ctr">
              <a:solidFill>
                <a:schemeClr val="lt1">
                  <a:alpha val="50000"/>
                </a:schemeClr>
              </a:solidFill>
              <a:round/>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Data'!$C$135:$L$135</c:f>
              <c:numCache>
                <c:formatCode>[$-409]mmm\-yy;@</c:formatCode>
                <c:ptCount val="10"/>
                <c:pt idx="0">
                  <c:v>42277</c:v>
                </c:pt>
                <c:pt idx="1">
                  <c:v>42369</c:v>
                </c:pt>
                <c:pt idx="2">
                  <c:v>42460</c:v>
                </c:pt>
                <c:pt idx="3">
                  <c:v>42551</c:v>
                </c:pt>
                <c:pt idx="4">
                  <c:v>42643</c:v>
                </c:pt>
                <c:pt idx="5">
                  <c:v>42735</c:v>
                </c:pt>
                <c:pt idx="6">
                  <c:v>42825</c:v>
                </c:pt>
                <c:pt idx="7">
                  <c:v>42916</c:v>
                </c:pt>
                <c:pt idx="8">
                  <c:v>43008</c:v>
                </c:pt>
                <c:pt idx="9">
                  <c:v>43100</c:v>
                </c:pt>
              </c:numCache>
            </c:numRef>
          </c:cat>
          <c:val>
            <c:numRef>
              <c:f>'Polished Data'!$C$139:$L$139</c:f>
              <c:numCache>
                <c:formatCode>0%</c:formatCode>
                <c:ptCount val="10"/>
                <c:pt idx="0">
                  <c:v>5.4747437549868036E-2</c:v>
                </c:pt>
                <c:pt idx="1">
                  <c:v>5.0722010754637184E-2</c:v>
                </c:pt>
                <c:pt idx="2">
                  <c:v>5.8813461747911182E-2</c:v>
                </c:pt>
                <c:pt idx="3">
                  <c:v>5.4731792411687734E-2</c:v>
                </c:pt>
                <c:pt idx="4">
                  <c:v>4.8007630351844001E-2</c:v>
                </c:pt>
                <c:pt idx="5">
                  <c:v>4.654020925306037E-2</c:v>
                </c:pt>
                <c:pt idx="6">
                  <c:v>2.0605825806920264E-2</c:v>
                </c:pt>
                <c:pt idx="7">
                  <c:v>-6.2037012452539626E-2</c:v>
                </c:pt>
                <c:pt idx="8">
                  <c:v>3.5992082299478659E-2</c:v>
                </c:pt>
                <c:pt idx="9">
                  <c:v>4.5777844011217532E-2</c:v>
                </c:pt>
              </c:numCache>
            </c:numRef>
          </c:val>
        </c:ser>
        <c:ser>
          <c:idx val="4"/>
          <c:order val="4"/>
          <c:tx>
            <c:strRef>
              <c:f>'Polished Data'!$A$140</c:f>
              <c:strCache>
                <c:ptCount val="1"/>
                <c:pt idx="0">
                  <c:v>Net profit</c:v>
                </c:pt>
              </c:strCache>
            </c:strRef>
          </c:tx>
          <c:spPr>
            <a:solidFill>
              <a:srgbClr val="00B050">
                <a:alpha val="85000"/>
              </a:srgbClr>
            </a:solidFill>
            <a:ln w="9525" cap="flat" cmpd="sng" algn="ctr">
              <a:solidFill>
                <a:schemeClr val="lt1">
                  <a:alpha val="50000"/>
                </a:schemeClr>
              </a:solidFill>
              <a:round/>
            </a:ln>
            <a:effectLst/>
          </c:spPr>
          <c:dLbls>
            <c:spPr>
              <a:solidFill>
                <a:schemeClr val="tx1">
                  <a:lumMod val="65000"/>
                  <a:lumOff val="35000"/>
                </a:schemeClr>
              </a:solid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Data'!$C$135:$L$135</c:f>
              <c:numCache>
                <c:formatCode>[$-409]mmm\-yy;@</c:formatCode>
                <c:ptCount val="10"/>
                <c:pt idx="0">
                  <c:v>42277</c:v>
                </c:pt>
                <c:pt idx="1">
                  <c:v>42369</c:v>
                </c:pt>
                <c:pt idx="2">
                  <c:v>42460</c:v>
                </c:pt>
                <c:pt idx="3">
                  <c:v>42551</c:v>
                </c:pt>
                <c:pt idx="4">
                  <c:v>42643</c:v>
                </c:pt>
                <c:pt idx="5">
                  <c:v>42735</c:v>
                </c:pt>
                <c:pt idx="6">
                  <c:v>42825</c:v>
                </c:pt>
                <c:pt idx="7">
                  <c:v>42916</c:v>
                </c:pt>
                <c:pt idx="8">
                  <c:v>43008</c:v>
                </c:pt>
                <c:pt idx="9">
                  <c:v>43100</c:v>
                </c:pt>
              </c:numCache>
            </c:numRef>
          </c:cat>
          <c:val>
            <c:numRef>
              <c:f>'Polished Data'!$C$140:$L$140</c:f>
              <c:numCache>
                <c:formatCode>0%</c:formatCode>
                <c:ptCount val="10"/>
                <c:pt idx="0">
                  <c:v>7.7349168354508058E-2</c:v>
                </c:pt>
                <c:pt idx="1">
                  <c:v>0.10043199806658208</c:v>
                </c:pt>
                <c:pt idx="2">
                  <c:v>0.12153226182881859</c:v>
                </c:pt>
                <c:pt idx="3">
                  <c:v>0.14948393661869455</c:v>
                </c:pt>
                <c:pt idx="4">
                  <c:v>0.13668019136437959</c:v>
                </c:pt>
                <c:pt idx="5">
                  <c:v>0.13024143339963454</c:v>
                </c:pt>
                <c:pt idx="6">
                  <c:v>0.13694036175210053</c:v>
                </c:pt>
                <c:pt idx="7">
                  <c:v>0.2095690730956111</c:v>
                </c:pt>
                <c:pt idx="8">
                  <c:v>7.432601968273439E-2</c:v>
                </c:pt>
                <c:pt idx="9">
                  <c:v>9.6419329928332409E-2</c:v>
                </c:pt>
              </c:numCache>
            </c:numRef>
          </c:val>
        </c:ser>
        <c:dLbls>
          <c:showLegendKey val="0"/>
          <c:showVal val="1"/>
          <c:showCatName val="0"/>
          <c:showSerName val="0"/>
          <c:showPercent val="0"/>
          <c:showBubbleSize val="0"/>
        </c:dLbls>
        <c:axId val="-486919472"/>
        <c:axId val="-486914576"/>
      </c:areaChart>
      <c:dateAx>
        <c:axId val="-486919472"/>
        <c:scaling>
          <c:orientation val="minMax"/>
        </c:scaling>
        <c:delete val="0"/>
        <c:axPos val="b"/>
        <c:numFmt formatCode="[$-409]mmm\-yy;@"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00" b="0" i="0" u="none" strike="noStrike" kern="1200" cap="all" baseline="0">
                <a:solidFill>
                  <a:schemeClr val="dk1">
                    <a:lumMod val="75000"/>
                    <a:lumOff val="25000"/>
                  </a:schemeClr>
                </a:solidFill>
                <a:latin typeface="+mn-lt"/>
                <a:ea typeface="+mn-ea"/>
                <a:cs typeface="+mn-cs"/>
              </a:defRPr>
            </a:pPr>
            <a:endParaRPr lang="en-US"/>
          </a:p>
        </c:txPr>
        <c:crossAx val="-486914576"/>
        <c:crosses val="autoZero"/>
        <c:auto val="1"/>
        <c:lblOffset val="100"/>
        <c:baseTimeUnit val="months"/>
        <c:majorUnit val="3"/>
        <c:majorTimeUnit val="months"/>
      </c:dateAx>
      <c:valAx>
        <c:axId val="-48691457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86919472"/>
        <c:crosses val="autoZero"/>
        <c:crossBetween val="midCat"/>
      </c:valAx>
      <c:spPr>
        <a:noFill/>
        <a:ln>
          <a:noFill/>
        </a:ln>
        <a:effectLst/>
      </c:spPr>
    </c:plotArea>
    <c:legend>
      <c:legendPos val="r"/>
      <c:layout>
        <c:manualLayout>
          <c:xMode val="edge"/>
          <c:yMode val="edge"/>
          <c:x val="0.84500860930348598"/>
          <c:y val="7.9480687536486821E-2"/>
          <c:w val="0.13655561797582291"/>
          <c:h val="0.3115288713910761"/>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98035144968937E-2"/>
          <c:y val="0.10648148148148148"/>
          <c:w val="0.95018868220539698"/>
          <c:h val="0.70833333333333337"/>
        </c:manualLayout>
      </c:layout>
      <c:barChart>
        <c:barDir val="col"/>
        <c:grouping val="clustered"/>
        <c:varyColors val="0"/>
        <c:ser>
          <c:idx val="0"/>
          <c:order val="0"/>
          <c:tx>
            <c:strRef>
              <c:f>'Polished Data'!$A$132</c:f>
              <c:strCache>
                <c:ptCount val="1"/>
                <c:pt idx="0">
                  <c:v>NP</c:v>
                </c:pt>
              </c:strCache>
            </c:strRef>
          </c:tx>
          <c:spPr>
            <a:solidFill>
              <a:srgbClr val="00B050"/>
            </a:solidFill>
            <a:ln>
              <a:noFill/>
            </a:ln>
            <a:effectLst>
              <a:outerShdw blurRad="76200" dir="18900000" sy="23000" kx="-1200000" algn="bl" rotWithShape="0">
                <a:prstClr val="black">
                  <a:alpha val="20000"/>
                </a:prstClr>
              </a:outerShdw>
            </a:effectLst>
          </c:spPr>
          <c:invertIfNegative val="0"/>
          <c:dLbls>
            <c:numFmt formatCode="#,##0" sourceLinked="0"/>
            <c:spPr>
              <a:solidFill>
                <a:srgbClr val="00B050"/>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Data'!$D$129:$L$129</c:f>
              <c:numCache>
                <c:formatCode>[$-409]mmm\-yy;@</c:formatCode>
                <c:ptCount val="9"/>
                <c:pt idx="0">
                  <c:v>42369</c:v>
                </c:pt>
                <c:pt idx="1">
                  <c:v>42460</c:v>
                </c:pt>
                <c:pt idx="2">
                  <c:v>42551</c:v>
                </c:pt>
                <c:pt idx="3">
                  <c:v>42643</c:v>
                </c:pt>
                <c:pt idx="4">
                  <c:v>42735</c:v>
                </c:pt>
                <c:pt idx="5">
                  <c:v>42825</c:v>
                </c:pt>
                <c:pt idx="6">
                  <c:v>42916</c:v>
                </c:pt>
                <c:pt idx="7">
                  <c:v>43008</c:v>
                </c:pt>
                <c:pt idx="8">
                  <c:v>43100</c:v>
                </c:pt>
              </c:numCache>
            </c:numRef>
          </c:cat>
          <c:val>
            <c:numRef>
              <c:f>'Polished Data'!$D$132:$L$132</c:f>
              <c:numCache>
                <c:formatCode>0</c:formatCode>
                <c:ptCount val="9"/>
                <c:pt idx="0">
                  <c:v>66.489999999999995</c:v>
                </c:pt>
                <c:pt idx="1">
                  <c:v>78.11</c:v>
                </c:pt>
                <c:pt idx="2">
                  <c:v>102.83</c:v>
                </c:pt>
                <c:pt idx="3">
                  <c:v>90.28</c:v>
                </c:pt>
                <c:pt idx="4">
                  <c:v>80.540000000000006</c:v>
                </c:pt>
                <c:pt idx="5">
                  <c:v>113.11</c:v>
                </c:pt>
                <c:pt idx="6">
                  <c:v>157.86000000000001</c:v>
                </c:pt>
                <c:pt idx="7">
                  <c:v>53.32</c:v>
                </c:pt>
                <c:pt idx="8">
                  <c:v>71.17</c:v>
                </c:pt>
              </c:numCache>
            </c:numRef>
          </c:val>
        </c:ser>
        <c:dLbls>
          <c:dLblPos val="inEnd"/>
          <c:showLegendKey val="0"/>
          <c:showVal val="1"/>
          <c:showCatName val="0"/>
          <c:showSerName val="0"/>
          <c:showPercent val="0"/>
          <c:showBubbleSize val="0"/>
        </c:dLbls>
        <c:gapWidth val="41"/>
        <c:axId val="-486906416"/>
        <c:axId val="-486905328"/>
      </c:barChart>
      <c:lineChart>
        <c:grouping val="standard"/>
        <c:varyColors val="0"/>
        <c:ser>
          <c:idx val="1"/>
          <c:order val="1"/>
          <c:tx>
            <c:strRef>
              <c:f>'Polished Data'!$A$133</c:f>
              <c:strCache>
                <c:ptCount val="1"/>
                <c:pt idx="0">
                  <c:v>NP QoQ</c:v>
                </c:pt>
              </c:strCache>
            </c:strRef>
          </c:tx>
          <c:spPr>
            <a:ln w="28575" cap="rnd">
              <a:gradFill>
                <a:gsLst>
                  <a:gs pos="0">
                    <a:schemeClr val="accent2"/>
                  </a:gs>
                  <a:gs pos="100000">
                    <a:schemeClr val="accent2">
                      <a:lumMod val="84000"/>
                    </a:schemeClr>
                  </a:gs>
                </a:gsLst>
                <a:lin ang="5400000" scaled="1"/>
              </a:gradFill>
              <a:round/>
            </a:ln>
            <a:effectLst/>
          </c:spPr>
          <c:marker>
            <c:symbol val="none"/>
          </c:marker>
          <c:cat>
            <c:numRef>
              <c:f>'Polished Data'!$D$129:$L$129</c:f>
              <c:numCache>
                <c:formatCode>[$-409]mmm\-yy;@</c:formatCode>
                <c:ptCount val="9"/>
                <c:pt idx="0">
                  <c:v>42369</c:v>
                </c:pt>
                <c:pt idx="1">
                  <c:v>42460</c:v>
                </c:pt>
                <c:pt idx="2">
                  <c:v>42551</c:v>
                </c:pt>
                <c:pt idx="3">
                  <c:v>42643</c:v>
                </c:pt>
                <c:pt idx="4">
                  <c:v>42735</c:v>
                </c:pt>
                <c:pt idx="5">
                  <c:v>42825</c:v>
                </c:pt>
                <c:pt idx="6">
                  <c:v>42916</c:v>
                </c:pt>
                <c:pt idx="7">
                  <c:v>43008</c:v>
                </c:pt>
                <c:pt idx="8">
                  <c:v>43100</c:v>
                </c:pt>
              </c:numCache>
            </c:numRef>
          </c:cat>
          <c:val>
            <c:numRef>
              <c:f>'Polished Data'!$D$133:$L$133</c:f>
              <c:numCache>
                <c:formatCode>0%</c:formatCode>
                <c:ptCount val="9"/>
                <c:pt idx="0">
                  <c:v>0.3189843285062488</c:v>
                </c:pt>
                <c:pt idx="1">
                  <c:v>0.17476312227402624</c:v>
                </c:pt>
                <c:pt idx="2">
                  <c:v>0.31647676353859944</c:v>
                </c:pt>
                <c:pt idx="3">
                  <c:v>-0.12204609549742296</c:v>
                </c:pt>
                <c:pt idx="4">
                  <c:v>-0.1078865750996898</c:v>
                </c:pt>
                <c:pt idx="5">
                  <c:v>0.4043953315122919</c:v>
                </c:pt>
                <c:pt idx="6">
                  <c:v>0.39563257006453911</c:v>
                </c:pt>
                <c:pt idx="7">
                  <c:v>-0.66223235778537948</c:v>
                </c:pt>
                <c:pt idx="8">
                  <c:v>0.33477119279819956</c:v>
                </c:pt>
              </c:numCache>
            </c:numRef>
          </c:val>
          <c:smooth val="0"/>
        </c:ser>
        <c:dLbls>
          <c:showLegendKey val="0"/>
          <c:showVal val="0"/>
          <c:showCatName val="0"/>
          <c:showSerName val="0"/>
          <c:showPercent val="0"/>
          <c:showBubbleSize val="0"/>
        </c:dLbls>
        <c:marker val="1"/>
        <c:smooth val="0"/>
        <c:axId val="-486915120"/>
        <c:axId val="-486909136"/>
      </c:lineChart>
      <c:dateAx>
        <c:axId val="-486906416"/>
        <c:scaling>
          <c:orientation val="minMax"/>
        </c:scaling>
        <c:delete val="0"/>
        <c:axPos val="b"/>
        <c:numFmt formatCode="[$-409]mmm\-yy;@"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effectLst/>
                <a:latin typeface="+mn-lt"/>
                <a:ea typeface="+mn-ea"/>
                <a:cs typeface="+mn-cs"/>
              </a:defRPr>
            </a:pPr>
            <a:endParaRPr lang="en-US"/>
          </a:p>
        </c:txPr>
        <c:crossAx val="-486905328"/>
        <c:crosses val="autoZero"/>
        <c:auto val="1"/>
        <c:lblOffset val="100"/>
        <c:baseTimeUnit val="months"/>
        <c:majorUnit val="3"/>
        <c:majorTimeUnit val="months"/>
      </c:dateAx>
      <c:valAx>
        <c:axId val="-48690532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latin typeface="+mn-lt"/>
                <a:ea typeface="+mn-ea"/>
                <a:cs typeface="+mn-cs"/>
              </a:defRPr>
            </a:pPr>
            <a:endParaRPr lang="en-US"/>
          </a:p>
        </c:txPr>
        <c:crossAx val="-486906416"/>
        <c:crosses val="autoZero"/>
        <c:crossBetween val="between"/>
      </c:valAx>
      <c:valAx>
        <c:axId val="-486909136"/>
        <c:scaling>
          <c:orientation val="minMax"/>
          <c:max val="0.60000000000000009"/>
          <c:min val="-0.60000000000000009"/>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latin typeface="+mn-lt"/>
                <a:ea typeface="+mn-ea"/>
                <a:cs typeface="+mn-cs"/>
              </a:defRPr>
            </a:pPr>
            <a:endParaRPr lang="en-US"/>
          </a:p>
        </c:txPr>
        <c:crossAx val="-486915120"/>
        <c:crosses val="max"/>
        <c:crossBetween val="between"/>
        <c:majorUnit val="0.2"/>
      </c:valAx>
      <c:dateAx>
        <c:axId val="-486915120"/>
        <c:scaling>
          <c:orientation val="minMax"/>
        </c:scaling>
        <c:delete val="1"/>
        <c:axPos val="b"/>
        <c:numFmt formatCode="[$-409]mmm\-yy;@" sourceLinked="1"/>
        <c:majorTickMark val="out"/>
        <c:minorTickMark val="none"/>
        <c:tickLblPos val="nextTo"/>
        <c:crossAx val="-486909136"/>
        <c:crosses val="autoZero"/>
        <c:auto val="1"/>
        <c:lblOffset val="100"/>
        <c:baseTimeUnit val="months"/>
      </c:dateAx>
      <c:spPr>
        <a:noFill/>
        <a:ln>
          <a:noFill/>
        </a:ln>
        <a:effectLst/>
      </c:spPr>
    </c:plotArea>
    <c:legend>
      <c:legendPos val="b"/>
      <c:layout>
        <c:manualLayout>
          <c:xMode val="edge"/>
          <c:yMode val="edge"/>
          <c:x val="6.0258501841719062E-4"/>
          <c:y val="0.92187445319335082"/>
          <c:w val="0.28785147598564992"/>
          <c:h val="7.8125546806649182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legend>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98035144968937E-2"/>
          <c:y val="3.2407407407407406E-2"/>
          <c:w val="0.95018868220539698"/>
          <c:h val="0.76388888888888884"/>
        </c:manualLayout>
      </c:layout>
      <c:barChart>
        <c:barDir val="col"/>
        <c:grouping val="clustered"/>
        <c:varyColors val="0"/>
        <c:ser>
          <c:idx val="0"/>
          <c:order val="0"/>
          <c:tx>
            <c:strRef>
              <c:f>'Polished Data'!$A$124</c:f>
              <c:strCache>
                <c:ptCount val="1"/>
                <c:pt idx="0">
                  <c:v>Sales</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numFmt formatCode="#,##0" sourceLinked="0"/>
            <c:spPr>
              <a:solidFill>
                <a:schemeClr val="tx2">
                  <a:lumMod val="60000"/>
                  <a:lumOff val="40000"/>
                </a:schemeClr>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Data'!$D$123:$L$123</c:f>
              <c:numCache>
                <c:formatCode>[$-409]mmm\-yy;@</c:formatCode>
                <c:ptCount val="9"/>
                <c:pt idx="0">
                  <c:v>39903</c:v>
                </c:pt>
                <c:pt idx="1">
                  <c:v>40268</c:v>
                </c:pt>
                <c:pt idx="2">
                  <c:v>40633</c:v>
                </c:pt>
                <c:pt idx="3">
                  <c:v>40999</c:v>
                </c:pt>
                <c:pt idx="4">
                  <c:v>41364</c:v>
                </c:pt>
                <c:pt idx="5">
                  <c:v>41729</c:v>
                </c:pt>
                <c:pt idx="6">
                  <c:v>42094</c:v>
                </c:pt>
                <c:pt idx="7">
                  <c:v>42460</c:v>
                </c:pt>
                <c:pt idx="8">
                  <c:v>42825</c:v>
                </c:pt>
              </c:numCache>
            </c:numRef>
          </c:cat>
          <c:val>
            <c:numRef>
              <c:f>'Polished Data'!$D$124:$L$124</c:f>
              <c:numCache>
                <c:formatCode>_(* #,##0_);_(* \(#,##0\);_(* "-"??_);_(@_)</c:formatCode>
                <c:ptCount val="9"/>
                <c:pt idx="0">
                  <c:v>1222.8999999999999</c:v>
                </c:pt>
                <c:pt idx="1">
                  <c:v>1203.6799999999998</c:v>
                </c:pt>
                <c:pt idx="2">
                  <c:v>1697.46</c:v>
                </c:pt>
                <c:pt idx="3">
                  <c:v>1907.99</c:v>
                </c:pt>
                <c:pt idx="4">
                  <c:v>2130.5099999999998</c:v>
                </c:pt>
                <c:pt idx="5">
                  <c:v>2230.2400000000002</c:v>
                </c:pt>
                <c:pt idx="6">
                  <c:v>2385.7400000000002</c:v>
                </c:pt>
                <c:pt idx="7">
                  <c:v>2539.66</c:v>
                </c:pt>
                <c:pt idx="8">
                  <c:v>2791.48</c:v>
                </c:pt>
              </c:numCache>
            </c:numRef>
          </c:val>
        </c:ser>
        <c:dLbls>
          <c:dLblPos val="inEnd"/>
          <c:showLegendKey val="0"/>
          <c:showVal val="1"/>
          <c:showCatName val="0"/>
          <c:showSerName val="0"/>
          <c:showPercent val="0"/>
          <c:showBubbleSize val="0"/>
        </c:dLbls>
        <c:gapWidth val="41"/>
        <c:axId val="-486908048"/>
        <c:axId val="-486908592"/>
      </c:barChart>
      <c:lineChart>
        <c:grouping val="standard"/>
        <c:varyColors val="0"/>
        <c:ser>
          <c:idx val="1"/>
          <c:order val="1"/>
          <c:tx>
            <c:strRef>
              <c:f>'Polished Data'!$A$125</c:f>
              <c:strCache>
                <c:ptCount val="1"/>
                <c:pt idx="0">
                  <c:v>Sales YoY</c:v>
                </c:pt>
              </c:strCache>
            </c:strRef>
          </c:tx>
          <c:spPr>
            <a:ln w="28575" cap="rnd">
              <a:gradFill>
                <a:gsLst>
                  <a:gs pos="0">
                    <a:schemeClr val="accent2"/>
                  </a:gs>
                  <a:gs pos="100000">
                    <a:schemeClr val="accent2">
                      <a:lumMod val="84000"/>
                    </a:schemeClr>
                  </a:gs>
                </a:gsLst>
                <a:lin ang="5400000" scaled="1"/>
              </a:gradFill>
              <a:round/>
            </a:ln>
            <a:effectLst/>
          </c:spPr>
          <c:marker>
            <c:symbol val="none"/>
          </c:marker>
          <c:cat>
            <c:numRef>
              <c:f>'Polished Data'!$D$123:$L$123</c:f>
              <c:numCache>
                <c:formatCode>[$-409]mmm\-yy;@</c:formatCode>
                <c:ptCount val="9"/>
                <c:pt idx="0">
                  <c:v>39903</c:v>
                </c:pt>
                <c:pt idx="1">
                  <c:v>40268</c:v>
                </c:pt>
                <c:pt idx="2">
                  <c:v>40633</c:v>
                </c:pt>
                <c:pt idx="3">
                  <c:v>40999</c:v>
                </c:pt>
                <c:pt idx="4">
                  <c:v>41364</c:v>
                </c:pt>
                <c:pt idx="5">
                  <c:v>41729</c:v>
                </c:pt>
                <c:pt idx="6">
                  <c:v>42094</c:v>
                </c:pt>
                <c:pt idx="7">
                  <c:v>42460</c:v>
                </c:pt>
                <c:pt idx="8">
                  <c:v>42825</c:v>
                </c:pt>
              </c:numCache>
            </c:numRef>
          </c:cat>
          <c:val>
            <c:numRef>
              <c:f>'Polished Data'!$D$125:$L$125</c:f>
              <c:numCache>
                <c:formatCode>0%</c:formatCode>
                <c:ptCount val="9"/>
                <c:pt idx="0">
                  <c:v>0.11255663312651221</c:v>
                </c:pt>
                <c:pt idx="1">
                  <c:v>-1.5716738899337668E-2</c:v>
                </c:pt>
                <c:pt idx="2">
                  <c:v>0.41022530905224008</c:v>
                </c:pt>
                <c:pt idx="3">
                  <c:v>0.12402648663296922</c:v>
                </c:pt>
                <c:pt idx="4">
                  <c:v>0.1166253491894611</c:v>
                </c:pt>
                <c:pt idx="5">
                  <c:v>4.6810388123031732E-2</c:v>
                </c:pt>
                <c:pt idx="6">
                  <c:v>6.9723437836286761E-2</c:v>
                </c:pt>
                <c:pt idx="7">
                  <c:v>6.4516669880204658E-2</c:v>
                </c:pt>
                <c:pt idx="8">
                  <c:v>9.9155005000669538E-2</c:v>
                </c:pt>
              </c:numCache>
            </c:numRef>
          </c:val>
          <c:smooth val="0"/>
        </c:ser>
        <c:dLbls>
          <c:showLegendKey val="0"/>
          <c:showVal val="0"/>
          <c:showCatName val="0"/>
          <c:showSerName val="0"/>
          <c:showPercent val="0"/>
          <c:showBubbleSize val="0"/>
        </c:dLbls>
        <c:marker val="1"/>
        <c:smooth val="0"/>
        <c:axId val="-486912944"/>
        <c:axId val="-486917840"/>
      </c:lineChart>
      <c:dateAx>
        <c:axId val="-486908048"/>
        <c:scaling>
          <c:orientation val="minMax"/>
        </c:scaling>
        <c:delete val="0"/>
        <c:axPos val="b"/>
        <c:numFmt formatCode="[$-409]mmm\-yy;@"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effectLst/>
                <a:latin typeface="+mn-lt"/>
                <a:ea typeface="+mn-ea"/>
                <a:cs typeface="+mn-cs"/>
              </a:defRPr>
            </a:pPr>
            <a:endParaRPr lang="en-US"/>
          </a:p>
        </c:txPr>
        <c:crossAx val="-486908592"/>
        <c:crosses val="autoZero"/>
        <c:auto val="1"/>
        <c:lblOffset val="100"/>
        <c:baseTimeUnit val="years"/>
      </c:dateAx>
      <c:valAx>
        <c:axId val="-486908592"/>
        <c:scaling>
          <c:orientation val="minMax"/>
        </c:scaling>
        <c:delete val="0"/>
        <c:axPos val="l"/>
        <c:majorGridlines>
          <c:spPr>
            <a:ln w="9525" cap="flat" cmpd="sng" algn="ctr">
              <a:solidFill>
                <a:schemeClr val="dk1">
                  <a:lumMod val="15000"/>
                  <a:lumOff val="85000"/>
                </a:schemeClr>
              </a:solidFill>
              <a:round/>
            </a:ln>
            <a:effectLst/>
          </c:spPr>
        </c:majorGridlines>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latin typeface="+mn-lt"/>
                <a:ea typeface="+mn-ea"/>
                <a:cs typeface="+mn-cs"/>
              </a:defRPr>
            </a:pPr>
            <a:endParaRPr lang="en-US"/>
          </a:p>
        </c:txPr>
        <c:crossAx val="-486908048"/>
        <c:crosses val="autoZero"/>
        <c:crossBetween val="between"/>
      </c:valAx>
      <c:valAx>
        <c:axId val="-486917840"/>
        <c:scaling>
          <c:orientation val="minMax"/>
          <c:max val="0.60000000000000009"/>
          <c:min val="-0.60000000000000009"/>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latin typeface="+mn-lt"/>
                <a:ea typeface="+mn-ea"/>
                <a:cs typeface="+mn-cs"/>
              </a:defRPr>
            </a:pPr>
            <a:endParaRPr lang="en-US"/>
          </a:p>
        </c:txPr>
        <c:crossAx val="-486912944"/>
        <c:crosses val="max"/>
        <c:crossBetween val="between"/>
        <c:majorUnit val="0.2"/>
      </c:valAx>
      <c:dateAx>
        <c:axId val="-486912944"/>
        <c:scaling>
          <c:orientation val="minMax"/>
        </c:scaling>
        <c:delete val="1"/>
        <c:axPos val="b"/>
        <c:numFmt formatCode="[$-409]mmm\-yy;@" sourceLinked="1"/>
        <c:majorTickMark val="out"/>
        <c:minorTickMark val="none"/>
        <c:tickLblPos val="nextTo"/>
        <c:crossAx val="-486917840"/>
        <c:crosses val="autoZero"/>
        <c:auto val="1"/>
        <c:lblOffset val="100"/>
        <c:baseTimeUnit val="years"/>
      </c:dateAx>
      <c:spPr>
        <a:noFill/>
        <a:ln>
          <a:noFill/>
        </a:ln>
        <a:effectLst/>
      </c:spPr>
    </c:plotArea>
    <c:legend>
      <c:legendPos val="b"/>
      <c:layout>
        <c:manualLayout>
          <c:xMode val="edge"/>
          <c:yMode val="edge"/>
          <c:x val="6.0258501841719062E-4"/>
          <c:y val="0.92187445319335082"/>
          <c:w val="0.30534854818906265"/>
          <c:h val="7.81255468066491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2840186430534E-2"/>
          <c:y val="2.7777777777777776E-2"/>
          <c:w val="0.95018868220539698"/>
          <c:h val="0.77314814814814814"/>
        </c:manualLayout>
      </c:layout>
      <c:barChart>
        <c:barDir val="col"/>
        <c:grouping val="clustered"/>
        <c:varyColors val="0"/>
        <c:ser>
          <c:idx val="0"/>
          <c:order val="0"/>
          <c:tx>
            <c:strRef>
              <c:f>'Polished Data'!$A$126</c:f>
              <c:strCache>
                <c:ptCount val="1"/>
                <c:pt idx="0">
                  <c:v>EPS</c:v>
                </c:pt>
              </c:strCache>
            </c:strRef>
          </c:tx>
          <c:spPr>
            <a:solidFill>
              <a:srgbClr val="00B050"/>
            </a:solidFill>
            <a:ln>
              <a:noFill/>
            </a:ln>
            <a:effectLst>
              <a:outerShdw blurRad="76200" dir="18900000" sy="23000" kx="-1200000" algn="bl" rotWithShape="0">
                <a:prstClr val="black">
                  <a:alpha val="20000"/>
                </a:prstClr>
              </a:outerShdw>
            </a:effectLst>
          </c:spPr>
          <c:invertIfNegative val="0"/>
          <c:dLbls>
            <c:numFmt formatCode="#,##0.0" sourceLinked="0"/>
            <c:spPr>
              <a:solidFill>
                <a:srgbClr val="00B050"/>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Data'!$D$123:$L$123</c:f>
              <c:numCache>
                <c:formatCode>[$-409]mmm\-yy;@</c:formatCode>
                <c:ptCount val="9"/>
                <c:pt idx="0">
                  <c:v>39903</c:v>
                </c:pt>
                <c:pt idx="1">
                  <c:v>40268</c:v>
                </c:pt>
                <c:pt idx="2">
                  <c:v>40633</c:v>
                </c:pt>
                <c:pt idx="3">
                  <c:v>40999</c:v>
                </c:pt>
                <c:pt idx="4">
                  <c:v>41364</c:v>
                </c:pt>
                <c:pt idx="5">
                  <c:v>41729</c:v>
                </c:pt>
                <c:pt idx="6">
                  <c:v>42094</c:v>
                </c:pt>
                <c:pt idx="7">
                  <c:v>42460</c:v>
                </c:pt>
                <c:pt idx="8">
                  <c:v>42825</c:v>
                </c:pt>
              </c:numCache>
            </c:numRef>
          </c:cat>
          <c:val>
            <c:numRef>
              <c:f>'Polished Data'!$D$126:$L$126</c:f>
              <c:numCache>
                <c:formatCode>_(* #,##0.0_);_(* \(#,##0.0\);_(* "-"??_);_(@_)</c:formatCode>
                <c:ptCount val="9"/>
                <c:pt idx="0">
                  <c:v>10.644947015518587</c:v>
                </c:pt>
                <c:pt idx="1">
                  <c:v>14.092282162462148</c:v>
                </c:pt>
                <c:pt idx="2">
                  <c:v>11.630756892225765</c:v>
                </c:pt>
                <c:pt idx="3">
                  <c:v>11.745734717602364</c:v>
                </c:pt>
                <c:pt idx="4">
                  <c:v>11.490783887419473</c:v>
                </c:pt>
                <c:pt idx="5">
                  <c:v>11.626757663517015</c:v>
                </c:pt>
                <c:pt idx="6">
                  <c:v>18.298470956891258</c:v>
                </c:pt>
                <c:pt idx="7">
                  <c:v>25.658051588170707</c:v>
                </c:pt>
                <c:pt idx="8">
                  <c:v>38.882010845665285</c:v>
                </c:pt>
              </c:numCache>
            </c:numRef>
          </c:val>
        </c:ser>
        <c:dLbls>
          <c:dLblPos val="inEnd"/>
          <c:showLegendKey val="0"/>
          <c:showVal val="1"/>
          <c:showCatName val="0"/>
          <c:showSerName val="0"/>
          <c:showPercent val="0"/>
          <c:showBubbleSize val="0"/>
        </c:dLbls>
        <c:gapWidth val="41"/>
        <c:axId val="-486917296"/>
        <c:axId val="-486912400"/>
      </c:barChart>
      <c:lineChart>
        <c:grouping val="standard"/>
        <c:varyColors val="0"/>
        <c:ser>
          <c:idx val="1"/>
          <c:order val="1"/>
          <c:tx>
            <c:strRef>
              <c:f>'Polished Data'!$A$127</c:f>
              <c:strCache>
                <c:ptCount val="1"/>
                <c:pt idx="0">
                  <c:v>EPS YoY</c:v>
                </c:pt>
              </c:strCache>
            </c:strRef>
          </c:tx>
          <c:spPr>
            <a:ln w="28575" cap="rnd">
              <a:gradFill>
                <a:gsLst>
                  <a:gs pos="0">
                    <a:schemeClr val="accent2"/>
                  </a:gs>
                  <a:gs pos="100000">
                    <a:schemeClr val="accent2">
                      <a:lumMod val="84000"/>
                    </a:schemeClr>
                  </a:gs>
                </a:gsLst>
                <a:lin ang="5400000" scaled="1"/>
              </a:gradFill>
              <a:round/>
            </a:ln>
            <a:effectLst/>
          </c:spPr>
          <c:marker>
            <c:symbol val="none"/>
          </c:marker>
          <c:cat>
            <c:numRef>
              <c:f>'Polished Data'!$D$123:$L$123</c:f>
              <c:numCache>
                <c:formatCode>[$-409]mmm\-yy;@</c:formatCode>
                <c:ptCount val="9"/>
                <c:pt idx="0">
                  <c:v>39903</c:v>
                </c:pt>
                <c:pt idx="1">
                  <c:v>40268</c:v>
                </c:pt>
                <c:pt idx="2">
                  <c:v>40633</c:v>
                </c:pt>
                <c:pt idx="3">
                  <c:v>40999</c:v>
                </c:pt>
                <c:pt idx="4">
                  <c:v>41364</c:v>
                </c:pt>
                <c:pt idx="5">
                  <c:v>41729</c:v>
                </c:pt>
                <c:pt idx="6">
                  <c:v>42094</c:v>
                </c:pt>
                <c:pt idx="7">
                  <c:v>42460</c:v>
                </c:pt>
                <c:pt idx="8">
                  <c:v>42825</c:v>
                </c:pt>
              </c:numCache>
            </c:numRef>
          </c:cat>
          <c:val>
            <c:numRef>
              <c:f>'Polished Data'!$D$127:$L$127</c:f>
              <c:numCache>
                <c:formatCode>0%</c:formatCode>
                <c:ptCount val="9"/>
                <c:pt idx="0">
                  <c:v>4.8139397519196603E-2</c:v>
                </c:pt>
                <c:pt idx="1">
                  <c:v>0.3238470930778623</c:v>
                </c:pt>
                <c:pt idx="2">
                  <c:v>-0.17467186945725433</c:v>
                </c:pt>
                <c:pt idx="3">
                  <c:v>9.8856700765066474E-3</c:v>
                </c:pt>
                <c:pt idx="4">
                  <c:v>-2.1705822267619967E-2</c:v>
                </c:pt>
                <c:pt idx="5">
                  <c:v>1.1833289828591331E-2</c:v>
                </c:pt>
                <c:pt idx="6">
                  <c:v>0.57382406053830959</c:v>
                </c:pt>
                <c:pt idx="7">
                  <c:v>0.40219648125887852</c:v>
                </c:pt>
                <c:pt idx="8">
                  <c:v>0.51539218447870394</c:v>
                </c:pt>
              </c:numCache>
            </c:numRef>
          </c:val>
          <c:smooth val="0"/>
        </c:ser>
        <c:dLbls>
          <c:showLegendKey val="0"/>
          <c:showVal val="0"/>
          <c:showCatName val="0"/>
          <c:showSerName val="0"/>
          <c:showPercent val="0"/>
          <c:showBubbleSize val="0"/>
        </c:dLbls>
        <c:marker val="1"/>
        <c:smooth val="0"/>
        <c:axId val="-486909680"/>
        <c:axId val="-486910768"/>
      </c:lineChart>
      <c:dateAx>
        <c:axId val="-486917296"/>
        <c:scaling>
          <c:orientation val="minMax"/>
        </c:scaling>
        <c:delete val="0"/>
        <c:axPos val="b"/>
        <c:numFmt formatCode="[$-409]mmm\-yy;@" sourceLinked="1"/>
        <c:majorTickMark val="out"/>
        <c:minorTickMark val="none"/>
        <c:tickLblPos val="nextTo"/>
        <c:spPr>
          <a:noFill/>
          <a:ln>
            <a:noFill/>
          </a:ln>
          <a:effectLst/>
        </c:spPr>
        <c:txPr>
          <a:bodyPr rot="-60000000" spcFirstLastPara="1" vertOverflow="ellipsis" vert="horz" wrap="square" anchor="ctr" anchorCtr="1"/>
          <a:lstStyle/>
          <a:p>
            <a:pPr algn="ctr">
              <a:defRPr lang="en-US" sz="1000" b="0" i="0" u="none" strike="noStrike" kern="1200" baseline="0">
                <a:solidFill>
                  <a:schemeClr val="dk1">
                    <a:lumMod val="65000"/>
                    <a:lumOff val="35000"/>
                  </a:schemeClr>
                </a:solidFill>
                <a:effectLst/>
                <a:latin typeface="+mn-lt"/>
                <a:ea typeface="+mn-ea"/>
                <a:cs typeface="+mn-cs"/>
              </a:defRPr>
            </a:pPr>
            <a:endParaRPr lang="en-US"/>
          </a:p>
        </c:txPr>
        <c:crossAx val="-486912400"/>
        <c:crosses val="autoZero"/>
        <c:auto val="1"/>
        <c:lblOffset val="100"/>
        <c:baseTimeUnit val="years"/>
      </c:dateAx>
      <c:valAx>
        <c:axId val="-486912400"/>
        <c:scaling>
          <c:orientation val="minMax"/>
        </c:scaling>
        <c:delete val="0"/>
        <c:axPos val="l"/>
        <c:majorGridlines>
          <c:spPr>
            <a:ln w="9525" cap="flat" cmpd="sng" algn="ctr">
              <a:solidFill>
                <a:schemeClr val="dk1">
                  <a:lumMod val="15000"/>
                  <a:lumOff val="85000"/>
                </a:schemeClr>
              </a:solidFill>
              <a:round/>
            </a:ln>
            <a:effectLst/>
          </c:spPr>
        </c:majorGridlines>
        <c:numFmt formatCode="_(* #,##0.0_);_(* \(#,##0.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486917296"/>
        <c:crossesAt val="39875"/>
        <c:crossBetween val="between"/>
      </c:valAx>
      <c:valAx>
        <c:axId val="-486910768"/>
        <c:scaling>
          <c:orientation val="minMax"/>
          <c:max val="0.60000000000000009"/>
          <c:min val="-0.60000000000000009"/>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latin typeface="+mn-lt"/>
                <a:ea typeface="+mn-ea"/>
                <a:cs typeface="+mn-cs"/>
              </a:defRPr>
            </a:pPr>
            <a:endParaRPr lang="en-US"/>
          </a:p>
        </c:txPr>
        <c:crossAx val="-486909680"/>
        <c:crosses val="max"/>
        <c:crossBetween val="between"/>
        <c:majorUnit val="0.2"/>
      </c:valAx>
      <c:dateAx>
        <c:axId val="-486909680"/>
        <c:scaling>
          <c:orientation val="minMax"/>
        </c:scaling>
        <c:delete val="1"/>
        <c:axPos val="b"/>
        <c:numFmt formatCode="[$-409]mmm\-yy;@" sourceLinked="1"/>
        <c:majorTickMark val="out"/>
        <c:minorTickMark val="none"/>
        <c:tickLblPos val="nextTo"/>
        <c:crossAx val="-486910768"/>
        <c:crosses val="autoZero"/>
        <c:auto val="1"/>
        <c:lblOffset val="100"/>
        <c:baseTimeUnit val="years"/>
      </c:dateAx>
      <c:spPr>
        <a:noFill/>
        <a:ln>
          <a:noFill/>
        </a:ln>
        <a:effectLst/>
      </c:spPr>
    </c:plotArea>
    <c:legend>
      <c:legendPos val="b"/>
      <c:layout>
        <c:manualLayout>
          <c:xMode val="edge"/>
          <c:yMode val="edge"/>
          <c:x val="6.0258501841719062E-4"/>
          <c:y val="0.92187445319335082"/>
          <c:w val="0.28785147598564992"/>
          <c:h val="7.8125546806649182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legend>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474999448598337"/>
          <c:y val="0.13704496788008566"/>
        </c:manualLayout>
      </c:layout>
      <c:overlay val="0"/>
    </c:title>
    <c:autoTitleDeleted val="0"/>
    <c:plotArea>
      <c:layout/>
      <c:barChart>
        <c:barDir val="bar"/>
        <c:grouping val="clustered"/>
        <c:varyColors val="0"/>
        <c:ser>
          <c:idx val="0"/>
          <c:order val="0"/>
          <c:tx>
            <c:strRef>
              <c:f>Valuation!$A$27</c:f>
              <c:strCache>
                <c:ptCount val="1"/>
                <c:pt idx="0">
                  <c:v>Sustainable Earnings Growth</c:v>
                </c:pt>
              </c:strCache>
            </c:strRef>
          </c:tx>
          <c:spPr>
            <a:solidFill>
              <a:schemeClr val="accent6">
                <a:lumMod val="75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
              <c:pt idx="0">
                <c:v>Growth Basis</c:v>
              </c:pt>
            </c:strLit>
          </c:cat>
          <c:val>
            <c:numRef>
              <c:f>Valuation!$B$27</c:f>
              <c:numCache>
                <c:formatCode>0</c:formatCode>
                <c:ptCount val="1"/>
                <c:pt idx="0">
                  <c:v>394.93796346310779</c:v>
                </c:pt>
              </c:numCache>
            </c:numRef>
          </c:val>
        </c:ser>
        <c:dLbls>
          <c:dLblPos val="outEnd"/>
          <c:showLegendKey val="0"/>
          <c:showVal val="1"/>
          <c:showCatName val="0"/>
          <c:showSerName val="0"/>
          <c:showPercent val="0"/>
          <c:showBubbleSize val="0"/>
        </c:dLbls>
        <c:gapWidth val="150"/>
        <c:axId val="-536115856"/>
        <c:axId val="-536110416"/>
      </c:barChart>
      <c:catAx>
        <c:axId val="-536115856"/>
        <c:scaling>
          <c:orientation val="minMax"/>
        </c:scaling>
        <c:delete val="0"/>
        <c:axPos val="l"/>
        <c:numFmt formatCode="General" sourceLinked="0"/>
        <c:majorTickMark val="out"/>
        <c:minorTickMark val="none"/>
        <c:tickLblPos val="nextTo"/>
        <c:crossAx val="-536110416"/>
        <c:crosses val="autoZero"/>
        <c:auto val="1"/>
        <c:lblAlgn val="ctr"/>
        <c:lblOffset val="100"/>
        <c:noMultiLvlLbl val="0"/>
      </c:catAx>
      <c:valAx>
        <c:axId val="-536110416"/>
        <c:scaling>
          <c:orientation val="minMax"/>
        </c:scaling>
        <c:delete val="1"/>
        <c:axPos val="b"/>
        <c:numFmt formatCode="0" sourceLinked="1"/>
        <c:majorTickMark val="out"/>
        <c:minorTickMark val="none"/>
        <c:tickLblPos val="nextTo"/>
        <c:crossAx val="-536115856"/>
        <c:crosses val="autoZero"/>
        <c:crossBetween val="between"/>
      </c:valAx>
    </c:plotArea>
    <c:legend>
      <c:legendPos val="b"/>
      <c:layout/>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doughnutChart>
        <c:varyColors val="1"/>
        <c:ser>
          <c:idx val="0"/>
          <c:order val="0"/>
          <c:tx>
            <c:strRef>
              <c:f>Altman!$G$4</c:f>
              <c:strCache>
                <c:ptCount val="1"/>
                <c:pt idx="0">
                  <c:v>Altman Score</c:v>
                </c:pt>
              </c:strCache>
            </c:strRef>
          </c:tx>
          <c:dPt>
            <c:idx val="4"/>
            <c:bubble3D val="0"/>
            <c:spPr>
              <a:noFill/>
            </c:spPr>
          </c:dPt>
          <c:val>
            <c:numRef>
              <c:f>Altman!$H$5:$H$9</c:f>
              <c:numCache>
                <c:formatCode>General</c:formatCode>
                <c:ptCount val="5"/>
                <c:pt idx="0">
                  <c:v>0</c:v>
                </c:pt>
                <c:pt idx="1">
                  <c:v>30</c:v>
                </c:pt>
                <c:pt idx="2">
                  <c:v>20</c:v>
                </c:pt>
                <c:pt idx="3">
                  <c:v>50</c:v>
                </c:pt>
                <c:pt idx="4">
                  <c:v>100</c:v>
                </c:pt>
              </c:numCache>
            </c:numRef>
          </c:val>
        </c:ser>
        <c:dLbls>
          <c:showLegendKey val="0"/>
          <c:showVal val="0"/>
          <c:showCatName val="0"/>
          <c:showSerName val="0"/>
          <c:showPercent val="0"/>
          <c:showBubbleSize val="0"/>
          <c:showLeaderLines val="1"/>
        </c:dLbls>
        <c:firstSliceAng val="27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Altman!$I$4</c:f>
              <c:strCache>
                <c:ptCount val="1"/>
                <c:pt idx="0">
                  <c:v>Pointer</c:v>
                </c:pt>
              </c:strCache>
            </c:strRef>
          </c:tx>
          <c:dPt>
            <c:idx val="0"/>
            <c:bubble3D val="0"/>
            <c:spPr>
              <a:noFill/>
            </c:spPr>
          </c:dPt>
          <c:dPt>
            <c:idx val="1"/>
            <c:bubble3D val="0"/>
            <c:spPr>
              <a:solidFill>
                <a:schemeClr val="tx1"/>
              </a:solidFill>
            </c:spPr>
          </c:dPt>
          <c:dPt>
            <c:idx val="2"/>
            <c:bubble3D val="0"/>
            <c:spPr>
              <a:noFill/>
            </c:spPr>
          </c:dPt>
          <c:val>
            <c:numRef>
              <c:f>Altman!$J$5:$J$7</c:f>
              <c:numCache>
                <c:formatCode>General</c:formatCode>
                <c:ptCount val="3"/>
                <c:pt idx="0" formatCode="0">
                  <c:v>43.488264766795176</c:v>
                </c:pt>
                <c:pt idx="1">
                  <c:v>1</c:v>
                </c:pt>
                <c:pt idx="2">
                  <c:v>155.51173523320483</c:v>
                </c:pt>
              </c:numCache>
            </c:numRef>
          </c:val>
        </c:ser>
        <c:dLbls>
          <c:showLegendKey val="0"/>
          <c:showVal val="0"/>
          <c:showCatName val="0"/>
          <c:showSerName val="0"/>
          <c:showPercent val="0"/>
          <c:showBubbleSize val="0"/>
          <c:showLeaderLines val="1"/>
        </c:dLbls>
        <c:firstSliceAng val="270"/>
      </c:pieChart>
    </c:plotArea>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Piotroski Score</a:t>
            </a:r>
          </a:p>
        </c:rich>
      </c:tx>
      <c:layout/>
      <c:overlay val="0"/>
    </c:title>
    <c:autoTitleDeleted val="0"/>
    <c:plotArea>
      <c:layout/>
      <c:doughnutChart>
        <c:varyColors val="1"/>
        <c:ser>
          <c:idx val="0"/>
          <c:order val="0"/>
          <c:tx>
            <c:strRef>
              <c:f>Piotroski!$F$11</c:f>
              <c:strCache>
                <c:ptCount val="1"/>
                <c:pt idx="0">
                  <c:v>77%</c:v>
                </c:pt>
              </c:strCache>
            </c:strRef>
          </c:tx>
          <c:dPt>
            <c:idx val="4"/>
            <c:bubble3D val="0"/>
            <c:spPr>
              <a:noFill/>
            </c:spPr>
          </c:dPt>
          <c:val>
            <c:numRef>
              <c:f>Piotroski!$I$12:$I$16</c:f>
              <c:numCache>
                <c:formatCode>General</c:formatCode>
                <c:ptCount val="5"/>
                <c:pt idx="0">
                  <c:v>0</c:v>
                </c:pt>
                <c:pt idx="1">
                  <c:v>30</c:v>
                </c:pt>
                <c:pt idx="2">
                  <c:v>40</c:v>
                </c:pt>
                <c:pt idx="3">
                  <c:v>30</c:v>
                </c:pt>
                <c:pt idx="4">
                  <c:v>100</c:v>
                </c:pt>
              </c:numCache>
            </c:numRef>
          </c:val>
        </c:ser>
        <c:dLbls>
          <c:showLegendKey val="0"/>
          <c:showVal val="0"/>
          <c:showCatName val="0"/>
          <c:showSerName val="0"/>
          <c:showPercent val="0"/>
          <c:showBubbleSize val="0"/>
          <c:showLeaderLines val="1"/>
        </c:dLbls>
        <c:firstSliceAng val="27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Piotroski!$D$11</c:f>
              <c:strCache>
                <c:ptCount val="1"/>
                <c:pt idx="0">
                  <c:v>87%</c:v>
                </c:pt>
              </c:strCache>
            </c:strRef>
          </c:tx>
          <c:explosion val="1"/>
          <c:dPt>
            <c:idx val="0"/>
            <c:bubble3D val="0"/>
            <c:spPr>
              <a:noFill/>
            </c:spPr>
          </c:dPt>
          <c:dPt>
            <c:idx val="1"/>
            <c:bubble3D val="0"/>
            <c:spPr>
              <a:solidFill>
                <a:schemeClr val="tx1"/>
              </a:solidFill>
            </c:spPr>
          </c:dPt>
          <c:dPt>
            <c:idx val="2"/>
            <c:bubble3D val="0"/>
            <c:spPr>
              <a:noFill/>
            </c:spPr>
          </c:dPt>
          <c:val>
            <c:numRef>
              <c:f>Piotroski!$K$12:$K$14</c:f>
              <c:numCache>
                <c:formatCode>General</c:formatCode>
                <c:ptCount val="3"/>
                <c:pt idx="0" formatCode="0">
                  <c:v>88.888888888888886</c:v>
                </c:pt>
                <c:pt idx="1">
                  <c:v>1</c:v>
                </c:pt>
                <c:pt idx="2">
                  <c:v>110.11111111111111</c:v>
                </c:pt>
              </c:numCache>
            </c:numRef>
          </c:val>
        </c:ser>
        <c:dLbls>
          <c:showLegendKey val="0"/>
          <c:showVal val="0"/>
          <c:showCatName val="0"/>
          <c:showSerName val="0"/>
          <c:showPercent val="0"/>
          <c:showBubbleSize val="0"/>
          <c:showLeaderLines val="1"/>
        </c:dLbls>
        <c:firstSliceAng val="270"/>
      </c:pieChart>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strRef>
              <c:f>Dupont!$B$4</c:f>
              <c:strCache>
                <c:ptCount val="1"/>
                <c:pt idx="0">
                  <c:v>Asset Turnover</c:v>
                </c:pt>
              </c:strCache>
            </c:strRef>
          </c:tx>
          <c:spPr>
            <a:solidFill>
              <a:schemeClr val="accent2"/>
            </a:solidFill>
            <a:ln>
              <a:noFill/>
            </a:ln>
            <a:effectLst/>
          </c:spPr>
          <c:invertIfNegative val="0"/>
          <c:cat>
            <c:strRef>
              <c:f>Dupont!$C$2:$G$2</c:f>
              <c:strCache>
                <c:ptCount val="5"/>
                <c:pt idx="0">
                  <c:v>CY-4</c:v>
                </c:pt>
                <c:pt idx="1">
                  <c:v>CY-3</c:v>
                </c:pt>
                <c:pt idx="2">
                  <c:v>CY-2</c:v>
                </c:pt>
                <c:pt idx="3">
                  <c:v>CY-1</c:v>
                </c:pt>
                <c:pt idx="4">
                  <c:v>CY</c:v>
                </c:pt>
              </c:strCache>
            </c:strRef>
          </c:cat>
          <c:val>
            <c:numRef>
              <c:f>Dupont!$C$4:$G$4</c:f>
              <c:numCache>
                <c:formatCode>0.00</c:formatCode>
                <c:ptCount val="5"/>
                <c:pt idx="0">
                  <c:v>0.73366437896230274</c:v>
                </c:pt>
                <c:pt idx="1">
                  <c:v>0.77311110802978411</c:v>
                </c:pt>
                <c:pt idx="2">
                  <c:v>0.85216565105264297</c:v>
                </c:pt>
                <c:pt idx="3">
                  <c:v>0.86946072524101659</c:v>
                </c:pt>
                <c:pt idx="4">
                  <c:v>0.80258069709872837</c:v>
                </c:pt>
              </c:numCache>
            </c:numRef>
          </c:val>
        </c:ser>
        <c:ser>
          <c:idx val="2"/>
          <c:order val="2"/>
          <c:tx>
            <c:strRef>
              <c:f>Dupont!$B$5</c:f>
              <c:strCache>
                <c:ptCount val="1"/>
                <c:pt idx="0">
                  <c:v>Equity Multiplier</c:v>
                </c:pt>
              </c:strCache>
            </c:strRef>
          </c:tx>
          <c:spPr>
            <a:solidFill>
              <a:schemeClr val="accent3"/>
            </a:solidFill>
            <a:ln>
              <a:noFill/>
            </a:ln>
            <a:effectLst/>
          </c:spPr>
          <c:invertIfNegative val="0"/>
          <c:cat>
            <c:strRef>
              <c:f>Dupont!$C$2:$G$2</c:f>
              <c:strCache>
                <c:ptCount val="5"/>
                <c:pt idx="0">
                  <c:v>CY-4</c:v>
                </c:pt>
                <c:pt idx="1">
                  <c:v>CY-3</c:v>
                </c:pt>
                <c:pt idx="2">
                  <c:v>CY-2</c:v>
                </c:pt>
                <c:pt idx="3">
                  <c:v>CY-1</c:v>
                </c:pt>
                <c:pt idx="4">
                  <c:v>CY</c:v>
                </c:pt>
              </c:strCache>
            </c:strRef>
          </c:cat>
          <c:val>
            <c:numRef>
              <c:f>Dupont!$C$5:$G$5</c:f>
              <c:numCache>
                <c:formatCode>0.00</c:formatCode>
                <c:ptCount val="5"/>
                <c:pt idx="0">
                  <c:v>2.7203855846065927</c:v>
                </c:pt>
                <c:pt idx="1">
                  <c:v>3.3551523610141896</c:v>
                </c:pt>
                <c:pt idx="2">
                  <c:v>3.6371454925753186</c:v>
                </c:pt>
                <c:pt idx="3">
                  <c:v>2.826881387426448</c:v>
                </c:pt>
                <c:pt idx="4">
                  <c:v>2.5738759139212033</c:v>
                </c:pt>
              </c:numCache>
            </c:numRef>
          </c:val>
        </c:ser>
        <c:dLbls>
          <c:showLegendKey val="0"/>
          <c:showVal val="0"/>
          <c:showCatName val="0"/>
          <c:showSerName val="0"/>
          <c:showPercent val="0"/>
          <c:showBubbleSize val="0"/>
        </c:dLbls>
        <c:gapWidth val="247"/>
        <c:axId val="-536125648"/>
        <c:axId val="-536124016"/>
      </c:barChart>
      <c:lineChart>
        <c:grouping val="standard"/>
        <c:varyColors val="0"/>
        <c:ser>
          <c:idx val="0"/>
          <c:order val="0"/>
          <c:tx>
            <c:strRef>
              <c:f>Dupont!$B$3</c:f>
              <c:strCache>
                <c:ptCount val="1"/>
                <c:pt idx="0">
                  <c:v>NPM</c:v>
                </c:pt>
              </c:strCache>
            </c:strRef>
          </c:tx>
          <c:spPr>
            <a:ln w="22225" cap="rnd">
              <a:solidFill>
                <a:schemeClr val="accent1"/>
              </a:solidFill>
              <a:round/>
            </a:ln>
            <a:effectLst/>
          </c:spPr>
          <c:marker>
            <c:symbol val="circle"/>
            <c:size val="6"/>
            <c:spPr>
              <a:solidFill>
                <a:schemeClr val="lt1"/>
              </a:solidFill>
              <a:ln w="15875">
                <a:solidFill>
                  <a:schemeClr val="accent1"/>
                </a:solidFill>
                <a:round/>
              </a:ln>
              <a:effectLst/>
            </c:spPr>
          </c:marker>
          <c:cat>
            <c:strRef>
              <c:f>Dupont!$C$2:$G$2</c:f>
              <c:strCache>
                <c:ptCount val="5"/>
                <c:pt idx="0">
                  <c:v>CY-4</c:v>
                </c:pt>
                <c:pt idx="1">
                  <c:v>CY-3</c:v>
                </c:pt>
                <c:pt idx="2">
                  <c:v>CY-2</c:v>
                </c:pt>
                <c:pt idx="3">
                  <c:v>CY-1</c:v>
                </c:pt>
                <c:pt idx="4">
                  <c:v>CY</c:v>
                </c:pt>
              </c:strCache>
            </c:strRef>
          </c:cat>
          <c:val>
            <c:numRef>
              <c:f>Dupont!$C$3:$G$3</c:f>
              <c:numCache>
                <c:formatCode>0%</c:formatCode>
                <c:ptCount val="5"/>
                <c:pt idx="0">
                  <c:v>5.4090684486693713E-2</c:v>
                </c:pt>
                <c:pt idx="1">
                  <c:v>5.2279236223198348E-2</c:v>
                </c:pt>
                <c:pt idx="2">
                  <c:v>7.7106180038001154E-2</c:v>
                </c:pt>
                <c:pt idx="3">
                  <c:v>0.10134705531575434</c:v>
                </c:pt>
                <c:pt idx="4">
                  <c:v>0.13909087639802922</c:v>
                </c:pt>
              </c:numCache>
            </c:numRef>
          </c:val>
          <c:smooth val="0"/>
        </c:ser>
        <c:ser>
          <c:idx val="3"/>
          <c:order val="3"/>
          <c:tx>
            <c:strRef>
              <c:f>Dupont!$B$6</c:f>
              <c:strCache>
                <c:ptCount val="1"/>
                <c:pt idx="0">
                  <c:v>ROE</c:v>
                </c:pt>
              </c:strCache>
            </c:strRef>
          </c:tx>
          <c:spPr>
            <a:ln w="22225" cap="rnd">
              <a:solidFill>
                <a:schemeClr val="tx1"/>
              </a:solidFill>
              <a:round/>
            </a:ln>
            <a:effectLst/>
          </c:spPr>
          <c:marker>
            <c:symbol val="circle"/>
            <c:size val="6"/>
            <c:spPr>
              <a:solidFill>
                <a:schemeClr val="lt1"/>
              </a:solidFill>
              <a:ln w="15875">
                <a:solidFill>
                  <a:schemeClr val="accent4"/>
                </a:solidFill>
                <a:round/>
              </a:ln>
              <a:effectLst/>
            </c:spPr>
          </c:marker>
          <c:cat>
            <c:strRef>
              <c:f>Dupont!$C$2:$G$2</c:f>
              <c:strCache>
                <c:ptCount val="5"/>
                <c:pt idx="0">
                  <c:v>CY-4</c:v>
                </c:pt>
                <c:pt idx="1">
                  <c:v>CY-3</c:v>
                </c:pt>
                <c:pt idx="2">
                  <c:v>CY-2</c:v>
                </c:pt>
                <c:pt idx="3">
                  <c:v>CY-1</c:v>
                </c:pt>
                <c:pt idx="4">
                  <c:v>CY</c:v>
                </c:pt>
              </c:strCache>
            </c:strRef>
          </c:cat>
          <c:val>
            <c:numRef>
              <c:f>Dupont!$C$6:$G$6</c:f>
              <c:numCache>
                <c:formatCode>0%</c:formatCode>
                <c:ptCount val="5"/>
                <c:pt idx="0">
                  <c:v>0.10795689265810356</c:v>
                </c:pt>
                <c:pt idx="1">
                  <c:v>0.13560740148223527</c:v>
                </c:pt>
                <c:pt idx="2">
                  <c:v>0.23898678492959988</c:v>
                </c:pt>
                <c:pt idx="3">
                  <c:v>0.24909711066042958</c:v>
                </c:pt>
                <c:pt idx="4">
                  <c:v>0.28732602170290583</c:v>
                </c:pt>
              </c:numCache>
            </c:numRef>
          </c:val>
          <c:smooth val="0"/>
        </c:ser>
        <c:dLbls>
          <c:showLegendKey val="0"/>
          <c:showVal val="0"/>
          <c:showCatName val="0"/>
          <c:showSerName val="0"/>
          <c:showPercent val="0"/>
          <c:showBubbleSize val="0"/>
        </c:dLbls>
        <c:marker val="1"/>
        <c:smooth val="0"/>
        <c:axId val="-773530352"/>
        <c:axId val="-536122928"/>
      </c:lineChart>
      <c:catAx>
        <c:axId val="-536125648"/>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0"/>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dk1">
                    <a:lumMod val="65000"/>
                    <a:lumOff val="35000"/>
                  </a:schemeClr>
                </a:solidFill>
                <a:latin typeface="+mn-lt"/>
                <a:ea typeface="+mn-ea"/>
                <a:cs typeface="+mn-cs"/>
              </a:defRPr>
            </a:pPr>
            <a:endParaRPr lang="en-US"/>
          </a:p>
        </c:txPr>
        <c:crossAx val="-536124016"/>
        <c:crosses val="autoZero"/>
        <c:auto val="1"/>
        <c:lblAlgn val="ctr"/>
        <c:lblOffset val="100"/>
        <c:noMultiLvlLbl val="0"/>
      </c:catAx>
      <c:valAx>
        <c:axId val="-536124016"/>
        <c:scaling>
          <c:orientation val="minMax"/>
        </c:scaling>
        <c:delete val="0"/>
        <c:axPos val="l"/>
        <c:majorGridlines>
          <c:spPr>
            <a:ln w="9525" cap="flat" cmpd="sng" algn="ctr">
              <a:solidFill>
                <a:schemeClr val="dk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latin typeface="+mn-lt"/>
                <a:ea typeface="+mn-ea"/>
                <a:cs typeface="+mn-cs"/>
              </a:defRPr>
            </a:pPr>
            <a:endParaRPr lang="en-US"/>
          </a:p>
        </c:txPr>
        <c:crossAx val="-536125648"/>
        <c:crosses val="autoZero"/>
        <c:crossBetween val="between"/>
      </c:valAx>
      <c:valAx>
        <c:axId val="-536122928"/>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latin typeface="+mn-lt"/>
                <a:ea typeface="+mn-ea"/>
                <a:cs typeface="+mn-cs"/>
              </a:defRPr>
            </a:pPr>
            <a:endParaRPr lang="en-US"/>
          </a:p>
        </c:txPr>
        <c:crossAx val="-773530352"/>
        <c:crosses val="max"/>
        <c:crossBetween val="between"/>
      </c:valAx>
      <c:catAx>
        <c:axId val="-773530352"/>
        <c:scaling>
          <c:orientation val="minMax"/>
        </c:scaling>
        <c:delete val="1"/>
        <c:axPos val="b"/>
        <c:numFmt formatCode="General" sourceLinked="1"/>
        <c:majorTickMark val="out"/>
        <c:minorTickMark val="none"/>
        <c:tickLblPos val="nextTo"/>
        <c:crossAx val="-536122928"/>
        <c:crosses val="autoZero"/>
        <c:auto val="1"/>
        <c:lblAlgn val="ctr"/>
        <c:lblOffset val="100"/>
        <c:noMultiLvlLbl val="0"/>
      </c:catAx>
      <c:spPr>
        <a:pattFill prst="ltDnDiag">
          <a:fgClr>
            <a:schemeClr val="dk1">
              <a:lumMod val="15000"/>
              <a:lumOff val="85000"/>
            </a:schemeClr>
          </a:fgClr>
          <a:bgClr>
            <a:schemeClr val="lt1"/>
          </a:bgClr>
        </a:patt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'Polished Data'!$A$73</c:f>
              <c:strCache>
                <c:ptCount val="1"/>
                <c:pt idx="0">
                  <c:v>BVPS</c:v>
                </c:pt>
              </c:strCache>
            </c:strRef>
          </c:tx>
          <c:spPr>
            <a:solidFill>
              <a:schemeClr val="accent1"/>
            </a:solidFill>
            <a:ln>
              <a:noFill/>
            </a:ln>
            <a:effectLst/>
          </c:spPr>
          <c:invertIfNegative val="0"/>
          <c:cat>
            <c:numRef>
              <c:f>'Polished Data'!$C$24:$L$24</c:f>
              <c:numCache>
                <c:formatCode>[$-409]mmm\-yy;@</c:formatCode>
                <c:ptCount val="10"/>
                <c:pt idx="0">
                  <c:v>39538</c:v>
                </c:pt>
                <c:pt idx="1">
                  <c:v>39903</c:v>
                </c:pt>
                <c:pt idx="2">
                  <c:v>40268</c:v>
                </c:pt>
                <c:pt idx="3">
                  <c:v>40633</c:v>
                </c:pt>
                <c:pt idx="4">
                  <c:v>40999</c:v>
                </c:pt>
                <c:pt idx="5">
                  <c:v>41364</c:v>
                </c:pt>
                <c:pt idx="6">
                  <c:v>41729</c:v>
                </c:pt>
                <c:pt idx="7">
                  <c:v>42094</c:v>
                </c:pt>
                <c:pt idx="8">
                  <c:v>42460</c:v>
                </c:pt>
                <c:pt idx="9">
                  <c:v>42825</c:v>
                </c:pt>
              </c:numCache>
            </c:numRef>
          </c:cat>
          <c:val>
            <c:numRef>
              <c:f>'Polished Data'!$C$73:$L$73</c:f>
              <c:numCache>
                <c:formatCode>0</c:formatCode>
                <c:ptCount val="10"/>
                <c:pt idx="0">
                  <c:v>50.244309882396081</c:v>
                </c:pt>
                <c:pt idx="1">
                  <c:v>121.3795907321314</c:v>
                </c:pt>
                <c:pt idx="2">
                  <c:v>118.46215338909738</c:v>
                </c:pt>
                <c:pt idx="3">
                  <c:v>101.92934190711981</c:v>
                </c:pt>
                <c:pt idx="4">
                  <c:v>96.138458736848008</c:v>
                </c:pt>
                <c:pt idx="5">
                  <c:v>106.72641674326691</c:v>
                </c:pt>
                <c:pt idx="6">
                  <c:v>85.963421094607696</c:v>
                </c:pt>
                <c:pt idx="7">
                  <c:v>76.958157849677121</c:v>
                </c:pt>
                <c:pt idx="8">
                  <c:v>103.30807600446178</c:v>
                </c:pt>
                <c:pt idx="9">
                  <c:v>135.84827907015645</c:v>
                </c:pt>
              </c:numCache>
            </c:numRef>
          </c:val>
        </c:ser>
        <c:dLbls>
          <c:showLegendKey val="0"/>
          <c:showVal val="0"/>
          <c:showCatName val="0"/>
          <c:showSerName val="0"/>
          <c:showPercent val="0"/>
          <c:showBubbleSize val="0"/>
        </c:dLbls>
        <c:gapWidth val="0"/>
        <c:overlap val="-100"/>
        <c:axId val="-773528720"/>
        <c:axId val="-773528176"/>
      </c:barChart>
      <c:dateAx>
        <c:axId val="-773528720"/>
        <c:scaling>
          <c:orientation val="minMax"/>
        </c:scaling>
        <c:delete val="0"/>
        <c:axPos val="b"/>
        <c:numFmt formatCode="[$-409]mmm\-yy;@" sourceLinked="1"/>
        <c:majorTickMark val="none"/>
        <c:minorTickMark val="none"/>
        <c:tickLblPos val="nextTo"/>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1000" b="0" i="0" u="none" strike="noStrike" kern="1200" cap="none" spc="0" normalizeH="0" baseline="0">
                <a:solidFill>
                  <a:schemeClr val="dk1">
                    <a:lumMod val="65000"/>
                    <a:lumOff val="35000"/>
                  </a:schemeClr>
                </a:solidFill>
                <a:latin typeface="+mn-lt"/>
                <a:ea typeface="+mn-ea"/>
                <a:cs typeface="+mn-cs"/>
              </a:defRPr>
            </a:pPr>
            <a:endParaRPr lang="en-US"/>
          </a:p>
        </c:txPr>
        <c:crossAx val="-773528176"/>
        <c:crosses val="autoZero"/>
        <c:auto val="1"/>
        <c:lblOffset val="100"/>
        <c:baseTimeUnit val="months"/>
        <c:majorUnit val="12"/>
        <c:majorTimeUnit val="months"/>
      </c:dateAx>
      <c:valAx>
        <c:axId val="-77352817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latin typeface="+mn-lt"/>
                <a:ea typeface="+mn-ea"/>
                <a:cs typeface="+mn-cs"/>
              </a:defRPr>
            </a:pPr>
            <a:endParaRPr lang="en-US"/>
          </a:p>
        </c:txPr>
        <c:crossAx val="-773528720"/>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98035144968937E-2"/>
          <c:y val="0.10648148148148148"/>
          <c:w val="0.95018868220539698"/>
          <c:h val="0.70833333333333337"/>
        </c:manualLayout>
      </c:layout>
      <c:barChart>
        <c:barDir val="col"/>
        <c:grouping val="clustered"/>
        <c:varyColors val="0"/>
        <c:ser>
          <c:idx val="0"/>
          <c:order val="0"/>
          <c:tx>
            <c:strRef>
              <c:f>'Polished Data'!$A$130</c:f>
              <c:strCache>
                <c:ptCount val="1"/>
                <c:pt idx="0">
                  <c:v>Sales </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numFmt formatCode="#,##0" sourceLinked="0"/>
            <c:spPr>
              <a:solidFill>
                <a:schemeClr val="tx2">
                  <a:lumMod val="60000"/>
                  <a:lumOff val="40000"/>
                </a:schemeClr>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'Polished Data'!$D$129:$L$129</c:f>
              <c:numCache>
                <c:formatCode>[$-409]mmm\-yy;@</c:formatCode>
                <c:ptCount val="9"/>
                <c:pt idx="0">
                  <c:v>42369</c:v>
                </c:pt>
                <c:pt idx="1">
                  <c:v>42460</c:v>
                </c:pt>
                <c:pt idx="2">
                  <c:v>42551</c:v>
                </c:pt>
                <c:pt idx="3">
                  <c:v>42643</c:v>
                </c:pt>
                <c:pt idx="4">
                  <c:v>42735</c:v>
                </c:pt>
                <c:pt idx="5">
                  <c:v>42825</c:v>
                </c:pt>
                <c:pt idx="6">
                  <c:v>42916</c:v>
                </c:pt>
                <c:pt idx="7">
                  <c:v>43008</c:v>
                </c:pt>
                <c:pt idx="8">
                  <c:v>43100</c:v>
                </c:pt>
              </c:numCache>
            </c:numRef>
          </c:cat>
          <c:val>
            <c:numRef>
              <c:f>'Polished Data'!$D$130:$L$130</c:f>
              <c:numCache>
                <c:formatCode>0</c:formatCode>
                <c:ptCount val="9"/>
                <c:pt idx="0">
                  <c:v>662.04</c:v>
                </c:pt>
                <c:pt idx="1">
                  <c:v>642.71</c:v>
                </c:pt>
                <c:pt idx="2">
                  <c:v>687.90000000000009</c:v>
                </c:pt>
                <c:pt idx="3">
                  <c:v>660.52</c:v>
                </c:pt>
                <c:pt idx="4">
                  <c:v>618.39</c:v>
                </c:pt>
                <c:pt idx="5">
                  <c:v>825.98</c:v>
                </c:pt>
                <c:pt idx="6">
                  <c:v>753.26</c:v>
                </c:pt>
                <c:pt idx="7">
                  <c:v>717.38</c:v>
                </c:pt>
                <c:pt idx="8">
                  <c:v>738.13</c:v>
                </c:pt>
              </c:numCache>
            </c:numRef>
          </c:val>
        </c:ser>
        <c:dLbls>
          <c:dLblPos val="inEnd"/>
          <c:showLegendKey val="0"/>
          <c:showVal val="1"/>
          <c:showCatName val="0"/>
          <c:showSerName val="0"/>
          <c:showPercent val="0"/>
          <c:showBubbleSize val="0"/>
        </c:dLbls>
        <c:gapWidth val="0"/>
        <c:axId val="-773337344"/>
        <c:axId val="-486911856"/>
      </c:barChart>
      <c:lineChart>
        <c:grouping val="standard"/>
        <c:varyColors val="0"/>
        <c:ser>
          <c:idx val="1"/>
          <c:order val="1"/>
          <c:tx>
            <c:strRef>
              <c:f>'Polished Data'!$A$131</c:f>
              <c:strCache>
                <c:ptCount val="1"/>
                <c:pt idx="0">
                  <c:v>Sales QoQ</c:v>
                </c:pt>
              </c:strCache>
            </c:strRef>
          </c:tx>
          <c:spPr>
            <a:ln w="28575" cap="rnd">
              <a:gradFill>
                <a:gsLst>
                  <a:gs pos="0">
                    <a:schemeClr val="accent2"/>
                  </a:gs>
                  <a:gs pos="100000">
                    <a:schemeClr val="accent2">
                      <a:lumMod val="84000"/>
                    </a:schemeClr>
                  </a:gs>
                </a:gsLst>
                <a:lin ang="5400000" scaled="1"/>
              </a:gradFill>
              <a:round/>
            </a:ln>
            <a:effectLst/>
          </c:spPr>
          <c:marker>
            <c:symbol val="none"/>
          </c:marker>
          <c:cat>
            <c:numRef>
              <c:f>'Polished Data'!$D$129:$L$129</c:f>
              <c:numCache>
                <c:formatCode>[$-409]mmm\-yy;@</c:formatCode>
                <c:ptCount val="9"/>
                <c:pt idx="0">
                  <c:v>42369</c:v>
                </c:pt>
                <c:pt idx="1">
                  <c:v>42460</c:v>
                </c:pt>
                <c:pt idx="2">
                  <c:v>42551</c:v>
                </c:pt>
                <c:pt idx="3">
                  <c:v>42643</c:v>
                </c:pt>
                <c:pt idx="4">
                  <c:v>42735</c:v>
                </c:pt>
                <c:pt idx="5">
                  <c:v>42825</c:v>
                </c:pt>
                <c:pt idx="6">
                  <c:v>42916</c:v>
                </c:pt>
                <c:pt idx="7">
                  <c:v>43008</c:v>
                </c:pt>
                <c:pt idx="8">
                  <c:v>43100</c:v>
                </c:pt>
              </c:numCache>
            </c:numRef>
          </c:cat>
          <c:val>
            <c:numRef>
              <c:f>'Polished Data'!$D$131:$L$131</c:f>
              <c:numCache>
                <c:formatCode>0%</c:formatCode>
                <c:ptCount val="9"/>
                <c:pt idx="0">
                  <c:v>1.5835021174737562E-2</c:v>
                </c:pt>
                <c:pt idx="1">
                  <c:v>-2.9197631563047444E-2</c:v>
                </c:pt>
                <c:pt idx="2">
                  <c:v>7.0311649110796459E-2</c:v>
                </c:pt>
                <c:pt idx="3">
                  <c:v>-3.9802296845471874E-2</c:v>
                </c:pt>
                <c:pt idx="4">
                  <c:v>-6.3783079997577707E-2</c:v>
                </c:pt>
                <c:pt idx="5">
                  <c:v>0.33569430294797797</c:v>
                </c:pt>
                <c:pt idx="6">
                  <c:v>-8.8040872660354985E-2</c:v>
                </c:pt>
                <c:pt idx="7">
                  <c:v>-4.7632955420439105E-2</c:v>
                </c:pt>
                <c:pt idx="8">
                  <c:v>2.8924698207365651E-2</c:v>
                </c:pt>
              </c:numCache>
            </c:numRef>
          </c:val>
          <c:smooth val="0"/>
        </c:ser>
        <c:dLbls>
          <c:showLegendKey val="0"/>
          <c:showVal val="0"/>
          <c:showCatName val="0"/>
          <c:showSerName val="0"/>
          <c:showPercent val="0"/>
          <c:showBubbleSize val="0"/>
        </c:dLbls>
        <c:marker val="1"/>
        <c:smooth val="0"/>
        <c:axId val="-486916752"/>
        <c:axId val="-486904784"/>
      </c:lineChart>
      <c:dateAx>
        <c:axId val="-773337344"/>
        <c:scaling>
          <c:orientation val="minMax"/>
        </c:scaling>
        <c:delete val="0"/>
        <c:axPos val="b"/>
        <c:numFmt formatCode="[$-409]mmm\-yy;@"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effectLst/>
                <a:latin typeface="+mn-lt"/>
                <a:ea typeface="+mn-ea"/>
                <a:cs typeface="+mn-cs"/>
              </a:defRPr>
            </a:pPr>
            <a:endParaRPr lang="en-US"/>
          </a:p>
        </c:txPr>
        <c:crossAx val="-486911856"/>
        <c:crosses val="autoZero"/>
        <c:auto val="1"/>
        <c:lblOffset val="100"/>
        <c:baseTimeUnit val="months"/>
        <c:majorUnit val="3"/>
        <c:majorTimeUnit val="months"/>
      </c:dateAx>
      <c:valAx>
        <c:axId val="-48691185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latin typeface="+mn-lt"/>
                <a:ea typeface="+mn-ea"/>
                <a:cs typeface="+mn-cs"/>
              </a:defRPr>
            </a:pPr>
            <a:endParaRPr lang="en-US"/>
          </a:p>
        </c:txPr>
        <c:crossAx val="-773337344"/>
        <c:crosses val="autoZero"/>
        <c:crossBetween val="between"/>
      </c:valAx>
      <c:valAx>
        <c:axId val="-486904784"/>
        <c:scaling>
          <c:orientation val="minMax"/>
          <c:max val="0.60000000000000009"/>
          <c:min val="-0.60000000000000009"/>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latin typeface="+mn-lt"/>
                <a:ea typeface="+mn-ea"/>
                <a:cs typeface="+mn-cs"/>
              </a:defRPr>
            </a:pPr>
            <a:endParaRPr lang="en-US"/>
          </a:p>
        </c:txPr>
        <c:crossAx val="-486916752"/>
        <c:crosses val="max"/>
        <c:crossBetween val="between"/>
        <c:majorUnit val="0.2"/>
      </c:valAx>
      <c:dateAx>
        <c:axId val="-486916752"/>
        <c:scaling>
          <c:orientation val="minMax"/>
        </c:scaling>
        <c:delete val="1"/>
        <c:axPos val="b"/>
        <c:numFmt formatCode="[$-409]mmm\-yy;@" sourceLinked="1"/>
        <c:majorTickMark val="out"/>
        <c:minorTickMark val="none"/>
        <c:tickLblPos val="nextTo"/>
        <c:crossAx val="-486904784"/>
        <c:crosses val="autoZero"/>
        <c:auto val="1"/>
        <c:lblOffset val="100"/>
        <c:baseTimeUnit val="months"/>
      </c:dateAx>
      <c:spPr>
        <a:noFill/>
        <a:ln>
          <a:noFill/>
        </a:ln>
        <a:effectLst/>
      </c:spPr>
    </c:plotArea>
    <c:legend>
      <c:legendPos val="b"/>
      <c:layout>
        <c:manualLayout>
          <c:xMode val="edge"/>
          <c:yMode val="edge"/>
          <c:x val="6.0258501841719062E-4"/>
          <c:y val="0.92187445319335082"/>
          <c:w val="0.30534854818906265"/>
          <c:h val="7.81255468066491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79">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65000"/>
        <a:lumOff val="35000"/>
      </a:schemeClr>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effectLst>
        <a:innerShdw dist="12700" dir="16200000">
          <a:schemeClr val="lt1"/>
        </a:innerShdw>
      </a:effectLst>
    </cs:spPr>
  </cs:dataPoint>
  <cs:dataPoint3D>
    <cs:lnRef idx="0"/>
    <cs:fillRef idx="0">
      <cs:styleClr val="auto"/>
    </cs:fillRef>
    <cs:effectRef idx="0"/>
    <cs:fontRef idx="minor">
      <a:schemeClr val="dk1"/>
    </cs:fontRef>
    <cs:spPr>
      <a:solidFill>
        <a:schemeClr val="phClr">
          <a:alpha val="85000"/>
        </a:schemeClr>
      </a:solidFill>
      <a:effectLst>
        <a:innerShdw dist="12700" dir="16200000">
          <a:schemeClr val="lt1"/>
        </a:inn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A$28"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fmlaLink="$A$29"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fmlaLink="$A$30"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66675</xdr:colOff>
      <xdr:row>0</xdr:row>
      <xdr:rowOff>123826</xdr:rowOff>
    </xdr:from>
    <xdr:to>
      <xdr:col>6</xdr:col>
      <xdr:colOff>683448</xdr:colOff>
      <xdr:row>10</xdr:row>
      <xdr:rowOff>423334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21168</xdr:colOff>
      <xdr:row>10</xdr:row>
      <xdr:rowOff>719667</xdr:rowOff>
    </xdr:from>
    <xdr:to>
      <xdr:col>6</xdr:col>
      <xdr:colOff>666750</xdr:colOff>
      <xdr:row>11</xdr:row>
      <xdr:rowOff>123826</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332717</xdr:colOff>
      <xdr:row>1</xdr:row>
      <xdr:rowOff>173580</xdr:rowOff>
    </xdr:from>
    <xdr:to>
      <xdr:col>3</xdr:col>
      <xdr:colOff>524325</xdr:colOff>
      <xdr:row>3</xdr:row>
      <xdr:rowOff>13899</xdr:rowOff>
    </xdr:to>
    <xdr:sp macro="" textlink="">
      <xdr:nvSpPr>
        <xdr:cNvPr id="7" name="Flowchart: Process 6"/>
        <xdr:cNvSpPr/>
      </xdr:nvSpPr>
      <xdr:spPr>
        <a:xfrm rot="19947316">
          <a:off x="6904967" y="374663"/>
          <a:ext cx="890108" cy="221319"/>
        </a:xfrm>
        <a:prstGeom prst="flowChartProcess">
          <a:avLst/>
        </a:prstGeom>
        <a:solidFill>
          <a:srgbClr val="FFFF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rgbClr val="FF0000"/>
              </a:solidFill>
              <a:latin typeface="Arial" panose="020B0604020202020204" pitchFamily="34" charset="0"/>
              <a:cs typeface="Arial" panose="020B0604020202020204" pitchFamily="34" charset="0"/>
            </a:rPr>
            <a:t>Earnings</a:t>
          </a:r>
        </a:p>
      </xdr:txBody>
    </xdr:sp>
    <xdr:clientData/>
  </xdr:twoCellAnchor>
  <xdr:twoCellAnchor>
    <xdr:from>
      <xdr:col>2</xdr:col>
      <xdr:colOff>305103</xdr:colOff>
      <xdr:row>10</xdr:row>
      <xdr:rowOff>885252</xdr:rowOff>
    </xdr:from>
    <xdr:to>
      <xdr:col>3</xdr:col>
      <xdr:colOff>646180</xdr:colOff>
      <xdr:row>10</xdr:row>
      <xdr:rowOff>1084752</xdr:rowOff>
    </xdr:to>
    <xdr:sp macro="" textlink="">
      <xdr:nvSpPr>
        <xdr:cNvPr id="9" name="Flowchart: Process 8"/>
        <xdr:cNvSpPr/>
      </xdr:nvSpPr>
      <xdr:spPr>
        <a:xfrm rot="19947316">
          <a:off x="6877353" y="2800835"/>
          <a:ext cx="1039577" cy="199500"/>
        </a:xfrm>
        <a:prstGeom prst="flowChartProcess">
          <a:avLst/>
        </a:prstGeom>
        <a:solidFill>
          <a:srgbClr val="FFFF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rgbClr val="FF0000"/>
              </a:solidFill>
              <a:latin typeface="Arial" panose="020B0604020202020204" pitchFamily="34" charset="0"/>
              <a:cs typeface="Arial" panose="020B0604020202020204" pitchFamily="34" charset="0"/>
            </a:rPr>
            <a:t>Growth</a:t>
          </a:r>
        </a:p>
      </xdr:txBody>
    </xdr:sp>
    <xdr:clientData/>
  </xdr:twoCellAnchor>
  <xdr:twoCellAnchor>
    <xdr:from>
      <xdr:col>0</xdr:col>
      <xdr:colOff>152400</xdr:colOff>
      <xdr:row>91</xdr:row>
      <xdr:rowOff>133350</xdr:rowOff>
    </xdr:from>
    <xdr:to>
      <xdr:col>1</xdr:col>
      <xdr:colOff>2867025</xdr:colOff>
      <xdr:row>106</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514350</xdr:colOff>
      <xdr:row>93</xdr:row>
      <xdr:rowOff>152400</xdr:rowOff>
    </xdr:from>
    <xdr:to>
      <xdr:col>1</xdr:col>
      <xdr:colOff>2486025</xdr:colOff>
      <xdr:row>105</xdr:row>
      <xdr:rowOff>163830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200025</xdr:colOff>
      <xdr:row>91</xdr:row>
      <xdr:rowOff>123825</xdr:rowOff>
    </xdr:from>
    <xdr:to>
      <xdr:col>9</xdr:col>
      <xdr:colOff>504825</xdr:colOff>
      <xdr:row>106</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600075</xdr:colOff>
      <xdr:row>94</xdr:row>
      <xdr:rowOff>28575</xdr:rowOff>
    </xdr:from>
    <xdr:to>
      <xdr:col>9</xdr:col>
      <xdr:colOff>85725</xdr:colOff>
      <xdr:row>106</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190499</xdr:colOff>
      <xdr:row>75</xdr:row>
      <xdr:rowOff>0</xdr:rowOff>
    </xdr:from>
    <xdr:to>
      <xdr:col>2</xdr:col>
      <xdr:colOff>0</xdr:colOff>
      <xdr:row>89</xdr:row>
      <xdr:rowOff>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0</xdr:colOff>
      <xdr:row>74</xdr:row>
      <xdr:rowOff>42334</xdr:rowOff>
    </xdr:from>
    <xdr:to>
      <xdr:col>12</xdr:col>
      <xdr:colOff>0</xdr:colOff>
      <xdr:row>89</xdr:row>
      <xdr:rowOff>10584</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10582</xdr:colOff>
      <xdr:row>36</xdr:row>
      <xdr:rowOff>0</xdr:rowOff>
    </xdr:from>
    <xdr:to>
      <xdr:col>2</xdr:col>
      <xdr:colOff>0</xdr:colOff>
      <xdr:row>51</xdr:row>
      <xdr:rowOff>0</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10584</xdr:colOff>
      <xdr:row>16</xdr:row>
      <xdr:rowOff>10585</xdr:rowOff>
    </xdr:from>
    <xdr:to>
      <xdr:col>25</xdr:col>
      <xdr:colOff>0</xdr:colOff>
      <xdr:row>31</xdr:row>
      <xdr:rowOff>0</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13</xdr:col>
      <xdr:colOff>10585</xdr:colOff>
      <xdr:row>56</xdr:row>
      <xdr:rowOff>10583</xdr:rowOff>
    </xdr:from>
    <xdr:to>
      <xdr:col>25</xdr:col>
      <xdr:colOff>1</xdr:colOff>
      <xdr:row>71</xdr:row>
      <xdr:rowOff>0</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21167</xdr:colOff>
      <xdr:row>56</xdr:row>
      <xdr:rowOff>10584</xdr:rowOff>
    </xdr:from>
    <xdr:to>
      <xdr:col>2</xdr:col>
      <xdr:colOff>0</xdr:colOff>
      <xdr:row>71</xdr:row>
      <xdr:rowOff>0</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10582</xdr:colOff>
      <xdr:row>56</xdr:row>
      <xdr:rowOff>10583</xdr:rowOff>
    </xdr:from>
    <xdr:to>
      <xdr:col>11</xdr:col>
      <xdr:colOff>677333</xdr:colOff>
      <xdr:row>71</xdr:row>
      <xdr:rowOff>0</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13</xdr:col>
      <xdr:colOff>10585</xdr:colOff>
      <xdr:row>36</xdr:row>
      <xdr:rowOff>10582</xdr:rowOff>
    </xdr:from>
    <xdr:to>
      <xdr:col>25</xdr:col>
      <xdr:colOff>0</xdr:colOff>
      <xdr:row>51</xdr:row>
      <xdr:rowOff>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10583</xdr:colOff>
      <xdr:row>36</xdr:row>
      <xdr:rowOff>10582</xdr:rowOff>
    </xdr:from>
    <xdr:to>
      <xdr:col>12</xdr:col>
      <xdr:colOff>0</xdr:colOff>
      <xdr:row>50</xdr:row>
      <xdr:rowOff>190499</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211666</xdr:colOff>
      <xdr:row>44</xdr:row>
      <xdr:rowOff>73873</xdr:rowOff>
    </xdr:from>
    <xdr:to>
      <xdr:col>11</xdr:col>
      <xdr:colOff>338668</xdr:colOff>
      <xdr:row>44</xdr:row>
      <xdr:rowOff>73873</xdr:rowOff>
    </xdr:to>
    <xdr:cxnSp macro="">
      <xdr:nvCxnSpPr>
        <xdr:cNvPr id="32" name="Straight Connector 31"/>
        <xdr:cNvCxnSpPr/>
      </xdr:nvCxnSpPr>
      <xdr:spPr>
        <a:xfrm>
          <a:off x="6582833" y="8614623"/>
          <a:ext cx="5132918" cy="0"/>
        </a:xfrm>
        <a:prstGeom prst="line">
          <a:avLst/>
        </a:prstGeom>
        <a:ln>
          <a:solidFill>
            <a:schemeClr val="tx1">
              <a:lumMod val="50000"/>
              <a:lumOff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465667</xdr:colOff>
      <xdr:row>44</xdr:row>
      <xdr:rowOff>88689</xdr:rowOff>
    </xdr:from>
    <xdr:to>
      <xdr:col>1</xdr:col>
      <xdr:colOff>3591984</xdr:colOff>
      <xdr:row>44</xdr:row>
      <xdr:rowOff>88689</xdr:rowOff>
    </xdr:to>
    <xdr:cxnSp macro="">
      <xdr:nvCxnSpPr>
        <xdr:cNvPr id="33" name="Straight Connector 32"/>
        <xdr:cNvCxnSpPr/>
      </xdr:nvCxnSpPr>
      <xdr:spPr>
        <a:xfrm>
          <a:off x="465667" y="8629439"/>
          <a:ext cx="4988984" cy="0"/>
        </a:xfrm>
        <a:prstGeom prst="line">
          <a:avLst/>
        </a:prstGeom>
        <a:ln>
          <a:solidFill>
            <a:schemeClr val="tx1">
              <a:lumMod val="50000"/>
              <a:lumOff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21166</xdr:colOff>
      <xdr:row>16</xdr:row>
      <xdr:rowOff>10584</xdr:rowOff>
    </xdr:from>
    <xdr:to>
      <xdr:col>2</xdr:col>
      <xdr:colOff>0</xdr:colOff>
      <xdr:row>31</xdr:row>
      <xdr:rowOff>0</xdr:rowOff>
    </xdr:to>
    <xdr:graphicFrame macro="">
      <xdr:nvGraphicFramePr>
        <xdr:cNvPr id="36"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10583</xdr:colOff>
      <xdr:row>16</xdr:row>
      <xdr:rowOff>10582</xdr:rowOff>
    </xdr:from>
    <xdr:to>
      <xdr:col>12</xdr:col>
      <xdr:colOff>0</xdr:colOff>
      <xdr:row>30</xdr:row>
      <xdr:rowOff>190499</xdr:rowOff>
    </xdr:to>
    <xdr:graphicFrame macro="">
      <xdr:nvGraphicFramePr>
        <xdr:cNvPr id="38" name="Chart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486834</xdr:colOff>
      <xdr:row>20</xdr:row>
      <xdr:rowOff>52917</xdr:rowOff>
    </xdr:from>
    <xdr:to>
      <xdr:col>1</xdr:col>
      <xdr:colOff>3566583</xdr:colOff>
      <xdr:row>20</xdr:row>
      <xdr:rowOff>52917</xdr:rowOff>
    </xdr:to>
    <xdr:cxnSp macro="">
      <xdr:nvCxnSpPr>
        <xdr:cNvPr id="30" name="Straight Connector 29"/>
        <xdr:cNvCxnSpPr/>
      </xdr:nvCxnSpPr>
      <xdr:spPr>
        <a:xfrm>
          <a:off x="486834" y="6127750"/>
          <a:ext cx="4942416" cy="0"/>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480484</xdr:colOff>
      <xdr:row>22</xdr:row>
      <xdr:rowOff>46567</xdr:rowOff>
    </xdr:from>
    <xdr:to>
      <xdr:col>1</xdr:col>
      <xdr:colOff>3560233</xdr:colOff>
      <xdr:row>22</xdr:row>
      <xdr:rowOff>46567</xdr:rowOff>
    </xdr:to>
    <xdr:cxnSp macro="">
      <xdr:nvCxnSpPr>
        <xdr:cNvPr id="34" name="Straight Connector 33"/>
        <xdr:cNvCxnSpPr/>
      </xdr:nvCxnSpPr>
      <xdr:spPr>
        <a:xfrm>
          <a:off x="480484" y="6502400"/>
          <a:ext cx="4942416" cy="0"/>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127000</xdr:colOff>
      <xdr:row>21</xdr:row>
      <xdr:rowOff>116417</xdr:rowOff>
    </xdr:from>
    <xdr:to>
      <xdr:col>11</xdr:col>
      <xdr:colOff>264584</xdr:colOff>
      <xdr:row>21</xdr:row>
      <xdr:rowOff>116417</xdr:rowOff>
    </xdr:to>
    <xdr:cxnSp macro="">
      <xdr:nvCxnSpPr>
        <xdr:cNvPr id="35" name="Straight Connector 34"/>
        <xdr:cNvCxnSpPr/>
      </xdr:nvCxnSpPr>
      <xdr:spPr>
        <a:xfrm>
          <a:off x="6498167" y="6381750"/>
          <a:ext cx="5143500" cy="0"/>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99483</xdr:colOff>
      <xdr:row>17</xdr:row>
      <xdr:rowOff>152400</xdr:rowOff>
    </xdr:from>
    <xdr:to>
      <xdr:col>11</xdr:col>
      <xdr:colOff>237067</xdr:colOff>
      <xdr:row>17</xdr:row>
      <xdr:rowOff>152400</xdr:rowOff>
    </xdr:to>
    <xdr:cxnSp macro="">
      <xdr:nvCxnSpPr>
        <xdr:cNvPr id="40" name="Straight Connector 39"/>
        <xdr:cNvCxnSpPr/>
      </xdr:nvCxnSpPr>
      <xdr:spPr>
        <a:xfrm>
          <a:off x="6470650" y="5655733"/>
          <a:ext cx="5143500" cy="0"/>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400051</xdr:colOff>
      <xdr:row>43</xdr:row>
      <xdr:rowOff>8467</xdr:rowOff>
    </xdr:from>
    <xdr:to>
      <xdr:col>1</xdr:col>
      <xdr:colOff>3479800</xdr:colOff>
      <xdr:row>43</xdr:row>
      <xdr:rowOff>8467</xdr:rowOff>
    </xdr:to>
    <xdr:cxnSp macro="">
      <xdr:nvCxnSpPr>
        <xdr:cNvPr id="41" name="Straight Connector 40"/>
        <xdr:cNvCxnSpPr/>
      </xdr:nvCxnSpPr>
      <xdr:spPr>
        <a:xfrm>
          <a:off x="400051" y="10306050"/>
          <a:ext cx="4942416" cy="0"/>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421217</xdr:colOff>
      <xdr:row>40</xdr:row>
      <xdr:rowOff>50800</xdr:rowOff>
    </xdr:from>
    <xdr:to>
      <xdr:col>1</xdr:col>
      <xdr:colOff>3500966</xdr:colOff>
      <xdr:row>40</xdr:row>
      <xdr:rowOff>50800</xdr:rowOff>
    </xdr:to>
    <xdr:cxnSp macro="">
      <xdr:nvCxnSpPr>
        <xdr:cNvPr id="42" name="Straight Connector 41"/>
        <xdr:cNvCxnSpPr/>
      </xdr:nvCxnSpPr>
      <xdr:spPr>
        <a:xfrm>
          <a:off x="421217" y="9776883"/>
          <a:ext cx="4942416" cy="0"/>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372533</xdr:colOff>
      <xdr:row>39</xdr:row>
      <xdr:rowOff>33867</xdr:rowOff>
    </xdr:from>
    <xdr:to>
      <xdr:col>11</xdr:col>
      <xdr:colOff>309033</xdr:colOff>
      <xdr:row>39</xdr:row>
      <xdr:rowOff>33867</xdr:rowOff>
    </xdr:to>
    <xdr:cxnSp macro="">
      <xdr:nvCxnSpPr>
        <xdr:cNvPr id="43" name="Straight Connector 42"/>
        <xdr:cNvCxnSpPr/>
      </xdr:nvCxnSpPr>
      <xdr:spPr>
        <a:xfrm>
          <a:off x="6743700" y="9569450"/>
          <a:ext cx="4942416" cy="0"/>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387350</xdr:colOff>
      <xdr:row>42</xdr:row>
      <xdr:rowOff>38100</xdr:rowOff>
    </xdr:from>
    <xdr:to>
      <xdr:col>11</xdr:col>
      <xdr:colOff>323850</xdr:colOff>
      <xdr:row>42</xdr:row>
      <xdr:rowOff>38100</xdr:rowOff>
    </xdr:to>
    <xdr:cxnSp macro="">
      <xdr:nvCxnSpPr>
        <xdr:cNvPr id="44" name="Straight Connector 43"/>
        <xdr:cNvCxnSpPr/>
      </xdr:nvCxnSpPr>
      <xdr:spPr>
        <a:xfrm>
          <a:off x="6758517" y="10145183"/>
          <a:ext cx="4942416" cy="0"/>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0.10517</cdr:x>
      <cdr:y>1</cdr:y>
    </cdr:from>
    <cdr:to>
      <cdr:x>1</cdr:x>
      <cdr:y>1</cdr:y>
    </cdr:to>
    <cdr:cxnSp macro="">
      <cdr:nvCxnSpPr>
        <cdr:cNvPr id="2" name="Straight Connector 1"/>
        <cdr:cNvCxnSpPr/>
      </cdr:nvCxnSpPr>
      <cdr:spPr>
        <a:xfrm xmlns:a="http://schemas.openxmlformats.org/drawingml/2006/main">
          <a:off x="6675966" y="6718089"/>
          <a:ext cx="5132918" cy="0"/>
        </a:xfrm>
        <a:prstGeom xmlns:a="http://schemas.openxmlformats.org/drawingml/2006/main" prst="line">
          <a:avLst/>
        </a:prstGeom>
        <a:ln xmlns:a="http://schemas.openxmlformats.org/drawingml/2006/main">
          <a:solidFill>
            <a:schemeClr val="tx1">
              <a:lumMod val="50000"/>
              <a:lumOff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5</xdr:col>
      <xdr:colOff>142874</xdr:colOff>
      <xdr:row>31</xdr:row>
      <xdr:rowOff>133350</xdr:rowOff>
    </xdr:from>
    <xdr:to>
      <xdr:col>11</xdr:col>
      <xdr:colOff>66674</xdr:colOff>
      <xdr:row>33</xdr:row>
      <xdr:rowOff>123825</xdr:rowOff>
    </xdr:to>
    <xdr:sp macro="" textlink="">
      <xdr:nvSpPr>
        <xdr:cNvPr id="4" name="Rounded Rectangular Callout 3"/>
        <xdr:cNvSpPr/>
      </xdr:nvSpPr>
      <xdr:spPr>
        <a:xfrm>
          <a:off x="4981574" y="4343400"/>
          <a:ext cx="3629025" cy="314325"/>
        </a:xfrm>
        <a:prstGeom prst="wedgeRoundRectCallou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900">
              <a:solidFill>
                <a:srgbClr val="FF0000"/>
              </a:solidFill>
              <a:latin typeface="Arial" panose="020B0604020202020204" pitchFamily="34" charset="0"/>
              <a:cs typeface="Arial" panose="020B0604020202020204" pitchFamily="34" charset="0"/>
            </a:rPr>
            <a:t>Return</a:t>
          </a:r>
          <a:r>
            <a:rPr lang="en-GB" sz="900" baseline="0">
              <a:solidFill>
                <a:srgbClr val="FF0000"/>
              </a:solidFill>
              <a:latin typeface="Arial" panose="020B0604020202020204" pitchFamily="34" charset="0"/>
              <a:cs typeface="Arial" panose="020B0604020202020204" pitchFamily="34" charset="0"/>
            </a:rPr>
            <a:t> on stock  when existing  ROE growth rate is extended</a:t>
          </a:r>
          <a:endParaRPr lang="en-GB" sz="900">
            <a:solidFill>
              <a:srgbClr val="FF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361950</xdr:colOff>
          <xdr:row>1</xdr:row>
          <xdr:rowOff>133350</xdr:rowOff>
        </xdr:from>
        <xdr:to>
          <xdr:col>1</xdr:col>
          <xdr:colOff>352425</xdr:colOff>
          <xdr:row>4</xdr:row>
          <xdr:rowOff>114300</xdr:rowOff>
        </xdr:to>
        <xdr:sp macro="" textlink="">
          <xdr:nvSpPr>
            <xdr:cNvPr id="16386" name="Group Box 2" hidden="1">
              <a:extLst>
                <a:ext uri="{63B3BB69-23CF-44E3-9099-C40C66FF867C}">
                  <a14:compatExt spid="_x0000_s163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2</xdr:row>
          <xdr:rowOff>133350</xdr:rowOff>
        </xdr:from>
        <xdr:to>
          <xdr:col>0</xdr:col>
          <xdr:colOff>1133475</xdr:colOff>
          <xdr:row>4</xdr:row>
          <xdr:rowOff>28575</xdr:rowOff>
        </xdr:to>
        <xdr:sp macro="" textlink="">
          <xdr:nvSpPr>
            <xdr:cNvPr id="16387" name="Option Button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Bank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2</xdr:row>
          <xdr:rowOff>133350</xdr:rowOff>
        </xdr:from>
        <xdr:to>
          <xdr:col>0</xdr:col>
          <xdr:colOff>2066925</xdr:colOff>
          <xdr:row>4</xdr:row>
          <xdr:rowOff>28575</xdr:rowOff>
        </xdr:to>
        <xdr:sp macro="" textlink="">
          <xdr:nvSpPr>
            <xdr:cNvPr id="16388" name="Option Button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Bank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xdr:row>
          <xdr:rowOff>133350</xdr:rowOff>
        </xdr:from>
        <xdr:to>
          <xdr:col>4</xdr:col>
          <xdr:colOff>771525</xdr:colOff>
          <xdr:row>4</xdr:row>
          <xdr:rowOff>104775</xdr:rowOff>
        </xdr:to>
        <xdr:sp macro="" textlink="">
          <xdr:nvSpPr>
            <xdr:cNvPr id="16389" name="Group Box 5" hidden="1">
              <a:extLst>
                <a:ext uri="{63B3BB69-23CF-44E3-9099-C40C66FF867C}">
                  <a14:compatExt spid="_x0000_s163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Future Growth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xdr:row>
          <xdr:rowOff>142875</xdr:rowOff>
        </xdr:from>
        <xdr:to>
          <xdr:col>3</xdr:col>
          <xdr:colOff>1038225</xdr:colOff>
          <xdr:row>4</xdr:row>
          <xdr:rowOff>38100</xdr:rowOff>
        </xdr:to>
        <xdr:sp macro="" textlink="">
          <xdr:nvSpPr>
            <xdr:cNvPr id="16390" name="Option Button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5 Yr. CAGR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1390650</xdr:colOff>
          <xdr:row>2</xdr:row>
          <xdr:rowOff>152400</xdr:rowOff>
        </xdr:from>
        <xdr:to>
          <xdr:col>4</xdr:col>
          <xdr:colOff>323850</xdr:colOff>
          <xdr:row>4</xdr:row>
          <xdr:rowOff>47625</xdr:rowOff>
        </xdr:to>
        <xdr:sp macro="" textlink="">
          <xdr:nvSpPr>
            <xdr:cNvPr id="16391" name="Option Button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Conservative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xdr:row>
          <xdr:rowOff>152400</xdr:rowOff>
        </xdr:from>
        <xdr:to>
          <xdr:col>7</xdr:col>
          <xdr:colOff>704850</xdr:colOff>
          <xdr:row>4</xdr:row>
          <xdr:rowOff>123825</xdr:rowOff>
        </xdr:to>
        <xdr:sp macro="" textlink="">
          <xdr:nvSpPr>
            <xdr:cNvPr id="16392" name="Group Box 8" hidden="1">
              <a:extLst>
                <a:ext uri="{63B3BB69-23CF-44E3-9099-C40C66FF867C}">
                  <a14:compatExt spid="_x0000_s163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RoE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3</xdr:row>
          <xdr:rowOff>0</xdr:rowOff>
        </xdr:from>
        <xdr:to>
          <xdr:col>6</xdr:col>
          <xdr:colOff>361950</xdr:colOff>
          <xdr:row>4</xdr:row>
          <xdr:rowOff>57150</xdr:rowOff>
        </xdr:to>
        <xdr:sp macro="" textlink="">
          <xdr:nvSpPr>
            <xdr:cNvPr id="16393" name="Option Button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Current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xdr:row>
          <xdr:rowOff>152400</xdr:rowOff>
        </xdr:from>
        <xdr:to>
          <xdr:col>7</xdr:col>
          <xdr:colOff>485775</xdr:colOff>
          <xdr:row>4</xdr:row>
          <xdr:rowOff>47625</xdr:rowOff>
        </xdr:to>
        <xdr:sp macro="" textlink="">
          <xdr:nvSpPr>
            <xdr:cNvPr id="16394" name="Option Button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5 Yr. Avg.</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14</xdr:row>
      <xdr:rowOff>0</xdr:rowOff>
    </xdr:from>
    <xdr:to>
      <xdr:col>7</xdr:col>
      <xdr:colOff>495300</xdr:colOff>
      <xdr:row>17</xdr:row>
      <xdr:rowOff>114300</xdr:rowOff>
    </xdr:to>
    <xdr:pic>
      <xdr:nvPicPr>
        <xdr:cNvPr id="2" name="Picture 1" descr="capital allocation -10"/>
        <xdr:cNvPicPr>
          <a:picLocks noChangeAspect="1" noChangeArrowheads="1"/>
        </xdr:cNvPicPr>
      </xdr:nvPicPr>
      <xdr:blipFill>
        <a:blip xmlns:r="http://schemas.openxmlformats.org/officeDocument/2006/relationships" r:embed="rId1">
          <a:duotone>
            <a:prstClr val="black"/>
            <a:schemeClr val="accent6">
              <a:tint val="45000"/>
              <a:satMod val="400000"/>
            </a:schemeClr>
          </a:duotone>
          <a:extLst>
            <a:ext uri="{28A0092B-C50C-407E-A947-70E740481C1C}">
              <a14:useLocalDpi xmlns:a14="http://schemas.microsoft.com/office/drawing/2010/main" val="0"/>
            </a:ext>
          </a:extLst>
        </a:blip>
        <a:srcRect/>
        <a:stretch>
          <a:fillRect/>
        </a:stretch>
      </xdr:blipFill>
      <xdr:spPr bwMode="auto">
        <a:xfrm>
          <a:off x="38100" y="2476500"/>
          <a:ext cx="52959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47625</xdr:colOff>
      <xdr:row>16</xdr:row>
      <xdr:rowOff>38100</xdr:rowOff>
    </xdr:from>
    <xdr:to>
      <xdr:col>9</xdr:col>
      <xdr:colOff>76200</xdr:colOff>
      <xdr:row>18</xdr:row>
      <xdr:rowOff>142875</xdr:rowOff>
    </xdr:to>
    <xdr:sp macro="" textlink="">
      <xdr:nvSpPr>
        <xdr:cNvPr id="2" name="Rounded Rectangular Callout 1"/>
        <xdr:cNvSpPr/>
      </xdr:nvSpPr>
      <xdr:spPr>
        <a:xfrm>
          <a:off x="2828925" y="2762250"/>
          <a:ext cx="4333875" cy="466725"/>
        </a:xfrm>
        <a:prstGeom prst="wedgeRoundRectCallou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solidFill>
                <a:srgbClr val="FF0000"/>
              </a:solidFill>
            </a:rPr>
            <a:t>A discrete score between 0-9 which reflects nine criteria used to determine the strength of a firm's financial position.</a:t>
          </a:r>
          <a:endParaRPr lang="en-GB" sz="1000">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190500</xdr:colOff>
      <xdr:row>16</xdr:row>
      <xdr:rowOff>66675</xdr:rowOff>
    </xdr:from>
    <xdr:to>
      <xdr:col>7</xdr:col>
      <xdr:colOff>0</xdr:colOff>
      <xdr:row>18</xdr:row>
      <xdr:rowOff>85725</xdr:rowOff>
    </xdr:to>
    <xdr:sp macro="" textlink="">
      <xdr:nvSpPr>
        <xdr:cNvPr id="2" name="Rounded Rectangular Callout 1"/>
        <xdr:cNvSpPr/>
      </xdr:nvSpPr>
      <xdr:spPr>
        <a:xfrm>
          <a:off x="4333875" y="3000375"/>
          <a:ext cx="4972050" cy="381000"/>
        </a:xfrm>
        <a:prstGeom prst="wedgeRoundRectCallou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900">
              <a:solidFill>
                <a:srgbClr val="FF0000"/>
              </a:solidFill>
            </a:rPr>
            <a:t>The output of Altman score test gauges a publicly traded company's likelihood of bankruptcy.</a:t>
          </a:r>
          <a:endParaRPr lang="en-GB" sz="900">
            <a:solidFill>
              <a:srgbClr val="FF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screener.in/exce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bseindia.com/corporates/Sharehold_Searchnew.aspx?expandable=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pageSetUpPr fitToPage="1"/>
  </sheetPr>
  <dimension ref="A1:Y104"/>
  <sheetViews>
    <sheetView showGridLines="0" tabSelected="1" zoomScale="90" zoomScaleNormal="90" workbookViewId="0">
      <selection sqref="A1:B1"/>
    </sheetView>
  </sheetViews>
  <sheetFormatPr defaultColWidth="9.140625" defaultRowHeight="15"/>
  <cols>
    <col min="1" max="1" width="28" style="2" customWidth="1"/>
    <col min="2" max="2" width="58.42578125" style="5" customWidth="1"/>
    <col min="3" max="9" width="9.140625" style="2"/>
    <col min="10" max="10" width="10.5703125" style="2" customWidth="1"/>
    <col min="11" max="11" width="9.140625" style="2"/>
    <col min="12" max="12" width="10.140625" style="2" customWidth="1"/>
    <col min="13" max="16384" width="9.140625" style="2"/>
  </cols>
  <sheetData>
    <row r="1" spans="1:25" ht="15.75">
      <c r="A1" s="275" t="s">
        <v>71</v>
      </c>
      <c r="B1" s="275"/>
      <c r="C1" s="275" t="s">
        <v>74</v>
      </c>
      <c r="D1" s="275"/>
      <c r="E1" s="275"/>
      <c r="F1" s="275"/>
      <c r="G1" s="275"/>
      <c r="H1" s="275"/>
      <c r="I1" s="275"/>
      <c r="J1" s="275"/>
      <c r="K1" s="275"/>
      <c r="L1" s="275"/>
      <c r="M1" s="275"/>
    </row>
    <row r="3" spans="1:25">
      <c r="A3" s="3" t="s">
        <v>0</v>
      </c>
      <c r="B3" s="17" t="str">
        <f>Qualitative!D2</f>
        <v>GHCL LTD</v>
      </c>
    </row>
    <row r="4" spans="1:25">
      <c r="A4" s="3" t="s">
        <v>1</v>
      </c>
      <c r="B4" s="17">
        <f>Qualitative!D3</f>
        <v>0</v>
      </c>
    </row>
    <row r="5" spans="1:25" ht="15.75" thickBot="1">
      <c r="A5" s="3" t="s">
        <v>70</v>
      </c>
      <c r="B5" s="185">
        <f>Qualitative!D5</f>
        <v>298.8</v>
      </c>
      <c r="K5" s="276"/>
      <c r="L5" s="276"/>
    </row>
    <row r="6" spans="1:25" ht="16.5" thickTop="1" thickBot="1">
      <c r="A6" s="3" t="s">
        <v>3</v>
      </c>
      <c r="B6" s="70">
        <f>'Polished Data'!L40</f>
        <v>99.47</v>
      </c>
      <c r="I6" s="283" t="s">
        <v>384</v>
      </c>
      <c r="J6" s="283"/>
      <c r="K6" s="232">
        <f>(Valuation!B8-Valuation!B25)/Valuation!B25</f>
        <v>0.51983451370430367</v>
      </c>
      <c r="L6" s="232"/>
    </row>
    <row r="7" spans="1:25" ht="15.75" thickTop="1">
      <c r="A7" s="3" t="s">
        <v>4</v>
      </c>
      <c r="B7" s="1">
        <f>'Polished Data'!B38</f>
        <v>2911.01</v>
      </c>
      <c r="I7" s="257" t="s">
        <v>428</v>
      </c>
      <c r="K7" s="256">
        <f>IF(Valuation!A28=2, (Valuation!B9*(Valuation!B9/Valuation!B10)*Valuation!B21)/Valuation!B8-1, (Valuation!B11*(Valuation!E12/Valuation!F12)*Valuation!B22)/Valuation!B8-1)</f>
        <v>-0.26029286671284169</v>
      </c>
    </row>
    <row r="8" spans="1:25" ht="15.75" thickBot="1">
      <c r="A8" s="3" t="s">
        <v>5</v>
      </c>
      <c r="B8" s="18">
        <f>Qualitative!D9</f>
        <v>0.65</v>
      </c>
      <c r="I8" s="284" t="s">
        <v>427</v>
      </c>
      <c r="J8" s="284"/>
      <c r="K8" s="233">
        <f>POWER(Valuation!E24/Valuation!B8, 1/5)-1</f>
        <v>0.19052463190617552</v>
      </c>
      <c r="L8" s="233"/>
    </row>
    <row r="9" spans="1:25" ht="15.75" thickTop="1"/>
    <row r="11" spans="1:25" ht="185.25" customHeight="1">
      <c r="A11" s="3" t="s">
        <v>6</v>
      </c>
      <c r="B11" s="19">
        <f>Qualitative!D4</f>
        <v>0</v>
      </c>
    </row>
    <row r="12" spans="1:25">
      <c r="A12" s="280"/>
      <c r="B12" s="280"/>
    </row>
    <row r="13" spans="1:25">
      <c r="A13" s="78"/>
      <c r="B13" s="78"/>
    </row>
    <row r="14" spans="1:25">
      <c r="A14" s="78"/>
      <c r="B14" s="78"/>
    </row>
    <row r="15" spans="1:25">
      <c r="A15" s="78"/>
      <c r="B15" s="78"/>
    </row>
    <row r="16" spans="1:25" ht="15.75">
      <c r="A16" s="274" t="s">
        <v>459</v>
      </c>
      <c r="B16" s="274"/>
      <c r="D16" s="274" t="s">
        <v>458</v>
      </c>
      <c r="E16" s="274"/>
      <c r="F16" s="273"/>
      <c r="G16" s="273"/>
      <c r="H16" s="273"/>
      <c r="I16" s="273"/>
      <c r="J16" s="273"/>
      <c r="K16" s="273"/>
      <c r="L16" s="271"/>
      <c r="N16" s="273" t="s">
        <v>460</v>
      </c>
      <c r="O16" s="273"/>
      <c r="P16" s="273"/>
      <c r="Q16" s="273"/>
      <c r="R16" s="273"/>
      <c r="S16" s="273"/>
      <c r="T16" s="273"/>
      <c r="U16" s="273"/>
      <c r="V16" s="273"/>
      <c r="W16" s="273"/>
      <c r="X16" s="273"/>
      <c r="Y16" s="273"/>
    </row>
    <row r="17" spans="1:10">
      <c r="A17" s="78"/>
      <c r="B17" s="78"/>
      <c r="D17"/>
      <c r="E17"/>
      <c r="F17"/>
      <c r="G17"/>
      <c r="H17"/>
      <c r="I17"/>
    </row>
    <row r="18" spans="1:10">
      <c r="A18" s="78"/>
      <c r="B18" s="78"/>
      <c r="D18"/>
      <c r="E18"/>
      <c r="F18"/>
      <c r="G18"/>
      <c r="H18"/>
      <c r="I18"/>
    </row>
    <row r="19" spans="1:10">
      <c r="A19" s="78"/>
      <c r="B19" s="78"/>
      <c r="D19"/>
      <c r="E19"/>
      <c r="F19"/>
      <c r="G19"/>
      <c r="H19"/>
      <c r="I19"/>
    </row>
    <row r="20" spans="1:10">
      <c r="A20" s="78"/>
      <c r="B20" s="78"/>
      <c r="D20"/>
      <c r="E20"/>
      <c r="F20"/>
      <c r="G20"/>
      <c r="H20"/>
      <c r="I20"/>
    </row>
    <row r="21" spans="1:10">
      <c r="A21" s="266"/>
      <c r="B21" s="266"/>
      <c r="D21"/>
      <c r="E21"/>
      <c r="F21"/>
      <c r="G21"/>
      <c r="H21"/>
      <c r="I21"/>
    </row>
    <row r="22" spans="1:10">
      <c r="A22" s="266"/>
      <c r="B22" s="266"/>
      <c r="D22"/>
      <c r="E22"/>
      <c r="F22"/>
      <c r="G22"/>
      <c r="H22"/>
      <c r="I22"/>
    </row>
    <row r="23" spans="1:10">
      <c r="A23" s="266"/>
      <c r="B23" s="266"/>
      <c r="D23"/>
      <c r="E23"/>
      <c r="F23"/>
      <c r="G23"/>
      <c r="H23"/>
      <c r="I23"/>
    </row>
    <row r="24" spans="1:10">
      <c r="A24" s="78"/>
      <c r="B24" s="78"/>
      <c r="D24"/>
      <c r="E24"/>
      <c r="F24"/>
      <c r="G24"/>
      <c r="H24"/>
      <c r="I24"/>
    </row>
    <row r="25" spans="1:10">
      <c r="A25" s="78"/>
      <c r="B25" s="78"/>
      <c r="D25"/>
      <c r="E25"/>
      <c r="F25"/>
      <c r="G25"/>
      <c r="H25"/>
      <c r="I25"/>
    </row>
    <row r="26" spans="1:10">
      <c r="A26" s="78"/>
      <c r="B26" s="78"/>
      <c r="D26"/>
      <c r="E26"/>
      <c r="F26"/>
      <c r="G26"/>
      <c r="H26"/>
      <c r="I26"/>
    </row>
    <row r="27" spans="1:10">
      <c r="A27" s="78"/>
      <c r="B27" s="78"/>
      <c r="D27"/>
      <c r="E27"/>
      <c r="F27"/>
      <c r="G27"/>
      <c r="H27"/>
      <c r="I27"/>
      <c r="J27"/>
    </row>
    <row r="28" spans="1:10">
      <c r="A28" s="78"/>
      <c r="B28" s="78"/>
      <c r="D28"/>
      <c r="E28"/>
      <c r="F28"/>
      <c r="G28"/>
      <c r="H28"/>
      <c r="I28"/>
      <c r="J28"/>
    </row>
    <row r="29" spans="1:10">
      <c r="A29" s="78"/>
      <c r="B29" s="78"/>
      <c r="D29"/>
      <c r="E29"/>
      <c r="F29"/>
      <c r="G29"/>
      <c r="H29"/>
      <c r="I29"/>
      <c r="J29"/>
    </row>
    <row r="30" spans="1:10">
      <c r="A30" s="78"/>
      <c r="B30" s="78"/>
      <c r="D30"/>
      <c r="E30"/>
      <c r="F30"/>
      <c r="G30"/>
      <c r="H30"/>
      <c r="I30"/>
      <c r="J30"/>
    </row>
    <row r="31" spans="1:10">
      <c r="A31" s="78"/>
      <c r="B31" s="78"/>
      <c r="D31"/>
      <c r="E31"/>
      <c r="F31"/>
      <c r="G31"/>
      <c r="H31"/>
      <c r="I31"/>
      <c r="J31"/>
    </row>
    <row r="32" spans="1:10">
      <c r="A32" s="267"/>
      <c r="B32" s="267"/>
      <c r="D32"/>
      <c r="E32"/>
      <c r="F32"/>
      <c r="G32"/>
      <c r="H32"/>
      <c r="I32"/>
      <c r="J32"/>
    </row>
    <row r="33" spans="1:25">
      <c r="A33" s="267"/>
      <c r="B33" s="267"/>
      <c r="D33"/>
      <c r="E33"/>
      <c r="F33"/>
      <c r="G33"/>
      <c r="H33"/>
      <c r="I33"/>
      <c r="J33"/>
    </row>
    <row r="34" spans="1:25">
      <c r="A34" s="267"/>
      <c r="B34" s="267"/>
      <c r="D34"/>
      <c r="E34"/>
      <c r="F34"/>
      <c r="G34"/>
      <c r="H34"/>
      <c r="I34"/>
      <c r="J34"/>
    </row>
    <row r="35" spans="1:25">
      <c r="A35" s="267"/>
      <c r="B35" s="267"/>
      <c r="D35"/>
      <c r="E35"/>
      <c r="F35"/>
      <c r="G35"/>
      <c r="H35"/>
      <c r="I35"/>
      <c r="J35"/>
    </row>
    <row r="36" spans="1:25" ht="15.75">
      <c r="A36" s="274" t="s">
        <v>463</v>
      </c>
      <c r="B36" s="274"/>
      <c r="D36" s="274" t="s">
        <v>462</v>
      </c>
      <c r="E36" s="274"/>
      <c r="F36" s="273"/>
      <c r="G36" s="273"/>
      <c r="H36" s="273"/>
      <c r="I36" s="273"/>
      <c r="J36" s="273"/>
      <c r="K36" s="273"/>
      <c r="L36" s="271"/>
      <c r="N36" s="273" t="s">
        <v>461</v>
      </c>
      <c r="O36" s="273"/>
      <c r="P36" s="273"/>
      <c r="Q36" s="273"/>
      <c r="R36" s="273"/>
      <c r="S36" s="273"/>
      <c r="T36" s="273"/>
      <c r="U36" s="273"/>
      <c r="V36" s="273"/>
      <c r="W36" s="273"/>
      <c r="X36" s="273"/>
      <c r="Y36" s="273"/>
    </row>
    <row r="37" spans="1:25">
      <c r="A37" s="267"/>
      <c r="B37" s="267"/>
      <c r="D37"/>
      <c r="E37"/>
      <c r="F37"/>
      <c r="G37"/>
      <c r="H37"/>
      <c r="I37"/>
      <c r="J37"/>
    </row>
    <row r="38" spans="1:25">
      <c r="A38" s="267"/>
      <c r="B38" s="267"/>
      <c r="D38"/>
      <c r="E38"/>
      <c r="F38"/>
      <c r="G38"/>
      <c r="H38"/>
      <c r="I38"/>
      <c r="J38"/>
    </row>
    <row r="39" spans="1:25">
      <c r="A39" s="267"/>
      <c r="B39" s="267"/>
      <c r="D39"/>
      <c r="E39"/>
      <c r="F39"/>
      <c r="G39"/>
      <c r="H39"/>
      <c r="I39"/>
      <c r="J39"/>
    </row>
    <row r="40" spans="1:25">
      <c r="A40" s="78"/>
      <c r="B40" s="78"/>
      <c r="J40"/>
    </row>
    <row r="41" spans="1:25">
      <c r="A41" s="235"/>
      <c r="B41" s="235"/>
      <c r="J41"/>
    </row>
    <row r="42" spans="1:25">
      <c r="A42" s="235"/>
      <c r="B42" s="235"/>
      <c r="J42"/>
    </row>
    <row r="43" spans="1:25">
      <c r="A43" s="235"/>
      <c r="B43" s="235"/>
      <c r="J43"/>
    </row>
    <row r="44" spans="1:25">
      <c r="A44" s="235"/>
      <c r="B44" s="235"/>
      <c r="J44"/>
    </row>
    <row r="45" spans="1:25">
      <c r="A45" s="235"/>
      <c r="B45" s="235"/>
      <c r="J45"/>
    </row>
    <row r="46" spans="1:25">
      <c r="A46" s="235"/>
      <c r="B46" s="235"/>
      <c r="J46"/>
    </row>
    <row r="47" spans="1:25">
      <c r="A47" s="235"/>
      <c r="B47" s="235"/>
      <c r="J47"/>
    </row>
    <row r="48" spans="1:25">
      <c r="A48" s="235"/>
      <c r="B48" s="235"/>
      <c r="J48"/>
    </row>
    <row r="49" spans="1:25">
      <c r="A49" s="235"/>
      <c r="B49" s="235"/>
      <c r="J49"/>
    </row>
    <row r="50" spans="1:25">
      <c r="A50" s="235"/>
      <c r="B50" s="235"/>
      <c r="J50"/>
    </row>
    <row r="51" spans="1:25">
      <c r="A51" s="235"/>
      <c r="B51" s="235"/>
      <c r="J51"/>
    </row>
    <row r="52" spans="1:25">
      <c r="A52" s="235"/>
      <c r="B52" s="235"/>
      <c r="J52"/>
    </row>
    <row r="53" spans="1:25">
      <c r="A53" s="78"/>
      <c r="B53" s="78"/>
      <c r="J53"/>
    </row>
    <row r="54" spans="1:25">
      <c r="A54" s="267"/>
      <c r="B54" s="267"/>
      <c r="J54"/>
    </row>
    <row r="55" spans="1:25">
      <c r="A55" s="267"/>
      <c r="B55" s="267"/>
      <c r="J55"/>
    </row>
    <row r="56" spans="1:25" ht="15.75">
      <c r="A56" s="274" t="s">
        <v>464</v>
      </c>
      <c r="B56" s="274"/>
      <c r="D56" s="272" t="s">
        <v>465</v>
      </c>
      <c r="E56" s="272"/>
      <c r="F56" s="272"/>
      <c r="G56" s="272"/>
      <c r="H56" s="272"/>
      <c r="I56" s="272"/>
      <c r="J56" s="272"/>
      <c r="K56" s="272"/>
      <c r="L56" s="271"/>
      <c r="N56" s="274" t="s">
        <v>466</v>
      </c>
      <c r="O56" s="274"/>
      <c r="P56" s="273"/>
      <c r="Q56" s="273"/>
      <c r="R56" s="273"/>
      <c r="S56" s="273"/>
      <c r="T56" s="273"/>
      <c r="U56" s="273"/>
      <c r="V56" s="273"/>
      <c r="W56" s="273"/>
      <c r="X56" s="273"/>
      <c r="Y56" s="273"/>
    </row>
    <row r="57" spans="1:25">
      <c r="A57" s="267"/>
      <c r="B57" s="267"/>
      <c r="J57"/>
    </row>
    <row r="58" spans="1:25">
      <c r="A58" s="267"/>
      <c r="B58" s="267"/>
      <c r="J58"/>
    </row>
    <row r="59" spans="1:25">
      <c r="A59" s="267"/>
      <c r="B59" s="267"/>
      <c r="J59"/>
    </row>
    <row r="60" spans="1:25">
      <c r="A60" s="267"/>
      <c r="B60" s="267"/>
      <c r="J60"/>
    </row>
    <row r="61" spans="1:25">
      <c r="A61" s="267"/>
      <c r="B61" s="267"/>
      <c r="J61"/>
    </row>
    <row r="62" spans="1:25">
      <c r="A62" s="267"/>
      <c r="B62" s="267"/>
      <c r="J62"/>
    </row>
    <row r="63" spans="1:25">
      <c r="A63" s="267"/>
      <c r="B63" s="267"/>
      <c r="J63"/>
    </row>
    <row r="64" spans="1:25">
      <c r="A64" s="267"/>
      <c r="B64" s="267"/>
      <c r="J64"/>
    </row>
    <row r="65" spans="1:12">
      <c r="A65" s="267"/>
      <c r="B65" s="267"/>
      <c r="J65"/>
    </row>
    <row r="66" spans="1:12">
      <c r="A66" s="267"/>
      <c r="B66" s="267"/>
      <c r="J66"/>
    </row>
    <row r="67" spans="1:12">
      <c r="A67" s="267"/>
      <c r="B67" s="267"/>
      <c r="J67"/>
    </row>
    <row r="68" spans="1:12">
      <c r="A68" s="267"/>
      <c r="B68" s="267"/>
      <c r="J68"/>
    </row>
    <row r="69" spans="1:12">
      <c r="A69" s="267"/>
      <c r="B69" s="267"/>
      <c r="J69"/>
    </row>
    <row r="70" spans="1:12">
      <c r="A70" s="267"/>
      <c r="B70" s="267"/>
      <c r="J70"/>
    </row>
    <row r="71" spans="1:12">
      <c r="A71" s="267"/>
      <c r="B71" s="267"/>
      <c r="J71"/>
    </row>
    <row r="72" spans="1:12">
      <c r="A72" s="78"/>
      <c r="B72" s="78"/>
      <c r="J72"/>
    </row>
    <row r="73" spans="1:12">
      <c r="A73" s="78"/>
      <c r="B73" s="78"/>
      <c r="J73"/>
    </row>
    <row r="74" spans="1:12" ht="15.75">
      <c r="A74" s="274" t="s">
        <v>106</v>
      </c>
      <c r="B74" s="274"/>
      <c r="D74" s="273" t="s">
        <v>376</v>
      </c>
      <c r="E74" s="273"/>
      <c r="F74" s="273"/>
      <c r="G74" s="273"/>
      <c r="H74" s="273"/>
      <c r="I74" s="273"/>
      <c r="J74" s="273"/>
      <c r="K74" s="273"/>
      <c r="L74" s="271"/>
    </row>
    <row r="75" spans="1:12">
      <c r="B75" s="2"/>
      <c r="J75"/>
    </row>
    <row r="76" spans="1:12">
      <c r="B76" s="2"/>
      <c r="E76"/>
      <c r="F76"/>
      <c r="G76"/>
      <c r="H76"/>
      <c r="I76"/>
      <c r="J76"/>
    </row>
    <row r="77" spans="1:12">
      <c r="B77" s="2"/>
      <c r="E77"/>
      <c r="F77"/>
      <c r="G77"/>
      <c r="H77"/>
      <c r="I77"/>
      <c r="J77"/>
    </row>
    <row r="78" spans="1:12">
      <c r="B78" s="2"/>
    </row>
    <row r="79" spans="1:12">
      <c r="B79" s="2"/>
    </row>
    <row r="80" spans="1:12">
      <c r="B80" s="2"/>
    </row>
    <row r="81" spans="1:10">
      <c r="B81" s="2"/>
    </row>
    <row r="82" spans="1:10">
      <c r="B82" s="2"/>
    </row>
    <row r="83" spans="1:10">
      <c r="B83" s="2"/>
    </row>
    <row r="84" spans="1:10">
      <c r="B84" s="2"/>
    </row>
    <row r="85" spans="1:10">
      <c r="B85" s="2"/>
    </row>
    <row r="86" spans="1:10">
      <c r="B86" s="2"/>
    </row>
    <row r="87" spans="1:10">
      <c r="B87" s="2"/>
    </row>
    <row r="88" spans="1:10">
      <c r="B88" s="2"/>
    </row>
    <row r="89" spans="1:10">
      <c r="B89" s="2"/>
    </row>
    <row r="90" spans="1:10">
      <c r="B90" s="2"/>
    </row>
    <row r="91" spans="1:10">
      <c r="A91" s="78"/>
      <c r="B91" s="78"/>
    </row>
    <row r="92" spans="1:10">
      <c r="A92" s="281" t="s">
        <v>95</v>
      </c>
      <c r="B92" s="282"/>
      <c r="C92" s="282"/>
      <c r="D92" s="282"/>
      <c r="E92" s="282"/>
      <c r="F92" s="282"/>
      <c r="G92" s="282"/>
      <c r="H92" s="282"/>
      <c r="I92" s="282"/>
      <c r="J92" s="282"/>
    </row>
    <row r="102" spans="1:5">
      <c r="A102" s="4" t="s">
        <v>90</v>
      </c>
      <c r="C102" s="277" t="s">
        <v>92</v>
      </c>
      <c r="D102" s="277"/>
      <c r="E102" s="277"/>
    </row>
    <row r="103" spans="1:5">
      <c r="A103" s="6" t="s">
        <v>86</v>
      </c>
      <c r="C103" s="278" t="s">
        <v>93</v>
      </c>
      <c r="D103" s="278"/>
      <c r="E103" s="278"/>
    </row>
    <row r="104" spans="1:5">
      <c r="A104" s="7" t="s">
        <v>89</v>
      </c>
      <c r="C104" s="279" t="s">
        <v>94</v>
      </c>
      <c r="D104" s="279"/>
      <c r="E104" s="279"/>
    </row>
  </sheetData>
  <mergeCells count="44">
    <mergeCell ref="C102:E102"/>
    <mergeCell ref="C103:E103"/>
    <mergeCell ref="C104:E104"/>
    <mergeCell ref="A12:B12"/>
    <mergeCell ref="A1:B1"/>
    <mergeCell ref="A74:B74"/>
    <mergeCell ref="A16:B16"/>
    <mergeCell ref="A92:J92"/>
    <mergeCell ref="I6:J6"/>
    <mergeCell ref="I8:J8"/>
    <mergeCell ref="D16:E16"/>
    <mergeCell ref="F16:G16"/>
    <mergeCell ref="D74:E74"/>
    <mergeCell ref="F74:G74"/>
    <mergeCell ref="A36:B36"/>
    <mergeCell ref="J36:K36"/>
    <mergeCell ref="X16:Y16"/>
    <mergeCell ref="N36:O36"/>
    <mergeCell ref="P36:Q36"/>
    <mergeCell ref="R36:S36"/>
    <mergeCell ref="C1:M1"/>
    <mergeCell ref="K5:L5"/>
    <mergeCell ref="N16:O16"/>
    <mergeCell ref="P16:Q16"/>
    <mergeCell ref="R16:S16"/>
    <mergeCell ref="T16:U16"/>
    <mergeCell ref="V16:W16"/>
    <mergeCell ref="H16:I16"/>
    <mergeCell ref="J16:K16"/>
    <mergeCell ref="D36:E36"/>
    <mergeCell ref="F36:G36"/>
    <mergeCell ref="H36:I36"/>
    <mergeCell ref="A56:B56"/>
    <mergeCell ref="H74:I74"/>
    <mergeCell ref="J74:K74"/>
    <mergeCell ref="T36:U36"/>
    <mergeCell ref="V36:W36"/>
    <mergeCell ref="X36:Y36"/>
    <mergeCell ref="N56:O56"/>
    <mergeCell ref="P56:Q56"/>
    <mergeCell ref="R56:S56"/>
    <mergeCell ref="T56:U56"/>
    <mergeCell ref="V56:W56"/>
    <mergeCell ref="X56:Y56"/>
  </mergeCells>
  <conditionalFormatting sqref="K6:L6">
    <cfRule type="dataBar" priority="3">
      <dataBar>
        <cfvo type="min"/>
        <cfvo type="num" val="1"/>
        <color rgb="FFFF0000"/>
      </dataBar>
      <extLst>
        <ext xmlns:x14="http://schemas.microsoft.com/office/spreadsheetml/2009/9/main" uri="{B025F937-C7B1-47D3-B67F-A62EFF666E3E}">
          <x14:id>{7F8777E6-534C-4D31-907C-2BBD50CE4320}</x14:id>
        </ext>
      </extLst>
    </cfRule>
  </conditionalFormatting>
  <conditionalFormatting sqref="K8:L8">
    <cfRule type="dataBar" priority="2">
      <dataBar>
        <cfvo type="min"/>
        <cfvo type="num" val="1"/>
        <color rgb="FF00B050"/>
      </dataBar>
      <extLst>
        <ext xmlns:x14="http://schemas.microsoft.com/office/spreadsheetml/2009/9/main" uri="{B025F937-C7B1-47D3-B67F-A62EFF666E3E}">
          <x14:id>{F742FF4B-F066-472D-BEF6-96B2E6E9AEEA}</x14:id>
        </ext>
      </extLst>
    </cfRule>
  </conditionalFormatting>
  <conditionalFormatting sqref="K7">
    <cfRule type="dataBar" priority="1">
      <dataBar>
        <cfvo type="min"/>
        <cfvo type="num" val="1"/>
        <color rgb="FFFF0000"/>
      </dataBar>
      <extLst>
        <ext xmlns:x14="http://schemas.microsoft.com/office/spreadsheetml/2009/9/main" uri="{B025F937-C7B1-47D3-B67F-A62EFF666E3E}">
          <x14:id>{49351161-47A0-46A1-A074-ECA749E7B241}</x14:id>
        </ext>
      </extLst>
    </cfRule>
  </conditionalFormatting>
  <pageMargins left="0.70866141732283472" right="0.70866141732283472" top="0.74803149606299213" bottom="0.74803149606299213" header="0.31496062992125984" footer="0.31496062992125984"/>
  <pageSetup paperSize="9" scale="56" orientation="landscape" r:id="rId1"/>
  <headerFooter>
    <oddHeader xml:space="preserve">&amp;C
</oddHeader>
  </headerFooter>
  <ignoredErrors>
    <ignoredError sqref="B5:B6 B3:B4 B8 B11 K6:L6"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dataBar" id="{7F8777E6-534C-4D31-907C-2BBD50CE4320}">
            <x14:dataBar minLength="0" maxLength="100" gradient="0">
              <x14:cfvo type="autoMin"/>
              <x14:cfvo type="num">
                <xm:f>1</xm:f>
              </x14:cfvo>
              <x14:negativeFillColor rgb="FFFF0000"/>
              <x14:axisColor rgb="FF000000"/>
            </x14:dataBar>
          </x14:cfRule>
          <xm:sqref>K6:L6</xm:sqref>
        </x14:conditionalFormatting>
        <x14:conditionalFormatting xmlns:xm="http://schemas.microsoft.com/office/excel/2006/main">
          <x14:cfRule type="dataBar" id="{F742FF4B-F066-472D-BEF6-96B2E6E9AEEA}">
            <x14:dataBar minLength="0" maxLength="100" gradient="0">
              <x14:cfvo type="autoMin"/>
              <x14:cfvo type="num">
                <xm:f>1</xm:f>
              </x14:cfvo>
              <x14:negativeFillColor rgb="FFFF0000"/>
              <x14:axisColor rgb="FF000000"/>
            </x14:dataBar>
          </x14:cfRule>
          <xm:sqref>K8:L8</xm:sqref>
        </x14:conditionalFormatting>
        <x14:conditionalFormatting xmlns:xm="http://schemas.microsoft.com/office/excel/2006/main">
          <x14:cfRule type="dataBar" id="{49351161-47A0-46A1-A074-ECA749E7B241}">
            <x14:dataBar minLength="0" maxLength="100" gradient="0">
              <x14:cfvo type="autoMin"/>
              <x14:cfvo type="num">
                <xm:f>1</xm:f>
              </x14:cfvo>
              <x14:negativeFillColor rgb="FFFF0000"/>
              <x14:axisColor rgb="FF000000"/>
            </x14:dataBar>
          </x14:cfRule>
          <xm:sqref>K7</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topLeftCell="A85" workbookViewId="0">
      <selection sqref="A1:XFD1048576"/>
    </sheetView>
  </sheetViews>
  <sheetFormatPr defaultRowHeight="15"/>
  <cols>
    <col min="1" max="1" width="27.7109375" style="174" bestFit="1" customWidth="1"/>
    <col min="2" max="11" width="13.5703125" style="174" bestFit="1" customWidth="1"/>
    <col min="12" max="16384" width="9.140625" style="174"/>
  </cols>
  <sheetData>
    <row r="1" spans="1:11" s="173" customFormat="1">
      <c r="A1" s="173" t="s">
        <v>303</v>
      </c>
      <c r="B1" s="173" t="s">
        <v>467</v>
      </c>
      <c r="E1" s="330" t="str">
        <f>IF(B2&lt;&gt;B3, "A NEW VERSION OF THE WORKSHEET IS AVAILABLE", "")</f>
        <v/>
      </c>
      <c r="F1" s="330"/>
      <c r="G1" s="330"/>
      <c r="H1" s="330"/>
      <c r="I1" s="330"/>
      <c r="J1" s="330"/>
      <c r="K1" s="330"/>
    </row>
    <row r="2" spans="1:11">
      <c r="A2" s="173" t="s">
        <v>304</v>
      </c>
      <c r="B2" s="174">
        <v>2.1</v>
      </c>
      <c r="E2" s="331" t="s">
        <v>305</v>
      </c>
      <c r="F2" s="331"/>
      <c r="G2" s="331"/>
      <c r="H2" s="331"/>
      <c r="I2" s="331"/>
      <c r="J2" s="331"/>
      <c r="K2" s="331"/>
    </row>
    <row r="3" spans="1:11">
      <c r="A3" s="173" t="s">
        <v>306</v>
      </c>
      <c r="B3" s="174">
        <v>2.1</v>
      </c>
    </row>
    <row r="4" spans="1:11">
      <c r="A4" s="173"/>
    </row>
    <row r="5" spans="1:11">
      <c r="A5" s="173" t="s">
        <v>307</v>
      </c>
    </row>
    <row r="6" spans="1:11">
      <c r="A6" s="174" t="s">
        <v>308</v>
      </c>
      <c r="B6" s="174">
        <f>IF(B9&gt;0, B9/B8, 0)</f>
        <v>9.7423360107095043</v>
      </c>
    </row>
    <row r="7" spans="1:11">
      <c r="A7" s="174" t="s">
        <v>309</v>
      </c>
      <c r="B7">
        <v>10</v>
      </c>
    </row>
    <row r="8" spans="1:11">
      <c r="A8" s="174" t="s">
        <v>310</v>
      </c>
      <c r="B8">
        <v>298.8</v>
      </c>
    </row>
    <row r="9" spans="1:11">
      <c r="A9" s="174" t="s">
        <v>311</v>
      </c>
      <c r="B9">
        <v>2911.01</v>
      </c>
    </row>
    <row r="15" spans="1:11">
      <c r="A15" s="173" t="s">
        <v>312</v>
      </c>
    </row>
    <row r="16" spans="1:11" s="177" customFormat="1">
      <c r="A16" s="175" t="s">
        <v>313</v>
      </c>
      <c r="B16" s="176">
        <v>39538</v>
      </c>
      <c r="C16" s="176">
        <v>39903</v>
      </c>
      <c r="D16" s="176">
        <v>40268</v>
      </c>
      <c r="E16" s="176">
        <v>40633</v>
      </c>
      <c r="F16" s="176">
        <v>40999</v>
      </c>
      <c r="G16" s="176">
        <v>41364</v>
      </c>
      <c r="H16" s="176">
        <v>41729</v>
      </c>
      <c r="I16" s="176">
        <v>42094</v>
      </c>
      <c r="J16" s="176">
        <v>42460</v>
      </c>
      <c r="K16" s="176">
        <v>42825</v>
      </c>
    </row>
    <row r="17" spans="1:11" s="178" customFormat="1">
      <c r="A17" s="178" t="s">
        <v>239</v>
      </c>
      <c r="B17">
        <v>1050.99</v>
      </c>
      <c r="C17">
        <v>1214.82</v>
      </c>
      <c r="D17">
        <v>1191.58</v>
      </c>
      <c r="E17">
        <v>1498.17</v>
      </c>
      <c r="F17">
        <v>1896.73</v>
      </c>
      <c r="G17">
        <v>2124.9499999999998</v>
      </c>
      <c r="H17">
        <v>2224.21</v>
      </c>
      <c r="I17">
        <v>2373.61</v>
      </c>
      <c r="J17">
        <v>2532.19</v>
      </c>
      <c r="K17">
        <v>2780.7</v>
      </c>
    </row>
    <row r="18" spans="1:11" s="178" customFormat="1">
      <c r="A18" s="174" t="s">
        <v>314</v>
      </c>
      <c r="B18">
        <v>470.89</v>
      </c>
      <c r="C18">
        <v>434.48</v>
      </c>
      <c r="D18">
        <v>412.41</v>
      </c>
      <c r="E18">
        <v>612.16999999999996</v>
      </c>
      <c r="F18">
        <v>862.76</v>
      </c>
      <c r="G18">
        <v>852.2</v>
      </c>
      <c r="H18">
        <v>921.95</v>
      </c>
      <c r="I18">
        <v>966.07</v>
      </c>
      <c r="J18">
        <v>969.76</v>
      </c>
      <c r="K18">
        <v>1161.6600000000001</v>
      </c>
    </row>
    <row r="19" spans="1:11" s="178" customFormat="1">
      <c r="A19" s="174" t="s">
        <v>315</v>
      </c>
      <c r="B19">
        <v>49.09</v>
      </c>
      <c r="C19">
        <v>-19.12</v>
      </c>
      <c r="D19">
        <v>-11.41</v>
      </c>
      <c r="E19">
        <v>25.15</v>
      </c>
      <c r="F19">
        <v>24.35</v>
      </c>
      <c r="G19">
        <v>-5.58</v>
      </c>
      <c r="H19">
        <v>10.130000000000001</v>
      </c>
      <c r="I19">
        <v>12.77</v>
      </c>
      <c r="J19">
        <v>5.33</v>
      </c>
      <c r="K19">
        <v>43.53</v>
      </c>
    </row>
    <row r="20" spans="1:11" s="178" customFormat="1">
      <c r="A20" s="174" t="s">
        <v>316</v>
      </c>
      <c r="B20">
        <v>161.69999999999999</v>
      </c>
      <c r="C20">
        <v>209.15</v>
      </c>
      <c r="D20">
        <v>186.87</v>
      </c>
      <c r="E20">
        <v>227.91</v>
      </c>
      <c r="F20">
        <v>258.95999999999998</v>
      </c>
      <c r="G20">
        <v>340.69</v>
      </c>
      <c r="H20">
        <v>385.38</v>
      </c>
      <c r="I20">
        <v>389.57</v>
      </c>
      <c r="J20">
        <v>355.89</v>
      </c>
      <c r="K20">
        <v>306.52</v>
      </c>
    </row>
    <row r="21" spans="1:11" s="178" customFormat="1">
      <c r="A21" s="174" t="s">
        <v>317</v>
      </c>
      <c r="B21">
        <v>93.21</v>
      </c>
      <c r="C21">
        <v>87.38</v>
      </c>
      <c r="D21">
        <v>104.73</v>
      </c>
      <c r="E21">
        <v>135.22999999999999</v>
      </c>
      <c r="F21">
        <v>128.16</v>
      </c>
      <c r="G21">
        <v>139.06</v>
      </c>
      <c r="H21">
        <v>151.26</v>
      </c>
      <c r="I21">
        <v>164.69</v>
      </c>
      <c r="J21">
        <v>202.7</v>
      </c>
      <c r="K21">
        <v>222.59</v>
      </c>
    </row>
    <row r="22" spans="1:11" s="178" customFormat="1">
      <c r="A22" s="174" t="s">
        <v>22</v>
      </c>
      <c r="B22">
        <v>61.22</v>
      </c>
      <c r="C22">
        <v>75.81</v>
      </c>
      <c r="D22">
        <v>75.39</v>
      </c>
      <c r="E22">
        <v>91.58</v>
      </c>
      <c r="F22">
        <v>96.35</v>
      </c>
      <c r="G22">
        <v>107.95</v>
      </c>
      <c r="H22">
        <v>118.91</v>
      </c>
      <c r="I22">
        <v>122.47</v>
      </c>
      <c r="J22">
        <v>133.24</v>
      </c>
      <c r="K22">
        <v>158.13</v>
      </c>
    </row>
    <row r="23" spans="1:11" s="178" customFormat="1">
      <c r="A23" s="174" t="s">
        <v>318</v>
      </c>
      <c r="B23">
        <v>90.31</v>
      </c>
      <c r="C23">
        <v>102.38</v>
      </c>
      <c r="D23">
        <v>123.76</v>
      </c>
      <c r="E23">
        <v>108.05</v>
      </c>
      <c r="F23">
        <v>176.55</v>
      </c>
      <c r="G23">
        <v>184.57</v>
      </c>
      <c r="H23">
        <v>185.98</v>
      </c>
      <c r="I23">
        <v>206.5</v>
      </c>
      <c r="J23">
        <v>233.11</v>
      </c>
      <c r="K23">
        <v>242.8</v>
      </c>
    </row>
    <row r="24" spans="1:11" s="178" customFormat="1">
      <c r="A24" s="174" t="s">
        <v>319</v>
      </c>
      <c r="B24">
        <v>-8.7799999999999994</v>
      </c>
      <c r="C24">
        <v>8.65</v>
      </c>
      <c r="D24">
        <v>-14.45</v>
      </c>
      <c r="E24">
        <v>196.69</v>
      </c>
      <c r="F24">
        <v>23.47</v>
      </c>
      <c r="G24">
        <v>117.89</v>
      </c>
      <c r="H24">
        <v>73.510000000000005</v>
      </c>
      <c r="I24">
        <v>42.11</v>
      </c>
      <c r="J24">
        <v>28.03</v>
      </c>
      <c r="K24">
        <v>21.92</v>
      </c>
    </row>
    <row r="25" spans="1:11" s="178" customFormat="1">
      <c r="A25" s="178" t="s">
        <v>19</v>
      </c>
      <c r="B25">
        <v>48.19</v>
      </c>
      <c r="C25">
        <v>8.08</v>
      </c>
      <c r="D25">
        <v>12.1</v>
      </c>
      <c r="E25">
        <v>199.29</v>
      </c>
      <c r="F25">
        <v>11.26</v>
      </c>
      <c r="G25">
        <v>5.56</v>
      </c>
      <c r="H25">
        <v>6.03</v>
      </c>
      <c r="I25">
        <v>12.13</v>
      </c>
      <c r="J25">
        <v>7.47</v>
      </c>
      <c r="K25">
        <v>10.78</v>
      </c>
    </row>
    <row r="26" spans="1:11" s="178" customFormat="1">
      <c r="A26" s="178" t="s">
        <v>25</v>
      </c>
      <c r="B26">
        <v>64.42</v>
      </c>
      <c r="C26">
        <v>69.61</v>
      </c>
      <c r="D26">
        <v>76.11</v>
      </c>
      <c r="E26">
        <v>84.4</v>
      </c>
      <c r="F26">
        <v>80.849999999999994</v>
      </c>
      <c r="G26">
        <v>81.97</v>
      </c>
      <c r="H26">
        <v>81.569999999999993</v>
      </c>
      <c r="I26">
        <v>84.45</v>
      </c>
      <c r="J26">
        <v>81.739999999999995</v>
      </c>
      <c r="K26">
        <v>85.69</v>
      </c>
    </row>
    <row r="27" spans="1:11" s="178" customFormat="1">
      <c r="A27" s="178" t="s">
        <v>24</v>
      </c>
      <c r="B27">
        <v>64.03</v>
      </c>
      <c r="C27">
        <v>90.23</v>
      </c>
      <c r="D27">
        <v>106.04</v>
      </c>
      <c r="E27">
        <v>111.67</v>
      </c>
      <c r="F27">
        <v>186.59</v>
      </c>
      <c r="G27">
        <v>160.54</v>
      </c>
      <c r="H27">
        <v>171.56</v>
      </c>
      <c r="I27">
        <v>164.71</v>
      </c>
      <c r="J27">
        <v>162.82</v>
      </c>
      <c r="K27">
        <v>133.77000000000001</v>
      </c>
    </row>
    <row r="28" spans="1:11" s="178" customFormat="1">
      <c r="A28" s="178" t="s">
        <v>320</v>
      </c>
      <c r="B28">
        <v>151.27000000000001</v>
      </c>
      <c r="C28">
        <v>126.09</v>
      </c>
      <c r="D28">
        <v>121.41</v>
      </c>
      <c r="E28">
        <v>154.91</v>
      </c>
      <c r="F28">
        <v>118.65</v>
      </c>
      <c r="G28">
        <v>140.05000000000001</v>
      </c>
      <c r="H28">
        <v>150.25</v>
      </c>
      <c r="I28">
        <v>257.94</v>
      </c>
      <c r="J28">
        <v>377.7</v>
      </c>
      <c r="K28">
        <v>501.93</v>
      </c>
    </row>
    <row r="29" spans="1:11" s="178" customFormat="1">
      <c r="A29" s="178" t="s">
        <v>26</v>
      </c>
      <c r="B29">
        <v>49.69</v>
      </c>
      <c r="C29">
        <v>19.62</v>
      </c>
      <c r="D29">
        <v>-19.54</v>
      </c>
      <c r="E29">
        <v>38.58</v>
      </c>
      <c r="F29">
        <v>1.17</v>
      </c>
      <c r="G29">
        <v>25.12</v>
      </c>
      <c r="H29">
        <v>33.97</v>
      </c>
      <c r="I29">
        <v>74.92</v>
      </c>
      <c r="J29">
        <v>121.07</v>
      </c>
      <c r="K29">
        <v>115.16</v>
      </c>
    </row>
    <row r="30" spans="1:11" s="178" customFormat="1">
      <c r="A30" s="178" t="s">
        <v>321</v>
      </c>
      <c r="B30">
        <v>101.58</v>
      </c>
      <c r="C30">
        <v>106.47</v>
      </c>
      <c r="D30">
        <v>140.94999999999999</v>
      </c>
      <c r="E30">
        <v>116.33</v>
      </c>
      <c r="F30">
        <v>117.48</v>
      </c>
      <c r="G30">
        <v>114.93</v>
      </c>
      <c r="H30">
        <v>116.29</v>
      </c>
      <c r="I30">
        <v>183.02</v>
      </c>
      <c r="J30">
        <v>256.63</v>
      </c>
      <c r="K30">
        <v>386.77</v>
      </c>
    </row>
    <row r="31" spans="1:11" s="178" customFormat="1">
      <c r="A31" s="178" t="s">
        <v>322</v>
      </c>
      <c r="B31">
        <v>24.01</v>
      </c>
      <c r="C31">
        <v>20</v>
      </c>
      <c r="D31">
        <v>20</v>
      </c>
      <c r="E31">
        <v>20</v>
      </c>
      <c r="F31">
        <v>20</v>
      </c>
      <c r="G31">
        <v>20</v>
      </c>
      <c r="H31">
        <v>20</v>
      </c>
      <c r="I31">
        <v>22</v>
      </c>
      <c r="J31">
        <v>22</v>
      </c>
      <c r="K31">
        <v>50.02</v>
      </c>
    </row>
    <row r="32" spans="1:11" s="178" customFormat="1"/>
    <row r="33" spans="1:11">
      <c r="A33" s="178"/>
    </row>
    <row r="34" spans="1:11">
      <c r="A34" s="178"/>
    </row>
    <row r="35" spans="1:11">
      <c r="A35" s="178"/>
    </row>
    <row r="36" spans="1:11">
      <c r="A36" s="178"/>
    </row>
    <row r="37" spans="1:11">
      <c r="A37" s="178"/>
    </row>
    <row r="38" spans="1:11">
      <c r="A38" s="178"/>
    </row>
    <row r="39" spans="1:11">
      <c r="A39" s="178"/>
    </row>
    <row r="40" spans="1:11">
      <c r="A40" s="173" t="s">
        <v>323</v>
      </c>
    </row>
    <row r="41" spans="1:11" s="177" customFormat="1">
      <c r="A41" s="175" t="s">
        <v>313</v>
      </c>
      <c r="B41" s="176">
        <v>42277</v>
      </c>
      <c r="C41" s="176">
        <v>42369</v>
      </c>
      <c r="D41" s="176">
        <v>42460</v>
      </c>
      <c r="E41" s="176">
        <v>42551</v>
      </c>
      <c r="F41" s="176">
        <v>42643</v>
      </c>
      <c r="G41" s="176">
        <v>42735</v>
      </c>
      <c r="H41" s="176">
        <v>42825</v>
      </c>
      <c r="I41" s="176">
        <v>42916</v>
      </c>
      <c r="J41" s="176">
        <v>43008</v>
      </c>
      <c r="K41" s="176">
        <v>43100</v>
      </c>
    </row>
    <row r="42" spans="1:11" s="178" customFormat="1">
      <c r="A42" s="178" t="s">
        <v>239</v>
      </c>
      <c r="B42">
        <v>647.76</v>
      </c>
      <c r="C42">
        <v>659.04</v>
      </c>
      <c r="D42">
        <v>642.51</v>
      </c>
      <c r="E42">
        <v>684.82</v>
      </c>
      <c r="F42">
        <v>658.85</v>
      </c>
      <c r="G42">
        <v>616.75</v>
      </c>
      <c r="H42">
        <v>824.4</v>
      </c>
      <c r="I42">
        <v>750.39</v>
      </c>
      <c r="J42">
        <v>714.3</v>
      </c>
      <c r="K42">
        <v>717.85</v>
      </c>
    </row>
    <row r="43" spans="1:11" s="178" customFormat="1">
      <c r="A43" s="178" t="s">
        <v>324</v>
      </c>
      <c r="B43">
        <v>501.59</v>
      </c>
      <c r="C43">
        <v>503.99</v>
      </c>
      <c r="D43">
        <v>467.98</v>
      </c>
      <c r="E43">
        <v>491.48</v>
      </c>
      <c r="F43">
        <v>483.17</v>
      </c>
      <c r="G43">
        <v>455.39</v>
      </c>
      <c r="H43">
        <v>641.38</v>
      </c>
      <c r="I43">
        <v>586.34</v>
      </c>
      <c r="J43">
        <v>578.51</v>
      </c>
      <c r="K43">
        <v>579.67999999999995</v>
      </c>
    </row>
    <row r="44" spans="1:11" s="178" customFormat="1">
      <c r="A44" s="178" t="s">
        <v>19</v>
      </c>
      <c r="B44">
        <v>3.96</v>
      </c>
      <c r="C44">
        <v>3</v>
      </c>
      <c r="D44">
        <v>0.2</v>
      </c>
      <c r="E44">
        <v>3.08</v>
      </c>
      <c r="F44">
        <v>1.67</v>
      </c>
      <c r="G44">
        <v>1.64</v>
      </c>
      <c r="H44">
        <v>1.58</v>
      </c>
      <c r="I44">
        <v>2.87</v>
      </c>
      <c r="J44">
        <v>3.08</v>
      </c>
      <c r="K44">
        <v>20.28</v>
      </c>
    </row>
    <row r="45" spans="1:11" s="178" customFormat="1">
      <c r="A45" s="178" t="s">
        <v>25</v>
      </c>
      <c r="B45">
        <v>20.010000000000002</v>
      </c>
      <c r="C45">
        <v>20.2</v>
      </c>
      <c r="D45">
        <v>21.36</v>
      </c>
      <c r="E45">
        <v>21.21</v>
      </c>
      <c r="F45">
        <v>22.02</v>
      </c>
      <c r="G45">
        <v>21.91</v>
      </c>
      <c r="H45">
        <v>20.55</v>
      </c>
      <c r="I45">
        <v>25.15</v>
      </c>
      <c r="J45">
        <v>25.04</v>
      </c>
      <c r="K45">
        <v>25.37</v>
      </c>
    </row>
    <row r="46" spans="1:11" s="178" customFormat="1">
      <c r="A46" s="178" t="s">
        <v>24</v>
      </c>
      <c r="B46">
        <v>44.03</v>
      </c>
      <c r="C46">
        <v>37.78</v>
      </c>
      <c r="D46">
        <v>37.46</v>
      </c>
      <c r="E46">
        <v>34.729999999999997</v>
      </c>
      <c r="F46">
        <v>33.340000000000003</v>
      </c>
      <c r="G46">
        <v>31.77</v>
      </c>
      <c r="H46">
        <v>33.92</v>
      </c>
      <c r="I46">
        <v>30.64</v>
      </c>
      <c r="J46">
        <v>34.69</v>
      </c>
      <c r="K46">
        <v>28.12</v>
      </c>
    </row>
    <row r="47" spans="1:11" s="178" customFormat="1">
      <c r="A47" s="178" t="s">
        <v>320</v>
      </c>
      <c r="B47">
        <v>86.09</v>
      </c>
      <c r="C47">
        <v>100.07</v>
      </c>
      <c r="D47">
        <v>115.91</v>
      </c>
      <c r="E47">
        <v>140.47999999999999</v>
      </c>
      <c r="F47">
        <v>121.99</v>
      </c>
      <c r="G47">
        <v>109.32</v>
      </c>
      <c r="H47">
        <v>130.13</v>
      </c>
      <c r="I47">
        <v>111.13</v>
      </c>
      <c r="J47">
        <v>79.14</v>
      </c>
      <c r="K47">
        <v>104.96</v>
      </c>
    </row>
    <row r="48" spans="1:11" s="178" customFormat="1">
      <c r="A48" s="178" t="s">
        <v>26</v>
      </c>
      <c r="B48">
        <v>35.68</v>
      </c>
      <c r="C48">
        <v>33.58</v>
      </c>
      <c r="D48">
        <v>37.799999999999997</v>
      </c>
      <c r="E48">
        <v>37.65</v>
      </c>
      <c r="F48">
        <v>31.71</v>
      </c>
      <c r="G48">
        <v>28.78</v>
      </c>
      <c r="H48">
        <v>17.02</v>
      </c>
      <c r="I48">
        <v>-46.73</v>
      </c>
      <c r="J48">
        <v>25.82</v>
      </c>
      <c r="K48">
        <v>33.79</v>
      </c>
    </row>
    <row r="49" spans="1:11" s="178" customFormat="1">
      <c r="A49" s="178" t="s">
        <v>321</v>
      </c>
      <c r="B49">
        <v>50.41</v>
      </c>
      <c r="C49">
        <v>66.489999999999995</v>
      </c>
      <c r="D49">
        <v>78.11</v>
      </c>
      <c r="E49">
        <v>102.83</v>
      </c>
      <c r="F49">
        <v>90.28</v>
      </c>
      <c r="G49">
        <v>80.540000000000006</v>
      </c>
      <c r="H49">
        <v>113.11</v>
      </c>
      <c r="I49">
        <v>157.86000000000001</v>
      </c>
      <c r="J49">
        <v>53.32</v>
      </c>
      <c r="K49">
        <v>71.17</v>
      </c>
    </row>
    <row r="50" spans="1:11">
      <c r="A50" s="178" t="s">
        <v>23</v>
      </c>
      <c r="B50">
        <v>146.16999999999999</v>
      </c>
      <c r="C50">
        <v>155.05000000000001</v>
      </c>
      <c r="D50">
        <v>174.53</v>
      </c>
      <c r="E50">
        <v>193.34</v>
      </c>
      <c r="F50">
        <v>175.68</v>
      </c>
      <c r="G50">
        <v>161.36000000000001</v>
      </c>
      <c r="H50">
        <v>183.02</v>
      </c>
      <c r="I50">
        <v>164.05</v>
      </c>
      <c r="J50">
        <v>135.79</v>
      </c>
      <c r="K50">
        <v>138.16999999999999</v>
      </c>
    </row>
    <row r="51" spans="1:11">
      <c r="A51" s="178"/>
    </row>
    <row r="52" spans="1:11">
      <c r="A52" s="178"/>
    </row>
    <row r="53" spans="1:11">
      <c r="A53" s="178"/>
    </row>
    <row r="54" spans="1:11">
      <c r="A54" s="178"/>
    </row>
    <row r="55" spans="1:11">
      <c r="A55" s="173" t="s">
        <v>325</v>
      </c>
    </row>
    <row r="56" spans="1:11" s="177" customFormat="1">
      <c r="A56" s="175" t="s">
        <v>313</v>
      </c>
      <c r="B56" s="176">
        <v>39538</v>
      </c>
      <c r="C56" s="176">
        <v>39903</v>
      </c>
      <c r="D56" s="176">
        <v>40268</v>
      </c>
      <c r="E56" s="176">
        <v>40633</v>
      </c>
      <c r="F56" s="176">
        <v>40999</v>
      </c>
      <c r="G56" s="176">
        <v>41364</v>
      </c>
      <c r="H56" s="176">
        <v>41729</v>
      </c>
      <c r="I56" s="176">
        <v>42094</v>
      </c>
      <c r="J56" s="176">
        <v>42460</v>
      </c>
      <c r="K56" s="176">
        <v>42825</v>
      </c>
    </row>
    <row r="57" spans="1:11">
      <c r="A57" s="178" t="s">
        <v>7</v>
      </c>
      <c r="B57">
        <v>100.02</v>
      </c>
      <c r="C57">
        <v>100.02</v>
      </c>
      <c r="D57">
        <v>100.02</v>
      </c>
      <c r="E57">
        <v>100.02</v>
      </c>
      <c r="F57">
        <v>100.02</v>
      </c>
      <c r="G57">
        <v>100.02</v>
      </c>
      <c r="H57">
        <v>100.02</v>
      </c>
      <c r="I57">
        <v>100.02</v>
      </c>
      <c r="J57">
        <v>100.02</v>
      </c>
      <c r="K57">
        <v>99.47</v>
      </c>
    </row>
    <row r="58" spans="1:11">
      <c r="A58" s="178" t="s">
        <v>8</v>
      </c>
      <c r="B58">
        <v>402.52</v>
      </c>
      <c r="C58">
        <v>1114.01</v>
      </c>
      <c r="D58">
        <v>1084.83</v>
      </c>
      <c r="E58">
        <v>919.47</v>
      </c>
      <c r="F58">
        <v>861.55</v>
      </c>
      <c r="G58">
        <v>967.45</v>
      </c>
      <c r="H58">
        <v>759.78</v>
      </c>
      <c r="I58">
        <v>669.71</v>
      </c>
      <c r="J58">
        <v>933.26</v>
      </c>
      <c r="K58">
        <v>1251.8499999999999</v>
      </c>
    </row>
    <row r="59" spans="1:11">
      <c r="A59" s="178" t="s">
        <v>274</v>
      </c>
      <c r="B59">
        <v>1163.6400000000001</v>
      </c>
      <c r="C59">
        <v>1334.3</v>
      </c>
      <c r="D59">
        <v>1319.6</v>
      </c>
      <c r="E59">
        <v>1396.63</v>
      </c>
      <c r="F59">
        <v>1265.7</v>
      </c>
      <c r="G59">
        <v>1174.67</v>
      </c>
      <c r="H59">
        <v>1309.3</v>
      </c>
      <c r="I59">
        <v>1323.54</v>
      </c>
      <c r="J59">
        <v>1325.19</v>
      </c>
      <c r="K59">
        <v>1430.69</v>
      </c>
    </row>
    <row r="60" spans="1:11">
      <c r="A60" s="178" t="s">
        <v>275</v>
      </c>
      <c r="B60">
        <v>360.2</v>
      </c>
      <c r="C60">
        <v>447.36</v>
      </c>
      <c r="D60">
        <v>437.21</v>
      </c>
      <c r="E60">
        <v>518.61</v>
      </c>
      <c r="F60">
        <v>554.09</v>
      </c>
      <c r="G60">
        <v>661.79</v>
      </c>
      <c r="H60">
        <v>715.66</v>
      </c>
      <c r="I60">
        <v>706.35</v>
      </c>
      <c r="J60">
        <v>562.49</v>
      </c>
      <c r="K60">
        <v>696.12</v>
      </c>
    </row>
    <row r="61" spans="1:11" s="173" customFormat="1">
      <c r="A61" s="173" t="s">
        <v>326</v>
      </c>
      <c r="B61">
        <v>2026.38</v>
      </c>
      <c r="C61">
        <v>2995.69</v>
      </c>
      <c r="D61">
        <v>2941.66</v>
      </c>
      <c r="E61">
        <v>2934.73</v>
      </c>
      <c r="F61">
        <v>2781.36</v>
      </c>
      <c r="G61">
        <v>2903.93</v>
      </c>
      <c r="H61">
        <v>2884.76</v>
      </c>
      <c r="I61">
        <v>2799.62</v>
      </c>
      <c r="J61">
        <v>2920.96</v>
      </c>
      <c r="K61">
        <v>3478.13</v>
      </c>
    </row>
    <row r="62" spans="1:11">
      <c r="A62" s="178" t="s">
        <v>13</v>
      </c>
      <c r="B62">
        <v>978.46</v>
      </c>
      <c r="C62">
        <v>2031.78</v>
      </c>
      <c r="D62">
        <v>2024.08</v>
      </c>
      <c r="E62">
        <v>1950.03</v>
      </c>
      <c r="F62">
        <v>1872.41</v>
      </c>
      <c r="G62">
        <v>1870.76</v>
      </c>
      <c r="H62">
        <v>1867.55</v>
      </c>
      <c r="I62">
        <v>1932.35</v>
      </c>
      <c r="J62">
        <v>2047.5</v>
      </c>
      <c r="K62">
        <v>2399.0500000000002</v>
      </c>
    </row>
    <row r="63" spans="1:11">
      <c r="A63" s="178" t="s">
        <v>14</v>
      </c>
      <c r="B63">
        <v>34.69</v>
      </c>
      <c r="C63">
        <v>30.41</v>
      </c>
      <c r="D63">
        <v>5.69</v>
      </c>
      <c r="E63">
        <v>4.54</v>
      </c>
      <c r="F63">
        <v>15.07</v>
      </c>
      <c r="G63">
        <v>31.56</v>
      </c>
      <c r="H63">
        <v>12.46</v>
      </c>
      <c r="I63">
        <v>7.01</v>
      </c>
      <c r="J63">
        <v>36.89</v>
      </c>
      <c r="K63">
        <v>26</v>
      </c>
    </row>
    <row r="64" spans="1:11">
      <c r="A64" s="178" t="s">
        <v>15</v>
      </c>
      <c r="B64">
        <v>138.82</v>
      </c>
      <c r="C64">
        <v>38.6</v>
      </c>
      <c r="D64">
        <v>59.18</v>
      </c>
      <c r="E64">
        <v>25.03</v>
      </c>
      <c r="F64">
        <v>28.73</v>
      </c>
      <c r="G64">
        <v>5.58</v>
      </c>
      <c r="H64">
        <v>7.58</v>
      </c>
      <c r="I64">
        <v>1.59</v>
      </c>
      <c r="J64">
        <v>6.09</v>
      </c>
      <c r="K64">
        <v>8.82</v>
      </c>
    </row>
    <row r="65" spans="1:11">
      <c r="A65" s="178" t="s">
        <v>327</v>
      </c>
      <c r="B65">
        <v>874.41</v>
      </c>
      <c r="C65">
        <v>894.9</v>
      </c>
      <c r="D65">
        <v>852.71</v>
      </c>
      <c r="E65">
        <v>955.13</v>
      </c>
      <c r="F65">
        <v>865.15</v>
      </c>
      <c r="G65">
        <v>996.03</v>
      </c>
      <c r="H65">
        <v>997.17</v>
      </c>
      <c r="I65">
        <v>858.67</v>
      </c>
      <c r="J65">
        <v>830.48</v>
      </c>
      <c r="K65">
        <v>1044.26</v>
      </c>
    </row>
    <row r="66" spans="1:11" s="173" customFormat="1">
      <c r="A66" s="173" t="s">
        <v>326</v>
      </c>
      <c r="B66">
        <v>2026.38</v>
      </c>
      <c r="C66">
        <v>2995.69</v>
      </c>
      <c r="D66">
        <v>2941.66</v>
      </c>
      <c r="E66">
        <v>2934.73</v>
      </c>
      <c r="F66">
        <v>2781.36</v>
      </c>
      <c r="G66">
        <v>2903.93</v>
      </c>
      <c r="H66">
        <v>2884.76</v>
      </c>
      <c r="I66">
        <v>2799.62</v>
      </c>
      <c r="J66">
        <v>2920.96</v>
      </c>
      <c r="K66">
        <v>3478.13</v>
      </c>
    </row>
    <row r="67" spans="1:11" s="178" customFormat="1">
      <c r="A67" s="178" t="s">
        <v>328</v>
      </c>
      <c r="B67">
        <v>135.33000000000001</v>
      </c>
      <c r="C67">
        <v>118.74</v>
      </c>
      <c r="D67">
        <v>151.69999999999999</v>
      </c>
      <c r="E67">
        <v>188.02</v>
      </c>
      <c r="F67">
        <v>189.5</v>
      </c>
      <c r="G67">
        <v>241.13</v>
      </c>
      <c r="H67">
        <v>297.87</v>
      </c>
      <c r="I67">
        <v>267.51</v>
      </c>
      <c r="J67">
        <v>246.55</v>
      </c>
      <c r="K67">
        <v>326.85000000000002</v>
      </c>
    </row>
    <row r="68" spans="1:11">
      <c r="A68" s="178" t="s">
        <v>253</v>
      </c>
      <c r="B68">
        <v>260.14999999999998</v>
      </c>
      <c r="C68">
        <v>260.25</v>
      </c>
      <c r="D68">
        <v>310.95999999999998</v>
      </c>
      <c r="E68">
        <v>383.19</v>
      </c>
      <c r="F68">
        <v>324.52</v>
      </c>
      <c r="G68">
        <v>391.07</v>
      </c>
      <c r="H68">
        <v>404.18</v>
      </c>
      <c r="I68">
        <v>417.33</v>
      </c>
      <c r="J68">
        <v>407.63</v>
      </c>
      <c r="K68">
        <v>509.24</v>
      </c>
    </row>
    <row r="69" spans="1:11">
      <c r="A69" s="174" t="s">
        <v>329</v>
      </c>
      <c r="B69">
        <v>23.91</v>
      </c>
      <c r="C69">
        <v>46.95</v>
      </c>
      <c r="D69">
        <v>24.98</v>
      </c>
      <c r="E69">
        <v>31.44</v>
      </c>
      <c r="F69">
        <v>30.11</v>
      </c>
      <c r="G69">
        <v>28.69</v>
      </c>
      <c r="H69">
        <v>39.06</v>
      </c>
      <c r="I69">
        <v>31.99</v>
      </c>
      <c r="J69">
        <v>40.86</v>
      </c>
      <c r="K69">
        <v>31.99</v>
      </c>
    </row>
    <row r="70" spans="1:11">
      <c r="A70" s="174" t="s">
        <v>330</v>
      </c>
      <c r="B70">
        <v>100019286</v>
      </c>
      <c r="C70">
        <v>100019286</v>
      </c>
      <c r="D70">
        <v>100019286</v>
      </c>
      <c r="E70">
        <v>100019286</v>
      </c>
      <c r="F70">
        <v>100019286</v>
      </c>
      <c r="G70">
        <v>100019286</v>
      </c>
      <c r="H70">
        <v>100019286</v>
      </c>
      <c r="I70">
        <v>100019286</v>
      </c>
      <c r="J70">
        <v>100019286</v>
      </c>
      <c r="K70">
        <v>99472736</v>
      </c>
    </row>
    <row r="71" spans="1:11">
      <c r="A71" s="174" t="s">
        <v>331</v>
      </c>
    </row>
    <row r="72" spans="1:11">
      <c r="A72" s="174" t="s">
        <v>2</v>
      </c>
      <c r="B72">
        <v>10</v>
      </c>
      <c r="C72">
        <v>10</v>
      </c>
      <c r="D72">
        <v>10</v>
      </c>
      <c r="E72">
        <v>10</v>
      </c>
      <c r="F72">
        <v>10</v>
      </c>
      <c r="G72">
        <v>10</v>
      </c>
      <c r="H72">
        <v>10</v>
      </c>
      <c r="I72">
        <v>10</v>
      </c>
      <c r="J72">
        <v>10</v>
      </c>
      <c r="K72">
        <v>10</v>
      </c>
    </row>
    <row r="74" spans="1:11">
      <c r="A74" s="178"/>
    </row>
    <row r="75" spans="1:11">
      <c r="A75" s="178"/>
    </row>
    <row r="76" spans="1:11">
      <c r="A76" s="178"/>
    </row>
    <row r="77" spans="1:11">
      <c r="A77" s="178"/>
    </row>
    <row r="78" spans="1:11">
      <c r="A78" s="178"/>
    </row>
    <row r="79" spans="1:11">
      <c r="A79" s="178"/>
    </row>
    <row r="80" spans="1:11">
      <c r="A80" s="173" t="s">
        <v>332</v>
      </c>
    </row>
    <row r="81" spans="1:11" s="177" customFormat="1">
      <c r="A81" s="175" t="s">
        <v>313</v>
      </c>
      <c r="B81" s="176">
        <v>39538</v>
      </c>
      <c r="C81" s="176">
        <v>39903</v>
      </c>
      <c r="D81" s="176">
        <v>40268</v>
      </c>
      <c r="E81" s="176">
        <v>40633</v>
      </c>
      <c r="F81" s="176">
        <v>40999</v>
      </c>
      <c r="G81" s="176">
        <v>41364</v>
      </c>
      <c r="H81" s="176">
        <v>41729</v>
      </c>
      <c r="I81" s="176">
        <v>42094</v>
      </c>
      <c r="J81" s="176">
        <v>42460</v>
      </c>
      <c r="K81" s="176">
        <v>42825</v>
      </c>
    </row>
    <row r="82" spans="1:11" s="173" customFormat="1">
      <c r="A82" s="178" t="s">
        <v>333</v>
      </c>
      <c r="B82">
        <v>159.69999999999999</v>
      </c>
      <c r="C82">
        <v>334.99</v>
      </c>
      <c r="D82">
        <v>191.96</v>
      </c>
      <c r="E82">
        <v>266.17</v>
      </c>
      <c r="F82">
        <v>387.29</v>
      </c>
      <c r="G82">
        <v>462.09</v>
      </c>
      <c r="H82">
        <v>158.43</v>
      </c>
      <c r="I82">
        <v>289.92</v>
      </c>
      <c r="J82">
        <v>493.6</v>
      </c>
      <c r="K82">
        <v>445.15</v>
      </c>
    </row>
    <row r="83" spans="1:11" s="178" customFormat="1">
      <c r="A83" s="178" t="s">
        <v>283</v>
      </c>
      <c r="B83">
        <v>-150.37</v>
      </c>
      <c r="C83">
        <v>-287.02999999999997</v>
      </c>
      <c r="D83">
        <v>-149.37</v>
      </c>
      <c r="E83">
        <v>-13.94</v>
      </c>
      <c r="F83">
        <v>-37.39</v>
      </c>
      <c r="G83">
        <v>-175.39</v>
      </c>
      <c r="H83">
        <v>-83.1</v>
      </c>
      <c r="I83">
        <v>-127.26</v>
      </c>
      <c r="J83">
        <v>-248.88</v>
      </c>
      <c r="K83">
        <v>-374.48</v>
      </c>
    </row>
    <row r="84" spans="1:11" s="178" customFormat="1">
      <c r="A84" s="178" t="s">
        <v>284</v>
      </c>
      <c r="B84">
        <v>-29.82</v>
      </c>
      <c r="C84">
        <v>-24.93</v>
      </c>
      <c r="D84">
        <v>-64.56</v>
      </c>
      <c r="E84">
        <v>-245.76</v>
      </c>
      <c r="F84">
        <v>-351.23</v>
      </c>
      <c r="G84">
        <v>-288.12</v>
      </c>
      <c r="H84">
        <v>-64.959999999999994</v>
      </c>
      <c r="I84">
        <v>-169.73</v>
      </c>
      <c r="J84">
        <v>-235.86</v>
      </c>
      <c r="K84">
        <v>-102.69</v>
      </c>
    </row>
    <row r="85" spans="1:11" s="173" customFormat="1">
      <c r="A85" s="178" t="s">
        <v>334</v>
      </c>
      <c r="B85">
        <v>-20.49</v>
      </c>
      <c r="C85">
        <v>23.03</v>
      </c>
      <c r="D85">
        <v>-21.97</v>
      </c>
      <c r="E85">
        <v>6.47</v>
      </c>
      <c r="F85">
        <v>-1.33</v>
      </c>
      <c r="G85">
        <v>-1.42</v>
      </c>
      <c r="H85">
        <v>10.37</v>
      </c>
      <c r="I85">
        <v>-7.07</v>
      </c>
      <c r="J85">
        <v>8.86</v>
      </c>
      <c r="K85">
        <v>-32.020000000000003</v>
      </c>
    </row>
    <row r="86" spans="1:11">
      <c r="A86" s="178"/>
    </row>
    <row r="87" spans="1:11">
      <c r="A87" s="178"/>
    </row>
    <row r="88" spans="1:11">
      <c r="A88" s="178"/>
    </row>
    <row r="89" spans="1:11">
      <c r="A89" s="178"/>
    </row>
    <row r="90" spans="1:11" s="173" customFormat="1">
      <c r="A90" s="173" t="s">
        <v>335</v>
      </c>
      <c r="B90">
        <v>88.24</v>
      </c>
      <c r="C90">
        <v>31.79</v>
      </c>
      <c r="D90">
        <v>48.16</v>
      </c>
      <c r="E90">
        <v>42.37</v>
      </c>
      <c r="F90">
        <v>36.1</v>
      </c>
      <c r="G90">
        <v>35.380000000000003</v>
      </c>
      <c r="H90">
        <v>37.4</v>
      </c>
      <c r="I90">
        <v>74.319999999999993</v>
      </c>
      <c r="J90">
        <v>127.1</v>
      </c>
      <c r="K90">
        <v>266.13</v>
      </c>
    </row>
    <row r="92" spans="1:11" s="173" customFormat="1">
      <c r="A92" s="173" t="s">
        <v>336</v>
      </c>
    </row>
    <row r="93" spans="1:11">
      <c r="A93" s="174" t="s">
        <v>337</v>
      </c>
      <c r="B93" s="179">
        <f>IF($B7&gt;0,(B70*B72/$B7)+SUM(C71:$K71),0)/10000000</f>
        <v>10.001928599999999</v>
      </c>
      <c r="C93" s="179">
        <f>IF($B7&gt;0,(C70*C72/$B7)+SUM(D71:$K71),0)/10000000</f>
        <v>10.001928599999999</v>
      </c>
      <c r="D93" s="179">
        <f>IF($B7&gt;0,(D70*D72/$B7)+SUM(E71:$K71),0)/10000000</f>
        <v>10.001928599999999</v>
      </c>
      <c r="E93" s="179">
        <f>IF($B7&gt;0,(E70*E72/$B7)+SUM(F71:$K71),0)/10000000</f>
        <v>10.001928599999999</v>
      </c>
      <c r="F93" s="179">
        <f>IF($B7&gt;0,(F70*F72/$B7)+SUM(G71:$K71),0)/10000000</f>
        <v>10.001928599999999</v>
      </c>
      <c r="G93" s="179">
        <f>IF($B7&gt;0,(G70*G72/$B7)+SUM(H71:$K71),0)/10000000</f>
        <v>10.001928599999999</v>
      </c>
      <c r="H93" s="179">
        <f>IF($B7&gt;0,(H70*H72/$B7)+SUM(I71:$K71),0)/10000000</f>
        <v>10.001928599999999</v>
      </c>
      <c r="I93" s="179">
        <f>IF($B7&gt;0,(I70*I72/$B7)+SUM(J71:$K71),0)/10000000</f>
        <v>10.001928599999999</v>
      </c>
      <c r="J93" s="179">
        <f>IF($B7&gt;0,(J70*J72/$B7)+SUM(K71:$K71),0)/10000000</f>
        <v>10.001928599999999</v>
      </c>
      <c r="K93" s="179">
        <f>IF($B7&gt;0,(K70*K72/$B7),0)/10000000</f>
        <v>9.9472736000000008</v>
      </c>
    </row>
  </sheetData>
  <mergeCells count="2">
    <mergeCell ref="E1:K1"/>
    <mergeCell ref="E2:K2"/>
  </mergeCells>
  <conditionalFormatting sqref="E1:K1">
    <cfRule type="cellIs" dxfId="0" priority="1" operator="notEqual">
      <formula>""</formula>
    </cfRule>
  </conditionalFormatting>
  <hyperlinks>
    <hyperlink ref="E1:K1" r:id="rId1" display="https://www.screener.in/excel/"/>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8"/>
  <sheetViews>
    <sheetView showGridLines="0" workbookViewId="0">
      <selection activeCell="D4" sqref="D4"/>
    </sheetView>
  </sheetViews>
  <sheetFormatPr defaultColWidth="9" defaultRowHeight="15"/>
  <cols>
    <col min="1" max="1" width="4.140625" style="195" customWidth="1"/>
    <col min="2" max="2" width="46.42578125" style="194" bestFit="1" customWidth="1"/>
    <col min="3" max="3" width="9" style="194"/>
    <col min="4" max="4" width="46.5703125" style="194" customWidth="1"/>
    <col min="5" max="5" width="86.28515625" style="195" customWidth="1"/>
    <col min="6" max="16384" width="9" style="195"/>
  </cols>
  <sheetData>
    <row r="2" spans="2:5">
      <c r="B2" s="201" t="s">
        <v>0</v>
      </c>
      <c r="C2" s="201"/>
      <c r="D2" s="201" t="str">
        <f>Quantitative!B1</f>
        <v>GHCL LTD</v>
      </c>
    </row>
    <row r="3" spans="2:5">
      <c r="B3" s="197" t="s">
        <v>1</v>
      </c>
      <c r="C3" s="197"/>
      <c r="D3" s="197"/>
    </row>
    <row r="4" spans="2:5">
      <c r="B4" s="197" t="s">
        <v>6</v>
      </c>
      <c r="C4" s="197"/>
      <c r="D4" s="234"/>
    </row>
    <row r="5" spans="2:5">
      <c r="B5" s="197" t="s">
        <v>310</v>
      </c>
      <c r="C5" s="197"/>
      <c r="D5" s="197">
        <f>Quantitative!B8</f>
        <v>298.8</v>
      </c>
    </row>
    <row r="7" spans="2:5">
      <c r="B7" s="197"/>
      <c r="C7" s="197"/>
      <c r="D7" s="198"/>
    </row>
    <row r="8" spans="2:5">
      <c r="B8" s="197" t="s">
        <v>375</v>
      </c>
      <c r="C8" s="197"/>
      <c r="D8" s="198">
        <v>0.65</v>
      </c>
    </row>
    <row r="9" spans="2:5">
      <c r="B9" s="197" t="s">
        <v>243</v>
      </c>
      <c r="C9" s="197"/>
      <c r="D9" s="198">
        <v>0.65</v>
      </c>
    </row>
    <row r="10" spans="2:5">
      <c r="B10" s="197" t="s">
        <v>373</v>
      </c>
      <c r="C10" s="197"/>
      <c r="D10" s="199">
        <v>0</v>
      </c>
    </row>
    <row r="11" spans="2:5">
      <c r="B11" s="197" t="s">
        <v>374</v>
      </c>
      <c r="C11" s="197"/>
      <c r="D11" s="197">
        <v>0</v>
      </c>
    </row>
    <row r="12" spans="2:5">
      <c r="B12" s="197" t="s">
        <v>371</v>
      </c>
      <c r="C12" s="197"/>
      <c r="D12" s="199">
        <v>0.183</v>
      </c>
    </row>
    <row r="13" spans="2:5">
      <c r="B13" s="197" t="s">
        <v>372</v>
      </c>
      <c r="C13" s="197"/>
      <c r="D13" s="199">
        <v>0</v>
      </c>
    </row>
    <row r="15" spans="2:5">
      <c r="B15" s="201" t="s">
        <v>377</v>
      </c>
      <c r="C15" s="197" t="s">
        <v>81</v>
      </c>
      <c r="D15" s="197" t="s">
        <v>229</v>
      </c>
      <c r="E15" s="260" t="s">
        <v>434</v>
      </c>
    </row>
    <row r="16" spans="2:5">
      <c r="B16" s="197" t="s">
        <v>368</v>
      </c>
      <c r="C16" s="197"/>
      <c r="D16" s="199">
        <v>0.2</v>
      </c>
      <c r="E16" s="200"/>
    </row>
    <row r="17" spans="2:5">
      <c r="B17" s="197" t="s">
        <v>136</v>
      </c>
      <c r="C17" s="197"/>
      <c r="D17" s="199">
        <v>0.08</v>
      </c>
      <c r="E17" s="200"/>
    </row>
    <row r="18" spans="2:5">
      <c r="B18" s="197"/>
      <c r="C18" s="197"/>
      <c r="D18" s="197"/>
      <c r="E18" s="200"/>
    </row>
    <row r="19" spans="2:5">
      <c r="B19" s="197"/>
      <c r="C19" s="197"/>
      <c r="D19" s="197"/>
      <c r="E19" s="200"/>
    </row>
    <row r="20" spans="2:5">
      <c r="B20" s="201" t="s">
        <v>370</v>
      </c>
      <c r="C20" s="202"/>
      <c r="D20" s="197"/>
      <c r="E20" s="200"/>
    </row>
    <row r="21" spans="2:5" ht="24">
      <c r="B21" s="197" t="s">
        <v>178</v>
      </c>
      <c r="C21" s="202">
        <v>0.05</v>
      </c>
      <c r="D21" s="197">
        <v>4</v>
      </c>
      <c r="E21" s="203" t="s">
        <v>180</v>
      </c>
    </row>
    <row r="22" spans="2:5">
      <c r="B22" s="197" t="s">
        <v>181</v>
      </c>
      <c r="C22" s="202">
        <v>0.02</v>
      </c>
      <c r="D22" s="197">
        <v>2</v>
      </c>
      <c r="E22" s="203" t="s">
        <v>183</v>
      </c>
    </row>
    <row r="23" spans="2:5" ht="24">
      <c r="B23" s="197" t="s">
        <v>184</v>
      </c>
      <c r="C23" s="202">
        <v>0.02</v>
      </c>
      <c r="D23" s="197">
        <v>2</v>
      </c>
      <c r="E23" s="203" t="s">
        <v>186</v>
      </c>
    </row>
    <row r="24" spans="2:5">
      <c r="B24" s="197" t="s">
        <v>187</v>
      </c>
      <c r="C24" s="202">
        <v>0.04</v>
      </c>
      <c r="D24" s="197">
        <v>4</v>
      </c>
      <c r="E24" s="203" t="s">
        <v>189</v>
      </c>
    </row>
    <row r="25" spans="2:5">
      <c r="B25" s="197"/>
      <c r="C25" s="202"/>
      <c r="D25" s="197"/>
      <c r="E25" s="203"/>
    </row>
    <row r="26" spans="2:5">
      <c r="B26" s="197" t="s">
        <v>191</v>
      </c>
      <c r="C26" s="202">
        <v>0.08</v>
      </c>
      <c r="D26" s="197">
        <v>4</v>
      </c>
      <c r="E26" s="203" t="s">
        <v>193</v>
      </c>
    </row>
    <row r="27" spans="2:5">
      <c r="B27" s="197" t="s">
        <v>194</v>
      </c>
      <c r="C27" s="202">
        <v>0.02</v>
      </c>
      <c r="D27" s="197">
        <v>2</v>
      </c>
      <c r="E27" s="203" t="s">
        <v>196</v>
      </c>
    </row>
    <row r="28" spans="2:5" ht="24">
      <c r="B28" s="197" t="s">
        <v>197</v>
      </c>
      <c r="C28" s="202">
        <v>0.04</v>
      </c>
      <c r="D28" s="197">
        <v>4</v>
      </c>
      <c r="E28" s="203" t="s">
        <v>199</v>
      </c>
    </row>
    <row r="29" spans="2:5" ht="24">
      <c r="B29" s="197" t="s">
        <v>200</v>
      </c>
      <c r="C29" s="202">
        <v>0.02</v>
      </c>
      <c r="D29" s="197">
        <v>1</v>
      </c>
      <c r="E29" s="203" t="s">
        <v>202</v>
      </c>
    </row>
    <row r="30" spans="2:5">
      <c r="B30" s="197" t="s">
        <v>206</v>
      </c>
      <c r="C30" s="202">
        <v>0.03</v>
      </c>
      <c r="D30" s="197">
        <v>2</v>
      </c>
      <c r="E30" s="203" t="s">
        <v>205</v>
      </c>
    </row>
    <row r="31" spans="2:5">
      <c r="B31" s="197"/>
      <c r="C31" s="197"/>
      <c r="D31" s="197"/>
      <c r="E31" s="203"/>
    </row>
    <row r="32" spans="2:5">
      <c r="B32" s="197"/>
      <c r="C32" s="202"/>
      <c r="D32" s="197"/>
      <c r="E32" s="203"/>
    </row>
    <row r="33" spans="2:5" ht="48">
      <c r="B33" s="197" t="s">
        <v>210</v>
      </c>
      <c r="C33" s="202">
        <v>0.03</v>
      </c>
      <c r="D33" s="197">
        <v>3</v>
      </c>
      <c r="E33" s="203" t="s">
        <v>212</v>
      </c>
    </row>
    <row r="34" spans="2:5">
      <c r="B34" s="197" t="s">
        <v>213</v>
      </c>
      <c r="C34" s="202">
        <v>0.02</v>
      </c>
      <c r="D34" s="197">
        <v>1</v>
      </c>
      <c r="E34" s="203" t="s">
        <v>215</v>
      </c>
    </row>
    <row r="35" spans="2:5">
      <c r="B35" s="197" t="s">
        <v>216</v>
      </c>
      <c r="C35" s="202">
        <v>0.02</v>
      </c>
      <c r="D35" s="197">
        <v>2</v>
      </c>
      <c r="E35" s="203"/>
    </row>
    <row r="36" spans="2:5" ht="36">
      <c r="B36" s="197" t="s">
        <v>359</v>
      </c>
      <c r="C36" s="202">
        <v>0.03</v>
      </c>
      <c r="D36" s="197">
        <v>2</v>
      </c>
      <c r="E36" s="203" t="s">
        <v>360</v>
      </c>
    </row>
    <row r="37" spans="2:5">
      <c r="B37" s="197"/>
      <c r="C37" s="202"/>
      <c r="D37" s="197"/>
      <c r="E37" s="203"/>
    </row>
    <row r="38" spans="2:5" ht="72">
      <c r="B38" s="197" t="s">
        <v>217</v>
      </c>
      <c r="C38" s="202">
        <v>0.04</v>
      </c>
      <c r="D38" s="197">
        <v>2</v>
      </c>
      <c r="E38" s="203" t="s">
        <v>361</v>
      </c>
    </row>
  </sheetData>
  <hyperlinks>
    <hyperlink ref="E15"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X40"/>
  <sheetViews>
    <sheetView showGridLines="0" topLeftCell="Q1" workbookViewId="0">
      <selection activeCell="AJ34" sqref="AJ34"/>
    </sheetView>
  </sheetViews>
  <sheetFormatPr defaultRowHeight="12.75"/>
  <cols>
    <col min="1" max="16384" width="9.140625" style="239"/>
  </cols>
  <sheetData>
    <row r="4" spans="2:24" ht="15">
      <c r="B4" s="240" t="s">
        <v>387</v>
      </c>
      <c r="X4" s="239" t="s">
        <v>436</v>
      </c>
    </row>
    <row r="6" spans="2:24">
      <c r="B6" s="239" t="s">
        <v>388</v>
      </c>
      <c r="X6" s="239" t="s">
        <v>437</v>
      </c>
    </row>
    <row r="7" spans="2:24">
      <c r="B7" s="239" t="s">
        <v>389</v>
      </c>
    </row>
    <row r="8" spans="2:24">
      <c r="B8" s="239" t="s">
        <v>390</v>
      </c>
      <c r="X8" s="239" t="s">
        <v>438</v>
      </c>
    </row>
    <row r="9" spans="2:24">
      <c r="B9" s="239" t="s">
        <v>391</v>
      </c>
    </row>
    <row r="10" spans="2:24">
      <c r="B10" s="239" t="s">
        <v>392</v>
      </c>
      <c r="X10" s="239" t="s">
        <v>439</v>
      </c>
    </row>
    <row r="12" spans="2:24">
      <c r="B12" s="239" t="s">
        <v>393</v>
      </c>
      <c r="X12" s="239" t="s">
        <v>440</v>
      </c>
    </row>
    <row r="13" spans="2:24">
      <c r="B13" s="239" t="s">
        <v>394</v>
      </c>
    </row>
    <row r="14" spans="2:24">
      <c r="B14" s="239" t="s">
        <v>431</v>
      </c>
      <c r="X14" s="239" t="s">
        <v>441</v>
      </c>
    </row>
    <row r="15" spans="2:24">
      <c r="B15" s="239" t="s">
        <v>395</v>
      </c>
    </row>
    <row r="16" spans="2:24">
      <c r="B16" s="239" t="s">
        <v>396</v>
      </c>
      <c r="X16" s="239" t="s">
        <v>442</v>
      </c>
    </row>
    <row r="18" spans="2:24">
      <c r="B18" s="239" t="s">
        <v>397</v>
      </c>
      <c r="X18" s="239" t="s">
        <v>443</v>
      </c>
    </row>
    <row r="19" spans="2:24">
      <c r="B19" s="239" t="s">
        <v>398</v>
      </c>
    </row>
    <row r="20" spans="2:24">
      <c r="B20" s="239" t="s">
        <v>399</v>
      </c>
      <c r="X20" s="239" t="s">
        <v>444</v>
      </c>
    </row>
    <row r="21" spans="2:24">
      <c r="B21" s="239" t="s">
        <v>432</v>
      </c>
    </row>
    <row r="22" spans="2:24">
      <c r="B22" s="239" t="s">
        <v>400</v>
      </c>
      <c r="X22" s="239" t="s">
        <v>445</v>
      </c>
    </row>
    <row r="24" spans="2:24">
      <c r="B24" s="239" t="s">
        <v>401</v>
      </c>
      <c r="X24" s="239" t="s">
        <v>446</v>
      </c>
    </row>
    <row r="25" spans="2:24">
      <c r="B25" s="239" t="s">
        <v>402</v>
      </c>
    </row>
    <row r="26" spans="2:24">
      <c r="B26" s="239" t="s">
        <v>403</v>
      </c>
      <c r="X26" s="239" t="s">
        <v>447</v>
      </c>
    </row>
    <row r="27" spans="2:24">
      <c r="B27" s="239" t="s">
        <v>404</v>
      </c>
    </row>
    <row r="28" spans="2:24">
      <c r="B28" s="239" t="s">
        <v>405</v>
      </c>
      <c r="X28" s="239" t="s">
        <v>448</v>
      </c>
    </row>
    <row r="30" spans="2:24">
      <c r="B30" s="239" t="s">
        <v>406</v>
      </c>
      <c r="X30" s="239" t="s">
        <v>449</v>
      </c>
    </row>
    <row r="31" spans="2:24">
      <c r="B31" s="239" t="s">
        <v>407</v>
      </c>
    </row>
    <row r="32" spans="2:24">
      <c r="B32" s="239" t="s">
        <v>433</v>
      </c>
      <c r="X32" s="239" t="s">
        <v>450</v>
      </c>
    </row>
    <row r="33" spans="2:24">
      <c r="B33" s="239" t="s">
        <v>408</v>
      </c>
    </row>
    <row r="34" spans="2:24">
      <c r="X34" s="239" t="s">
        <v>451</v>
      </c>
    </row>
    <row r="35" spans="2:24">
      <c r="B35" s="239" t="s">
        <v>409</v>
      </c>
    </row>
    <row r="36" spans="2:24">
      <c r="B36" s="239" t="s">
        <v>410</v>
      </c>
    </row>
    <row r="37" spans="2:24">
      <c r="B37" s="239" t="s">
        <v>411</v>
      </c>
    </row>
    <row r="38" spans="2:24">
      <c r="B38" s="239" t="s">
        <v>412</v>
      </c>
    </row>
    <row r="40" spans="2:24">
      <c r="B40" s="239" t="s">
        <v>413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election activeCell="E15" sqref="E15"/>
    </sheetView>
  </sheetViews>
  <sheetFormatPr defaultColWidth="22.140625" defaultRowHeight="12"/>
  <cols>
    <col min="1" max="3" width="22.140625" style="80"/>
    <col min="4" max="4" width="8.85546875" style="80" customWidth="1"/>
    <col min="5" max="5" width="4" style="81" customWidth="1"/>
    <col min="6" max="6" width="22.140625" style="80" customWidth="1"/>
    <col min="7" max="7" width="13.42578125" style="81" customWidth="1"/>
    <col min="8" max="8" width="11.42578125" style="81" customWidth="1"/>
    <col min="9" max="9" width="24.5703125" style="80" customWidth="1"/>
    <col min="10" max="10" width="46.140625" style="80" customWidth="1"/>
    <col min="11" max="11" width="12" style="81" customWidth="1"/>
    <col min="12" max="12" width="7" style="81" customWidth="1"/>
    <col min="13" max="13" width="8.140625" style="81" customWidth="1"/>
    <col min="14" max="14" width="23.28515625" style="80" customWidth="1"/>
    <col min="15" max="15" width="26.42578125" style="80" customWidth="1"/>
    <col min="16" max="16384" width="22.140625" style="80"/>
  </cols>
  <sheetData>
    <row r="1" spans="1:13" ht="6" customHeight="1" thickBot="1"/>
    <row r="2" spans="1:13" ht="24.75" thickBot="1">
      <c r="A2" s="288" t="s">
        <v>137</v>
      </c>
      <c r="B2" s="289"/>
      <c r="C2" s="289"/>
      <c r="E2" s="82" t="s">
        <v>138</v>
      </c>
      <c r="F2" s="83" t="s">
        <v>139</v>
      </c>
      <c r="G2" s="84" t="s">
        <v>140</v>
      </c>
      <c r="H2" s="84" t="s">
        <v>141</v>
      </c>
      <c r="I2" s="84" t="s">
        <v>142</v>
      </c>
      <c r="J2" s="84" t="s">
        <v>143</v>
      </c>
      <c r="K2" s="84" t="s">
        <v>144</v>
      </c>
      <c r="L2" s="84" t="s">
        <v>66</v>
      </c>
      <c r="M2" s="84"/>
    </row>
    <row r="3" spans="1:13">
      <c r="A3" s="85" t="s">
        <v>145</v>
      </c>
      <c r="B3" s="85" t="s">
        <v>146</v>
      </c>
      <c r="C3" s="85" t="s">
        <v>147</v>
      </c>
      <c r="E3" s="86"/>
      <c r="F3" s="285" t="s">
        <v>148</v>
      </c>
      <c r="G3" s="286"/>
      <c r="H3" s="286"/>
      <c r="I3" s="286"/>
      <c r="J3" s="287"/>
      <c r="K3" s="87">
        <f>SUM(K5:K15)</f>
        <v>0.5</v>
      </c>
      <c r="L3" s="86">
        <f>SUM(L5:L15)</f>
        <v>44</v>
      </c>
      <c r="M3" s="88"/>
    </row>
    <row r="4" spans="1:13" ht="25.5" customHeight="1">
      <c r="A4" s="89" t="s">
        <v>149</v>
      </c>
      <c r="B4" s="90">
        <f>SUM(B5:B9)</f>
        <v>1</v>
      </c>
      <c r="C4" s="91">
        <f>SUM(C5:C9)</f>
        <v>82</v>
      </c>
      <c r="E4" s="86"/>
      <c r="F4" s="92"/>
      <c r="G4" s="93"/>
      <c r="H4" s="93"/>
      <c r="I4" s="93"/>
      <c r="J4" s="94"/>
      <c r="K4" s="87"/>
      <c r="L4" s="86"/>
      <c r="M4" s="88"/>
    </row>
    <row r="5" spans="1:13" ht="216">
      <c r="A5" s="89" t="s">
        <v>150</v>
      </c>
      <c r="B5" s="95">
        <f>Scorecard!K3</f>
        <v>0.5</v>
      </c>
      <c r="C5" s="96">
        <f>Scorecard!L3</f>
        <v>44</v>
      </c>
      <c r="E5" s="109">
        <v>1</v>
      </c>
      <c r="F5" s="98" t="s">
        <v>151</v>
      </c>
      <c r="G5" s="97" t="s">
        <v>152</v>
      </c>
      <c r="H5" s="99">
        <f>IF(Valuation!A28=2, Analysis!M3, Analysis!O3)</f>
        <v>0.20813129722921903</v>
      </c>
      <c r="I5" s="100" t="s">
        <v>366</v>
      </c>
      <c r="J5" s="100"/>
      <c r="K5" s="101">
        <v>0.1</v>
      </c>
      <c r="L5" s="97">
        <f>IF(Valuation!A28=2, (IF(H5&gt;0.2,10,IF(AND(H5&gt;0.1,H5&lt;0.2),7,IF(AND(H5&gt;0.05,H5&lt;0.1),3,IF(AND(H5&gt;0,H5&lt;0.05),1,0))))), (IF(H5&gt;0.02,10,IF(AND(H5&gt;0.01,H5&lt;0.02),7,IF(AND(H5&gt;0.005,H5&lt;0.01),3,IF(AND(H5&gt;0,H5&lt;0.005),1,0))))))</f>
        <v>10</v>
      </c>
      <c r="M5" s="97"/>
    </row>
    <row r="6" spans="1:13" ht="180">
      <c r="A6" s="89" t="s">
        <v>153</v>
      </c>
      <c r="B6" s="95">
        <f>Scorecard!K16</f>
        <v>0.13</v>
      </c>
      <c r="C6" s="96">
        <f>Scorecard!L16</f>
        <v>12</v>
      </c>
      <c r="E6" s="109">
        <v>2</v>
      </c>
      <c r="F6" s="98" t="s">
        <v>154</v>
      </c>
      <c r="G6" s="97" t="s">
        <v>155</v>
      </c>
      <c r="H6" s="99">
        <f>Analysis!I13</f>
        <v>0.27049718119927535</v>
      </c>
      <c r="I6" s="100" t="s">
        <v>365</v>
      </c>
      <c r="J6" s="100"/>
      <c r="K6" s="101">
        <v>0.09</v>
      </c>
      <c r="L6" s="97">
        <f>IF(H6&gt;0.2,9,IF(AND(H6&gt;0.1,H6&lt;0.2),7,IF(AND(H6&gt;0.05,H6&lt;0.1),3,IF(AND(H6&gt;0,H6&lt;0.05),1,0))))</f>
        <v>9</v>
      </c>
      <c r="M6" s="97"/>
    </row>
    <row r="7" spans="1:13" ht="46.5" customHeight="1">
      <c r="A7" s="89" t="s">
        <v>156</v>
      </c>
      <c r="B7" s="95">
        <f>Scorecard!K21</f>
        <v>0.23</v>
      </c>
      <c r="C7" s="96">
        <f>Scorecard!L21</f>
        <v>16</v>
      </c>
      <c r="E7" s="109">
        <v>3</v>
      </c>
      <c r="F7" s="98" t="s">
        <v>157</v>
      </c>
      <c r="G7" s="101">
        <v>0</v>
      </c>
      <c r="H7" s="99">
        <f>Analysis!F16</f>
        <v>0</v>
      </c>
      <c r="I7" s="102"/>
      <c r="J7" s="102"/>
      <c r="K7" s="101">
        <v>0.06</v>
      </c>
      <c r="L7" s="97">
        <f>IF(H7&gt;0,0,6)</f>
        <v>6</v>
      </c>
      <c r="M7" s="97"/>
    </row>
    <row r="8" spans="1:13" ht="46.5" customHeight="1">
      <c r="A8" s="89" t="s">
        <v>158</v>
      </c>
      <c r="B8" s="95">
        <f>Scorecard!K28</f>
        <v>0.1</v>
      </c>
      <c r="C8" s="96">
        <f>Scorecard!L28</f>
        <v>8</v>
      </c>
      <c r="E8" s="109">
        <v>4</v>
      </c>
      <c r="F8" s="98" t="s">
        <v>159</v>
      </c>
      <c r="G8" s="97" t="s">
        <v>155</v>
      </c>
      <c r="H8" s="99">
        <f>Analysis!I12</f>
        <v>0.16086167407452479</v>
      </c>
      <c r="I8" s="100" t="s">
        <v>362</v>
      </c>
      <c r="J8" s="100"/>
      <c r="K8" s="101">
        <v>0.05</v>
      </c>
      <c r="L8" s="97">
        <f>IF(H8&gt;0.2,5,IF(AND(H8&gt;0.1,H8&lt;0.2),3,IF(AND(H8&gt;0.05,H8&lt;0.1),1,IF(AND(H8&gt;0,H8&lt;0.05),1,0))))</f>
        <v>3</v>
      </c>
      <c r="M8" s="97"/>
    </row>
    <row r="9" spans="1:13" ht="96">
      <c r="A9" s="89" t="s">
        <v>160</v>
      </c>
      <c r="B9" s="95">
        <f>Scorecard!K33</f>
        <v>0.04</v>
      </c>
      <c r="C9" s="96">
        <f>Scorecard!L33</f>
        <v>2</v>
      </c>
      <c r="E9" s="109">
        <v>5</v>
      </c>
      <c r="F9" s="98" t="s">
        <v>161</v>
      </c>
      <c r="G9" s="97" t="s">
        <v>155</v>
      </c>
      <c r="H9" s="99">
        <f>Analysis!E13</f>
        <v>7.9517593591666103E-2</v>
      </c>
      <c r="I9" s="103" t="s">
        <v>162</v>
      </c>
      <c r="J9" s="98"/>
      <c r="K9" s="101">
        <v>0.04</v>
      </c>
      <c r="L9" s="97">
        <f>IF(H9&gt;0.2,4,IF(AND(H9&gt;0.1,H9&lt;0.2),3,IF(AND(H9&gt;0.05,H9&lt;0.1),2,IF(AND(H9&gt;0,H9&lt;0.05),1,0))))</f>
        <v>2</v>
      </c>
      <c r="M9" s="97"/>
    </row>
    <row r="10" spans="1:13" ht="108">
      <c r="E10" s="109">
        <v>6</v>
      </c>
      <c r="F10" s="98" t="s">
        <v>163</v>
      </c>
      <c r="G10" s="97" t="s">
        <v>164</v>
      </c>
      <c r="H10" s="99">
        <f>Analysis!F3</f>
        <v>8.7875529883695569E-2</v>
      </c>
      <c r="I10" s="100" t="s">
        <v>165</v>
      </c>
      <c r="J10" s="100"/>
      <c r="K10" s="101">
        <v>0.04</v>
      </c>
      <c r="L10" s="97">
        <f>IF(H10&gt;0.15,4,IF(AND(H10&gt;0.08,H10&lt;0.15),3,IF(AND(H10&gt;0.05,H10&lt;0.08),2,IF(AND(H10&gt;0.03,H10&lt;0.05),1,0))))</f>
        <v>3</v>
      </c>
      <c r="M10" s="97"/>
    </row>
    <row r="11" spans="1:13" ht="24">
      <c r="E11" s="109">
        <v>7</v>
      </c>
      <c r="F11" s="98" t="s">
        <v>166</v>
      </c>
      <c r="G11" s="97" t="s">
        <v>167</v>
      </c>
      <c r="H11" s="104">
        <f>Analysis!H8</f>
        <v>1.7484115578079509</v>
      </c>
      <c r="I11" s="100" t="s">
        <v>168</v>
      </c>
      <c r="J11" s="100"/>
      <c r="K11" s="101">
        <v>0.04</v>
      </c>
      <c r="L11" s="97">
        <f>IF(H11&gt;1,4,IF(AND(H11&gt;0.75,H11&lt;1),2,IF(AND(H11&gt;0.5,H11&lt;0.75),1,IF(AND(H11&gt;0,H11&lt;0.5),1,0))))</f>
        <v>4</v>
      </c>
      <c r="M11" s="97"/>
    </row>
    <row r="12" spans="1:13" ht="46.5" customHeight="1">
      <c r="E12" s="109">
        <v>8</v>
      </c>
      <c r="F12" s="98" t="s">
        <v>169</v>
      </c>
      <c r="G12" s="97" t="s">
        <v>382</v>
      </c>
      <c r="H12" s="210">
        <f>Analysis!M13</f>
        <v>0</v>
      </c>
      <c r="I12" s="100" t="s">
        <v>357</v>
      </c>
      <c r="J12" s="102"/>
      <c r="K12" s="101">
        <v>0.03</v>
      </c>
      <c r="L12" s="97">
        <f>IF(H12&gt;-0.03,3,IF(H12=0,2,0))</f>
        <v>3</v>
      </c>
      <c r="M12" s="97"/>
    </row>
    <row r="13" spans="1:13" ht="46.5" customHeight="1">
      <c r="E13" s="109">
        <v>9</v>
      </c>
      <c r="F13" s="98" t="s">
        <v>170</v>
      </c>
      <c r="G13" s="97" t="s">
        <v>171</v>
      </c>
      <c r="H13" s="104">
        <f>Analysis!L4</f>
        <v>3.6990717997776472</v>
      </c>
      <c r="I13" s="100" t="s">
        <v>363</v>
      </c>
      <c r="J13" s="102"/>
      <c r="K13" s="101">
        <v>0.03</v>
      </c>
      <c r="L13" s="97">
        <f>IF(H13&lt;=3,3,IF((AND((H13&gt;3),(H13&lt;=5))),2,0))</f>
        <v>2</v>
      </c>
      <c r="M13" s="97"/>
    </row>
    <row r="14" spans="1:13" ht="41.25" customHeight="1">
      <c r="E14" s="109">
        <v>10</v>
      </c>
      <c r="F14" s="98" t="s">
        <v>172</v>
      </c>
      <c r="G14" s="97" t="s">
        <v>173</v>
      </c>
      <c r="H14" s="105">
        <f>Analysis!J4</f>
        <v>1.5001149227144746</v>
      </c>
      <c r="I14" s="106" t="s">
        <v>364</v>
      </c>
      <c r="J14" s="98"/>
      <c r="K14" s="101">
        <v>0.01</v>
      </c>
      <c r="L14" s="105">
        <f>IF(H14&gt;1.5,1,IF(AND(H14&gt;1.25,H14&lt;1.5),0.75,IF(AND(H14&gt;1,H14&lt;1.25),0.5,IF(AND(H14&gt;0.9,H14&lt;1),1,0))))</f>
        <v>1</v>
      </c>
      <c r="M14" s="97"/>
    </row>
    <row r="15" spans="1:13" ht="88.5" customHeight="1">
      <c r="E15" s="109">
        <v>11</v>
      </c>
      <c r="F15" s="98" t="s">
        <v>174</v>
      </c>
      <c r="G15" s="97" t="s">
        <v>175</v>
      </c>
      <c r="H15" s="107">
        <f>Analysis!E9</f>
        <v>445.15</v>
      </c>
      <c r="I15" s="100" t="s">
        <v>176</v>
      </c>
      <c r="J15" s="98"/>
      <c r="K15" s="101">
        <v>0.01</v>
      </c>
      <c r="L15" s="105">
        <f>IF(H15&gt;1.5,1,IF(AND(H15&gt;1.25,H15&lt;1.5),0.75,IF(AND(H15&gt;1,H15&lt;1.25),0.5,IF(AND(H15&gt;0.9,H15&lt;1),1,0))))</f>
        <v>1</v>
      </c>
      <c r="M15" s="97"/>
    </row>
    <row r="16" spans="1:13">
      <c r="E16" s="285" t="s">
        <v>177</v>
      </c>
      <c r="F16" s="286"/>
      <c r="G16" s="286"/>
      <c r="H16" s="286"/>
      <c r="I16" s="286"/>
      <c r="J16" s="287"/>
      <c r="K16" s="108">
        <f>SUM(K17:K20)</f>
        <v>0.13</v>
      </c>
      <c r="L16" s="109">
        <f>SUM(L17:L20)</f>
        <v>12</v>
      </c>
      <c r="M16" s="88"/>
    </row>
    <row r="17" spans="5:13" ht="48">
      <c r="E17" s="97">
        <v>1</v>
      </c>
      <c r="F17" s="98" t="s">
        <v>178</v>
      </c>
      <c r="G17" s="97" t="s">
        <v>179</v>
      </c>
      <c r="H17" s="97"/>
      <c r="I17" s="98" t="s">
        <v>180</v>
      </c>
      <c r="J17" s="100"/>
      <c r="K17" s="101">
        <v>0.05</v>
      </c>
      <c r="L17" s="97">
        <f>Qualitative!D21</f>
        <v>4</v>
      </c>
      <c r="M17" s="97"/>
    </row>
    <row r="18" spans="5:13" ht="48">
      <c r="E18" s="97">
        <v>2</v>
      </c>
      <c r="F18" s="98" t="s">
        <v>181</v>
      </c>
      <c r="G18" s="97" t="s">
        <v>182</v>
      </c>
      <c r="H18" s="97"/>
      <c r="I18" s="98" t="s">
        <v>183</v>
      </c>
      <c r="J18" s="100"/>
      <c r="K18" s="101">
        <v>0.02</v>
      </c>
      <c r="L18" s="97">
        <f>Qualitative!D22</f>
        <v>2</v>
      </c>
      <c r="M18" s="97"/>
    </row>
    <row r="19" spans="5:13" ht="96">
      <c r="E19" s="97">
        <v>3</v>
      </c>
      <c r="F19" s="98" t="s">
        <v>184</v>
      </c>
      <c r="G19" s="97" t="s">
        <v>185</v>
      </c>
      <c r="H19" s="110">
        <f>Analysis!H13/Analysis!E13</f>
        <v>3.3842274570197102</v>
      </c>
      <c r="I19" s="100" t="s">
        <v>186</v>
      </c>
      <c r="J19" s="100"/>
      <c r="K19" s="101">
        <v>0.02</v>
      </c>
      <c r="L19" s="97">
        <f>Qualitative!D23</f>
        <v>2</v>
      </c>
      <c r="M19" s="97"/>
    </row>
    <row r="20" spans="5:13" ht="76.5" customHeight="1">
      <c r="E20" s="97">
        <v>5</v>
      </c>
      <c r="F20" s="98" t="s">
        <v>187</v>
      </c>
      <c r="G20" s="97" t="s">
        <v>188</v>
      </c>
      <c r="H20" s="97"/>
      <c r="I20" s="98" t="s">
        <v>189</v>
      </c>
      <c r="J20" s="100"/>
      <c r="K20" s="101">
        <v>0.04</v>
      </c>
      <c r="L20" s="97">
        <f>Qualitative!D24</f>
        <v>4</v>
      </c>
      <c r="M20" s="97"/>
    </row>
    <row r="21" spans="5:13" ht="12" customHeight="1">
      <c r="E21" s="285" t="s">
        <v>190</v>
      </c>
      <c r="F21" s="286"/>
      <c r="G21" s="286"/>
      <c r="H21" s="286"/>
      <c r="I21" s="286"/>
      <c r="J21" s="287"/>
      <c r="K21" s="108">
        <f>SUM(K22:K27)</f>
        <v>0.23</v>
      </c>
      <c r="L21" s="109">
        <f>SUM(L22:L27)</f>
        <v>16</v>
      </c>
      <c r="M21" s="111"/>
    </row>
    <row r="22" spans="5:13" ht="48">
      <c r="E22" s="97">
        <v>1</v>
      </c>
      <c r="F22" s="98" t="s">
        <v>191</v>
      </c>
      <c r="G22" s="97" t="s">
        <v>192</v>
      </c>
      <c r="H22" s="97"/>
      <c r="I22" s="98" t="s">
        <v>193</v>
      </c>
      <c r="J22" s="100"/>
      <c r="K22" s="101">
        <v>0.08</v>
      </c>
      <c r="L22" s="97">
        <f>Qualitative!D26</f>
        <v>4</v>
      </c>
      <c r="M22" s="97"/>
    </row>
    <row r="23" spans="5:13" ht="36">
      <c r="E23" s="97">
        <v>2</v>
      </c>
      <c r="F23" s="98" t="s">
        <v>194</v>
      </c>
      <c r="G23" s="97" t="s">
        <v>195</v>
      </c>
      <c r="H23" s="97"/>
      <c r="I23" s="98" t="s">
        <v>196</v>
      </c>
      <c r="J23" s="100"/>
      <c r="K23" s="101">
        <v>0.02</v>
      </c>
      <c r="L23" s="97">
        <f>Qualitative!D27</f>
        <v>2</v>
      </c>
      <c r="M23" s="97"/>
    </row>
    <row r="24" spans="5:13" ht="60">
      <c r="E24" s="97">
        <v>3</v>
      </c>
      <c r="F24" s="98" t="s">
        <v>197</v>
      </c>
      <c r="G24" s="97" t="s">
        <v>198</v>
      </c>
      <c r="H24" s="97"/>
      <c r="I24" s="98" t="s">
        <v>199</v>
      </c>
      <c r="J24" s="100"/>
      <c r="K24" s="101">
        <v>0.04</v>
      </c>
      <c r="L24" s="97">
        <f>Qualitative!D28</f>
        <v>4</v>
      </c>
      <c r="M24" s="97"/>
    </row>
    <row r="25" spans="5:13" ht="72">
      <c r="E25" s="97">
        <v>4</v>
      </c>
      <c r="F25" s="98" t="s">
        <v>200</v>
      </c>
      <c r="G25" s="97" t="s">
        <v>201</v>
      </c>
      <c r="H25" s="97"/>
      <c r="I25" s="100" t="s">
        <v>202</v>
      </c>
      <c r="J25" s="100"/>
      <c r="K25" s="101">
        <v>0.02</v>
      </c>
      <c r="L25" s="97">
        <f>Qualitative!D29</f>
        <v>1</v>
      </c>
      <c r="M25" s="111"/>
    </row>
    <row r="26" spans="5:13" ht="39" customHeight="1">
      <c r="E26" s="97">
        <v>6</v>
      </c>
      <c r="F26" s="98" t="s">
        <v>203</v>
      </c>
      <c r="G26" s="97" t="s">
        <v>204</v>
      </c>
      <c r="H26" s="99">
        <f>Analysis!E16</f>
        <v>0.65</v>
      </c>
      <c r="I26" s="100" t="s">
        <v>205</v>
      </c>
      <c r="J26" s="112"/>
      <c r="K26" s="101">
        <v>0.04</v>
      </c>
      <c r="L26" s="97">
        <f>IF(H26&gt;0.7,4,IF(AND(H26&gt;0.4,H26&lt;0.7),3,IF(AND(H26&gt;0.2,H26&lt;0.4),2,IF(AND(H26&gt;0.1,H26&lt;0.2),1,0))))</f>
        <v>3</v>
      </c>
      <c r="M26" s="97"/>
    </row>
    <row r="27" spans="5:13">
      <c r="E27" s="97">
        <v>8</v>
      </c>
      <c r="F27" s="98" t="s">
        <v>206</v>
      </c>
      <c r="G27" s="97" t="s">
        <v>207</v>
      </c>
      <c r="H27" s="99">
        <f>Analysis!G16</f>
        <v>0.183</v>
      </c>
      <c r="I27" s="100" t="s">
        <v>208</v>
      </c>
      <c r="J27" s="113"/>
      <c r="K27" s="101">
        <v>0.03</v>
      </c>
      <c r="L27" s="97">
        <f>Qualitative!D30</f>
        <v>2</v>
      </c>
      <c r="M27" s="97"/>
    </row>
    <row r="28" spans="5:13" ht="12" customHeight="1">
      <c r="E28" s="285" t="s">
        <v>209</v>
      </c>
      <c r="F28" s="286"/>
      <c r="G28" s="286"/>
      <c r="H28" s="286"/>
      <c r="I28" s="286"/>
      <c r="J28" s="287"/>
      <c r="K28" s="108">
        <f>SUM(K29:K32)</f>
        <v>0.1</v>
      </c>
      <c r="L28" s="109">
        <f>SUM(L29:L32)</f>
        <v>8</v>
      </c>
      <c r="M28" s="111"/>
    </row>
    <row r="29" spans="5:13" ht="144">
      <c r="E29" s="97">
        <v>1</v>
      </c>
      <c r="F29" s="98" t="s">
        <v>210</v>
      </c>
      <c r="G29" s="97" t="s">
        <v>211</v>
      </c>
      <c r="H29" s="97"/>
      <c r="I29" s="100" t="s">
        <v>212</v>
      </c>
      <c r="J29" s="98"/>
      <c r="K29" s="101">
        <v>0.03</v>
      </c>
      <c r="L29" s="97">
        <f>Qualitative!D33</f>
        <v>3</v>
      </c>
      <c r="M29" s="97"/>
    </row>
    <row r="30" spans="5:13" ht="48">
      <c r="E30" s="97">
        <v>2</v>
      </c>
      <c r="F30" s="98" t="s">
        <v>213</v>
      </c>
      <c r="G30" s="97" t="s">
        <v>214</v>
      </c>
      <c r="H30" s="97"/>
      <c r="I30" s="100" t="s">
        <v>215</v>
      </c>
      <c r="J30" s="98"/>
      <c r="K30" s="101">
        <v>0.02</v>
      </c>
      <c r="L30" s="97">
        <f>Qualitative!D34</f>
        <v>1</v>
      </c>
      <c r="M30" s="97"/>
    </row>
    <row r="31" spans="5:13">
      <c r="E31" s="97">
        <v>3</v>
      </c>
      <c r="F31" s="98" t="s">
        <v>216</v>
      </c>
      <c r="G31" s="97"/>
      <c r="H31" s="97"/>
      <c r="I31" s="100"/>
      <c r="J31" s="98"/>
      <c r="K31" s="101">
        <v>0.02</v>
      </c>
      <c r="L31" s="97">
        <f>Qualitative!D35</f>
        <v>2</v>
      </c>
      <c r="M31" s="97"/>
    </row>
    <row r="32" spans="5:13" ht="108">
      <c r="E32" s="97">
        <v>3</v>
      </c>
      <c r="F32" s="98" t="s">
        <v>359</v>
      </c>
      <c r="G32" s="97"/>
      <c r="H32" s="97"/>
      <c r="I32" s="98" t="s">
        <v>360</v>
      </c>
      <c r="J32" s="98"/>
      <c r="K32" s="101">
        <v>0.03</v>
      </c>
      <c r="L32" s="97">
        <f>Qualitative!D36</f>
        <v>2</v>
      </c>
      <c r="M32" s="97"/>
    </row>
    <row r="33" spans="5:13" ht="12" customHeight="1">
      <c r="E33" s="285" t="s">
        <v>160</v>
      </c>
      <c r="F33" s="286"/>
      <c r="G33" s="286"/>
      <c r="H33" s="286"/>
      <c r="I33" s="286"/>
      <c r="J33" s="287"/>
      <c r="K33" s="108">
        <f>SUM(K34:K34)</f>
        <v>0.04</v>
      </c>
      <c r="L33" s="109">
        <f>SUM(L34:L34)</f>
        <v>2</v>
      </c>
      <c r="M33" s="111"/>
    </row>
    <row r="34" spans="5:13" ht="240">
      <c r="E34" s="97">
        <v>4</v>
      </c>
      <c r="F34" s="98" t="s">
        <v>217</v>
      </c>
      <c r="G34" s="97" t="s">
        <v>218</v>
      </c>
      <c r="H34" s="190">
        <f>Analysis!M8</f>
        <v>0.48464462818855814</v>
      </c>
      <c r="I34" s="100" t="s">
        <v>361</v>
      </c>
      <c r="J34" s="100"/>
      <c r="K34" s="101">
        <v>0.04</v>
      </c>
      <c r="L34" s="97">
        <f>Qualitative!D38</f>
        <v>2</v>
      </c>
      <c r="M34" s="97"/>
    </row>
  </sheetData>
  <mergeCells count="6">
    <mergeCell ref="E33:J33"/>
    <mergeCell ref="A2:C2"/>
    <mergeCell ref="F3:J3"/>
    <mergeCell ref="E16:J16"/>
    <mergeCell ref="E21:J21"/>
    <mergeCell ref="E28:J2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9"/>
  <sheetViews>
    <sheetView showGridLines="0" zoomScaleNormal="100" workbookViewId="0">
      <selection activeCell="J4" sqref="J4"/>
    </sheetView>
  </sheetViews>
  <sheetFormatPr defaultColWidth="14.42578125" defaultRowHeight="15" customHeight="1"/>
  <cols>
    <col min="1" max="1" width="3" style="129" customWidth="1"/>
    <col min="2" max="2" width="10.5703125" style="129" customWidth="1"/>
    <col min="3" max="3" width="10.5703125" style="116" customWidth="1"/>
    <col min="4" max="4" width="17.28515625" style="116" customWidth="1"/>
    <col min="5" max="15" width="10.5703125" style="116" customWidth="1"/>
    <col min="16" max="16" width="12" style="116" customWidth="1"/>
    <col min="17" max="17" width="15.28515625" style="116" customWidth="1"/>
    <col min="18" max="19" width="14.42578125" style="116"/>
    <col min="20" max="20" width="15.85546875" style="116" customWidth="1"/>
    <col min="21" max="16384" width="14.42578125" style="116"/>
  </cols>
  <sheetData>
    <row r="1" spans="2:27" ht="15" customHeight="1">
      <c r="D1" s="125"/>
      <c r="E1" s="126"/>
      <c r="F1" s="127"/>
      <c r="G1" s="127"/>
      <c r="H1" s="128"/>
      <c r="I1" s="128"/>
      <c r="J1" s="127"/>
    </row>
    <row r="2" spans="2:27" ht="36">
      <c r="B2" s="115" t="s">
        <v>355</v>
      </c>
      <c r="C2" s="115" t="s">
        <v>356</v>
      </c>
      <c r="D2" s="114" t="s">
        <v>230</v>
      </c>
      <c r="E2" s="115" t="s">
        <v>231</v>
      </c>
      <c r="F2" s="115" t="s">
        <v>232</v>
      </c>
      <c r="G2" s="115" t="s">
        <v>233</v>
      </c>
      <c r="H2" s="115" t="s">
        <v>354</v>
      </c>
      <c r="I2" s="115" t="s">
        <v>234</v>
      </c>
      <c r="J2" s="115" t="s">
        <v>235</v>
      </c>
      <c r="K2" s="115" t="s">
        <v>236</v>
      </c>
      <c r="L2" s="115" t="s">
        <v>383</v>
      </c>
      <c r="M2" s="115" t="s">
        <v>42</v>
      </c>
      <c r="N2" s="115" t="s">
        <v>237</v>
      </c>
      <c r="O2" s="115" t="s">
        <v>57</v>
      </c>
    </row>
    <row r="3" spans="2:27" ht="15" customHeight="1">
      <c r="B3" s="117">
        <f>AVERAGE('Polished Data'!H76:L76)</f>
        <v>4.4310825776340463</v>
      </c>
      <c r="C3" s="117">
        <f>AVERAGE('Polished Data'!H78:L78)</f>
        <v>0.98432291792740489</v>
      </c>
      <c r="D3" s="115" t="s">
        <v>228</v>
      </c>
      <c r="E3" s="123">
        <f>SUM('Polished Data'!H29:L29)/SUM('Polished Data'!H26:L26)</f>
        <v>0.21907398514082313</v>
      </c>
      <c r="F3" s="120">
        <f>SUM('Polished Data'!H35:L35)/SUM('Polished Data'!H26:L26)</f>
        <v>8.7875529883695569E-2</v>
      </c>
      <c r="G3" s="123">
        <f>SUM('Polished Data'!H6:L6)/SUM('Polished Data'!H26:L26)</f>
        <v>0.17692839445447942</v>
      </c>
      <c r="H3" s="123">
        <f>SUM('Polished Data'!H7:L7)/SUM('Polished Data'!H26:L26)</f>
        <v>0.11465179308820621</v>
      </c>
      <c r="I3" s="118">
        <f>SUM('Polished Data'!H55:L55)/SUM('Polished Data'!H60:L60)</f>
        <v>1.1515673165458984E-2</v>
      </c>
      <c r="J3" s="118">
        <f>SUM('Polished Data'!H9:L9)/SUM('Polished Data'!H10:L10)</f>
        <v>1.4141323176989058</v>
      </c>
      <c r="K3" s="117">
        <f>SUM(Quantitative!G66:K66)/SUM(Quantitative!G57:K58)</f>
        <v>2.9493466624685141</v>
      </c>
      <c r="L3" s="117">
        <f>SUM('Polished Data'!H45:L45)/SUM('Polished Data'!H35:L35)</f>
        <v>6.2056938088574611</v>
      </c>
      <c r="M3" s="207">
        <f>SUM('Polished Data'!H35:L35)/SUM('Polished Data'!H40:L41)</f>
        <v>0.20813129722921903</v>
      </c>
      <c r="N3" s="118">
        <f>SUM('Polished Data'!H35:L35)/SUM('Polished Data'!H42:L45)</f>
        <v>9.082360740541634E-2</v>
      </c>
      <c r="O3" s="118">
        <f>SUM('Polished Data'!H35:L35)/SUM('Polished Data'!H60:L60)</f>
        <v>7.0568610966545181E-2</v>
      </c>
    </row>
    <row r="4" spans="2:27" ht="15" customHeight="1">
      <c r="B4" s="117">
        <f>'Polished Data'!L76</f>
        <v>6.8445534120226501</v>
      </c>
      <c r="C4" s="117">
        <f>'Polished Data'!L78</f>
        <v>1.9590237124944503</v>
      </c>
      <c r="D4" s="115" t="s">
        <v>229</v>
      </c>
      <c r="E4" s="121">
        <f>'Polished Data'!L29/'Polished Data'!L26</f>
        <v>0.25942748228863227</v>
      </c>
      <c r="F4" s="120">
        <f>SUM('Polished Data'!L35:L35)/SUM('Polished Data'!L26:L26)</f>
        <v>0.13909087639802922</v>
      </c>
      <c r="G4" s="123">
        <f>SUM('Polished Data'!L6:L6)/SUM('Polished Data'!L26:L26)</f>
        <v>0.18313374330204626</v>
      </c>
      <c r="H4" s="123">
        <f>SUM('Polished Data'!L7:L7)/SUM('Polished Data'!L26:L26)</f>
        <v>0.11754234545258389</v>
      </c>
      <c r="I4" s="130">
        <f>'Polished Data'!L55/'Polished Data'!L60</f>
        <v>9.1974710548484388E-3</v>
      </c>
      <c r="J4" s="118">
        <f>SUM('Polished Data'!L9:L9)/SUM('Polished Data'!L10:L10)</f>
        <v>1.5001149227144746</v>
      </c>
      <c r="K4" s="117">
        <f>SUM(Quantitative!K66:K66)/SUM(Quantitative!K57:K58)</f>
        <v>2.5738759139212033</v>
      </c>
      <c r="L4" s="117">
        <f>SUM('Polished Data'!L45:L45)/SUM('Polished Data'!L35:L35)</f>
        <v>3.6990717997776472</v>
      </c>
      <c r="M4" s="207">
        <f>SUM('Polished Data'!L35:L35)/SUM('Polished Data'!L40:L41)</f>
        <v>0.28621644022141307</v>
      </c>
      <c r="N4" s="118">
        <f>SUM('Polished Data'!L35:L35)/SUM('Polished Data'!L42:L45)</f>
        <v>0.13902538092961558</v>
      </c>
      <c r="O4" s="118">
        <f>SUM('Polished Data'!L35:L35)/SUM('Polished Data'!L60:L60)</f>
        <v>0.11120055892102937</v>
      </c>
    </row>
    <row r="5" spans="2:27" ht="12.95" customHeight="1">
      <c r="B5" s="117">
        <f>MAX('Polished Data'!H76:L76)</f>
        <v>6.8445534120226501</v>
      </c>
      <c r="C5" s="117">
        <f>MAX('Polished Data'!H78:L78)</f>
        <v>1.9590237124944503</v>
      </c>
      <c r="D5" s="115" t="s">
        <v>352</v>
      </c>
      <c r="E5" s="121"/>
      <c r="F5" s="120"/>
      <c r="G5" s="123"/>
      <c r="H5" s="123"/>
      <c r="I5" s="130"/>
      <c r="J5" s="118"/>
      <c r="K5" s="117"/>
      <c r="L5" s="117"/>
      <c r="M5" s="118"/>
      <c r="N5" s="118"/>
      <c r="O5" s="118"/>
    </row>
    <row r="6" spans="2:27" ht="15" customHeight="1">
      <c r="D6" s="116" t="s">
        <v>353</v>
      </c>
      <c r="O6" s="131"/>
      <c r="S6" s="131"/>
      <c r="Z6" s="133"/>
    </row>
    <row r="7" spans="2:27" ht="26.25" customHeight="1">
      <c r="D7" s="114" t="s">
        <v>219</v>
      </c>
      <c r="E7" s="115" t="s">
        <v>103</v>
      </c>
      <c r="F7" s="115" t="s">
        <v>220</v>
      </c>
      <c r="G7" s="115" t="s">
        <v>221</v>
      </c>
      <c r="H7" s="115" t="s">
        <v>222</v>
      </c>
      <c r="I7" s="115" t="s">
        <v>223</v>
      </c>
      <c r="J7" s="115" t="s">
        <v>224</v>
      </c>
      <c r="K7" s="115" t="s">
        <v>225</v>
      </c>
      <c r="L7" s="115" t="s">
        <v>226</v>
      </c>
      <c r="M7" s="115" t="s">
        <v>358</v>
      </c>
      <c r="N7" s="115" t="s">
        <v>227</v>
      </c>
      <c r="S7" s="131"/>
      <c r="Z7" s="135"/>
      <c r="AA7" s="133"/>
    </row>
    <row r="8" spans="2:27" s="129" customFormat="1" ht="26.25" customHeight="1">
      <c r="D8" s="115" t="s">
        <v>228</v>
      </c>
      <c r="E8" s="117">
        <f>AVERAGE('Polished Data'!H62:L62)</f>
        <v>369.83800000000002</v>
      </c>
      <c r="F8" s="118">
        <f>SUM('Polished Data'!H65:L65)/SUM('Polished Data'!H62:L62)</f>
        <v>-0.46580394659283247</v>
      </c>
      <c r="G8" s="119">
        <f>SUM('Polished Data'!H23:L23)/SUM('Polished Data'!H62:L62)</f>
        <v>0.51535537181144175</v>
      </c>
      <c r="H8" s="118">
        <f>SUM('Polished Data'!H62:L62)/SUM('Polished Data'!H35:L35)</f>
        <v>1.7484115578079509</v>
      </c>
      <c r="I8" s="120">
        <f>SUM('Polished Data'!H62:L62)/SUM('Polished Data'!H26:L26)</f>
        <v>0.15364259209715131</v>
      </c>
      <c r="J8" s="121">
        <f>SUM('Polished Data'!H62:L62)/SUM('Polished Data'!H60:L60)</f>
        <v>0.12338297503236051</v>
      </c>
      <c r="K8" s="122">
        <f>SUM('Polished Data'!H62:L62)/SUM('Polished Data'!H48:L48)</f>
        <v>0.55325049889151845</v>
      </c>
      <c r="L8" s="122">
        <f>SUM('Polished Data'!H62:L62)/SUM('Polished Data'!H45:L45)</f>
        <v>0.28174312359923753</v>
      </c>
      <c r="M8" s="123">
        <f>SUM('Polished Data'!H63:L63)/SUM('Polished Data'!H62:L62)</f>
        <v>0.48464462818855814</v>
      </c>
      <c r="N8" s="118">
        <f>SUM('Polished Data'!H23:L23)/SUM('Polished Data'!H63:L63)</f>
        <v>1.0633675518857399</v>
      </c>
      <c r="S8" s="131"/>
      <c r="Z8" s="135"/>
      <c r="AA8" s="133"/>
    </row>
    <row r="9" spans="2:27" s="129" customFormat="1" ht="26.25" customHeight="1">
      <c r="D9" s="115" t="s">
        <v>229</v>
      </c>
      <c r="E9" s="117">
        <f>'Polished Data'!L62</f>
        <v>445.15</v>
      </c>
      <c r="F9" s="124">
        <f>SUM('Polished Data'!L65:L65)/SUM('Polished Data'!L62:L62)</f>
        <v>-0.23068628552173426</v>
      </c>
      <c r="G9" s="118">
        <f>SUM('Polished Data'!L23:L23)/SUM('Polished Data'!L62:L62)</f>
        <v>0.95776704481635455</v>
      </c>
      <c r="H9" s="118">
        <f>SUM('Polished Data'!L62:L62)/SUM('Polished Data'!L35:L35)</f>
        <v>1.1509424205600232</v>
      </c>
      <c r="I9" s="123">
        <f>SUM('Polished Data'!L62:L62)/SUM('Polished Data'!L26:L26)</f>
        <v>0.16008558995936276</v>
      </c>
      <c r="J9" s="123">
        <f>SUM('Polished Data'!L62:L62)/SUM('Polished Data'!L60:L60)</f>
        <v>0.12798544045219701</v>
      </c>
      <c r="K9" s="123">
        <f>SUM('Polished Data'!L62:L62)/SUM('Polished Data'!L48:L48)</f>
        <v>0.63947307935413433</v>
      </c>
      <c r="L9" s="123">
        <f>SUM('Polished Data'!L62:L62)/SUM('Polished Data'!L45:L45)</f>
        <v>0.31114357407963988</v>
      </c>
      <c r="M9" s="123">
        <f>SUM('Polished Data'!L63:L63)/SUM('Polished Data'!L62:L62)</f>
        <v>4.2232955183645476E-2</v>
      </c>
      <c r="N9" s="118">
        <f>SUM('Polished Data'!L23:L23)/SUM('Polished Data'!L63:L63)</f>
        <v>22.678191489361971</v>
      </c>
      <c r="S9" s="131"/>
      <c r="Z9" s="135"/>
      <c r="AA9" s="133"/>
    </row>
    <row r="10" spans="2:27" s="129" customFormat="1" ht="26.25" customHeight="1">
      <c r="S10" s="131"/>
      <c r="Z10" s="135"/>
      <c r="AA10" s="133"/>
    </row>
    <row r="11" spans="2:27" ht="24">
      <c r="D11" s="114" t="s">
        <v>238</v>
      </c>
      <c r="E11" s="115" t="s">
        <v>239</v>
      </c>
      <c r="F11" s="115" t="s">
        <v>240</v>
      </c>
      <c r="G11" s="115" t="s">
        <v>241</v>
      </c>
      <c r="H11" s="115" t="s">
        <v>242</v>
      </c>
      <c r="I11" s="115" t="s">
        <v>35</v>
      </c>
      <c r="J11" s="115" t="s">
        <v>37</v>
      </c>
      <c r="K11" s="115" t="s">
        <v>103</v>
      </c>
      <c r="L11" s="115" t="s">
        <v>32</v>
      </c>
      <c r="M11" s="115" t="s">
        <v>243</v>
      </c>
      <c r="N11" s="115" t="s">
        <v>244</v>
      </c>
      <c r="O11" s="115" t="s">
        <v>9</v>
      </c>
      <c r="AA11" s="135"/>
    </row>
    <row r="12" spans="2:27" ht="12.95" customHeight="1">
      <c r="D12" s="115" t="s">
        <v>245</v>
      </c>
      <c r="E12" s="121">
        <f>POWER('Polished Data'!L26/'Polished Data'!C26,1/9)-1</f>
        <v>0.11416783598933256</v>
      </c>
      <c r="F12" s="118">
        <f>('Polished Data'!L6/'Polished Data'!C6)^(1/9)-1</f>
        <v>7.7484333682349193E-2</v>
      </c>
      <c r="G12" s="118">
        <f>('Polished Data'!L7/'Polished Data'!C7)^(1/9)-1</f>
        <v>0.10293645034449961</v>
      </c>
      <c r="H12" s="121">
        <f>POWER('Polished Data'!L35/'Polished Data'!C35,1/9)-1</f>
        <v>0.16015512681817179</v>
      </c>
      <c r="I12" s="121">
        <f>('Polished Data'!L74/'Polished Data'!C74)^(1/9)-1</f>
        <v>0.16086167407452479</v>
      </c>
      <c r="J12" s="121">
        <f>('Polished Data'!L73/'Polished Data'!C73)^(1/9)-1</f>
        <v>0.11685389140891078</v>
      </c>
      <c r="K12" s="121">
        <f>('Polished Data'!L62/'Polished Data'!C62)^(1/9)-1</f>
        <v>0.1206418294738183</v>
      </c>
      <c r="L12" s="121">
        <f>('Polished Data'!L63/'Polished Data'!C62)^(1/9)-1</f>
        <v>-0.21157309338071051</v>
      </c>
      <c r="M12" s="121"/>
      <c r="N12" s="136">
        <f>('Polished Data'!L40/'Polished Data'!C40)^(1/9)-1</f>
        <v>-6.1248733372321063E-4</v>
      </c>
      <c r="O12" s="121">
        <f>('Polished Data'!L42/'Polished Data'!C42)^(1/9)-1</f>
        <v>0.11617412906483038</v>
      </c>
      <c r="AA12" s="135"/>
    </row>
    <row r="13" spans="2:27" ht="12.95" customHeight="1">
      <c r="D13" s="115" t="s">
        <v>246</v>
      </c>
      <c r="E13" s="121">
        <f>POWER('Polished Data'!L26/'Polished Data'!G26,1/5)-1</f>
        <v>7.9517593591666103E-2</v>
      </c>
      <c r="F13" s="118">
        <f>('Polished Data'!L6/'Polished Data'!G6)^(1/5)-1</f>
        <v>9.4299519264327891E-2</v>
      </c>
      <c r="G13" s="118">
        <f>('Polished Data'!L7/'Polished Data'!G7)^(1/5)-1</f>
        <v>0.11518740286465379</v>
      </c>
      <c r="H13" s="121">
        <f>POWER('Polished Data'!L35/'Polished Data'!G35,1/5)-1</f>
        <v>0.26910562354905099</v>
      </c>
      <c r="I13" s="121">
        <f>('Polished Data'!L74/'Polished Data'!G74)^(1/5)-1</f>
        <v>0.27049718119927535</v>
      </c>
      <c r="J13" s="121">
        <f>('Polished Data'!L73/'Polished Data'!G73)^(1/5)-1</f>
        <v>7.159677311522028E-2</v>
      </c>
      <c r="K13" s="121">
        <f>('Polished Data'!L62/'Polished Data'!G62)^(1/5)-1</f>
        <v>2.8238873771722739E-2</v>
      </c>
      <c r="L13" s="121">
        <f>('Polished Data'!L63/'Polished Data'!G63)^(1/5)-1</f>
        <v>-0.44999520937116444</v>
      </c>
      <c r="M13" s="121">
        <f>POWER(Qualitative!D9/Qualitative!D8, 1/4)-1</f>
        <v>0</v>
      </c>
      <c r="N13" s="137">
        <f>('Polished Data'!L40/'Polished Data'!G40)^(1/5)-1</f>
        <v>-1.1022070883422996E-3</v>
      </c>
      <c r="O13" s="121">
        <f>('Polished Data'!L42/'Polished Data'!G42)^(1/5)-1</f>
        <v>7.0423068277735812E-2</v>
      </c>
      <c r="P13" s="135"/>
    </row>
    <row r="14" spans="2:27" ht="23.25" customHeight="1"/>
    <row r="15" spans="2:27" ht="36">
      <c r="D15" s="134" t="s">
        <v>247</v>
      </c>
      <c r="E15" s="134" t="s">
        <v>243</v>
      </c>
      <c r="F15" s="134" t="s">
        <v>248</v>
      </c>
      <c r="G15" s="134" t="s">
        <v>249</v>
      </c>
      <c r="H15" s="134" t="s">
        <v>250</v>
      </c>
    </row>
    <row r="16" spans="2:27" ht="15" customHeight="1">
      <c r="D16" s="117">
        <f>Qualitative!D11</f>
        <v>0</v>
      </c>
      <c r="E16" s="193">
        <f>Qualitative!D9</f>
        <v>0.65</v>
      </c>
      <c r="F16" s="193">
        <f>Qualitative!D10</f>
        <v>0</v>
      </c>
      <c r="G16" s="121">
        <f>Qualitative!D12</f>
        <v>0.183</v>
      </c>
      <c r="H16" s="121">
        <f>Qualitative!D13</f>
        <v>0</v>
      </c>
    </row>
    <row r="17" spans="4:14" ht="12.95" customHeight="1"/>
    <row r="18" spans="4:14" ht="12.95" customHeight="1">
      <c r="D18" s="125"/>
      <c r="E18" s="131"/>
      <c r="F18" s="127"/>
      <c r="G18" s="127"/>
      <c r="H18" s="131"/>
      <c r="I18" s="128"/>
      <c r="J18" s="128"/>
      <c r="K18" s="127"/>
      <c r="L18" s="132"/>
      <c r="M18" s="132"/>
      <c r="N18" s="132"/>
    </row>
    <row r="19" spans="4:14" ht="15" customHeight="1">
      <c r="F19" s="132"/>
      <c r="G19" s="132"/>
      <c r="H19" s="132"/>
      <c r="I19" s="132"/>
      <c r="J19" s="132"/>
      <c r="K19" s="132"/>
    </row>
  </sheetData>
  <sheetProtection selectLockedCells="1" selectUnlockedCells="1"/>
  <pageMargins left="0.7" right="0.7" top="0.75" bottom="0.75" header="0.51180555555555551" footer="0.51180555555555551"/>
  <pageSetup firstPageNumber="0" orientation="portrait" horizontalDpi="300" verticalDpi="300" r:id="rId1"/>
  <headerFooter alignWithMargins="0"/>
  <ignoredErrors>
    <ignoredError sqref="K3" formulaRange="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4"/>
  <sheetViews>
    <sheetView showGridLines="0" workbookViewId="0">
      <selection activeCell="B13" sqref="B13"/>
    </sheetView>
  </sheetViews>
  <sheetFormatPr defaultColWidth="9.140625" defaultRowHeight="12.75"/>
  <cols>
    <col min="1" max="1" width="28.5703125" style="8" bestFit="1" customWidth="1"/>
    <col min="2" max="2" width="10" style="8" customWidth="1"/>
    <col min="3" max="3" width="3.42578125" style="221" customWidth="1"/>
    <col min="4" max="4" width="23.140625" style="8" bestFit="1" customWidth="1"/>
    <col min="5" max="9" width="11.5703125" style="8" bestFit="1" customWidth="1"/>
    <col min="10" max="10" width="11.5703125" style="8" customWidth="1"/>
    <col min="11" max="11" width="9.28515625" style="8" bestFit="1" customWidth="1"/>
    <col min="12" max="16384" width="9.140625" style="8"/>
  </cols>
  <sheetData>
    <row r="1" spans="1:14" customFormat="1" ht="15">
      <c r="C1" s="219"/>
    </row>
    <row r="5" spans="1:14">
      <c r="A5" s="295"/>
      <c r="B5" s="295"/>
      <c r="C5" s="295"/>
      <c r="D5" s="295"/>
      <c r="E5" s="295"/>
      <c r="F5" s="295"/>
      <c r="G5" s="295"/>
      <c r="H5" s="295"/>
      <c r="I5" s="295"/>
      <c r="J5" s="295"/>
      <c r="K5" s="295"/>
    </row>
    <row r="6" spans="1:14">
      <c r="A6" s="294"/>
      <c r="B6" s="294"/>
      <c r="C6" s="294"/>
      <c r="D6" s="294"/>
      <c r="E6" s="294"/>
      <c r="F6" s="294"/>
      <c r="G6" s="294"/>
      <c r="H6" s="294"/>
      <c r="I6" s="294"/>
      <c r="J6" s="294"/>
      <c r="K6" s="294"/>
    </row>
    <row r="7" spans="1:14">
      <c r="A7" s="290" t="s">
        <v>44</v>
      </c>
      <c r="B7" s="291"/>
      <c r="C7" s="220"/>
      <c r="D7" s="215" t="s">
        <v>55</v>
      </c>
      <c r="E7" s="21" t="s">
        <v>98</v>
      </c>
      <c r="F7" s="21" t="s">
        <v>99</v>
      </c>
      <c r="G7" s="21" t="s">
        <v>100</v>
      </c>
      <c r="H7" s="21" t="s">
        <v>101</v>
      </c>
      <c r="I7" s="21" t="s">
        <v>102</v>
      </c>
      <c r="J7" s="21" t="s">
        <v>346</v>
      </c>
      <c r="K7" s="20" t="s">
        <v>31</v>
      </c>
    </row>
    <row r="8" spans="1:14">
      <c r="A8" s="9" t="s">
        <v>36</v>
      </c>
      <c r="B8" s="187">
        <f>Qualitative!D5</f>
        <v>298.8</v>
      </c>
      <c r="D8" s="8" t="s">
        <v>378</v>
      </c>
      <c r="E8" s="10">
        <f>'Polished Data'!L76</f>
        <v>6.8445534120226501</v>
      </c>
      <c r="F8" s="10">
        <f>'Polished Data'!K76</f>
        <v>4.9536107433269683</v>
      </c>
      <c r="G8" s="10">
        <f>'Polished Data'!J76</f>
        <v>4.0615415449240508</v>
      </c>
      <c r="H8" s="10">
        <f>'Polished Data'!I76</f>
        <v>3.2167179434173185</v>
      </c>
      <c r="I8" s="10">
        <f>'Polished Data'!H76</f>
        <v>3.0789892444792479</v>
      </c>
      <c r="J8" s="10"/>
    </row>
    <row r="9" spans="1:14" ht="15.75">
      <c r="A9" s="9" t="s">
        <v>425</v>
      </c>
      <c r="B9" s="16">
        <f>'Polished Data'!B39</f>
        <v>39.755617056717931</v>
      </c>
      <c r="C9" s="222"/>
      <c r="D9" s="192" t="s">
        <v>35</v>
      </c>
      <c r="E9" s="10">
        <f>'Polished Data'!L74</f>
        <v>38.882010845665285</v>
      </c>
      <c r="F9" s="10">
        <f>'Polished Data'!K74</f>
        <v>25.658051588170707</v>
      </c>
      <c r="G9" s="10">
        <f>'Polished Data'!J74</f>
        <v>18.298470956891258</v>
      </c>
      <c r="H9" s="10">
        <f>'Polished Data'!I74</f>
        <v>11.626757663517015</v>
      </c>
      <c r="I9" s="10">
        <f>'Polished Data'!H74</f>
        <v>11.490783887419473</v>
      </c>
      <c r="J9" s="10">
        <f>'Polished Data'!G74</f>
        <v>11.745734717602364</v>
      </c>
      <c r="K9" s="186">
        <f>(E9/J9)^(1/5)-1</f>
        <v>0.27049718119927535</v>
      </c>
    </row>
    <row r="10" spans="1:14" ht="15.75">
      <c r="A10" s="9" t="s">
        <v>426</v>
      </c>
      <c r="B10" s="16">
        <f>SUM(Quantitative!D49:G49)/Quantitative!K93</f>
        <v>35.362453486752393</v>
      </c>
      <c r="C10" s="222"/>
      <c r="D10" s="192" t="s">
        <v>33</v>
      </c>
      <c r="E10" s="10">
        <f>'Polished Data'!L75</f>
        <v>5.0285135416401934</v>
      </c>
      <c r="F10" s="10">
        <f>'Polished Data'!K75</f>
        <v>2.1995757898131769</v>
      </c>
      <c r="G10" s="10">
        <f>'Polished Data'!J75</f>
        <v>2.1995757898131769</v>
      </c>
      <c r="H10" s="10">
        <f>'Polished Data'!I75</f>
        <v>1.9996143543756153</v>
      </c>
      <c r="I10" s="10">
        <f>'Polished Data'!H75</f>
        <v>1.9996143543756153</v>
      </c>
      <c r="J10" s="10">
        <f>'Polished Data'!G75</f>
        <v>1.9996143543756153</v>
      </c>
      <c r="K10" s="186">
        <f>(E10/J10)^(1/5)-1</f>
        <v>0.20253763107856315</v>
      </c>
      <c r="N10" s="253"/>
    </row>
    <row r="11" spans="1:14">
      <c r="A11" s="9" t="s">
        <v>37</v>
      </c>
      <c r="B11" s="16">
        <f>'Polished Data'!L73</f>
        <v>135.84827907015645</v>
      </c>
      <c r="C11" s="222"/>
      <c r="D11" s="8" t="s">
        <v>379</v>
      </c>
      <c r="E11" s="10">
        <f>'Polished Data'!L78</f>
        <v>1.9590237124944503</v>
      </c>
      <c r="F11" s="10">
        <f>'Polished Data'!K78</f>
        <v>1.230300717191855</v>
      </c>
      <c r="G11" s="10">
        <f>'Polished Data'!J78</f>
        <v>0.96571958160913551</v>
      </c>
      <c r="H11" s="10">
        <f>'Polished Data'!I78</f>
        <v>0.43506877138869504</v>
      </c>
      <c r="I11" s="10">
        <f>'Polished Data'!H78</f>
        <v>0.33150180695288861</v>
      </c>
    </row>
    <row r="12" spans="1:14">
      <c r="A12" s="192" t="s">
        <v>42</v>
      </c>
      <c r="B12" s="191">
        <f>Analysis!M4</f>
        <v>0.28621644022141307</v>
      </c>
      <c r="C12" s="223"/>
      <c r="D12" s="192" t="s">
        <v>37</v>
      </c>
      <c r="E12" s="183">
        <f>'Polished Data'!L73</f>
        <v>135.84827907015645</v>
      </c>
      <c r="F12" s="183">
        <f>'Polished Data'!K73</f>
        <v>103.30807600446178</v>
      </c>
      <c r="G12" s="183">
        <f>'Polished Data'!J73</f>
        <v>76.958157849677121</v>
      </c>
      <c r="H12" s="183">
        <f>'Polished Data'!I73</f>
        <v>85.963421094607696</v>
      </c>
      <c r="I12" s="183">
        <f>'Polished Data'!H73</f>
        <v>106.72641674326691</v>
      </c>
      <c r="J12" s="183">
        <f>'Polished Data'!G73</f>
        <v>96.138458736848008</v>
      </c>
      <c r="K12" s="186">
        <f>(E12/J12)^(1/5)-1</f>
        <v>7.159677311522028E-2</v>
      </c>
    </row>
    <row r="13" spans="1:14">
      <c r="A13" s="9" t="s">
        <v>355</v>
      </c>
      <c r="B13" s="16">
        <f>B8/B9</f>
        <v>7.5159190605370965</v>
      </c>
      <c r="C13" s="222"/>
      <c r="D13" s="192"/>
      <c r="E13" s="11"/>
      <c r="F13" s="11"/>
      <c r="G13" s="11"/>
      <c r="H13" s="11"/>
      <c r="I13" s="11"/>
      <c r="J13" s="11"/>
      <c r="K13" s="186"/>
    </row>
    <row r="14" spans="1:14">
      <c r="A14" s="9" t="s">
        <v>39</v>
      </c>
      <c r="B14" s="211">
        <f>B9/B8</f>
        <v>0.13305092723131837</v>
      </c>
      <c r="C14" s="224"/>
      <c r="D14" s="192" t="s">
        <v>43</v>
      </c>
      <c r="E14" s="11">
        <f>E10/E9</f>
        <v>0.12932750730408255</v>
      </c>
      <c r="F14" s="11">
        <f>F10/F9</f>
        <v>8.5726532361765972E-2</v>
      </c>
      <c r="G14" s="11">
        <f>G10/G9</f>
        <v>0.12020544202819362</v>
      </c>
      <c r="H14" s="11">
        <f>H10/H9</f>
        <v>0.17198383351964916</v>
      </c>
      <c r="I14" s="11">
        <f>I10/I9</f>
        <v>0.17401896806751935</v>
      </c>
      <c r="J14" s="11"/>
      <c r="K14" s="11"/>
    </row>
    <row r="15" spans="1:14">
      <c r="A15" s="9" t="s">
        <v>40</v>
      </c>
      <c r="B15" s="211">
        <f>'Polished Data'!L75/B8</f>
        <v>1.6829027917135853E-2</v>
      </c>
      <c r="C15" s="224"/>
      <c r="D15" s="216"/>
      <c r="E15" s="204"/>
      <c r="F15" s="13"/>
      <c r="G15" s="13"/>
      <c r="H15" s="13"/>
      <c r="I15" s="13"/>
      <c r="J15" s="13"/>
      <c r="K15" s="13"/>
      <c r="M15" s="253"/>
    </row>
    <row r="16" spans="1:14">
      <c r="A16" s="9" t="s">
        <v>356</v>
      </c>
      <c r="B16" s="16">
        <f>B8/B11</f>
        <v>2.1995125889352636</v>
      </c>
      <c r="C16" s="222"/>
      <c r="D16" s="217" t="s">
        <v>47</v>
      </c>
      <c r="E16" s="15">
        <v>0</v>
      </c>
      <c r="F16" s="9">
        <v>1</v>
      </c>
      <c r="G16" s="9">
        <v>2</v>
      </c>
      <c r="H16" s="9">
        <v>3</v>
      </c>
      <c r="I16" s="9">
        <v>4</v>
      </c>
      <c r="J16" s="9">
        <v>5</v>
      </c>
      <c r="M16" s="252"/>
    </row>
    <row r="17" spans="1:13">
      <c r="A17" s="9" t="s">
        <v>289</v>
      </c>
      <c r="B17" s="16">
        <f>B13/100/K9</f>
        <v>0.27785572578666234</v>
      </c>
      <c r="C17" s="224"/>
      <c r="D17" s="192" t="s">
        <v>351</v>
      </c>
      <c r="E17" s="183">
        <f>IF($A$29=1, IF($A$28=2,$B$9*(1+$K$9)^E16, $E$12*(1+$K$12)^E16), IF($A$28=2,$B$9*(1+Qualitative!$D$16)^E16, $E$12*(1+Qualitative!$D$16)^E16))</f>
        <v>39.755617056717931</v>
      </c>
      <c r="F17" s="183">
        <f>IF($A$29=1, IF($A$28=2,$B$9*(1+$K$9)^F16, $E$12*(1+$K$12)^F16), IF($A$28=2,$B$9*(1+Qualitative!$D$16)^F16, $E$12*(1+Qualitative!$D$16)^F16))</f>
        <v>50.509399407397964</v>
      </c>
      <c r="G17" s="183">
        <f>IF($A$29=1, IF($A$28=2,$B$9*(1+$K$9)^G16, $E$12*(1+$K$12)^G16), IF($A$28=2,$B$9*(1+Qualitative!$D$16)^G16, $E$12*(1+Qualitative!$D$16)^G16))</f>
        <v>64.172049571167463</v>
      </c>
      <c r="H17" s="183">
        <f>IF($A$29=1, IF($A$28=2,$B$9*(1+$K$9)^H16, $E$12*(1+$K$12)^H16), IF($A$28=2,$B$9*(1+Qualitative!$D$16)^H16, $E$12*(1+Qualitative!$D$16)^H16))</f>
        <v>81.530408091948431</v>
      </c>
      <c r="I17" s="183">
        <f>IF($A$29=1, IF($A$28=2,$B$9*(1+$K$9)^I16, $E$12*(1+$K$12)^I16), IF($A$28=2,$B$9*(1+Qualitative!$D$16)^I16, $E$12*(1+Qualitative!$D$16)^I16))</f>
        <v>103.58415366284707</v>
      </c>
      <c r="J17" s="183">
        <f>IF($A$29=1, IF($A$28=2,$B$9*(1+$K$9)^J16, $E$12*(1+$K$12)^J16), IF($A$28=2,$B$9*(1+Qualitative!$D$16)^J16, $E$12*(1+Qualitative!$D$16)^J16))</f>
        <v>131.60337524555979</v>
      </c>
      <c r="M17" s="255"/>
    </row>
    <row r="18" spans="1:13">
      <c r="A18" s="292" t="s">
        <v>45</v>
      </c>
      <c r="B18" s="293"/>
      <c r="C18" s="225"/>
      <c r="D18" s="192" t="s">
        <v>33</v>
      </c>
      <c r="E18" s="10">
        <f>E10</f>
        <v>5.0285135416401934</v>
      </c>
      <c r="F18" s="10">
        <f>F17*B20</f>
        <v>6.8820297534893138</v>
      </c>
      <c r="G18" s="10">
        <f>G17*B20</f>
        <v>8.7435994027377166</v>
      </c>
      <c r="H18" s="10">
        <f>H17*B20</f>
        <v>11.108718394713938</v>
      </c>
      <c r="I18" s="10">
        <f>I17*B20</f>
        <v>14.113595407220595</v>
      </c>
      <c r="J18" s="10">
        <f>J17*B20</f>
        <v>17.931283181460806</v>
      </c>
      <c r="M18" s="254"/>
    </row>
    <row r="19" spans="1:13">
      <c r="A19" s="9" t="s">
        <v>369</v>
      </c>
      <c r="B19" s="212">
        <f>Analysis!M3</f>
        <v>0.20813129722921903</v>
      </c>
      <c r="C19" s="226"/>
      <c r="D19" s="192"/>
      <c r="E19" s="12"/>
      <c r="F19" s="13"/>
      <c r="G19" s="13"/>
      <c r="H19" s="13"/>
      <c r="I19" s="13"/>
      <c r="J19" s="13"/>
      <c r="K19" s="13"/>
    </row>
    <row r="20" spans="1:13">
      <c r="A20" s="9" t="s">
        <v>46</v>
      </c>
      <c r="B20" s="211">
        <f>AVERAGE(E14:I14)</f>
        <v>0.13625245665624214</v>
      </c>
      <c r="C20" s="224"/>
      <c r="D20" s="192" t="s">
        <v>350</v>
      </c>
      <c r="E20" s="187">
        <f>J17</f>
        <v>131.60337524555979</v>
      </c>
      <c r="F20" s="13"/>
      <c r="G20" s="13"/>
      <c r="H20" s="13"/>
      <c r="I20" s="13"/>
      <c r="J20" s="13"/>
      <c r="K20" s="13"/>
    </row>
    <row r="21" spans="1:13">
      <c r="A21" s="9" t="s">
        <v>348</v>
      </c>
      <c r="B21" s="16">
        <f>AVERAGE(E8:I8,B13)</f>
        <v>4.9452219914512225</v>
      </c>
      <c r="C21" s="222"/>
      <c r="D21" s="8" t="s">
        <v>380</v>
      </c>
      <c r="E21" s="206">
        <f>B8*B24</f>
        <v>23.904</v>
      </c>
    </row>
    <row r="22" spans="1:13">
      <c r="A22" s="9" t="s">
        <v>349</v>
      </c>
      <c r="B22" s="16">
        <f>AVERAGE(E11:I11,B16)</f>
        <v>1.1868545297620481</v>
      </c>
      <c r="C22" s="222"/>
      <c r="D22" s="192" t="s">
        <v>49</v>
      </c>
      <c r="E22" s="187">
        <f>SUM(E18:J18)</f>
        <v>63.807739681262561</v>
      </c>
      <c r="F22" s="13"/>
      <c r="G22" s="189"/>
      <c r="H22" s="13"/>
      <c r="I22" s="13"/>
      <c r="J22" s="13"/>
      <c r="K22" s="13"/>
    </row>
    <row r="23" spans="1:13">
      <c r="A23" s="79" t="s">
        <v>75</v>
      </c>
      <c r="B23" s="213"/>
      <c r="C23" s="227"/>
      <c r="D23" s="192" t="s">
        <v>50</v>
      </c>
      <c r="E23" s="187">
        <f>IF(A28=2, E20*B21, E20*B22)</f>
        <v>650.80790541354975</v>
      </c>
      <c r="F23" s="13"/>
      <c r="G23" s="13"/>
      <c r="H23" s="13"/>
      <c r="I23" s="13"/>
      <c r="J23" s="13"/>
      <c r="K23" s="13"/>
    </row>
    <row r="24" spans="1:13">
      <c r="A24" s="8" t="s">
        <v>136</v>
      </c>
      <c r="B24" s="214">
        <f>Qualitative!D17</f>
        <v>0.08</v>
      </c>
      <c r="C24" s="228"/>
      <c r="D24" s="192" t="s">
        <v>367</v>
      </c>
      <c r="E24" s="187">
        <f>E23+E22</f>
        <v>714.61564509481229</v>
      </c>
      <c r="F24" s="231"/>
      <c r="G24" s="13"/>
      <c r="H24" s="13"/>
      <c r="I24" s="13"/>
      <c r="J24" s="13"/>
      <c r="K24" s="13"/>
    </row>
    <row r="25" spans="1:13">
      <c r="A25" s="9" t="s">
        <v>347</v>
      </c>
      <c r="B25" s="187">
        <f>IF(A28=2, B21*B9, B22*B11)</f>
        <v>196.60035175259483</v>
      </c>
      <c r="C25" s="229"/>
      <c r="D25" s="218"/>
      <c r="E25" s="14"/>
      <c r="F25" s="13"/>
      <c r="G25" s="13"/>
      <c r="H25" s="13"/>
      <c r="I25" s="13"/>
      <c r="J25" s="13"/>
      <c r="K25" s="13"/>
    </row>
    <row r="26" spans="1:13">
      <c r="A26" s="9" t="s">
        <v>53</v>
      </c>
      <c r="B26" s="187">
        <f>E24/((1+B24)^5)</f>
        <v>486.35540038896517</v>
      </c>
      <c r="C26" s="229"/>
      <c r="D26" s="217" t="s">
        <v>52</v>
      </c>
      <c r="E26" s="15" t="s">
        <v>76</v>
      </c>
      <c r="F26" s="9">
        <v>1</v>
      </c>
      <c r="G26" s="9">
        <v>2</v>
      </c>
      <c r="H26" s="9">
        <v>3</v>
      </c>
      <c r="I26" s="9">
        <v>4</v>
      </c>
      <c r="J26" s="9">
        <v>5</v>
      </c>
    </row>
    <row r="27" spans="1:13">
      <c r="A27" s="9" t="s">
        <v>54</v>
      </c>
      <c r="B27" s="187">
        <f>E32/(1+B24)^5</f>
        <v>394.93796346310779</v>
      </c>
      <c r="C27" s="229"/>
      <c r="D27" s="192" t="s">
        <v>37</v>
      </c>
      <c r="E27" s="183">
        <f>E12</f>
        <v>135.84827907015645</v>
      </c>
      <c r="F27" s="183">
        <f>E27+E28-E29</f>
        <v>169.43252041836519</v>
      </c>
      <c r="G27" s="183">
        <f>F27+F28-F29</f>
        <v>211.31941583517826</v>
      </c>
      <c r="H27" s="183">
        <f>G27+G28-G29</f>
        <v>263.56153705708925</v>
      </c>
      <c r="I27" s="183">
        <f>H27+H28-H29</f>
        <v>328.71889003363253</v>
      </c>
      <c r="J27" s="183">
        <f>I27+I28-I29</f>
        <v>409.98436217776992</v>
      </c>
    </row>
    <row r="28" spans="1:13">
      <c r="A28" s="188">
        <v>2</v>
      </c>
      <c r="D28" s="192" t="s">
        <v>35</v>
      </c>
      <c r="E28" s="183">
        <f t="shared" ref="E28:J28" si="0">IF($A$30=1, E27*$B$12, E27*$B$19)</f>
        <v>38.882010845665278</v>
      </c>
      <c r="F28" s="183">
        <f t="shared" si="0"/>
        <v>48.494372851886368</v>
      </c>
      <c r="G28" s="183">
        <f t="shared" si="0"/>
        <v>60.483090950013228</v>
      </c>
      <c r="H28" s="183">
        <f t="shared" si="0"/>
        <v>75.435644915764129</v>
      </c>
      <c r="I28" s="183">
        <f t="shared" si="0"/>
        <v>94.084750538960449</v>
      </c>
      <c r="J28" s="183">
        <f t="shared" si="0"/>
        <v>117.34426468896785</v>
      </c>
    </row>
    <row r="29" spans="1:13">
      <c r="A29" s="188">
        <v>1</v>
      </c>
      <c r="D29" s="192" t="s">
        <v>33</v>
      </c>
      <c r="E29" s="10">
        <f>E28*B20</f>
        <v>5.297769497456545</v>
      </c>
      <c r="F29" s="10">
        <f>F28*B20</f>
        <v>6.6074774350732932</v>
      </c>
      <c r="G29" s="10">
        <f>G28*B20</f>
        <v>8.2409697281022289</v>
      </c>
      <c r="H29" s="10">
        <f>H28*B20</f>
        <v>10.278291939220825</v>
      </c>
      <c r="I29" s="10">
        <f>I28*B20</f>
        <v>12.819278394823062</v>
      </c>
      <c r="J29" s="10">
        <f>J28*B20</f>
        <v>15.988444338392197</v>
      </c>
    </row>
    <row r="30" spans="1:13">
      <c r="A30" s="188">
        <v>1</v>
      </c>
      <c r="D30" s="192" t="s">
        <v>48</v>
      </c>
      <c r="E30" s="16">
        <f>J28</f>
        <v>117.34426468896785</v>
      </c>
      <c r="F30" s="13"/>
      <c r="G30" s="13"/>
      <c r="H30" s="13"/>
      <c r="I30" s="13"/>
      <c r="J30" s="13"/>
      <c r="K30" s="13"/>
    </row>
    <row r="31" spans="1:13">
      <c r="D31" s="192" t="s">
        <v>49</v>
      </c>
      <c r="E31" s="16">
        <f>SUM(E29:J29)</f>
        <v>59.232231333068157</v>
      </c>
      <c r="F31" s="13"/>
      <c r="G31" s="13"/>
      <c r="H31" s="13"/>
      <c r="I31" s="13"/>
      <c r="J31" s="13"/>
      <c r="K31" s="13"/>
    </row>
    <row r="32" spans="1:13">
      <c r="D32" s="192" t="s">
        <v>50</v>
      </c>
      <c r="E32" s="16">
        <f>B21*E30</f>
        <v>580.29343831055701</v>
      </c>
      <c r="F32" s="13"/>
      <c r="G32" s="13"/>
      <c r="H32" s="13"/>
      <c r="I32" s="13"/>
      <c r="J32" s="13"/>
      <c r="K32" s="13"/>
    </row>
    <row r="33" spans="4:11">
      <c r="D33" s="192" t="s">
        <v>51</v>
      </c>
      <c r="E33" s="16">
        <f>E32+E31</f>
        <v>639.52566964362518</v>
      </c>
      <c r="F33" s="13"/>
      <c r="G33" s="13"/>
      <c r="H33" s="13"/>
      <c r="I33" s="13"/>
      <c r="J33" s="13"/>
      <c r="K33" s="13"/>
    </row>
    <row r="34" spans="4:11">
      <c r="D34" s="218"/>
      <c r="E34" s="14"/>
      <c r="F34" s="13"/>
      <c r="G34" s="13"/>
      <c r="H34" s="13"/>
      <c r="I34" s="13"/>
      <c r="J34" s="13"/>
      <c r="K34" s="13"/>
    </row>
  </sheetData>
  <mergeCells count="4">
    <mergeCell ref="A7:B7"/>
    <mergeCell ref="A18:B18"/>
    <mergeCell ref="A6:K6"/>
    <mergeCell ref="A5:K5"/>
  </mergeCells>
  <conditionalFormatting sqref="D38:D40">
    <cfRule type="dataBar" priority="1">
      <dataBar>
        <cfvo type="min"/>
        <cfvo type="num" val="100"/>
        <color rgb="FF638EC6"/>
      </dataBar>
      <extLst>
        <ext xmlns:x14="http://schemas.microsoft.com/office/spreadsheetml/2009/9/main" uri="{B025F937-C7B1-47D3-B67F-A62EFF666E3E}">
          <x14:id>{D914B9DC-299D-44FF-A203-01BF9B054035}</x14:id>
        </ext>
      </extLst>
    </cfRule>
    <cfRule type="dataBar" priority="2">
      <dataBar>
        <cfvo type="min"/>
        <cfvo type="max"/>
        <color rgb="FF638EC6"/>
      </dataBar>
      <extLst>
        <ext xmlns:x14="http://schemas.microsoft.com/office/spreadsheetml/2009/9/main" uri="{B025F937-C7B1-47D3-B67F-A62EFF666E3E}">
          <x14:id>{4E3A4DC6-A725-47CF-9D19-BB327F40E9AA}</x14:id>
        </ext>
      </extLst>
    </cfRule>
  </conditionalFormatting>
  <pageMargins left="0.70866141732283472" right="0.70866141732283472" top="0.74803149606299213" bottom="0.74803149606299213" header="0.31496062992125984" footer="0.31496062992125984"/>
  <pageSetup paperSize="9" scale="89" orientation="landscape" r:id="rId1"/>
  <ignoredErrors>
    <ignoredError sqref="B10"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6386" r:id="rId4" name="Group Box 2">
              <controlPr defaultSize="0" autoFill="0" autoPict="0">
                <anchor moveWithCells="1">
                  <from>
                    <xdr:col>0</xdr:col>
                    <xdr:colOff>361950</xdr:colOff>
                    <xdr:row>1</xdr:row>
                    <xdr:rowOff>133350</xdr:rowOff>
                  </from>
                  <to>
                    <xdr:col>1</xdr:col>
                    <xdr:colOff>352425</xdr:colOff>
                    <xdr:row>4</xdr:row>
                    <xdr:rowOff>114300</xdr:rowOff>
                  </to>
                </anchor>
              </controlPr>
            </control>
          </mc:Choice>
        </mc:AlternateContent>
        <mc:AlternateContent xmlns:mc="http://schemas.openxmlformats.org/markup-compatibility/2006">
          <mc:Choice Requires="x14">
            <control shapeId="16387" r:id="rId5" name="Option Button 3">
              <controlPr defaultSize="0" autoFill="0" autoLine="0" autoPict="0">
                <anchor moveWithCells="1">
                  <from>
                    <xdr:col>0</xdr:col>
                    <xdr:colOff>504825</xdr:colOff>
                    <xdr:row>2</xdr:row>
                    <xdr:rowOff>133350</xdr:rowOff>
                  </from>
                  <to>
                    <xdr:col>0</xdr:col>
                    <xdr:colOff>1133475</xdr:colOff>
                    <xdr:row>4</xdr:row>
                    <xdr:rowOff>28575</xdr:rowOff>
                  </to>
                </anchor>
              </controlPr>
            </control>
          </mc:Choice>
        </mc:AlternateContent>
        <mc:AlternateContent xmlns:mc="http://schemas.openxmlformats.org/markup-compatibility/2006">
          <mc:Choice Requires="x14">
            <control shapeId="16388" r:id="rId6" name="Option Button 4">
              <controlPr defaultSize="0" autoFill="0" autoLine="0" autoPict="0">
                <anchor moveWithCells="1">
                  <from>
                    <xdr:col>0</xdr:col>
                    <xdr:colOff>1381125</xdr:colOff>
                    <xdr:row>2</xdr:row>
                    <xdr:rowOff>133350</xdr:rowOff>
                  </from>
                  <to>
                    <xdr:col>0</xdr:col>
                    <xdr:colOff>2066925</xdr:colOff>
                    <xdr:row>4</xdr:row>
                    <xdr:rowOff>28575</xdr:rowOff>
                  </to>
                </anchor>
              </controlPr>
            </control>
          </mc:Choice>
        </mc:AlternateContent>
        <mc:AlternateContent xmlns:mc="http://schemas.openxmlformats.org/markup-compatibility/2006">
          <mc:Choice Requires="x14">
            <control shapeId="16389" r:id="rId7" name="Group Box 5">
              <controlPr defaultSize="0" autoFill="0" autoPict="0">
                <anchor moveWithCells="1">
                  <from>
                    <xdr:col>3</xdr:col>
                    <xdr:colOff>228600</xdr:colOff>
                    <xdr:row>1</xdr:row>
                    <xdr:rowOff>133350</xdr:rowOff>
                  </from>
                  <to>
                    <xdr:col>4</xdr:col>
                    <xdr:colOff>771525</xdr:colOff>
                    <xdr:row>4</xdr:row>
                    <xdr:rowOff>104775</xdr:rowOff>
                  </to>
                </anchor>
              </controlPr>
            </control>
          </mc:Choice>
        </mc:AlternateContent>
        <mc:AlternateContent xmlns:mc="http://schemas.openxmlformats.org/markup-compatibility/2006">
          <mc:Choice Requires="x14">
            <control shapeId="16390" r:id="rId8" name="Option Button 6">
              <controlPr defaultSize="0" autoFill="0" autoLine="0" autoPict="0">
                <anchor moveWithCells="1">
                  <from>
                    <xdr:col>3</xdr:col>
                    <xdr:colOff>400050</xdr:colOff>
                    <xdr:row>2</xdr:row>
                    <xdr:rowOff>142875</xdr:rowOff>
                  </from>
                  <to>
                    <xdr:col>3</xdr:col>
                    <xdr:colOff>1038225</xdr:colOff>
                    <xdr:row>4</xdr:row>
                    <xdr:rowOff>38100</xdr:rowOff>
                  </to>
                </anchor>
              </controlPr>
            </control>
          </mc:Choice>
        </mc:AlternateContent>
        <mc:AlternateContent xmlns:mc="http://schemas.openxmlformats.org/markup-compatibility/2006">
          <mc:Choice Requires="x14">
            <control shapeId="16391" r:id="rId9" name="Option Button 7">
              <controlPr defaultSize="0" autoFill="0" autoLine="0" autoPict="0">
                <anchor moveWithCells="1">
                  <from>
                    <xdr:col>3</xdr:col>
                    <xdr:colOff>1390650</xdr:colOff>
                    <xdr:row>2</xdr:row>
                    <xdr:rowOff>152400</xdr:rowOff>
                  </from>
                  <to>
                    <xdr:col>4</xdr:col>
                    <xdr:colOff>323850</xdr:colOff>
                    <xdr:row>4</xdr:row>
                    <xdr:rowOff>47625</xdr:rowOff>
                  </to>
                </anchor>
              </controlPr>
            </control>
          </mc:Choice>
        </mc:AlternateContent>
        <mc:AlternateContent xmlns:mc="http://schemas.openxmlformats.org/markup-compatibility/2006">
          <mc:Choice Requires="x14">
            <control shapeId="16392" r:id="rId10" name="Group Box 8">
              <controlPr defaultSize="0" autoFill="0" autoPict="0">
                <anchor moveWithCells="1">
                  <from>
                    <xdr:col>5</xdr:col>
                    <xdr:colOff>342900</xdr:colOff>
                    <xdr:row>1</xdr:row>
                    <xdr:rowOff>152400</xdr:rowOff>
                  </from>
                  <to>
                    <xdr:col>7</xdr:col>
                    <xdr:colOff>704850</xdr:colOff>
                    <xdr:row>4</xdr:row>
                    <xdr:rowOff>123825</xdr:rowOff>
                  </to>
                </anchor>
              </controlPr>
            </control>
          </mc:Choice>
        </mc:AlternateContent>
        <mc:AlternateContent xmlns:mc="http://schemas.openxmlformats.org/markup-compatibility/2006">
          <mc:Choice Requires="x14">
            <control shapeId="16393" r:id="rId11" name="Option Button 9">
              <controlPr defaultSize="0" autoFill="0" autoLine="0" autoPict="0">
                <anchor moveWithCells="1">
                  <from>
                    <xdr:col>5</xdr:col>
                    <xdr:colOff>552450</xdr:colOff>
                    <xdr:row>3</xdr:row>
                    <xdr:rowOff>0</xdr:rowOff>
                  </from>
                  <to>
                    <xdr:col>6</xdr:col>
                    <xdr:colOff>361950</xdr:colOff>
                    <xdr:row>4</xdr:row>
                    <xdr:rowOff>57150</xdr:rowOff>
                  </to>
                </anchor>
              </controlPr>
            </control>
          </mc:Choice>
        </mc:AlternateContent>
        <mc:AlternateContent xmlns:mc="http://schemas.openxmlformats.org/markup-compatibility/2006">
          <mc:Choice Requires="x14">
            <control shapeId="16394" r:id="rId12" name="Option Button 10">
              <controlPr defaultSize="0" autoFill="0" autoLine="0" autoPict="0">
                <anchor moveWithCells="1">
                  <from>
                    <xdr:col>6</xdr:col>
                    <xdr:colOff>638175</xdr:colOff>
                    <xdr:row>2</xdr:row>
                    <xdr:rowOff>152400</xdr:rowOff>
                  </from>
                  <to>
                    <xdr:col>7</xdr:col>
                    <xdr:colOff>485775</xdr:colOff>
                    <xdr:row>4</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D914B9DC-299D-44FF-A203-01BF9B054035}">
            <x14:dataBar minLength="0" maxLength="100" gradient="0">
              <x14:cfvo type="autoMin"/>
              <x14:cfvo type="num">
                <xm:f>100</xm:f>
              </x14:cfvo>
              <x14:negativeFillColor rgb="FFFF0000"/>
              <x14:axisColor rgb="FF000000"/>
            </x14:dataBar>
          </x14:cfRule>
          <x14:cfRule type="dataBar" id="{4E3A4DC6-A725-47CF-9D19-BB327F40E9AA}">
            <x14:dataBar minLength="0" maxLength="100" border="1" negativeBarBorderColorSameAsPositive="0">
              <x14:cfvo type="autoMin"/>
              <x14:cfvo type="autoMax"/>
              <x14:borderColor rgb="FF638EC6"/>
              <x14:negativeFillColor rgb="FFFF0000"/>
              <x14:negativeBorderColor rgb="FFFF0000"/>
              <x14:axisColor rgb="FF000000"/>
            </x14:dataBar>
          </x14:cfRule>
          <xm:sqref>D38:D40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3"/>
  <sheetViews>
    <sheetView showGridLines="0" workbookViewId="0">
      <selection activeCell="C5" sqref="C5"/>
    </sheetView>
  </sheetViews>
  <sheetFormatPr defaultRowHeight="15"/>
  <cols>
    <col min="2" max="2" width="16" bestFit="1" customWidth="1"/>
    <col min="3" max="3" width="11.42578125" bestFit="1" customWidth="1"/>
    <col min="9" max="9" width="18" bestFit="1" customWidth="1"/>
  </cols>
  <sheetData>
    <row r="2" spans="2:10" ht="30">
      <c r="B2" s="48"/>
      <c r="C2" s="49" t="s">
        <v>102</v>
      </c>
      <c r="D2" s="49" t="s">
        <v>101</v>
      </c>
      <c r="E2" s="49" t="s">
        <v>100</v>
      </c>
      <c r="F2" s="49" t="s">
        <v>99</v>
      </c>
      <c r="G2" s="49" t="s">
        <v>98</v>
      </c>
      <c r="I2" s="236"/>
      <c r="J2" s="236" t="s">
        <v>246</v>
      </c>
    </row>
    <row r="3" spans="2:10">
      <c r="B3" s="50" t="s">
        <v>104</v>
      </c>
      <c r="C3" s="51">
        <f>SUM('Polished Data'!H35:H35)/SUM('Polished Data'!H26:H26)</f>
        <v>5.4090684486693713E-2</v>
      </c>
      <c r="D3" s="51">
        <f>SUM('Polished Data'!I35:I35)/SUM('Polished Data'!I26:I26)</f>
        <v>5.2279236223198348E-2</v>
      </c>
      <c r="E3" s="51">
        <f>SUM('Polished Data'!J35:J35)/SUM('Polished Data'!J26:J26)</f>
        <v>7.7106180038001154E-2</v>
      </c>
      <c r="F3" s="51">
        <f>SUM('Polished Data'!K35:K35)/SUM('Polished Data'!K26:K26)</f>
        <v>0.10134705531575434</v>
      </c>
      <c r="G3" s="51">
        <f>SUM('Polished Data'!L35:L35)/SUM('Polished Data'!L26:L26)</f>
        <v>0.13909087639802922</v>
      </c>
      <c r="I3" s="237" t="s">
        <v>415</v>
      </c>
      <c r="J3" s="238">
        <f>POWER('Polished Data'!L35/'Polished Data'!G35,1/5)-1</f>
        <v>0.26910562354905099</v>
      </c>
    </row>
    <row r="4" spans="2:10">
      <c r="B4" s="50" t="s">
        <v>62</v>
      </c>
      <c r="C4" s="52">
        <f>'Polished Data'!H25/'Polished Data'!H60</f>
        <v>0.73366437896230274</v>
      </c>
      <c r="D4" s="52">
        <f>'Polished Data'!I25/'Polished Data'!I60</f>
        <v>0.77311110802978411</v>
      </c>
      <c r="E4" s="52">
        <f>'Polished Data'!J25/'Polished Data'!J60</f>
        <v>0.85216565105264297</v>
      </c>
      <c r="F4" s="52">
        <f>'Polished Data'!K25/'Polished Data'!K60</f>
        <v>0.86946072524101659</v>
      </c>
      <c r="G4" s="52">
        <f>'Polished Data'!L25/'Polished Data'!L60</f>
        <v>0.80258069709872837</v>
      </c>
      <c r="I4" s="237" t="s">
        <v>239</v>
      </c>
      <c r="J4" s="238">
        <f>POWER('Polished Data'!L26/'Polished Data'!G26,1/5)-1</f>
        <v>7.9517593591666103E-2</v>
      </c>
    </row>
    <row r="5" spans="2:10">
      <c r="B5" s="50" t="s">
        <v>105</v>
      </c>
      <c r="C5" s="52">
        <f>'Polished Data'!H60/SUM('Polished Data'!H40:H41)</f>
        <v>2.7203855846065927</v>
      </c>
      <c r="D5" s="52">
        <f>'Polished Data'!I60/SUM('Polished Data'!I40:I41)</f>
        <v>3.3551523610141896</v>
      </c>
      <c r="E5" s="52">
        <f>'Polished Data'!J60/SUM('Polished Data'!J40:J41)</f>
        <v>3.6371454925753186</v>
      </c>
      <c r="F5" s="52">
        <f>'Polished Data'!K60/SUM('Polished Data'!K40:K41)</f>
        <v>2.826881387426448</v>
      </c>
      <c r="G5" s="52">
        <f>'Polished Data'!L60/SUM('Polished Data'!L40:L41)</f>
        <v>2.5738759139212033</v>
      </c>
      <c r="I5" s="237" t="s">
        <v>385</v>
      </c>
      <c r="J5" s="238">
        <f>POWER('Polished Data'!L60/'Polished Data'!G60,1/5)-1</f>
        <v>4.5725554755063458E-2</v>
      </c>
    </row>
    <row r="6" spans="2:10">
      <c r="B6" s="53" t="s">
        <v>42</v>
      </c>
      <c r="C6" s="54">
        <f t="shared" ref="C6" si="0">C3*C4*C5</f>
        <v>0.10795689265810356</v>
      </c>
      <c r="D6" s="54">
        <f>D3*D4*D5</f>
        <v>0.13560740148223527</v>
      </c>
      <c r="E6" s="54">
        <f>E3*E4*E5</f>
        <v>0.23898678492959988</v>
      </c>
      <c r="F6" s="54">
        <f>F3*F4*F5</f>
        <v>0.24909711066042958</v>
      </c>
      <c r="G6" s="54">
        <f>G3*G4*G5</f>
        <v>0.28732602170290583</v>
      </c>
      <c r="I6" s="237" t="s">
        <v>386</v>
      </c>
      <c r="J6" s="238">
        <f>POWER(SUM('Polished Data'!L40:L41)/SUM('Polished Data'!G40:G41),1/5)-1</f>
        <v>7.0423068277735812E-2</v>
      </c>
    </row>
    <row r="8" spans="2:10">
      <c r="B8" s="47" t="s">
        <v>107</v>
      </c>
    </row>
    <row r="9" spans="2:10">
      <c r="B9" s="46"/>
    </row>
    <row r="10" spans="2:10">
      <c r="B10" s="46" t="s">
        <v>110</v>
      </c>
    </row>
    <row r="11" spans="2:10">
      <c r="B11" s="46" t="s">
        <v>109</v>
      </c>
    </row>
    <row r="12" spans="2:10">
      <c r="B12" s="46" t="s">
        <v>108</v>
      </c>
    </row>
    <row r="16" spans="2:10">
      <c r="B16" s="77"/>
    </row>
    <row r="20" spans="3:6">
      <c r="C20" s="302" t="s">
        <v>129</v>
      </c>
      <c r="D20" s="296">
        <f>'Polished Data'!L35-'Polished Data'!H35</f>
        <v>271.83000000000004</v>
      </c>
      <c r="F20" s="300">
        <f>D20/D22</f>
        <v>0.95580168776371366</v>
      </c>
    </row>
    <row r="21" spans="3:6" ht="15.75" thickBot="1">
      <c r="C21" s="303"/>
      <c r="D21" s="296"/>
      <c r="E21" s="299" t="s">
        <v>128</v>
      </c>
      <c r="F21" s="301"/>
    </row>
    <row r="22" spans="3:6" ht="15.75" thickTop="1">
      <c r="C22" s="304" t="s">
        <v>130</v>
      </c>
      <c r="D22" s="297">
        <f>'Polished Data'!L41-'Polished Data'!H41</f>
        <v>284.39999999999986</v>
      </c>
      <c r="E22" s="299"/>
    </row>
    <row r="23" spans="3:6">
      <c r="C23" s="304"/>
      <c r="D23" s="298"/>
    </row>
  </sheetData>
  <mergeCells count="6">
    <mergeCell ref="D20:D21"/>
    <mergeCell ref="D22:D23"/>
    <mergeCell ref="E21:E22"/>
    <mergeCell ref="F20:F21"/>
    <mergeCell ref="C20:C21"/>
    <mergeCell ref="C22:C23"/>
  </mergeCells>
  <pageMargins left="0.7" right="0.7" top="0.75" bottom="0.75" header="0.3" footer="0.3"/>
  <pageSetup scale="7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3"/>
  <sheetViews>
    <sheetView showGridLines="0" workbookViewId="0">
      <selection activeCell="E22" sqref="E22"/>
    </sheetView>
  </sheetViews>
  <sheetFormatPr defaultColWidth="9.140625" defaultRowHeight="14.25"/>
  <cols>
    <col min="1" max="1" width="6" style="29" customWidth="1"/>
    <col min="2" max="2" width="56.42578125" style="29" customWidth="1"/>
    <col min="3" max="7" width="11.5703125" style="29" bestFit="1" customWidth="1"/>
    <col min="8" max="16384" width="9.140625" style="29"/>
  </cols>
  <sheetData>
    <row r="1" spans="2:12">
      <c r="B1" s="305"/>
      <c r="C1" s="306"/>
      <c r="D1" s="306"/>
      <c r="E1" s="306"/>
      <c r="F1" s="306"/>
      <c r="G1" s="306"/>
    </row>
    <row r="2" spans="2:12" ht="15">
      <c r="B2" s="307" t="s">
        <v>96</v>
      </c>
      <c r="C2" s="307"/>
      <c r="D2" s="307"/>
      <c r="E2" s="307"/>
      <c r="F2" s="307"/>
      <c r="G2" s="307"/>
    </row>
    <row r="3" spans="2:12">
      <c r="B3" s="30" t="s">
        <v>91</v>
      </c>
      <c r="C3" s="31" t="s">
        <v>98</v>
      </c>
      <c r="D3" s="31" t="s">
        <v>99</v>
      </c>
      <c r="E3" s="31" t="s">
        <v>100</v>
      </c>
      <c r="F3" s="31" t="s">
        <v>101</v>
      </c>
      <c r="G3" s="31" t="s">
        <v>102</v>
      </c>
    </row>
    <row r="4" spans="2:12">
      <c r="B4" s="22" t="s">
        <v>57</v>
      </c>
      <c r="C4" s="181">
        <f>SUM('Polished Data'!L35:L35)/SUM('Polished Data'!L60:L60)</f>
        <v>0.11120055892102937</v>
      </c>
      <c r="D4" s="181">
        <f>SUM('Polished Data'!K35:K35)/SUM('Polished Data'!K60:K60)</f>
        <v>8.7858101446099915E-2</v>
      </c>
      <c r="E4" s="181">
        <f>SUM('Polished Data'!J35:J35)/SUM('Polished Data'!J60:J60)</f>
        <v>6.5373157785699465E-2</v>
      </c>
      <c r="F4" s="181">
        <f>SUM('Polished Data'!I35:I35)/SUM('Polished Data'!I60:I60)</f>
        <v>4.0308379206589105E-2</v>
      </c>
      <c r="G4" s="181">
        <f>SUM('Polished Data'!H35:H35)/SUM('Polished Data'!H60:H60)</f>
        <v>3.9580843890865074E-2</v>
      </c>
    </row>
    <row r="5" spans="2:12">
      <c r="B5" s="22" t="s">
        <v>341</v>
      </c>
      <c r="C5" s="23">
        <f>'Polished Data'!L45/'Polished Data'!L60</f>
        <v>0.41133885162429235</v>
      </c>
      <c r="D5" s="23">
        <f>'Polished Data'!K45/'Polished Data'!K60</f>
        <v>0.45368303571428575</v>
      </c>
      <c r="E5" s="23">
        <f>'Polished Data'!J45/'Polished Data'!J60</f>
        <v>0.47275701702373896</v>
      </c>
      <c r="F5" s="23">
        <f>'Polished Data'!I45/'Polished Data'!I60</f>
        <v>0.45386791275530713</v>
      </c>
      <c r="G5" s="23">
        <f>'Polished Data'!H45/'Polished Data'!H60</f>
        <v>0.40451043930122288</v>
      </c>
    </row>
    <row r="6" spans="2:12">
      <c r="B6" s="22" t="s">
        <v>58</v>
      </c>
      <c r="C6" s="23">
        <f>SUM('Polished Data'!L9:L9)/SUM('Polished Data'!L10:L10)</f>
        <v>1.5001149227144746</v>
      </c>
      <c r="D6" s="23">
        <f>SUM('Polished Data'!K9:K9)/SUM('Polished Data'!K10:K10)</f>
        <v>1.4764351366246511</v>
      </c>
      <c r="E6" s="23">
        <f>SUM('Polished Data'!J9:J9)/SUM('Polished Data'!J10:J10)</f>
        <v>1.2156438026474126</v>
      </c>
      <c r="F6" s="23">
        <f>SUM('Polished Data'!I9:I9)/SUM('Polished Data'!I10:I10)</f>
        <v>1.3933571807841714</v>
      </c>
      <c r="G6" s="23">
        <f>SUM('Polished Data'!H9:H9)/SUM('Polished Data'!H10:H10)</f>
        <v>1.5050544734734583</v>
      </c>
    </row>
    <row r="7" spans="2:12">
      <c r="B7" s="22" t="s">
        <v>59</v>
      </c>
      <c r="C7" s="25">
        <f>'Polished Data'!L29/'Polished Data'!L26</f>
        <v>0.25942748228863227</v>
      </c>
      <c r="D7" s="25">
        <f>'Polished Data'!K29/'Polished Data'!K26</f>
        <v>0.24573985364447376</v>
      </c>
      <c r="E7" s="25">
        <f>'Polished Data'!J29/'Polished Data'!J26</f>
        <v>0.21364082557791714</v>
      </c>
      <c r="F7" s="25">
        <f>'Polished Data'!I29/'Polished Data'!I26</f>
        <v>0.18135877457614163</v>
      </c>
      <c r="G7" s="25">
        <f>'Polished Data'!H29/'Polished Data'!H26</f>
        <v>0.18003717734534921</v>
      </c>
    </row>
    <row r="8" spans="2:12">
      <c r="B8" s="22" t="s">
        <v>242</v>
      </c>
      <c r="C8" s="22">
        <f>'Polished Data'!L35</f>
        <v>386.76999999999987</v>
      </c>
      <c r="D8" s="22">
        <f>'Polished Data'!K35</f>
        <v>256.63</v>
      </c>
      <c r="E8" s="22">
        <f>'Polished Data'!J35</f>
        <v>183.01999999999992</v>
      </c>
      <c r="F8" s="22">
        <f>'Polished Data'!I35</f>
        <v>116.28</v>
      </c>
      <c r="G8" s="22">
        <f>'Polished Data'!H35</f>
        <v>114.9399999999998</v>
      </c>
    </row>
    <row r="9" spans="2:12">
      <c r="B9" s="22" t="s">
        <v>61</v>
      </c>
      <c r="C9" s="22">
        <f>'Polished Data'!L62</f>
        <v>445.15</v>
      </c>
      <c r="D9" s="22">
        <f>'Polished Data'!K62</f>
        <v>493.6</v>
      </c>
      <c r="E9" s="22">
        <f>'Polished Data'!J62</f>
        <v>289.92</v>
      </c>
      <c r="F9" s="22">
        <f>'Polished Data'!I62</f>
        <v>158.43</v>
      </c>
      <c r="G9" s="22">
        <f>'Polished Data'!H62</f>
        <v>462.09</v>
      </c>
    </row>
    <row r="10" spans="2:12">
      <c r="B10" s="22" t="s">
        <v>30</v>
      </c>
      <c r="C10" s="27">
        <f>'Polished Data'!L40</f>
        <v>99.47</v>
      </c>
      <c r="D10" s="27">
        <f>'Polished Data'!K40</f>
        <v>100.02</v>
      </c>
      <c r="E10" s="27">
        <f>'Polished Data'!J40</f>
        <v>100.02</v>
      </c>
      <c r="F10" s="27">
        <f>'Polished Data'!I40</f>
        <v>100.02</v>
      </c>
      <c r="G10" s="27">
        <f>'Polished Data'!H40</f>
        <v>100.02</v>
      </c>
      <c r="L10" s="184"/>
    </row>
    <row r="11" spans="2:12">
      <c r="B11" s="22" t="s">
        <v>62</v>
      </c>
      <c r="C11" s="180">
        <f>'Polished Data'!L25/'Polished Data'!L49</f>
        <v>0.80258069709872837</v>
      </c>
      <c r="D11" s="180">
        <f>'Polished Data'!K25/'Polished Data'!K49</f>
        <v>0.86946072524101659</v>
      </c>
      <c r="E11" s="180">
        <f>'Polished Data'!J25/'Polished Data'!J49</f>
        <v>0.85216565105264297</v>
      </c>
      <c r="F11" s="180">
        <f>'Polished Data'!I25/'Polished Data'!I49</f>
        <v>0.77311110802978411</v>
      </c>
      <c r="G11" s="180">
        <f>'Polished Data'!H25/'Polished Data'!H49</f>
        <v>0.73366437896230274</v>
      </c>
    </row>
    <row r="12" spans="2:12">
      <c r="B12" s="22"/>
      <c r="C12" s="33"/>
      <c r="D12" s="28"/>
      <c r="E12" s="28"/>
      <c r="F12" s="28"/>
      <c r="G12" s="28"/>
      <c r="H12" s="32" t="s">
        <v>77</v>
      </c>
      <c r="I12" s="32">
        <v>0</v>
      </c>
      <c r="J12" s="32" t="s">
        <v>72</v>
      </c>
      <c r="K12" s="34">
        <f>(C23/9)*100</f>
        <v>88.888888888888886</v>
      </c>
    </row>
    <row r="13" spans="2:12">
      <c r="B13" s="22"/>
      <c r="C13" s="22"/>
      <c r="D13" s="28"/>
      <c r="E13" s="28"/>
      <c r="F13" s="28"/>
      <c r="G13" s="28"/>
      <c r="H13" s="32" t="s">
        <v>78</v>
      </c>
      <c r="I13" s="32">
        <v>30</v>
      </c>
      <c r="J13" s="32" t="s">
        <v>82</v>
      </c>
      <c r="K13" s="32">
        <v>1</v>
      </c>
    </row>
    <row r="14" spans="2:12">
      <c r="B14" s="24" t="s">
        <v>338</v>
      </c>
      <c r="C14" s="35">
        <f>--(C8&gt;0)</f>
        <v>1</v>
      </c>
      <c r="D14" s="36"/>
      <c r="E14" s="36"/>
      <c r="F14" s="36"/>
      <c r="G14" s="36"/>
      <c r="H14" s="32" t="s">
        <v>79</v>
      </c>
      <c r="I14" s="32">
        <v>40</v>
      </c>
      <c r="J14" s="32" t="s">
        <v>80</v>
      </c>
      <c r="K14" s="32">
        <f>SUM(I12:I16) - SUM(K12:K13)</f>
        <v>110.11111111111111</v>
      </c>
    </row>
    <row r="15" spans="2:12">
      <c r="B15" s="24" t="s">
        <v>131</v>
      </c>
      <c r="C15" s="35">
        <f>--(C9&gt;0)</f>
        <v>1</v>
      </c>
      <c r="D15" s="36"/>
      <c r="E15" s="36"/>
      <c r="F15" s="36"/>
      <c r="G15" s="36"/>
      <c r="H15" s="32" t="s">
        <v>80</v>
      </c>
      <c r="I15" s="32">
        <v>30</v>
      </c>
      <c r="J15" s="32"/>
      <c r="K15" s="32"/>
    </row>
    <row r="16" spans="2:12">
      <c r="B16" s="24" t="s">
        <v>132</v>
      </c>
      <c r="C16" s="37">
        <f>--(C4&gt;D4)</f>
        <v>1</v>
      </c>
      <c r="D16" s="38"/>
      <c r="E16" s="38"/>
      <c r="F16" s="38"/>
      <c r="G16" s="28"/>
      <c r="H16" s="32" t="s">
        <v>81</v>
      </c>
      <c r="I16" s="32">
        <v>100</v>
      </c>
      <c r="J16" s="32"/>
      <c r="K16" s="32"/>
    </row>
    <row r="17" spans="2:7">
      <c r="B17" s="24" t="s">
        <v>339</v>
      </c>
      <c r="C17" s="37">
        <f>--(C9&gt;C8)</f>
        <v>1</v>
      </c>
      <c r="D17" s="38"/>
      <c r="E17" s="38"/>
      <c r="F17" s="38"/>
      <c r="G17" s="28"/>
    </row>
    <row r="18" spans="2:7">
      <c r="B18" s="24" t="s">
        <v>342</v>
      </c>
      <c r="C18" s="37">
        <f>--(C5&lt;D5)</f>
        <v>1</v>
      </c>
      <c r="D18" s="38"/>
      <c r="E18" s="38"/>
      <c r="F18" s="38"/>
      <c r="G18" s="28"/>
    </row>
    <row r="19" spans="2:7">
      <c r="B19" s="24" t="s">
        <v>343</v>
      </c>
      <c r="C19" s="37">
        <f>--(C6&gt;D6)</f>
        <v>1</v>
      </c>
      <c r="D19" s="38"/>
      <c r="E19" s="38"/>
      <c r="F19" s="38"/>
      <c r="G19" s="28"/>
    </row>
    <row r="20" spans="2:7">
      <c r="B20" s="22" t="s">
        <v>133</v>
      </c>
      <c r="C20" s="37">
        <f>--(C10&lt;D10)</f>
        <v>1</v>
      </c>
      <c r="D20" s="38"/>
      <c r="E20" s="38"/>
      <c r="F20" s="38"/>
      <c r="G20" s="28"/>
    </row>
    <row r="21" spans="2:7">
      <c r="B21" s="22" t="s">
        <v>134</v>
      </c>
      <c r="C21" s="37">
        <f>--(C7&gt;D7)</f>
        <v>1</v>
      </c>
      <c r="D21" s="38"/>
      <c r="E21" s="38"/>
      <c r="F21" s="38"/>
      <c r="G21" s="28"/>
    </row>
    <row r="22" spans="2:7">
      <c r="B22" s="22" t="s">
        <v>135</v>
      </c>
      <c r="C22" s="37">
        <f>--(C11&gt;D11)</f>
        <v>0</v>
      </c>
      <c r="D22" s="38"/>
      <c r="E22" s="38"/>
      <c r="F22" s="38"/>
      <c r="G22" s="28"/>
    </row>
    <row r="23" spans="2:7" ht="15">
      <c r="B23" s="39" t="s">
        <v>56</v>
      </c>
      <c r="C23" s="40">
        <f>SUM(C14:C22)</f>
        <v>8</v>
      </c>
      <c r="D23" s="41"/>
      <c r="E23" s="41"/>
      <c r="F23" s="41"/>
      <c r="G23" s="28"/>
    </row>
  </sheetData>
  <mergeCells count="2">
    <mergeCell ref="B1:G1"/>
    <mergeCell ref="B2:G2"/>
  </mergeCells>
  <pageMargins left="0.70866141732283472" right="0.70866141732283472" top="0.74803149606299213" bottom="0.74803149606299213" header="0.31496062992125984" footer="0.31496062992125984"/>
  <pageSetup paperSize="9" orientation="landscape" r:id="rId1"/>
  <ignoredErrors>
    <ignoredError sqref="K12:K14"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9"/>
  <sheetViews>
    <sheetView showGridLines="0" workbookViewId="0">
      <selection activeCell="H4" sqref="H4:K11"/>
    </sheetView>
  </sheetViews>
  <sheetFormatPr defaultColWidth="9.140625" defaultRowHeight="14.25"/>
  <cols>
    <col min="1" max="1" width="9.140625" style="29"/>
    <col min="2" max="2" width="36.140625" style="29" bestFit="1" customWidth="1"/>
    <col min="3" max="4" width="9.140625" style="29"/>
    <col min="5" max="5" width="40.42578125" style="29" bestFit="1" customWidth="1"/>
    <col min="6" max="6" width="9.140625" style="29"/>
    <col min="7" max="7" width="9.140625" style="29" customWidth="1"/>
    <col min="8" max="16384" width="9.140625" style="29"/>
  </cols>
  <sheetData>
    <row r="1" spans="2:11">
      <c r="B1" s="305"/>
      <c r="C1" s="306"/>
      <c r="D1" s="306"/>
      <c r="E1" s="306"/>
      <c r="F1" s="306"/>
    </row>
    <row r="2" spans="2:11" ht="15">
      <c r="B2" s="307" t="s">
        <v>97</v>
      </c>
      <c r="C2" s="307"/>
      <c r="D2" s="307"/>
      <c r="E2" s="307"/>
      <c r="F2" s="307"/>
    </row>
    <row r="3" spans="2:11" ht="15">
      <c r="B3" s="308" t="s">
        <v>73</v>
      </c>
      <c r="C3" s="309"/>
      <c r="D3" s="309"/>
      <c r="E3" s="309"/>
      <c r="F3" s="310"/>
    </row>
    <row r="4" spans="2:11" ht="15">
      <c r="B4" s="22" t="s">
        <v>34</v>
      </c>
      <c r="C4" s="42" t="s">
        <v>98</v>
      </c>
      <c r="D4" s="22"/>
      <c r="E4" s="22" t="s">
        <v>67</v>
      </c>
      <c r="F4" s="23">
        <f>C5/C6</f>
        <v>0.10009401603735339</v>
      </c>
      <c r="G4" s="32" t="s">
        <v>83</v>
      </c>
      <c r="I4" s="29" t="s">
        <v>82</v>
      </c>
    </row>
    <row r="5" spans="2:11">
      <c r="B5" s="22" t="s">
        <v>63</v>
      </c>
      <c r="C5" s="22">
        <f>'Polished Data'!L52</f>
        <v>348.14</v>
      </c>
      <c r="D5" s="22"/>
      <c r="E5" s="22" t="s">
        <v>340</v>
      </c>
      <c r="F5" s="23">
        <f>C8/C6</f>
        <v>0.35992041700568977</v>
      </c>
      <c r="G5" s="32" t="s">
        <v>77</v>
      </c>
      <c r="H5" s="29">
        <v>0</v>
      </c>
      <c r="I5" s="29" t="s">
        <v>72</v>
      </c>
      <c r="J5" s="251">
        <f>(C14/6)*100</f>
        <v>43.488264766795176</v>
      </c>
    </row>
    <row r="6" spans="2:11">
      <c r="B6" s="22" t="s">
        <v>17</v>
      </c>
      <c r="C6" s="22">
        <f>'Polished Data'!L60</f>
        <v>3478.13</v>
      </c>
      <c r="D6" s="22"/>
      <c r="E6" s="22" t="s">
        <v>68</v>
      </c>
      <c r="F6" s="23">
        <f>C9/C6</f>
        <v>0.20740742870450493</v>
      </c>
      <c r="G6" s="32" t="s">
        <v>78</v>
      </c>
      <c r="H6" s="29">
        <v>30</v>
      </c>
      <c r="I6" s="29" t="s">
        <v>82</v>
      </c>
      <c r="J6" s="29">
        <v>1</v>
      </c>
    </row>
    <row r="7" spans="2:11">
      <c r="B7" s="22" t="s">
        <v>12</v>
      </c>
      <c r="C7" s="22">
        <f>'Polished Data'!L60</f>
        <v>3478.13</v>
      </c>
      <c r="D7" s="22"/>
      <c r="E7" s="22" t="s">
        <v>344</v>
      </c>
      <c r="F7" s="23">
        <f>'Polished Data'!B38/'Polished Data'!L60</f>
        <v>0.83694686512580041</v>
      </c>
      <c r="G7" s="32" t="s">
        <v>79</v>
      </c>
      <c r="H7" s="29">
        <v>20</v>
      </c>
      <c r="I7" s="29" t="s">
        <v>80</v>
      </c>
      <c r="J7" s="29">
        <f>SUM(H5:H9) - SUM(J5:J6)</f>
        <v>155.51173523320483</v>
      </c>
    </row>
    <row r="8" spans="2:11">
      <c r="B8" s="22" t="s">
        <v>273</v>
      </c>
      <c r="C8" s="22">
        <f>'Polished Data'!L41</f>
        <v>1251.8499999999999</v>
      </c>
      <c r="D8" s="22"/>
      <c r="E8" s="22" t="s">
        <v>69</v>
      </c>
      <c r="F8" s="23">
        <f>C11/C6</f>
        <v>0.79948133048505943</v>
      </c>
      <c r="G8" s="32" t="s">
        <v>80</v>
      </c>
      <c r="H8" s="29">
        <v>50</v>
      </c>
    </row>
    <row r="9" spans="2:11">
      <c r="B9" s="22" t="s">
        <v>64</v>
      </c>
      <c r="C9" s="22">
        <f>'Polished Data'!L29</f>
        <v>721.38999999999976</v>
      </c>
      <c r="D9" s="22"/>
      <c r="E9" s="22"/>
      <c r="F9" s="22"/>
      <c r="G9" s="32" t="s">
        <v>81</v>
      </c>
      <c r="H9" s="29">
        <v>100</v>
      </c>
    </row>
    <row r="10" spans="2:11">
      <c r="B10" s="22" t="s">
        <v>65</v>
      </c>
      <c r="C10" s="23">
        <f>'Polished Data'!B38</f>
        <v>2911.01</v>
      </c>
      <c r="D10" s="22"/>
      <c r="E10" s="22"/>
      <c r="F10" s="22"/>
      <c r="G10" s="32">
        <f>IF(SUM(C1:D1)&gt;=20,20,SUM(C1:D1))</f>
        <v>0</v>
      </c>
    </row>
    <row r="11" spans="2:11">
      <c r="B11" s="22" t="s">
        <v>18</v>
      </c>
      <c r="C11" s="22">
        <f>'Polished Data'!L26</f>
        <v>2780.7</v>
      </c>
      <c r="D11" s="22"/>
      <c r="E11" s="22"/>
      <c r="F11" s="22"/>
      <c r="G11" s="43"/>
    </row>
    <row r="12" spans="2:11">
      <c r="B12" s="22"/>
      <c r="C12" s="22"/>
      <c r="D12" s="22"/>
      <c r="E12" s="22"/>
      <c r="F12" s="22"/>
      <c r="G12" s="43"/>
    </row>
    <row r="13" spans="2:11">
      <c r="B13" s="22"/>
      <c r="C13" s="22"/>
      <c r="D13" s="22"/>
      <c r="E13" s="22"/>
      <c r="F13" s="22"/>
      <c r="G13" s="43"/>
    </row>
    <row r="14" spans="2:11">
      <c r="B14" s="26" t="s">
        <v>66</v>
      </c>
      <c r="C14" s="44">
        <f>IF((1.2*F4+1.4*F5+3.3*F6+0.6*F7+0.999*F8)&gt;=6,6,(1.2*F4+1.4*F5+3.3*F6+0.6*F7+0.999*F8))</f>
        <v>2.6092958860077107</v>
      </c>
      <c r="D14" s="22"/>
      <c r="E14" s="22"/>
      <c r="F14" s="22"/>
      <c r="G14" s="43"/>
      <c r="H14" s="43"/>
      <c r="I14" s="43"/>
      <c r="J14" s="43"/>
      <c r="K14" s="43"/>
    </row>
    <row r="16" spans="2:11" ht="15">
      <c r="B16" s="45" t="s">
        <v>88</v>
      </c>
    </row>
    <row r="17" spans="2:3">
      <c r="B17" s="29" t="s">
        <v>86</v>
      </c>
      <c r="C17" s="29" t="s">
        <v>85</v>
      </c>
    </row>
    <row r="18" spans="2:3">
      <c r="B18" s="29" t="s">
        <v>89</v>
      </c>
      <c r="C18" s="29" t="s">
        <v>87</v>
      </c>
    </row>
    <row r="19" spans="2:3">
      <c r="B19" s="29" t="s">
        <v>90</v>
      </c>
      <c r="C19" s="29" t="s">
        <v>84</v>
      </c>
    </row>
  </sheetData>
  <mergeCells count="3">
    <mergeCell ref="B3:F3"/>
    <mergeCell ref="B1:F1"/>
    <mergeCell ref="B2:F2"/>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8"/>
  <sheetViews>
    <sheetView showGridLines="0" workbookViewId="0">
      <selection activeCell="D9" sqref="D9"/>
    </sheetView>
  </sheetViews>
  <sheetFormatPr defaultRowHeight="15"/>
  <cols>
    <col min="1" max="1" width="25.5703125" customWidth="1"/>
    <col min="2" max="2" width="5.5703125" bestFit="1" customWidth="1"/>
    <col min="3" max="3" width="24.5703125" bestFit="1" customWidth="1"/>
    <col min="4" max="4" width="5" bestFit="1" customWidth="1"/>
    <col min="5" max="24" width="5.140625" bestFit="1" customWidth="1"/>
  </cols>
  <sheetData>
    <row r="1" spans="1:24">
      <c r="A1" s="316" t="s">
        <v>34</v>
      </c>
      <c r="B1" s="316"/>
      <c r="C1" s="56" t="s">
        <v>28</v>
      </c>
      <c r="D1" s="56">
        <v>0</v>
      </c>
      <c r="E1" s="56">
        <v>1</v>
      </c>
      <c r="F1" s="56">
        <v>2</v>
      </c>
      <c r="G1" s="56">
        <v>3</v>
      </c>
      <c r="H1" s="56">
        <v>4</v>
      </c>
      <c r="I1" s="56">
        <v>5</v>
      </c>
      <c r="J1" s="56">
        <v>6</v>
      </c>
      <c r="K1" s="56">
        <v>7</v>
      </c>
      <c r="L1" s="56">
        <v>8</v>
      </c>
      <c r="M1" s="56">
        <v>9</v>
      </c>
      <c r="N1" s="56">
        <v>10</v>
      </c>
      <c r="O1" s="56">
        <v>11</v>
      </c>
      <c r="P1" s="56">
        <v>12</v>
      </c>
      <c r="Q1" s="56">
        <v>13</v>
      </c>
      <c r="R1" s="56">
        <v>14</v>
      </c>
      <c r="S1" s="56">
        <v>15</v>
      </c>
      <c r="T1" s="56">
        <v>16</v>
      </c>
      <c r="U1" s="56">
        <v>17</v>
      </c>
      <c r="V1" s="56">
        <v>18</v>
      </c>
      <c r="W1" s="56">
        <v>19</v>
      </c>
      <c r="X1" s="56">
        <v>20</v>
      </c>
    </row>
    <row r="2" spans="1:24">
      <c r="A2" s="57" t="s">
        <v>117</v>
      </c>
      <c r="B2" s="66">
        <v>0.25</v>
      </c>
      <c r="C2" s="58" t="s">
        <v>111</v>
      </c>
      <c r="D2" s="58">
        <v>1</v>
      </c>
      <c r="E2" s="58">
        <f>D2+B2</f>
        <v>1.25</v>
      </c>
      <c r="F2" s="58">
        <f>E2</f>
        <v>1.25</v>
      </c>
      <c r="G2" s="58">
        <f t="shared" ref="G2:X2" si="0">F2</f>
        <v>1.25</v>
      </c>
      <c r="H2" s="58">
        <f t="shared" si="0"/>
        <v>1.25</v>
      </c>
      <c r="I2" s="58">
        <f t="shared" si="0"/>
        <v>1.25</v>
      </c>
      <c r="J2" s="58">
        <f t="shared" si="0"/>
        <v>1.25</v>
      </c>
      <c r="K2" s="58">
        <f t="shared" si="0"/>
        <v>1.25</v>
      </c>
      <c r="L2" s="58">
        <f t="shared" si="0"/>
        <v>1.25</v>
      </c>
      <c r="M2" s="58">
        <f t="shared" si="0"/>
        <v>1.25</v>
      </c>
      <c r="N2" s="58">
        <f t="shared" si="0"/>
        <v>1.25</v>
      </c>
      <c r="O2" s="58">
        <f t="shared" si="0"/>
        <v>1.25</v>
      </c>
      <c r="P2" s="58">
        <f t="shared" si="0"/>
        <v>1.25</v>
      </c>
      <c r="Q2" s="58">
        <f t="shared" si="0"/>
        <v>1.25</v>
      </c>
      <c r="R2" s="58">
        <f t="shared" si="0"/>
        <v>1.25</v>
      </c>
      <c r="S2" s="58">
        <f t="shared" si="0"/>
        <v>1.25</v>
      </c>
      <c r="T2" s="58">
        <f t="shared" si="0"/>
        <v>1.25</v>
      </c>
      <c r="U2" s="58">
        <f t="shared" si="0"/>
        <v>1.25</v>
      </c>
      <c r="V2" s="58">
        <f t="shared" si="0"/>
        <v>1.25</v>
      </c>
      <c r="W2" s="58">
        <f t="shared" si="0"/>
        <v>1.25</v>
      </c>
      <c r="X2" s="58">
        <f t="shared" si="0"/>
        <v>1.25</v>
      </c>
    </row>
    <row r="3" spans="1:24">
      <c r="A3" s="57" t="s">
        <v>118</v>
      </c>
      <c r="B3" s="68">
        <v>25</v>
      </c>
      <c r="C3" s="58" t="s">
        <v>32</v>
      </c>
      <c r="D3" s="59">
        <f>B3</f>
        <v>25</v>
      </c>
      <c r="E3" s="59">
        <f>D3*E2</f>
        <v>31.25</v>
      </c>
      <c r="F3" s="59">
        <f>E3*F2</f>
        <v>39.0625</v>
      </c>
      <c r="G3" s="59">
        <f t="shared" ref="G3:X3" si="1">F3*G2</f>
        <v>48.828125</v>
      </c>
      <c r="H3" s="59">
        <f t="shared" si="1"/>
        <v>61.03515625</v>
      </c>
      <c r="I3" s="59">
        <f t="shared" si="1"/>
        <v>76.2939453125</v>
      </c>
      <c r="J3" s="59">
        <f t="shared" si="1"/>
        <v>95.367431640625</v>
      </c>
      <c r="K3" s="59">
        <f t="shared" si="1"/>
        <v>119.20928955078125</v>
      </c>
      <c r="L3" s="59">
        <f t="shared" si="1"/>
        <v>149.01161193847656</v>
      </c>
      <c r="M3" s="59">
        <f t="shared" si="1"/>
        <v>186.2645149230957</v>
      </c>
      <c r="N3" s="59">
        <f t="shared" si="1"/>
        <v>232.83064365386963</v>
      </c>
      <c r="O3" s="59">
        <f t="shared" si="1"/>
        <v>291.03830456733704</v>
      </c>
      <c r="P3" s="59">
        <f t="shared" si="1"/>
        <v>363.7978807091713</v>
      </c>
      <c r="Q3" s="59">
        <f t="shared" si="1"/>
        <v>454.74735088646412</v>
      </c>
      <c r="R3" s="59">
        <f t="shared" si="1"/>
        <v>568.43418860808015</v>
      </c>
      <c r="S3" s="59">
        <f>R3*S2</f>
        <v>710.54273576010019</v>
      </c>
      <c r="T3" s="59">
        <f t="shared" si="1"/>
        <v>888.17841970012523</v>
      </c>
      <c r="U3" s="59">
        <f t="shared" si="1"/>
        <v>1110.2230246251565</v>
      </c>
      <c r="V3" s="59">
        <f t="shared" si="1"/>
        <v>1387.7787807814457</v>
      </c>
      <c r="W3" s="59">
        <f t="shared" si="1"/>
        <v>1734.7234759768071</v>
      </c>
      <c r="X3" s="59">
        <f t="shared" si="1"/>
        <v>2168.4043449710089</v>
      </c>
    </row>
    <row r="4" spans="1:24">
      <c r="A4" s="64" t="s">
        <v>36</v>
      </c>
      <c r="B4" s="65">
        <f>Dashboard!B5</f>
        <v>298.8</v>
      </c>
      <c r="C4" s="58" t="s">
        <v>41</v>
      </c>
      <c r="D4" s="60">
        <f>1+B5</f>
        <v>1.0900000000000001</v>
      </c>
      <c r="E4" s="60">
        <f>D4</f>
        <v>1.0900000000000001</v>
      </c>
      <c r="F4" s="60">
        <f t="shared" ref="F4:X4" si="2">E4</f>
        <v>1.0900000000000001</v>
      </c>
      <c r="G4" s="60">
        <f t="shared" si="2"/>
        <v>1.0900000000000001</v>
      </c>
      <c r="H4" s="60">
        <f t="shared" si="2"/>
        <v>1.0900000000000001</v>
      </c>
      <c r="I4" s="60">
        <f t="shared" si="2"/>
        <v>1.0900000000000001</v>
      </c>
      <c r="J4" s="60">
        <f t="shared" si="2"/>
        <v>1.0900000000000001</v>
      </c>
      <c r="K4" s="60">
        <f t="shared" si="2"/>
        <v>1.0900000000000001</v>
      </c>
      <c r="L4" s="60">
        <f t="shared" si="2"/>
        <v>1.0900000000000001</v>
      </c>
      <c r="M4" s="60">
        <f t="shared" si="2"/>
        <v>1.0900000000000001</v>
      </c>
      <c r="N4" s="60">
        <f t="shared" si="2"/>
        <v>1.0900000000000001</v>
      </c>
      <c r="O4" s="60">
        <f t="shared" si="2"/>
        <v>1.0900000000000001</v>
      </c>
      <c r="P4" s="60">
        <f t="shared" si="2"/>
        <v>1.0900000000000001</v>
      </c>
      <c r="Q4" s="60">
        <f t="shared" si="2"/>
        <v>1.0900000000000001</v>
      </c>
      <c r="R4" s="60">
        <f t="shared" si="2"/>
        <v>1.0900000000000001</v>
      </c>
      <c r="S4" s="60">
        <f t="shared" si="2"/>
        <v>1.0900000000000001</v>
      </c>
      <c r="T4" s="60">
        <f t="shared" si="2"/>
        <v>1.0900000000000001</v>
      </c>
      <c r="U4" s="60">
        <f t="shared" si="2"/>
        <v>1.0900000000000001</v>
      </c>
      <c r="V4" s="60">
        <f t="shared" si="2"/>
        <v>1.0900000000000001</v>
      </c>
      <c r="W4" s="60">
        <f t="shared" si="2"/>
        <v>1.0900000000000001</v>
      </c>
      <c r="X4" s="60">
        <f t="shared" si="2"/>
        <v>1.0900000000000001</v>
      </c>
    </row>
    <row r="5" spans="1:24">
      <c r="A5" s="57" t="s">
        <v>41</v>
      </c>
      <c r="B5" s="66">
        <v>0.09</v>
      </c>
      <c r="C5" s="58" t="s">
        <v>112</v>
      </c>
      <c r="D5" s="59">
        <f>D3</f>
        <v>25</v>
      </c>
      <c r="E5" s="59">
        <f>E3/E4^E1</f>
        <v>28.669724770642201</v>
      </c>
      <c r="F5" s="59">
        <f t="shared" ref="F5:X5" si="3">F3/F4^F1</f>
        <v>32.878124736974996</v>
      </c>
      <c r="G5" s="59">
        <f t="shared" si="3"/>
        <v>37.70427148735665</v>
      </c>
      <c r="H5" s="59">
        <f t="shared" si="3"/>
        <v>43.238843448803493</v>
      </c>
      <c r="I5" s="59">
        <f t="shared" si="3"/>
        <v>49.585829643123269</v>
      </c>
      <c r="J5" s="59">
        <f t="shared" si="3"/>
        <v>56.864483535691818</v>
      </c>
      <c r="K5" s="59">
        <f t="shared" si="3"/>
        <v>65.211563687719973</v>
      </c>
      <c r="L5" s="59">
        <f t="shared" si="3"/>
        <v>74.783903311605471</v>
      </c>
      <c r="M5" s="59">
        <f t="shared" si="3"/>
        <v>85.761357008721859</v>
      </c>
      <c r="N5" s="59">
        <f t="shared" si="3"/>
        <v>98.350180055873679</v>
      </c>
      <c r="O5" s="59">
        <f t="shared" si="3"/>
        <v>112.7869037338001</v>
      </c>
      <c r="P5" s="59">
        <f t="shared" si="3"/>
        <v>129.34277951123866</v>
      </c>
      <c r="Q5" s="59">
        <f t="shared" si="3"/>
        <v>148.32887558628283</v>
      </c>
      <c r="R5" s="59">
        <f t="shared" si="3"/>
        <v>170.10192154390231</v>
      </c>
      <c r="S5" s="59">
        <f t="shared" si="3"/>
        <v>195.0710109448421</v>
      </c>
      <c r="T5" s="59">
        <f t="shared" si="3"/>
        <v>223.70528778078221</v>
      </c>
      <c r="U5" s="59">
        <f t="shared" si="3"/>
        <v>256.54276121649337</v>
      </c>
      <c r="V5" s="59">
        <f t="shared" si="3"/>
        <v>294.20041423909788</v>
      </c>
      <c r="W5" s="59">
        <f t="shared" si="3"/>
        <v>337.3857961457544</v>
      </c>
      <c r="X5" s="59">
        <f t="shared" si="3"/>
        <v>386.91031668091102</v>
      </c>
    </row>
    <row r="6" spans="1:24">
      <c r="A6" s="64" t="s">
        <v>113</v>
      </c>
      <c r="B6" s="65">
        <f>MIN(D9:X9)</f>
        <v>0</v>
      </c>
      <c r="C6" s="58" t="s">
        <v>114</v>
      </c>
      <c r="D6" s="59">
        <f>SUM($D$5:D5)</f>
        <v>25</v>
      </c>
      <c r="E6" s="59">
        <f>SUM($D$5:E5)</f>
        <v>53.669724770642205</v>
      </c>
      <c r="F6" s="59">
        <f>SUM($D$5:F5)</f>
        <v>86.547849507617201</v>
      </c>
      <c r="G6" s="59">
        <f>SUM($D$5:G5)</f>
        <v>124.25212099497385</v>
      </c>
      <c r="H6" s="59">
        <f>SUM($D$5:H5)</f>
        <v>167.49096444377733</v>
      </c>
      <c r="I6" s="59">
        <f>SUM($D$5:I5)</f>
        <v>217.07679408690061</v>
      </c>
      <c r="J6" s="59">
        <f>SUM($D$5:J5)</f>
        <v>273.94127762259245</v>
      </c>
      <c r="K6" s="59">
        <f>SUM($D$5:K5)</f>
        <v>339.1528413103124</v>
      </c>
      <c r="L6" s="59">
        <f>SUM($D$5:L5)</f>
        <v>413.93674462191785</v>
      </c>
      <c r="M6" s="59">
        <f>SUM($D$5:M5)</f>
        <v>499.69810163063971</v>
      </c>
      <c r="N6" s="59">
        <f>SUM($D$5:N5)</f>
        <v>598.04828168651341</v>
      </c>
      <c r="O6" s="59">
        <f>SUM($D$5:O5)</f>
        <v>710.83518542031356</v>
      </c>
      <c r="P6" s="59">
        <f>SUM($D$5:P5)</f>
        <v>840.1779649315522</v>
      </c>
      <c r="Q6" s="59">
        <f>SUM($D$5:Q5)</f>
        <v>988.50684051783503</v>
      </c>
      <c r="R6" s="59">
        <f>SUM($D$5:R5)</f>
        <v>1158.6087620617373</v>
      </c>
      <c r="S6" s="59">
        <f>SUM($D$5:S5)</f>
        <v>1353.6797730065794</v>
      </c>
      <c r="T6" s="59">
        <f>SUM($D$5:T5)</f>
        <v>1577.3850607873615</v>
      </c>
      <c r="U6" s="59">
        <f>SUM($D$5:U5)</f>
        <v>1833.9278220038548</v>
      </c>
      <c r="V6" s="59">
        <f>SUM($D$5:V5)</f>
        <v>2128.1282362429529</v>
      </c>
      <c r="W6" s="59">
        <f>SUM($D$5:W5)</f>
        <v>2465.5140323887072</v>
      </c>
      <c r="X6" s="59">
        <f>SUM($D$5:X5)</f>
        <v>2852.4243490696181</v>
      </c>
    </row>
    <row r="7" spans="1:24">
      <c r="A7" s="312"/>
      <c r="B7" s="313"/>
      <c r="C7" s="58" t="s">
        <v>115</v>
      </c>
      <c r="D7" s="59">
        <f>B3/B5</f>
        <v>277.77777777777777</v>
      </c>
      <c r="E7" s="59">
        <f>(B3/B5)/(1+B5)^E1</f>
        <v>254.84199796126398</v>
      </c>
      <c r="F7" s="59">
        <f>(B3/B5)/(1+B5)^F1</f>
        <v>233.79999812959997</v>
      </c>
      <c r="G7" s="59">
        <f>(B3/B5)/(1+B5)^G1</f>
        <v>214.49541112807336</v>
      </c>
      <c r="H7" s="59">
        <f>(B3/B5)/(1+B5)^H1</f>
        <v>196.78478085144346</v>
      </c>
      <c r="I7" s="59">
        <f>(B3/B5)/(1+B5)^I1</f>
        <v>180.53649619398479</v>
      </c>
      <c r="J7" s="59">
        <f>(B3/B5)/(1+B5)^J1</f>
        <v>165.62981302200438</v>
      </c>
      <c r="K7" s="59">
        <f>(B3/B5)/(1+B5)^K1</f>
        <v>151.95395690092147</v>
      </c>
      <c r="L7" s="59">
        <f>(B3/B5)/(1+B5)^L1</f>
        <v>139.40729990910225</v>
      </c>
      <c r="M7" s="59">
        <f>(B3/B5)/(1+B5)^M1</f>
        <v>127.89660542119471</v>
      </c>
      <c r="N7" s="59">
        <f>(B3/B5)/(1+B5)^N1</f>
        <v>117.33633524880247</v>
      </c>
      <c r="O7" s="59">
        <f>(B3/B5)/(1+B5)^O1</f>
        <v>107.64801398972705</v>
      </c>
      <c r="P7" s="59">
        <f>(B3/B5)/(1+B5)^P1</f>
        <v>98.759645862134903</v>
      </c>
      <c r="Q7" s="59">
        <f>(B3/B5)/(1+B5)^Q1</f>
        <v>90.605179690032003</v>
      </c>
      <c r="R7" s="59">
        <f>(B3/B5)/(1+B5)^R1</f>
        <v>83.12401806424954</v>
      </c>
      <c r="S7" s="59">
        <f>(B3/B5)/(1+B5)^S1</f>
        <v>76.260567031421601</v>
      </c>
      <c r="T7" s="59">
        <f>(B3/B5)/(1+B5)^T1</f>
        <v>69.963822964606962</v>
      </c>
      <c r="U7" s="59">
        <f>(B3/B5)/(1+B5)^U1</f>
        <v>64.186993545510987</v>
      </c>
      <c r="V7" s="59">
        <f>(B3/B5)/(1+B5)^V1</f>
        <v>58.887150041753188</v>
      </c>
      <c r="W7" s="59">
        <f>(B3/B5)/(1+B5)^W1</f>
        <v>54.024908295186407</v>
      </c>
      <c r="X7" s="59">
        <f>(B3/B5)/(1+B5)^X1</f>
        <v>49.564136050629735</v>
      </c>
    </row>
    <row r="8" spans="1:24">
      <c r="A8" s="314"/>
      <c r="B8" s="315"/>
      <c r="C8" s="58" t="s">
        <v>116</v>
      </c>
      <c r="D8" s="59">
        <f t="shared" ref="D8:X8" si="4">D7+D6</f>
        <v>302.77777777777777</v>
      </c>
      <c r="E8" s="59">
        <f t="shared" si="4"/>
        <v>308.51172273190616</v>
      </c>
      <c r="F8" s="59">
        <f t="shared" si="4"/>
        <v>320.34784763721717</v>
      </c>
      <c r="G8" s="59">
        <f t="shared" si="4"/>
        <v>338.74753212304722</v>
      </c>
      <c r="H8" s="59">
        <f t="shared" si="4"/>
        <v>364.27574529522076</v>
      </c>
      <c r="I8" s="59">
        <f t="shared" si="4"/>
        <v>397.61329028088539</v>
      </c>
      <c r="J8" s="59">
        <f t="shared" si="4"/>
        <v>439.57109064459684</v>
      </c>
      <c r="K8" s="59">
        <f t="shared" si="4"/>
        <v>491.10679821123387</v>
      </c>
      <c r="L8" s="59">
        <f t="shared" si="4"/>
        <v>553.34404453102013</v>
      </c>
      <c r="M8" s="59">
        <f t="shared" si="4"/>
        <v>627.59470705183446</v>
      </c>
      <c r="N8" s="59">
        <f t="shared" si="4"/>
        <v>715.38461693531588</v>
      </c>
      <c r="O8" s="59">
        <f t="shared" si="4"/>
        <v>818.48319941004058</v>
      </c>
      <c r="P8" s="59">
        <f t="shared" si="4"/>
        <v>938.9376107936871</v>
      </c>
      <c r="Q8" s="59">
        <f t="shared" si="4"/>
        <v>1079.1120202078671</v>
      </c>
      <c r="R8" s="59">
        <f t="shared" si="4"/>
        <v>1241.7327801259869</v>
      </c>
      <c r="S8" s="59">
        <f t="shared" si="4"/>
        <v>1429.9403400380011</v>
      </c>
      <c r="T8" s="59">
        <f t="shared" si="4"/>
        <v>1647.3488837519685</v>
      </c>
      <c r="U8" s="59">
        <f t="shared" si="4"/>
        <v>1898.1148155493659</v>
      </c>
      <c r="V8" s="59">
        <f t="shared" si="4"/>
        <v>2187.015386284706</v>
      </c>
      <c r="W8" s="59">
        <f t="shared" si="4"/>
        <v>2519.5389406838935</v>
      </c>
      <c r="X8" s="59">
        <f t="shared" si="4"/>
        <v>2901.9884851202478</v>
      </c>
    </row>
    <row r="9" spans="1:24" ht="15" customHeight="1">
      <c r="A9" s="62"/>
      <c r="B9" s="63"/>
      <c r="C9" s="61"/>
      <c r="D9" s="58">
        <f>IF(D8&gt;B4,1*D1,"No")</f>
        <v>0</v>
      </c>
      <c r="E9" s="58">
        <f>IF(E8&gt;B4,E1*1,"No")</f>
        <v>1</v>
      </c>
      <c r="F9" s="58">
        <f>IF(F8&gt;B4,F1*1,"No")</f>
        <v>2</v>
      </c>
      <c r="G9" s="58">
        <f>IF(G8&gt;B4,G1*1,"No")</f>
        <v>3</v>
      </c>
      <c r="H9" s="58">
        <f>IF(H8&gt;B4,H1*1,"No")</f>
        <v>4</v>
      </c>
      <c r="I9" s="58">
        <f>IF(I8&gt;B4,I1*1,"No")</f>
        <v>5</v>
      </c>
      <c r="J9" s="58">
        <f>IF(J8&gt;B4,J1*1,"No")</f>
        <v>6</v>
      </c>
      <c r="K9" s="58">
        <f>IF(K8&gt;B4,1*K1,"No")</f>
        <v>7</v>
      </c>
      <c r="L9" s="58">
        <f>IF(L8&gt;B4,L1*1,"No")</f>
        <v>8</v>
      </c>
      <c r="M9" s="58">
        <f>IF(M8&gt;B4,M1*1,"No")</f>
        <v>9</v>
      </c>
      <c r="N9" s="58">
        <f>IF(N8&gt;B4,N1*1,"No")</f>
        <v>10</v>
      </c>
      <c r="O9" s="58">
        <f>IF(O8&gt;B4,O1*1,"No")</f>
        <v>11</v>
      </c>
      <c r="P9" s="58">
        <f>IF(P8&gt;B4,P1*1,"No")</f>
        <v>12</v>
      </c>
      <c r="Q9" s="58">
        <f>IF(Q8&gt;B4,Q1*1,"No")</f>
        <v>13</v>
      </c>
      <c r="R9" s="58">
        <f>IF(R8&gt;B4,1*R1,"No")</f>
        <v>14</v>
      </c>
      <c r="S9" s="58">
        <f>IF(S8&gt;B4,S1*1,"No")</f>
        <v>15</v>
      </c>
      <c r="T9" s="58">
        <f>IF(T8&gt;B4,T1*1,"No")</f>
        <v>16</v>
      </c>
      <c r="U9" s="58">
        <f>IF(U8&gt;B4,U1*1,"No")</f>
        <v>17</v>
      </c>
      <c r="V9" s="58">
        <f>IF(V8&gt;B4,V1*1,"No")</f>
        <v>18</v>
      </c>
      <c r="W9" s="58">
        <f>IF(W8&gt;B4,W1*1,"No")</f>
        <v>19</v>
      </c>
      <c r="X9" s="58">
        <f>IF(X8&gt;B4,X1*1,"No")</f>
        <v>20</v>
      </c>
    </row>
    <row r="10" spans="1:24">
      <c r="C10" s="55"/>
    </row>
    <row r="11" spans="1:24">
      <c r="A11" s="311" t="s">
        <v>119</v>
      </c>
      <c r="B11" s="311"/>
      <c r="C11" s="311"/>
      <c r="D11" s="311"/>
      <c r="E11" s="311"/>
      <c r="F11" s="311"/>
    </row>
    <row r="12" spans="1:24">
      <c r="A12" s="67" t="s">
        <v>120</v>
      </c>
      <c r="B12" s="69" t="e">
        <f>(#REF!/Dashboard!B6)*10^7</f>
        <v>#REF!</v>
      </c>
      <c r="C12" s="71" t="s">
        <v>127</v>
      </c>
    </row>
    <row r="13" spans="1:24" ht="15.75" thickBot="1">
      <c r="A13" s="322" t="s">
        <v>125</v>
      </c>
      <c r="B13" s="322"/>
      <c r="C13" s="322"/>
    </row>
    <row r="14" spans="1:24">
      <c r="A14" s="317" t="s">
        <v>126</v>
      </c>
      <c r="B14" s="318"/>
      <c r="C14" s="318"/>
      <c r="D14" s="318"/>
      <c r="E14" s="318"/>
      <c r="F14" s="318"/>
      <c r="G14" s="318"/>
      <c r="H14" s="318"/>
      <c r="I14" s="318"/>
      <c r="J14" s="318"/>
      <c r="K14" s="318"/>
      <c r="L14" s="318"/>
      <c r="M14" s="318"/>
      <c r="N14" s="318"/>
      <c r="O14" s="318"/>
      <c r="P14" s="318"/>
      <c r="Q14" s="318"/>
      <c r="R14" s="318"/>
      <c r="S14" s="318"/>
      <c r="T14" s="318"/>
      <c r="U14" s="318"/>
      <c r="V14" s="318"/>
      <c r="W14" s="318"/>
      <c r="X14" s="319"/>
    </row>
    <row r="15" spans="1:24">
      <c r="A15" s="64" t="s">
        <v>60</v>
      </c>
      <c r="B15" s="76" t="e">
        <f>#REF!</f>
        <v>#REF!</v>
      </c>
      <c r="C15" s="72"/>
      <c r="D15" s="72"/>
      <c r="E15" s="72"/>
      <c r="F15" s="72"/>
      <c r="G15" s="72"/>
      <c r="H15" s="72"/>
      <c r="I15" s="72"/>
      <c r="J15" s="72"/>
      <c r="K15" s="72"/>
      <c r="L15" s="72"/>
      <c r="M15" s="72"/>
      <c r="N15" s="72"/>
      <c r="O15" s="72"/>
      <c r="P15" s="72"/>
      <c r="Q15" s="72"/>
      <c r="R15" s="72"/>
      <c r="S15" s="72"/>
      <c r="T15" s="72"/>
      <c r="U15" s="72"/>
      <c r="V15" s="72"/>
      <c r="W15" s="72"/>
      <c r="X15" s="73"/>
    </row>
    <row r="16" spans="1:24">
      <c r="A16" s="64" t="s">
        <v>123</v>
      </c>
      <c r="B16" s="76" t="e">
        <f>#REF!</f>
        <v>#REF!</v>
      </c>
      <c r="C16" s="72"/>
      <c r="D16" s="72"/>
      <c r="E16" s="72"/>
      <c r="F16" s="72"/>
      <c r="G16" s="72"/>
      <c r="H16" s="72"/>
      <c r="I16" s="72"/>
      <c r="J16" s="72"/>
      <c r="K16" s="72"/>
      <c r="L16" s="72"/>
      <c r="M16" s="72"/>
      <c r="N16" s="72"/>
      <c r="O16" s="72"/>
      <c r="P16" s="72"/>
      <c r="Q16" s="72"/>
      <c r="R16" s="72"/>
      <c r="S16" s="72"/>
      <c r="T16" s="72"/>
      <c r="U16" s="72"/>
      <c r="V16" s="72"/>
      <c r="W16" s="72"/>
      <c r="X16" s="73"/>
    </row>
    <row r="17" spans="1:24">
      <c r="A17" s="64" t="s">
        <v>124</v>
      </c>
      <c r="B17" s="76" t="e">
        <f>MAX(#REF!,#REF!)</f>
        <v>#REF!</v>
      </c>
      <c r="C17" s="320"/>
      <c r="D17" s="320"/>
      <c r="E17" s="320"/>
      <c r="F17" s="320"/>
      <c r="G17" s="320"/>
      <c r="H17" s="320"/>
      <c r="I17" s="320"/>
      <c r="J17" s="320"/>
      <c r="K17" s="320"/>
      <c r="L17" s="320"/>
      <c r="M17" s="320"/>
      <c r="N17" s="320"/>
      <c r="O17" s="320"/>
      <c r="P17" s="320"/>
      <c r="Q17" s="320"/>
      <c r="R17" s="320"/>
      <c r="S17" s="320"/>
      <c r="T17" s="320"/>
      <c r="U17" s="320"/>
      <c r="V17" s="320"/>
      <c r="W17" s="320"/>
      <c r="X17" s="321"/>
    </row>
    <row r="18" spans="1:24" ht="15.75" thickBot="1">
      <c r="A18" s="64" t="s">
        <v>122</v>
      </c>
      <c r="B18" s="76" t="e">
        <f>B15+B16+B17</f>
        <v>#REF!</v>
      </c>
      <c r="C18" s="74"/>
      <c r="D18" s="74"/>
      <c r="E18" s="74"/>
      <c r="F18" s="74"/>
      <c r="G18" s="74"/>
      <c r="H18" s="74"/>
      <c r="I18" s="74"/>
      <c r="J18" s="74"/>
      <c r="K18" s="74"/>
      <c r="L18" s="74"/>
      <c r="M18" s="74"/>
      <c r="N18" s="74"/>
      <c r="O18" s="74"/>
      <c r="P18" s="74"/>
      <c r="Q18" s="74"/>
      <c r="R18" s="74"/>
      <c r="S18" s="74"/>
      <c r="T18" s="74"/>
      <c r="U18" s="74"/>
      <c r="V18" s="74"/>
      <c r="W18" s="74"/>
      <c r="X18" s="75"/>
    </row>
  </sheetData>
  <mergeCells count="6">
    <mergeCell ref="A11:F11"/>
    <mergeCell ref="A7:B8"/>
    <mergeCell ref="A1:B1"/>
    <mergeCell ref="A14:X14"/>
    <mergeCell ref="C17:X17"/>
    <mergeCell ref="A13:C13"/>
  </mergeCells>
  <conditionalFormatting sqref="D8:X8">
    <cfRule type="cellIs" dxfId="1" priority="1" operator="greaterThan">
      <formula>$B$4</formula>
    </cfRule>
  </conditionalFormatting>
  <pageMargins left="0.7" right="0.7" top="0.75" bottom="0.75" header="0.3" footer="0.3"/>
  <pageSetup scale="55" fitToHeight="0" orientation="portrait" r:id="rId1"/>
  <ignoredErrors>
    <ignoredError sqref="F3:X3"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45"/>
  <sheetViews>
    <sheetView topLeftCell="A23" workbookViewId="0">
      <selection activeCell="A125" sqref="A125"/>
    </sheetView>
  </sheetViews>
  <sheetFormatPr defaultRowHeight="15"/>
  <cols>
    <col min="1" max="1" width="30" bestFit="1" customWidth="1"/>
  </cols>
  <sheetData>
    <row r="1" spans="1:12">
      <c r="A1" s="138" t="str">
        <f>Qualitative!D2</f>
        <v>GHCL LTD</v>
      </c>
      <c r="B1" s="139"/>
      <c r="C1" s="139"/>
      <c r="D1" s="139"/>
      <c r="E1" s="139"/>
      <c r="F1" s="139"/>
      <c r="G1" s="139"/>
      <c r="H1" s="139"/>
      <c r="I1" s="139"/>
      <c r="J1" s="139"/>
      <c r="K1" s="139"/>
      <c r="L1" s="139"/>
    </row>
    <row r="2" spans="1:12">
      <c r="A2" s="138"/>
      <c r="B2" s="139"/>
      <c r="C2" s="139"/>
      <c r="D2" s="139"/>
      <c r="E2" s="139"/>
      <c r="F2" s="139"/>
      <c r="G2" s="139"/>
      <c r="H2" s="139"/>
      <c r="I2" s="139"/>
      <c r="J2" s="139"/>
      <c r="K2" s="139"/>
      <c r="L2" s="139"/>
    </row>
    <row r="3" spans="1:12">
      <c r="A3" s="324" t="s">
        <v>251</v>
      </c>
      <c r="B3" s="324"/>
      <c r="C3" s="324"/>
      <c r="D3" s="324"/>
      <c r="E3" s="324"/>
      <c r="F3" s="324"/>
      <c r="G3" s="324"/>
      <c r="H3" s="324"/>
      <c r="I3" s="324"/>
      <c r="J3" s="324"/>
      <c r="K3" s="140"/>
      <c r="L3" s="141"/>
    </row>
    <row r="4" spans="1:12">
      <c r="A4" s="142" t="str">
        <f>Quantitative!A1</f>
        <v>COMPANY NAME</v>
      </c>
      <c r="B4" s="196"/>
      <c r="C4" s="196">
        <f>Quantitative!B$16</f>
        <v>39538</v>
      </c>
      <c r="D4" s="196">
        <f>Quantitative!C$16</f>
        <v>39903</v>
      </c>
      <c r="E4" s="196">
        <f>Quantitative!D$16</f>
        <v>40268</v>
      </c>
      <c r="F4" s="196">
        <f>Quantitative!E$16</f>
        <v>40633</v>
      </c>
      <c r="G4" s="196">
        <f>Quantitative!F$16</f>
        <v>40999</v>
      </c>
      <c r="H4" s="196">
        <f>Quantitative!G$16</f>
        <v>41364</v>
      </c>
      <c r="I4" s="196">
        <f>Quantitative!H$16</f>
        <v>41729</v>
      </c>
      <c r="J4" s="196">
        <f>Quantitative!I$16</f>
        <v>42094</v>
      </c>
      <c r="K4" s="196">
        <f>Quantitative!J$16</f>
        <v>42460</v>
      </c>
      <c r="L4" s="196">
        <f>Quantitative!K$16</f>
        <v>42825</v>
      </c>
    </row>
    <row r="5" spans="1:12">
      <c r="A5" s="143" t="s">
        <v>252</v>
      </c>
      <c r="B5" s="144"/>
      <c r="C5" s="144"/>
      <c r="D5" s="144"/>
      <c r="E5" s="144"/>
      <c r="F5" s="144"/>
      <c r="G5" s="144"/>
      <c r="H5" s="144"/>
      <c r="I5" s="144"/>
      <c r="J5" s="144"/>
      <c r="K5" s="144"/>
      <c r="L5" s="141"/>
    </row>
    <row r="6" spans="1:12">
      <c r="A6" s="145" t="s">
        <v>253</v>
      </c>
      <c r="B6" s="146"/>
      <c r="C6" s="146">
        <f>'Polished Data'!C54</f>
        <v>260.14999999999998</v>
      </c>
      <c r="D6" s="146">
        <f>'Polished Data'!D54</f>
        <v>260.25</v>
      </c>
      <c r="E6" s="146">
        <f>'Polished Data'!E54</f>
        <v>310.95999999999998</v>
      </c>
      <c r="F6" s="146">
        <f>'Polished Data'!F54</f>
        <v>383.19</v>
      </c>
      <c r="G6" s="146">
        <f>'Polished Data'!G54</f>
        <v>324.52</v>
      </c>
      <c r="H6" s="146">
        <f>'Polished Data'!H54</f>
        <v>391.07</v>
      </c>
      <c r="I6" s="146">
        <f>'Polished Data'!I54</f>
        <v>404.18</v>
      </c>
      <c r="J6" s="146">
        <f>'Polished Data'!J54</f>
        <v>417.33</v>
      </c>
      <c r="K6" s="146">
        <f>'Polished Data'!K54</f>
        <v>407.63</v>
      </c>
      <c r="L6" s="146">
        <f>'Polished Data'!L54</f>
        <v>509.24</v>
      </c>
    </row>
    <row r="7" spans="1:12">
      <c r="A7" s="145" t="s">
        <v>254</v>
      </c>
      <c r="B7" s="146"/>
      <c r="C7" s="146">
        <f t="shared" ref="C7:L7" si="0">C53</f>
        <v>135.33000000000001</v>
      </c>
      <c r="D7" s="146">
        <f t="shared" si="0"/>
        <v>118.74</v>
      </c>
      <c r="E7" s="146">
        <f t="shared" si="0"/>
        <v>151.69999999999999</v>
      </c>
      <c r="F7" s="146">
        <f t="shared" si="0"/>
        <v>188.02</v>
      </c>
      <c r="G7" s="146">
        <f t="shared" si="0"/>
        <v>189.5</v>
      </c>
      <c r="H7" s="146">
        <f t="shared" si="0"/>
        <v>241.13</v>
      </c>
      <c r="I7" s="146">
        <f t="shared" si="0"/>
        <v>297.87</v>
      </c>
      <c r="J7" s="146">
        <f t="shared" si="0"/>
        <v>267.51</v>
      </c>
      <c r="K7" s="146">
        <f t="shared" si="0"/>
        <v>246.55</v>
      </c>
      <c r="L7" s="146">
        <f t="shared" si="0"/>
        <v>326.85000000000002</v>
      </c>
    </row>
    <row r="8" spans="1:12">
      <c r="A8" s="145" t="s">
        <v>255</v>
      </c>
      <c r="B8" s="146"/>
      <c r="C8" s="146">
        <f t="shared" ref="C8:L8" si="1">C55</f>
        <v>23.91</v>
      </c>
      <c r="D8" s="146">
        <f t="shared" si="1"/>
        <v>46.95</v>
      </c>
      <c r="E8" s="146">
        <f t="shared" si="1"/>
        <v>24.98</v>
      </c>
      <c r="F8" s="146">
        <f t="shared" si="1"/>
        <v>31.44</v>
      </c>
      <c r="G8" s="146">
        <f t="shared" si="1"/>
        <v>30.11</v>
      </c>
      <c r="H8" s="146">
        <f t="shared" si="1"/>
        <v>28.69</v>
      </c>
      <c r="I8" s="146">
        <f t="shared" si="1"/>
        <v>39.06</v>
      </c>
      <c r="J8" s="146">
        <f t="shared" si="1"/>
        <v>31.99</v>
      </c>
      <c r="K8" s="146">
        <f t="shared" si="1"/>
        <v>40.86</v>
      </c>
      <c r="L8" s="146">
        <f t="shared" si="1"/>
        <v>31.99</v>
      </c>
    </row>
    <row r="9" spans="1:12">
      <c r="A9" s="145" t="s">
        <v>27</v>
      </c>
      <c r="B9" s="146"/>
      <c r="C9" s="146">
        <f t="shared" ref="C9:L10" si="2">C47</f>
        <v>874.41</v>
      </c>
      <c r="D9" s="146">
        <f t="shared" si="2"/>
        <v>894.9</v>
      </c>
      <c r="E9" s="146">
        <f t="shared" si="2"/>
        <v>852.71</v>
      </c>
      <c r="F9" s="146">
        <f t="shared" si="2"/>
        <v>955.13</v>
      </c>
      <c r="G9" s="146">
        <f t="shared" si="2"/>
        <v>865.15</v>
      </c>
      <c r="H9" s="146">
        <f t="shared" si="2"/>
        <v>996.03</v>
      </c>
      <c r="I9" s="146">
        <f t="shared" si="2"/>
        <v>997.17</v>
      </c>
      <c r="J9" s="146">
        <f t="shared" si="2"/>
        <v>858.67</v>
      </c>
      <c r="K9" s="146">
        <f t="shared" si="2"/>
        <v>830.48</v>
      </c>
      <c r="L9" s="146">
        <f t="shared" si="2"/>
        <v>1044.26</v>
      </c>
    </row>
    <row r="10" spans="1:12">
      <c r="A10" s="145" t="s">
        <v>16</v>
      </c>
      <c r="B10" s="146"/>
      <c r="C10" s="146">
        <f t="shared" si="2"/>
        <v>360.2</v>
      </c>
      <c r="D10" s="146">
        <f t="shared" si="2"/>
        <v>447.36</v>
      </c>
      <c r="E10" s="146">
        <f t="shared" si="2"/>
        <v>437.21</v>
      </c>
      <c r="F10" s="146">
        <f t="shared" si="2"/>
        <v>518.61</v>
      </c>
      <c r="G10" s="146">
        <f t="shared" si="2"/>
        <v>554.09</v>
      </c>
      <c r="H10" s="146">
        <f t="shared" si="2"/>
        <v>661.79</v>
      </c>
      <c r="I10" s="146">
        <f t="shared" si="2"/>
        <v>715.66</v>
      </c>
      <c r="J10" s="146">
        <f t="shared" si="2"/>
        <v>706.35</v>
      </c>
      <c r="K10" s="146">
        <f t="shared" si="2"/>
        <v>562.49</v>
      </c>
      <c r="L10" s="146">
        <f t="shared" si="2"/>
        <v>696.12</v>
      </c>
    </row>
    <row r="11" spans="1:12">
      <c r="A11" s="145" t="s">
        <v>256</v>
      </c>
      <c r="B11" s="146"/>
      <c r="C11" s="146">
        <f t="shared" ref="C11:L11" si="3">C9-C10</f>
        <v>514.21</v>
      </c>
      <c r="D11" s="146">
        <f t="shared" si="3"/>
        <v>447.53999999999996</v>
      </c>
      <c r="E11" s="146">
        <f t="shared" si="3"/>
        <v>415.50000000000006</v>
      </c>
      <c r="F11" s="146">
        <f t="shared" si="3"/>
        <v>436.52</v>
      </c>
      <c r="G11" s="146">
        <f t="shared" si="3"/>
        <v>311.05999999999995</v>
      </c>
      <c r="H11" s="146">
        <f t="shared" si="3"/>
        <v>334.24</v>
      </c>
      <c r="I11" s="146">
        <f t="shared" si="3"/>
        <v>281.51</v>
      </c>
      <c r="J11" s="146">
        <f t="shared" si="3"/>
        <v>152.31999999999994</v>
      </c>
      <c r="K11" s="146">
        <f t="shared" si="3"/>
        <v>267.99</v>
      </c>
      <c r="L11" s="146">
        <f t="shared" si="3"/>
        <v>348.14</v>
      </c>
    </row>
    <row r="12" spans="1:12">
      <c r="A12" s="325"/>
      <c r="B12" s="325"/>
      <c r="C12" s="325"/>
      <c r="D12" s="325"/>
      <c r="E12" s="325"/>
      <c r="F12" s="325"/>
      <c r="G12" s="325"/>
      <c r="H12" s="325"/>
      <c r="I12" s="325"/>
      <c r="J12" s="325"/>
      <c r="K12" s="325"/>
      <c r="L12" s="141"/>
    </row>
    <row r="13" spans="1:12">
      <c r="A13" s="324" t="s">
        <v>257</v>
      </c>
      <c r="B13" s="324"/>
      <c r="C13" s="324"/>
      <c r="D13" s="324"/>
      <c r="E13" s="324"/>
      <c r="F13" s="324"/>
      <c r="G13" s="324"/>
      <c r="H13" s="324"/>
      <c r="I13" s="324"/>
      <c r="J13" s="324"/>
      <c r="K13" s="147"/>
      <c r="L13" s="141"/>
    </row>
    <row r="14" spans="1:12">
      <c r="A14" s="148" t="s">
        <v>258</v>
      </c>
      <c r="B14" s="196"/>
      <c r="C14" s="196">
        <f t="shared" ref="C14:L14" si="4">C4</f>
        <v>39538</v>
      </c>
      <c r="D14" s="196">
        <f t="shared" si="4"/>
        <v>39903</v>
      </c>
      <c r="E14" s="196">
        <f t="shared" si="4"/>
        <v>40268</v>
      </c>
      <c r="F14" s="196">
        <f t="shared" si="4"/>
        <v>40633</v>
      </c>
      <c r="G14" s="196">
        <f t="shared" si="4"/>
        <v>40999</v>
      </c>
      <c r="H14" s="196">
        <f t="shared" si="4"/>
        <v>41364</v>
      </c>
      <c r="I14" s="196">
        <f t="shared" si="4"/>
        <v>41729</v>
      </c>
      <c r="J14" s="196">
        <f t="shared" si="4"/>
        <v>42094</v>
      </c>
      <c r="K14" s="196">
        <f t="shared" si="4"/>
        <v>42460</v>
      </c>
      <c r="L14" s="196">
        <f t="shared" si="4"/>
        <v>42825</v>
      </c>
    </row>
    <row r="15" spans="1:12">
      <c r="A15" s="149" t="s">
        <v>21</v>
      </c>
      <c r="B15" s="150"/>
      <c r="C15" s="150">
        <f>Quantitative!B18</f>
        <v>470.89</v>
      </c>
      <c r="D15" s="150">
        <f>Quantitative!C18</f>
        <v>434.48</v>
      </c>
      <c r="E15" s="150">
        <f>Quantitative!D18</f>
        <v>412.41</v>
      </c>
      <c r="F15" s="150">
        <f>Quantitative!E18</f>
        <v>612.16999999999996</v>
      </c>
      <c r="G15" s="150">
        <f>Quantitative!F18</f>
        <v>862.76</v>
      </c>
      <c r="H15" s="150">
        <f>Quantitative!G18</f>
        <v>852.2</v>
      </c>
      <c r="I15" s="150">
        <f>Quantitative!H18</f>
        <v>921.95</v>
      </c>
      <c r="J15" s="150">
        <f>Quantitative!I18</f>
        <v>966.07</v>
      </c>
      <c r="K15" s="150">
        <f>Quantitative!J18</f>
        <v>969.76</v>
      </c>
      <c r="L15" s="150">
        <f>Quantitative!K18</f>
        <v>1161.6600000000001</v>
      </c>
    </row>
    <row r="16" spans="1:12">
      <c r="A16" s="149" t="s">
        <v>259</v>
      </c>
      <c r="B16" s="150"/>
      <c r="C16" s="150">
        <f>Quantitative!B22</f>
        <v>61.22</v>
      </c>
      <c r="D16" s="150">
        <f>Quantitative!C22</f>
        <v>75.81</v>
      </c>
      <c r="E16" s="150">
        <f>Quantitative!D22</f>
        <v>75.39</v>
      </c>
      <c r="F16" s="150">
        <f>Quantitative!E22</f>
        <v>91.58</v>
      </c>
      <c r="G16" s="150">
        <f>Quantitative!F22</f>
        <v>96.35</v>
      </c>
      <c r="H16" s="150">
        <f>Quantitative!G22</f>
        <v>107.95</v>
      </c>
      <c r="I16" s="150">
        <f>Quantitative!H22</f>
        <v>118.91</v>
      </c>
      <c r="J16" s="150">
        <f>Quantitative!I22</f>
        <v>122.47</v>
      </c>
      <c r="K16" s="150">
        <f>Quantitative!J22</f>
        <v>133.24</v>
      </c>
      <c r="L16" s="150">
        <f>Quantitative!K22</f>
        <v>158.13</v>
      </c>
    </row>
    <row r="17" spans="1:12">
      <c r="A17" s="149" t="s">
        <v>260</v>
      </c>
      <c r="B17" s="150"/>
      <c r="C17" s="150">
        <f>Quantitative!B23</f>
        <v>90.31</v>
      </c>
      <c r="D17" s="150">
        <f>Quantitative!C23</f>
        <v>102.38</v>
      </c>
      <c r="E17" s="150">
        <f>Quantitative!D23</f>
        <v>123.76</v>
      </c>
      <c r="F17" s="150">
        <f>Quantitative!E23</f>
        <v>108.05</v>
      </c>
      <c r="G17" s="150">
        <f>Quantitative!F23</f>
        <v>176.55</v>
      </c>
      <c r="H17" s="150">
        <f>Quantitative!G23</f>
        <v>184.57</v>
      </c>
      <c r="I17" s="150">
        <f>Quantitative!H23</f>
        <v>185.98</v>
      </c>
      <c r="J17" s="150">
        <f>Quantitative!I23</f>
        <v>206.5</v>
      </c>
      <c r="K17" s="150">
        <f>Quantitative!J23</f>
        <v>233.11</v>
      </c>
      <c r="L17" s="150">
        <f>Quantitative!K23</f>
        <v>242.8</v>
      </c>
    </row>
    <row r="18" spans="1:12">
      <c r="A18" s="149" t="s">
        <v>261</v>
      </c>
      <c r="B18" s="150"/>
      <c r="C18" s="150"/>
      <c r="D18" s="150"/>
      <c r="E18" s="150"/>
      <c r="F18" s="150"/>
      <c r="G18" s="150"/>
      <c r="H18" s="150"/>
      <c r="I18" s="150"/>
      <c r="J18" s="150"/>
      <c r="K18" s="150"/>
      <c r="L18" s="150"/>
    </row>
    <row r="19" spans="1:12">
      <c r="A19" s="149" t="s">
        <v>262</v>
      </c>
      <c r="B19" s="150"/>
      <c r="C19" s="150"/>
      <c r="D19" s="150"/>
      <c r="E19" s="150"/>
      <c r="F19" s="150"/>
      <c r="G19" s="150"/>
      <c r="H19" s="150"/>
      <c r="I19" s="150"/>
      <c r="J19" s="150"/>
      <c r="K19" s="150"/>
      <c r="L19" s="150"/>
    </row>
    <row r="20" spans="1:12">
      <c r="A20" s="149" t="s">
        <v>263</v>
      </c>
      <c r="B20" s="150"/>
      <c r="C20" s="150">
        <f>Quantitative!B20</f>
        <v>161.69999999999999</v>
      </c>
      <c r="D20" s="150">
        <f>Quantitative!C20</f>
        <v>209.15</v>
      </c>
      <c r="E20" s="150">
        <f>Quantitative!D20</f>
        <v>186.87</v>
      </c>
      <c r="F20" s="150">
        <f>Quantitative!E20</f>
        <v>227.91</v>
      </c>
      <c r="G20" s="150">
        <f>Quantitative!F20</f>
        <v>258.95999999999998</v>
      </c>
      <c r="H20" s="150">
        <f>Quantitative!G20</f>
        <v>340.69</v>
      </c>
      <c r="I20" s="150">
        <f>Quantitative!H20</f>
        <v>385.38</v>
      </c>
      <c r="J20" s="150">
        <f>Quantitative!I20</f>
        <v>389.57</v>
      </c>
      <c r="K20" s="150">
        <f>Quantitative!J20</f>
        <v>355.89</v>
      </c>
      <c r="L20" s="150">
        <f>Quantitative!K20</f>
        <v>306.52</v>
      </c>
    </row>
    <row r="21" spans="1:12">
      <c r="A21" s="149" t="s">
        <v>264</v>
      </c>
      <c r="B21" s="150"/>
      <c r="C21" s="150">
        <f>Quantitative!B24</f>
        <v>-8.7799999999999994</v>
      </c>
      <c r="D21" s="150">
        <f>Quantitative!C24</f>
        <v>8.65</v>
      </c>
      <c r="E21" s="150">
        <f>Quantitative!D24</f>
        <v>-14.45</v>
      </c>
      <c r="F21" s="150">
        <f>Quantitative!E24</f>
        <v>196.69</v>
      </c>
      <c r="G21" s="150">
        <f>Quantitative!F24</f>
        <v>23.47</v>
      </c>
      <c r="H21" s="150">
        <f>Quantitative!G24</f>
        <v>117.89</v>
      </c>
      <c r="I21" s="150">
        <f>Quantitative!H24</f>
        <v>73.510000000000005</v>
      </c>
      <c r="J21" s="150">
        <f>Quantitative!I24</f>
        <v>42.11</v>
      </c>
      <c r="K21" s="150">
        <f>Quantitative!J24</f>
        <v>28.03</v>
      </c>
      <c r="L21" s="150">
        <f>Quantitative!K24</f>
        <v>21.92</v>
      </c>
    </row>
    <row r="22" spans="1:12">
      <c r="A22" s="149" t="s">
        <v>265</v>
      </c>
      <c r="B22" s="150"/>
      <c r="C22" s="150">
        <f>'Polished Data'!L8</f>
        <v>31.99</v>
      </c>
      <c r="D22" s="150"/>
      <c r="E22" s="150"/>
      <c r="F22" s="150"/>
      <c r="G22" s="151"/>
      <c r="H22" s="151"/>
      <c r="I22" s="151"/>
      <c r="J22" s="151"/>
      <c r="K22" s="149"/>
      <c r="L22" s="152"/>
    </row>
    <row r="23" spans="1:12">
      <c r="A23" s="153" t="s">
        <v>121</v>
      </c>
      <c r="B23" s="150"/>
      <c r="C23" s="150"/>
      <c r="D23" s="150">
        <f t="shared" ref="D23:L23" si="5">(D50-C50)+(D51-C51)+D30</f>
        <v>1118.6499999999999</v>
      </c>
      <c r="E23" s="150">
        <f t="shared" si="5"/>
        <v>43.689999999999955</v>
      </c>
      <c r="F23" s="150">
        <f t="shared" si="5"/>
        <v>9.2000000000000455</v>
      </c>
      <c r="G23" s="150">
        <f t="shared" si="5"/>
        <v>13.760000000000105</v>
      </c>
      <c r="H23" s="150">
        <f t="shared" si="5"/>
        <v>96.809999999999903</v>
      </c>
      <c r="I23" s="150">
        <f t="shared" si="5"/>
        <v>59.259999999999962</v>
      </c>
      <c r="J23" s="150">
        <f t="shared" si="5"/>
        <v>143.79999999999995</v>
      </c>
      <c r="K23" s="150">
        <f t="shared" si="5"/>
        <v>226.7700000000001</v>
      </c>
      <c r="L23" s="150">
        <f t="shared" si="5"/>
        <v>426.35000000000019</v>
      </c>
    </row>
    <row r="24" spans="1:12">
      <c r="A24" s="154" t="str">
        <f>Quantitative!A1</f>
        <v>COMPANY NAME</v>
      </c>
      <c r="B24" s="196"/>
      <c r="C24" s="196">
        <f t="shared" ref="C24:L24" si="6">C14</f>
        <v>39538</v>
      </c>
      <c r="D24" s="196">
        <f t="shared" si="6"/>
        <v>39903</v>
      </c>
      <c r="E24" s="196">
        <f t="shared" si="6"/>
        <v>40268</v>
      </c>
      <c r="F24" s="196">
        <f t="shared" si="6"/>
        <v>40633</v>
      </c>
      <c r="G24" s="196">
        <f t="shared" si="6"/>
        <v>40999</v>
      </c>
      <c r="H24" s="196">
        <f t="shared" si="6"/>
        <v>41364</v>
      </c>
      <c r="I24" s="196">
        <f t="shared" si="6"/>
        <v>41729</v>
      </c>
      <c r="J24" s="196">
        <f t="shared" si="6"/>
        <v>42094</v>
      </c>
      <c r="K24" s="196">
        <f t="shared" si="6"/>
        <v>42460</v>
      </c>
      <c r="L24" s="196">
        <f t="shared" si="6"/>
        <v>42825</v>
      </c>
    </row>
    <row r="25" spans="1:12">
      <c r="A25" s="155" t="s">
        <v>20</v>
      </c>
      <c r="B25" s="155"/>
      <c r="C25" s="241">
        <f>Quantitative!B17+Quantitative!B25</f>
        <v>1099.18</v>
      </c>
      <c r="D25" s="241">
        <f>Quantitative!C17+Quantitative!C25</f>
        <v>1222.8999999999999</v>
      </c>
      <c r="E25" s="241">
        <f>Quantitative!D17+Quantitative!D25</f>
        <v>1203.6799999999998</v>
      </c>
      <c r="F25" s="241">
        <f>Quantitative!E17+Quantitative!E25</f>
        <v>1697.46</v>
      </c>
      <c r="G25" s="241">
        <f>Quantitative!F17+Quantitative!F25</f>
        <v>1907.99</v>
      </c>
      <c r="H25" s="241">
        <f>Quantitative!G17+Quantitative!G25</f>
        <v>2130.5099999999998</v>
      </c>
      <c r="I25" s="241">
        <f>Quantitative!H17+Quantitative!H25</f>
        <v>2230.2400000000002</v>
      </c>
      <c r="J25" s="241">
        <f>Quantitative!I17+Quantitative!I25</f>
        <v>2385.7400000000002</v>
      </c>
      <c r="K25" s="241">
        <f>Quantitative!J17+Quantitative!J25</f>
        <v>2539.66</v>
      </c>
      <c r="L25" s="241">
        <f>Quantitative!K17+Quantitative!K25</f>
        <v>2791.48</v>
      </c>
    </row>
    <row r="26" spans="1:12">
      <c r="A26" s="155" t="s">
        <v>239</v>
      </c>
      <c r="B26" s="155"/>
      <c r="C26" s="241">
        <f>Quantitative!B17</f>
        <v>1050.99</v>
      </c>
      <c r="D26" s="241">
        <f>Quantitative!C17</f>
        <v>1214.82</v>
      </c>
      <c r="E26" s="241">
        <f>Quantitative!D17</f>
        <v>1191.58</v>
      </c>
      <c r="F26" s="241">
        <f>Quantitative!E17</f>
        <v>1498.17</v>
      </c>
      <c r="G26" s="241">
        <f>Quantitative!F17</f>
        <v>1896.73</v>
      </c>
      <c r="H26" s="241">
        <f>Quantitative!G17</f>
        <v>2124.9499999999998</v>
      </c>
      <c r="I26" s="241">
        <f>Quantitative!H17</f>
        <v>2224.21</v>
      </c>
      <c r="J26" s="241">
        <f>Quantitative!I17</f>
        <v>2373.61</v>
      </c>
      <c r="K26" s="241">
        <f>Quantitative!J17</f>
        <v>2532.19</v>
      </c>
      <c r="L26" s="241">
        <f>Quantitative!K17</f>
        <v>2780.7</v>
      </c>
    </row>
    <row r="27" spans="1:12">
      <c r="A27" s="155" t="str">
        <f t="shared" ref="A27:L27" si="7">A15</f>
        <v>Raw Materials</v>
      </c>
      <c r="B27" s="155"/>
      <c r="C27" s="241">
        <f t="shared" si="7"/>
        <v>470.89</v>
      </c>
      <c r="D27" s="241">
        <f t="shared" si="7"/>
        <v>434.48</v>
      </c>
      <c r="E27" s="241">
        <f t="shared" si="7"/>
        <v>412.41</v>
      </c>
      <c r="F27" s="241">
        <f t="shared" si="7"/>
        <v>612.16999999999996</v>
      </c>
      <c r="G27" s="241">
        <f t="shared" si="7"/>
        <v>862.76</v>
      </c>
      <c r="H27" s="241">
        <f t="shared" si="7"/>
        <v>852.2</v>
      </c>
      <c r="I27" s="241">
        <f t="shared" si="7"/>
        <v>921.95</v>
      </c>
      <c r="J27" s="241">
        <f t="shared" si="7"/>
        <v>966.07</v>
      </c>
      <c r="K27" s="241">
        <f t="shared" si="7"/>
        <v>969.76</v>
      </c>
      <c r="L27" s="241">
        <f t="shared" si="7"/>
        <v>1161.6600000000001</v>
      </c>
    </row>
    <row r="28" spans="1:12">
      <c r="A28" s="155" t="s">
        <v>266</v>
      </c>
      <c r="B28" s="155"/>
      <c r="C28" s="241">
        <f t="shared" ref="C28:L28" si="8">C26-C27</f>
        <v>580.1</v>
      </c>
      <c r="D28" s="241">
        <f t="shared" si="8"/>
        <v>780.33999999999992</v>
      </c>
      <c r="E28" s="241">
        <f t="shared" si="8"/>
        <v>779.16999999999985</v>
      </c>
      <c r="F28" s="241">
        <f t="shared" si="8"/>
        <v>886.00000000000011</v>
      </c>
      <c r="G28" s="241">
        <f t="shared" si="8"/>
        <v>1033.97</v>
      </c>
      <c r="H28" s="241">
        <f t="shared" si="8"/>
        <v>1272.7499999999998</v>
      </c>
      <c r="I28" s="241">
        <f t="shared" si="8"/>
        <v>1302.26</v>
      </c>
      <c r="J28" s="241">
        <f t="shared" si="8"/>
        <v>1407.54</v>
      </c>
      <c r="K28" s="241">
        <f t="shared" si="8"/>
        <v>1562.43</v>
      </c>
      <c r="L28" s="241">
        <f t="shared" si="8"/>
        <v>1619.0399999999997</v>
      </c>
    </row>
    <row r="29" spans="1:12">
      <c r="A29" s="155" t="s">
        <v>64</v>
      </c>
      <c r="B29" s="155"/>
      <c r="C29" s="241">
        <f>Quantitative!B17-Quantitative!B18-Quantitative!B20-Quantitative!B21-Quantitative!B22-Quantitative!B23-Quantitative!B24+Quantitative!B25+Quantitative!B19</f>
        <v>279.72000000000003</v>
      </c>
      <c r="D29" s="241">
        <f>Quantitative!C17-Quantitative!C18-Quantitative!C20-Quantitative!C21-Quantitative!C22-Quantitative!C23-Quantitative!C24+Quantitative!C25+Quantitative!C19</f>
        <v>285.92999999999995</v>
      </c>
      <c r="E29" s="241">
        <f>Quantitative!D17-Quantitative!D18-Quantitative!D20-Quantitative!D21-Quantitative!D22-Quantitative!D23-Quantitative!D24+Quantitative!D25+Quantitative!D19</f>
        <v>303.55999999999983</v>
      </c>
      <c r="F29" s="241">
        <f>Quantitative!E17-Quantitative!E18-Quantitative!E20-Quantitative!E21-Quantitative!E22-Quantitative!E23-Quantitative!E24+Quantitative!E25+Quantitative!E19</f>
        <v>350.98000000000013</v>
      </c>
      <c r="G29" s="241">
        <f>Quantitative!F17-Quantitative!F18-Quantitative!F20-Quantitative!F21-Quantitative!F22-Quantitative!F23-Quantitative!F24+Quantitative!F25+Quantitative!F19</f>
        <v>386.09000000000003</v>
      </c>
      <c r="H29" s="241">
        <f>Quantitative!G17-Quantitative!G18-Quantitative!G20-Quantitative!G21-Quantitative!G22-Quantitative!G23-Quantitative!G24+Quantitative!G25+Quantitative!G19</f>
        <v>382.56999999999977</v>
      </c>
      <c r="I29" s="241">
        <f>Quantitative!H17-Quantitative!H18-Quantitative!H20-Quantitative!H21-Quantitative!H22-Quantitative!H23-Quantitative!H24+Quantitative!H25+Quantitative!H19</f>
        <v>403.38</v>
      </c>
      <c r="J29" s="241">
        <f>Quantitative!I17-Quantitative!I18-Quantitative!I20-Quantitative!I21-Quantitative!I22-Quantitative!I23-Quantitative!I24+Quantitative!I25+Quantitative!I19</f>
        <v>507.09999999999991</v>
      </c>
      <c r="K29" s="241">
        <f>Quantitative!J17-Quantitative!J18-Quantitative!J20-Quantitative!J21-Quantitative!J22-Quantitative!J23-Quantitative!J24+Quantitative!J25+Quantitative!J19</f>
        <v>622.26</v>
      </c>
      <c r="L29" s="241">
        <f>Quantitative!K17-Quantitative!K18-Quantitative!K20-Quantitative!K21-Quantitative!K22-Quantitative!K23-Quantitative!K24+Quantitative!K25+Quantitative!K19</f>
        <v>721.38999999999976</v>
      </c>
    </row>
    <row r="30" spans="1:12">
      <c r="A30" s="155" t="s">
        <v>267</v>
      </c>
      <c r="B30" s="155"/>
      <c r="C30" s="241">
        <f>Quantitative!B26</f>
        <v>64.42</v>
      </c>
      <c r="D30" s="241">
        <f>Quantitative!C26</f>
        <v>69.61</v>
      </c>
      <c r="E30" s="241">
        <f>Quantitative!D26</f>
        <v>76.11</v>
      </c>
      <c r="F30" s="241">
        <f>Quantitative!E26</f>
        <v>84.4</v>
      </c>
      <c r="G30" s="241">
        <f>Quantitative!F26</f>
        <v>80.849999999999994</v>
      </c>
      <c r="H30" s="241">
        <f>Quantitative!G26</f>
        <v>81.97</v>
      </c>
      <c r="I30" s="241">
        <f>Quantitative!H26</f>
        <v>81.569999999999993</v>
      </c>
      <c r="J30" s="241">
        <f>Quantitative!I26</f>
        <v>84.45</v>
      </c>
      <c r="K30" s="241">
        <f>Quantitative!J26</f>
        <v>81.739999999999995</v>
      </c>
      <c r="L30" s="241">
        <f>Quantitative!K26</f>
        <v>85.69</v>
      </c>
    </row>
    <row r="31" spans="1:12">
      <c r="A31" s="155" t="s">
        <v>268</v>
      </c>
      <c r="B31" s="155"/>
      <c r="C31" s="241">
        <f t="shared" ref="C31:L31" si="9">C29-C30</f>
        <v>215.3</v>
      </c>
      <c r="D31" s="241">
        <f t="shared" si="9"/>
        <v>216.31999999999994</v>
      </c>
      <c r="E31" s="241">
        <f t="shared" si="9"/>
        <v>227.44999999999982</v>
      </c>
      <c r="F31" s="241">
        <f t="shared" si="9"/>
        <v>266.58000000000015</v>
      </c>
      <c r="G31" s="241">
        <f t="shared" si="9"/>
        <v>305.24</v>
      </c>
      <c r="H31" s="241">
        <f t="shared" si="9"/>
        <v>300.5999999999998</v>
      </c>
      <c r="I31" s="241">
        <f t="shared" si="9"/>
        <v>321.81</v>
      </c>
      <c r="J31" s="241">
        <f t="shared" si="9"/>
        <v>422.64999999999992</v>
      </c>
      <c r="K31" s="241">
        <f t="shared" si="9"/>
        <v>540.52</v>
      </c>
      <c r="L31" s="241">
        <f t="shared" si="9"/>
        <v>635.69999999999982</v>
      </c>
    </row>
    <row r="32" spans="1:12">
      <c r="A32" s="155" t="s">
        <v>24</v>
      </c>
      <c r="B32" s="155"/>
      <c r="C32" s="241">
        <f>Quantitative!B27</f>
        <v>64.03</v>
      </c>
      <c r="D32" s="241">
        <f>Quantitative!C27</f>
        <v>90.23</v>
      </c>
      <c r="E32" s="241">
        <f>Quantitative!D27</f>
        <v>106.04</v>
      </c>
      <c r="F32" s="241">
        <f>Quantitative!E27</f>
        <v>111.67</v>
      </c>
      <c r="G32" s="241">
        <f>Quantitative!F27</f>
        <v>186.59</v>
      </c>
      <c r="H32" s="241">
        <f>Quantitative!G27</f>
        <v>160.54</v>
      </c>
      <c r="I32" s="241">
        <f>Quantitative!H27</f>
        <v>171.56</v>
      </c>
      <c r="J32" s="241">
        <f>Quantitative!I27</f>
        <v>164.71</v>
      </c>
      <c r="K32" s="241">
        <f>Quantitative!J27</f>
        <v>162.82</v>
      </c>
      <c r="L32" s="241">
        <f>Quantitative!K27</f>
        <v>133.77000000000001</v>
      </c>
    </row>
    <row r="33" spans="1:12">
      <c r="A33" s="155" t="s">
        <v>269</v>
      </c>
      <c r="B33" s="155"/>
      <c r="C33" s="241">
        <f t="shared" ref="C33:L33" si="10">C31-C32</f>
        <v>151.27000000000001</v>
      </c>
      <c r="D33" s="241">
        <f t="shared" si="10"/>
        <v>126.08999999999993</v>
      </c>
      <c r="E33" s="241">
        <f t="shared" si="10"/>
        <v>121.40999999999981</v>
      </c>
      <c r="F33" s="241">
        <f t="shared" si="10"/>
        <v>154.91000000000014</v>
      </c>
      <c r="G33" s="241">
        <f t="shared" si="10"/>
        <v>118.65</v>
      </c>
      <c r="H33" s="241">
        <f t="shared" si="10"/>
        <v>140.0599999999998</v>
      </c>
      <c r="I33" s="241">
        <f t="shared" si="10"/>
        <v>150.25</v>
      </c>
      <c r="J33" s="241">
        <f t="shared" si="10"/>
        <v>257.93999999999994</v>
      </c>
      <c r="K33" s="241">
        <f t="shared" si="10"/>
        <v>377.7</v>
      </c>
      <c r="L33" s="241">
        <f t="shared" si="10"/>
        <v>501.92999999999984</v>
      </c>
    </row>
    <row r="34" spans="1:12">
      <c r="A34" s="155" t="s">
        <v>26</v>
      </c>
      <c r="B34" s="155"/>
      <c r="C34" s="241">
        <f>Quantitative!B29</f>
        <v>49.69</v>
      </c>
      <c r="D34" s="241">
        <f>Quantitative!C29</f>
        <v>19.62</v>
      </c>
      <c r="E34" s="241">
        <f>Quantitative!D29</f>
        <v>-19.54</v>
      </c>
      <c r="F34" s="241">
        <f>Quantitative!E29</f>
        <v>38.58</v>
      </c>
      <c r="G34" s="241">
        <f>Quantitative!F29</f>
        <v>1.17</v>
      </c>
      <c r="H34" s="241">
        <f>Quantitative!G29</f>
        <v>25.12</v>
      </c>
      <c r="I34" s="241">
        <f>Quantitative!H29</f>
        <v>33.97</v>
      </c>
      <c r="J34" s="241">
        <f>Quantitative!I29</f>
        <v>74.92</v>
      </c>
      <c r="K34" s="241">
        <f>Quantitative!J29</f>
        <v>121.07</v>
      </c>
      <c r="L34" s="241">
        <f>Quantitative!K29</f>
        <v>115.16</v>
      </c>
    </row>
    <row r="35" spans="1:12">
      <c r="A35" s="155" t="s">
        <v>242</v>
      </c>
      <c r="B35" s="155"/>
      <c r="C35" s="241">
        <f t="shared" ref="C35:L35" si="11">C33-C34</f>
        <v>101.58000000000001</v>
      </c>
      <c r="D35" s="241">
        <f t="shared" si="11"/>
        <v>106.46999999999993</v>
      </c>
      <c r="E35" s="241">
        <f t="shared" si="11"/>
        <v>140.94999999999982</v>
      </c>
      <c r="F35" s="241">
        <f t="shared" si="11"/>
        <v>116.33000000000014</v>
      </c>
      <c r="G35" s="241">
        <f t="shared" si="11"/>
        <v>117.48</v>
      </c>
      <c r="H35" s="241">
        <f t="shared" si="11"/>
        <v>114.9399999999998</v>
      </c>
      <c r="I35" s="241">
        <f t="shared" si="11"/>
        <v>116.28</v>
      </c>
      <c r="J35" s="241">
        <f t="shared" si="11"/>
        <v>183.01999999999992</v>
      </c>
      <c r="K35" s="241">
        <f t="shared" si="11"/>
        <v>256.63</v>
      </c>
      <c r="L35" s="241">
        <f t="shared" si="11"/>
        <v>386.76999999999987</v>
      </c>
    </row>
    <row r="36" spans="1:12">
      <c r="A36" s="155" t="s">
        <v>270</v>
      </c>
      <c r="B36" s="155"/>
      <c r="C36" s="241">
        <f>Quantitative!B31</f>
        <v>24.01</v>
      </c>
      <c r="D36" s="241">
        <f>Quantitative!C31</f>
        <v>20</v>
      </c>
      <c r="E36" s="241">
        <f>Quantitative!D31</f>
        <v>20</v>
      </c>
      <c r="F36" s="241">
        <f>Quantitative!E31</f>
        <v>20</v>
      </c>
      <c r="G36" s="241">
        <f>Quantitative!F31</f>
        <v>20</v>
      </c>
      <c r="H36" s="241">
        <f>Quantitative!G31</f>
        <v>20</v>
      </c>
      <c r="I36" s="241">
        <f>Quantitative!H31</f>
        <v>20</v>
      </c>
      <c r="J36" s="241">
        <f>Quantitative!I31</f>
        <v>22</v>
      </c>
      <c r="K36" s="241">
        <f>Quantitative!J31</f>
        <v>22</v>
      </c>
      <c r="L36" s="241">
        <f>Quantitative!K31</f>
        <v>50.02</v>
      </c>
    </row>
    <row r="37" spans="1:12">
      <c r="A37" s="155" t="s">
        <v>4</v>
      </c>
      <c r="C37" s="241">
        <f>Quantitative!B90*Quantitative!B93</f>
        <v>882.57017966399985</v>
      </c>
      <c r="D37" s="241">
        <f>Quantitative!C90*Quantitative!C93</f>
        <v>317.96131019399996</v>
      </c>
      <c r="E37" s="241">
        <f>Quantitative!D90*Quantitative!D93</f>
        <v>481.69288137599995</v>
      </c>
      <c r="F37" s="241">
        <f>Quantitative!E90*Quantitative!E93</f>
        <v>423.78171478199994</v>
      </c>
      <c r="G37" s="241">
        <f>Quantitative!F90*Quantitative!F93</f>
        <v>361.06962246000001</v>
      </c>
      <c r="H37" s="241">
        <f>Quantitative!G90*Quantitative!G93</f>
        <v>353.868233868</v>
      </c>
      <c r="I37" s="241">
        <f>Quantitative!H90*Quantitative!H93</f>
        <v>374.07212963999996</v>
      </c>
      <c r="J37" s="241">
        <f>Quantitative!I90*Quantitative!I93</f>
        <v>743.34333355199988</v>
      </c>
      <c r="K37" s="241">
        <f>Quantitative!J90*Quantitative!J93</f>
        <v>1271.24512506</v>
      </c>
      <c r="L37" s="241">
        <f>Quantitative!K90*Quantitative!K93</f>
        <v>2647.2679231680004</v>
      </c>
    </row>
    <row r="38" spans="1:12">
      <c r="A38" s="156" t="s">
        <v>271</v>
      </c>
      <c r="B38" s="209">
        <f>Quantitative!B9</f>
        <v>2911.01</v>
      </c>
      <c r="C38" s="326"/>
      <c r="D38" s="327"/>
      <c r="E38" s="327"/>
      <c r="F38" s="327"/>
      <c r="G38" s="327"/>
      <c r="H38" s="327"/>
      <c r="I38" s="327"/>
      <c r="J38" s="327"/>
      <c r="K38" s="328"/>
      <c r="L38" s="141"/>
    </row>
    <row r="39" spans="1:12">
      <c r="A39" s="156" t="s">
        <v>381</v>
      </c>
      <c r="B39" s="208">
        <f>SUM(Quantitative!H49:K49)/Quantitative!K93</f>
        <v>39.755617056717931</v>
      </c>
      <c r="C39" s="205"/>
      <c r="D39" s="205"/>
      <c r="E39" s="205"/>
      <c r="F39" s="205"/>
      <c r="G39" s="205"/>
      <c r="H39" s="205"/>
      <c r="I39" s="205"/>
      <c r="J39" s="205"/>
      <c r="K39" s="205"/>
      <c r="L39" s="141"/>
    </row>
    <row r="40" spans="1:12">
      <c r="A40" s="157" t="s">
        <v>272</v>
      </c>
      <c r="B40" s="158"/>
      <c r="C40" s="241">
        <f>Quantitative!B57</f>
        <v>100.02</v>
      </c>
      <c r="D40" s="241">
        <f>Quantitative!C57</f>
        <v>100.02</v>
      </c>
      <c r="E40" s="241">
        <f>Quantitative!D57</f>
        <v>100.02</v>
      </c>
      <c r="F40" s="241">
        <f>Quantitative!E57</f>
        <v>100.02</v>
      </c>
      <c r="G40" s="241">
        <f>Quantitative!F57</f>
        <v>100.02</v>
      </c>
      <c r="H40" s="241">
        <f>Quantitative!G57</f>
        <v>100.02</v>
      </c>
      <c r="I40" s="241">
        <f>Quantitative!H57</f>
        <v>100.02</v>
      </c>
      <c r="J40" s="241">
        <f>Quantitative!I57</f>
        <v>100.02</v>
      </c>
      <c r="K40" s="241">
        <f>Quantitative!J57</f>
        <v>100.02</v>
      </c>
      <c r="L40" s="241">
        <f>Quantitative!K57</f>
        <v>99.47</v>
      </c>
    </row>
    <row r="41" spans="1:12">
      <c r="A41" s="157" t="s">
        <v>273</v>
      </c>
      <c r="B41" s="157"/>
      <c r="C41" s="243">
        <f>Quantitative!B58</f>
        <v>402.52</v>
      </c>
      <c r="D41" s="243">
        <f>Quantitative!C58</f>
        <v>1114.01</v>
      </c>
      <c r="E41" s="243">
        <f>Quantitative!D58</f>
        <v>1084.83</v>
      </c>
      <c r="F41" s="243">
        <f>Quantitative!E58</f>
        <v>919.47</v>
      </c>
      <c r="G41" s="243">
        <f>Quantitative!F58</f>
        <v>861.55</v>
      </c>
      <c r="H41" s="243">
        <f>Quantitative!G58</f>
        <v>967.45</v>
      </c>
      <c r="I41" s="243">
        <f>Quantitative!H58</f>
        <v>759.78</v>
      </c>
      <c r="J41" s="243">
        <f>Quantitative!I58</f>
        <v>669.71</v>
      </c>
      <c r="K41" s="243">
        <f>Quantitative!J58</f>
        <v>933.26</v>
      </c>
      <c r="L41" s="243">
        <f>Quantitative!K58</f>
        <v>1251.8499999999999</v>
      </c>
    </row>
    <row r="42" spans="1:12">
      <c r="A42" s="157" t="s">
        <v>9</v>
      </c>
      <c r="B42" s="155"/>
      <c r="C42" s="241">
        <f t="shared" ref="C42:L42" si="12">C41+C40</f>
        <v>502.53999999999996</v>
      </c>
      <c r="D42" s="241">
        <f t="shared" si="12"/>
        <v>1214.03</v>
      </c>
      <c r="E42" s="241">
        <f t="shared" si="12"/>
        <v>1184.8499999999999</v>
      </c>
      <c r="F42" s="241">
        <f t="shared" si="12"/>
        <v>1019.49</v>
      </c>
      <c r="G42" s="241">
        <f t="shared" si="12"/>
        <v>961.56999999999994</v>
      </c>
      <c r="H42" s="241">
        <f t="shared" si="12"/>
        <v>1067.47</v>
      </c>
      <c r="I42" s="241">
        <f t="shared" si="12"/>
        <v>859.8</v>
      </c>
      <c r="J42" s="241">
        <f t="shared" si="12"/>
        <v>769.73</v>
      </c>
      <c r="K42" s="241">
        <f t="shared" si="12"/>
        <v>1033.28</v>
      </c>
      <c r="L42" s="241">
        <f t="shared" si="12"/>
        <v>1351.32</v>
      </c>
    </row>
    <row r="43" spans="1:12">
      <c r="A43" s="159" t="s">
        <v>10</v>
      </c>
      <c r="B43" s="160"/>
      <c r="C43" s="241"/>
      <c r="D43" s="241"/>
      <c r="E43" s="241"/>
      <c r="F43" s="241"/>
      <c r="G43" s="241"/>
      <c r="H43" s="241"/>
      <c r="I43" s="241"/>
      <c r="J43" s="241"/>
      <c r="K43" s="241"/>
      <c r="L43" s="244"/>
    </row>
    <row r="44" spans="1:12">
      <c r="A44" s="159" t="s">
        <v>11</v>
      </c>
      <c r="B44" s="160"/>
      <c r="C44" s="241"/>
      <c r="D44" s="241"/>
      <c r="E44" s="241"/>
      <c r="F44" s="241"/>
      <c r="G44" s="241"/>
      <c r="H44" s="241"/>
      <c r="I44" s="241"/>
      <c r="J44" s="241"/>
      <c r="K44" s="241"/>
      <c r="L44" s="244"/>
    </row>
    <row r="45" spans="1:12">
      <c r="A45" s="159" t="s">
        <v>274</v>
      </c>
      <c r="B45" s="157"/>
      <c r="C45" s="243">
        <f>Quantitative!B59</f>
        <v>1163.6400000000001</v>
      </c>
      <c r="D45" s="243">
        <f>Quantitative!C59</f>
        <v>1334.3</v>
      </c>
      <c r="E45" s="243">
        <f>Quantitative!D59</f>
        <v>1319.6</v>
      </c>
      <c r="F45" s="243">
        <f>Quantitative!E59</f>
        <v>1396.63</v>
      </c>
      <c r="G45" s="243">
        <f>Quantitative!F59</f>
        <v>1265.7</v>
      </c>
      <c r="H45" s="243">
        <f>Quantitative!G59</f>
        <v>1174.67</v>
      </c>
      <c r="I45" s="243">
        <f>Quantitative!H59</f>
        <v>1309.3</v>
      </c>
      <c r="J45" s="243">
        <f>Quantitative!I59</f>
        <v>1323.54</v>
      </c>
      <c r="K45" s="243">
        <f>Quantitative!J59</f>
        <v>1325.19</v>
      </c>
      <c r="L45" s="243">
        <f>Quantitative!K59</f>
        <v>1430.69</v>
      </c>
    </row>
    <row r="46" spans="1:12">
      <c r="A46" s="159" t="s">
        <v>275</v>
      </c>
      <c r="B46" s="157"/>
      <c r="C46" s="243">
        <f>Quantitative!B60</f>
        <v>360.2</v>
      </c>
      <c r="D46" s="243">
        <f>Quantitative!C60</f>
        <v>447.36</v>
      </c>
      <c r="E46" s="243">
        <f>Quantitative!D60</f>
        <v>437.21</v>
      </c>
      <c r="F46" s="243">
        <f>Quantitative!E60</f>
        <v>518.61</v>
      </c>
      <c r="G46" s="243">
        <f>Quantitative!F60</f>
        <v>554.09</v>
      </c>
      <c r="H46" s="243">
        <f>Quantitative!G60</f>
        <v>661.79</v>
      </c>
      <c r="I46" s="243">
        <f>Quantitative!H60</f>
        <v>715.66</v>
      </c>
      <c r="J46" s="243">
        <f>Quantitative!I60</f>
        <v>706.35</v>
      </c>
      <c r="K46" s="243">
        <f>Quantitative!J60</f>
        <v>562.49</v>
      </c>
      <c r="L46" s="243">
        <f>Quantitative!K60</f>
        <v>696.12</v>
      </c>
    </row>
    <row r="47" spans="1:12">
      <c r="A47" s="159" t="s">
        <v>276</v>
      </c>
      <c r="B47" s="157"/>
      <c r="C47" s="243">
        <f>Quantitative!B65</f>
        <v>874.41</v>
      </c>
      <c r="D47" s="243">
        <f>Quantitative!C65</f>
        <v>894.9</v>
      </c>
      <c r="E47" s="243">
        <f>Quantitative!D65</f>
        <v>852.71</v>
      </c>
      <c r="F47" s="243">
        <f>Quantitative!E65</f>
        <v>955.13</v>
      </c>
      <c r="G47" s="243">
        <f>Quantitative!F65</f>
        <v>865.15</v>
      </c>
      <c r="H47" s="243">
        <f>Quantitative!G65</f>
        <v>996.03</v>
      </c>
      <c r="I47" s="243">
        <f>Quantitative!H65</f>
        <v>997.17</v>
      </c>
      <c r="J47" s="243">
        <f>Quantitative!I65</f>
        <v>858.67</v>
      </c>
      <c r="K47" s="243">
        <f>Quantitative!J65</f>
        <v>830.48</v>
      </c>
      <c r="L47" s="243">
        <f>Quantitative!K65</f>
        <v>1044.26</v>
      </c>
    </row>
    <row r="48" spans="1:12">
      <c r="A48" s="159" t="s">
        <v>16</v>
      </c>
      <c r="B48" s="157"/>
      <c r="C48" s="243">
        <f>Quantitative!B60</f>
        <v>360.2</v>
      </c>
      <c r="D48" s="243">
        <f>Quantitative!C60</f>
        <v>447.36</v>
      </c>
      <c r="E48" s="243">
        <f>Quantitative!D60</f>
        <v>437.21</v>
      </c>
      <c r="F48" s="243">
        <f>Quantitative!E60</f>
        <v>518.61</v>
      </c>
      <c r="G48" s="243">
        <f>Quantitative!F60</f>
        <v>554.09</v>
      </c>
      <c r="H48" s="243">
        <f>Quantitative!G60</f>
        <v>661.79</v>
      </c>
      <c r="I48" s="243">
        <f>Quantitative!H60</f>
        <v>715.66</v>
      </c>
      <c r="J48" s="243">
        <f>Quantitative!I60</f>
        <v>706.35</v>
      </c>
      <c r="K48" s="243">
        <f>Quantitative!J60</f>
        <v>562.49</v>
      </c>
      <c r="L48" s="243">
        <f>Quantitative!K60</f>
        <v>696.12</v>
      </c>
    </row>
    <row r="49" spans="1:12">
      <c r="A49" s="159" t="s">
        <v>17</v>
      </c>
      <c r="B49" s="157"/>
      <c r="C49" s="243">
        <f>Quantitative!B66</f>
        <v>2026.38</v>
      </c>
      <c r="D49" s="243">
        <f>Quantitative!C66</f>
        <v>2995.69</v>
      </c>
      <c r="E49" s="243">
        <f>Quantitative!D66</f>
        <v>2941.66</v>
      </c>
      <c r="F49" s="243">
        <f>Quantitative!E66</f>
        <v>2934.73</v>
      </c>
      <c r="G49" s="243">
        <f>Quantitative!F66</f>
        <v>2781.36</v>
      </c>
      <c r="H49" s="243">
        <f>Quantitative!G66</f>
        <v>2903.93</v>
      </c>
      <c r="I49" s="243">
        <f>Quantitative!H66</f>
        <v>2884.76</v>
      </c>
      <c r="J49" s="243">
        <f>Quantitative!I66</f>
        <v>2799.62</v>
      </c>
      <c r="K49" s="243">
        <f>Quantitative!J66</f>
        <v>2920.96</v>
      </c>
      <c r="L49" s="243">
        <f>Quantitative!K66</f>
        <v>3478.13</v>
      </c>
    </row>
    <row r="50" spans="1:12">
      <c r="A50" s="155" t="s">
        <v>277</v>
      </c>
      <c r="B50" s="155"/>
      <c r="C50" s="241">
        <f>Quantitative!B62</f>
        <v>978.46</v>
      </c>
      <c r="D50" s="241">
        <f>Quantitative!C62</f>
        <v>2031.78</v>
      </c>
      <c r="E50" s="241">
        <f>Quantitative!D62</f>
        <v>2024.08</v>
      </c>
      <c r="F50" s="241">
        <f>Quantitative!E62</f>
        <v>1950.03</v>
      </c>
      <c r="G50" s="241">
        <f>Quantitative!F62</f>
        <v>1872.41</v>
      </c>
      <c r="H50" s="241">
        <f>Quantitative!G62</f>
        <v>1870.76</v>
      </c>
      <c r="I50" s="241">
        <f>Quantitative!H62</f>
        <v>1867.55</v>
      </c>
      <c r="J50" s="241">
        <f>Quantitative!I62</f>
        <v>1932.35</v>
      </c>
      <c r="K50" s="241">
        <f>Quantitative!J62</f>
        <v>2047.5</v>
      </c>
      <c r="L50" s="241">
        <f>Quantitative!K62</f>
        <v>2399.0500000000002</v>
      </c>
    </row>
    <row r="51" spans="1:12">
      <c r="A51" s="155" t="s">
        <v>14</v>
      </c>
      <c r="B51" s="155"/>
      <c r="C51" s="241">
        <f>Quantitative!B63</f>
        <v>34.69</v>
      </c>
      <c r="D51" s="241">
        <f>Quantitative!C63</f>
        <v>30.41</v>
      </c>
      <c r="E51" s="241">
        <f>Quantitative!D63</f>
        <v>5.69</v>
      </c>
      <c r="F51" s="241">
        <f>Quantitative!E63</f>
        <v>4.54</v>
      </c>
      <c r="G51" s="241">
        <f>Quantitative!F63</f>
        <v>15.07</v>
      </c>
      <c r="H51" s="241">
        <f>Quantitative!G63</f>
        <v>31.56</v>
      </c>
      <c r="I51" s="241">
        <f>Quantitative!H63</f>
        <v>12.46</v>
      </c>
      <c r="J51" s="241">
        <f>Quantitative!I63</f>
        <v>7.01</v>
      </c>
      <c r="K51" s="241">
        <f>Quantitative!J63</f>
        <v>36.89</v>
      </c>
      <c r="L51" s="241">
        <f>Quantitative!K63</f>
        <v>26</v>
      </c>
    </row>
    <row r="52" spans="1:12">
      <c r="A52" s="159" t="s">
        <v>63</v>
      </c>
      <c r="B52" s="157"/>
      <c r="C52" s="243">
        <f>Quantitative!B65-Quantitative!B60</f>
        <v>514.21</v>
      </c>
      <c r="D52" s="243">
        <f>Quantitative!C65-Quantitative!C60</f>
        <v>447.53999999999996</v>
      </c>
      <c r="E52" s="243">
        <f>Quantitative!D65-Quantitative!D60</f>
        <v>415.50000000000006</v>
      </c>
      <c r="F52" s="243">
        <f>Quantitative!E65-Quantitative!E60</f>
        <v>436.52</v>
      </c>
      <c r="G52" s="243">
        <f>Quantitative!F65-Quantitative!F60</f>
        <v>311.05999999999995</v>
      </c>
      <c r="H52" s="243">
        <f>Quantitative!G65-Quantitative!G60</f>
        <v>334.24</v>
      </c>
      <c r="I52" s="243">
        <f>Quantitative!H65-Quantitative!H60</f>
        <v>281.51</v>
      </c>
      <c r="J52" s="243">
        <f>Quantitative!I65-Quantitative!I60</f>
        <v>152.31999999999994</v>
      </c>
      <c r="K52" s="243">
        <f>Quantitative!J65-Quantitative!J60</f>
        <v>267.99</v>
      </c>
      <c r="L52" s="243">
        <f>Quantitative!K65-Quantitative!K60</f>
        <v>348.14</v>
      </c>
    </row>
    <row r="53" spans="1:12">
      <c r="A53" s="157" t="s">
        <v>254</v>
      </c>
      <c r="B53" s="157"/>
      <c r="C53" s="243">
        <f>Quantitative!B67</f>
        <v>135.33000000000001</v>
      </c>
      <c r="D53" s="243">
        <f>Quantitative!C67</f>
        <v>118.74</v>
      </c>
      <c r="E53" s="243">
        <f>Quantitative!D67</f>
        <v>151.69999999999999</v>
      </c>
      <c r="F53" s="243">
        <f>Quantitative!E67</f>
        <v>188.02</v>
      </c>
      <c r="G53" s="243">
        <f>Quantitative!F67</f>
        <v>189.5</v>
      </c>
      <c r="H53" s="243">
        <f>Quantitative!G67</f>
        <v>241.13</v>
      </c>
      <c r="I53" s="243">
        <f>Quantitative!H67</f>
        <v>297.87</v>
      </c>
      <c r="J53" s="243">
        <f>Quantitative!I67</f>
        <v>267.51</v>
      </c>
      <c r="K53" s="243">
        <f>Quantitative!J67</f>
        <v>246.55</v>
      </c>
      <c r="L53" s="243">
        <f>Quantitative!K67</f>
        <v>326.85000000000002</v>
      </c>
    </row>
    <row r="54" spans="1:12">
      <c r="A54" s="157" t="s">
        <v>253</v>
      </c>
      <c r="B54" s="157"/>
      <c r="C54" s="243">
        <f>Quantitative!B68</f>
        <v>260.14999999999998</v>
      </c>
      <c r="D54" s="243">
        <f>Quantitative!C68</f>
        <v>260.25</v>
      </c>
      <c r="E54" s="243">
        <f>Quantitative!D68</f>
        <v>310.95999999999998</v>
      </c>
      <c r="F54" s="243">
        <f>Quantitative!E68</f>
        <v>383.19</v>
      </c>
      <c r="G54" s="243">
        <f>Quantitative!F68</f>
        <v>324.52</v>
      </c>
      <c r="H54" s="243">
        <f>Quantitative!G68</f>
        <v>391.07</v>
      </c>
      <c r="I54" s="243">
        <f>Quantitative!H68</f>
        <v>404.18</v>
      </c>
      <c r="J54" s="243">
        <f>Quantitative!I68</f>
        <v>417.33</v>
      </c>
      <c r="K54" s="243">
        <f>Quantitative!J68</f>
        <v>407.63</v>
      </c>
      <c r="L54" s="243">
        <f>Quantitative!K68</f>
        <v>509.24</v>
      </c>
    </row>
    <row r="55" spans="1:12">
      <c r="A55" s="157" t="s">
        <v>278</v>
      </c>
      <c r="B55" s="157"/>
      <c r="C55" s="243">
        <f>Quantitative!B69</f>
        <v>23.91</v>
      </c>
      <c r="D55" s="243">
        <f>Quantitative!C69</f>
        <v>46.95</v>
      </c>
      <c r="E55" s="243">
        <f>Quantitative!D69</f>
        <v>24.98</v>
      </c>
      <c r="F55" s="243">
        <f>Quantitative!E69</f>
        <v>31.44</v>
      </c>
      <c r="G55" s="243">
        <f>Quantitative!F69</f>
        <v>30.11</v>
      </c>
      <c r="H55" s="243">
        <f>Quantitative!G69</f>
        <v>28.69</v>
      </c>
      <c r="I55" s="243">
        <f>Quantitative!H69</f>
        <v>39.06</v>
      </c>
      <c r="J55" s="243">
        <f>Quantitative!I69</f>
        <v>31.99</v>
      </c>
      <c r="K55" s="243">
        <f>Quantitative!J69</f>
        <v>40.86</v>
      </c>
      <c r="L55" s="243">
        <f>Quantitative!K69</f>
        <v>31.99</v>
      </c>
    </row>
    <row r="56" spans="1:12">
      <c r="A56" s="155" t="s">
        <v>279</v>
      </c>
      <c r="B56" s="160"/>
      <c r="C56" s="241"/>
      <c r="D56" s="241"/>
      <c r="E56" s="241"/>
      <c r="F56" s="241"/>
      <c r="G56" s="241"/>
      <c r="H56" s="241"/>
      <c r="I56" s="241"/>
      <c r="J56" s="241"/>
      <c r="K56" s="241"/>
      <c r="L56" s="244"/>
    </row>
    <row r="57" spans="1:12">
      <c r="A57" s="159" t="s">
        <v>280</v>
      </c>
      <c r="B57" s="155"/>
      <c r="C57" s="241">
        <f t="shared" ref="C57:L57" si="13">C42+C45</f>
        <v>1666.18</v>
      </c>
      <c r="D57" s="241">
        <f t="shared" si="13"/>
        <v>2548.33</v>
      </c>
      <c r="E57" s="241">
        <f t="shared" si="13"/>
        <v>2504.4499999999998</v>
      </c>
      <c r="F57" s="241">
        <f t="shared" si="13"/>
        <v>2416.12</v>
      </c>
      <c r="G57" s="241">
        <f t="shared" si="13"/>
        <v>2227.27</v>
      </c>
      <c r="H57" s="241">
        <f t="shared" si="13"/>
        <v>2242.1400000000003</v>
      </c>
      <c r="I57" s="241">
        <f t="shared" si="13"/>
        <v>2169.1</v>
      </c>
      <c r="J57" s="241">
        <f t="shared" si="13"/>
        <v>2093.27</v>
      </c>
      <c r="K57" s="241">
        <f t="shared" si="13"/>
        <v>2358.4700000000003</v>
      </c>
      <c r="L57" s="241">
        <f t="shared" si="13"/>
        <v>2782.01</v>
      </c>
    </row>
    <row r="58" spans="1:12">
      <c r="A58" s="159" t="s">
        <v>281</v>
      </c>
      <c r="B58" s="155"/>
      <c r="C58" s="241">
        <f t="shared" ref="C58:L58" si="14">C49-C48</f>
        <v>1666.18</v>
      </c>
      <c r="D58" s="241">
        <f t="shared" si="14"/>
        <v>2548.33</v>
      </c>
      <c r="E58" s="241">
        <f t="shared" si="14"/>
        <v>2504.4499999999998</v>
      </c>
      <c r="F58" s="241">
        <f t="shared" si="14"/>
        <v>2416.12</v>
      </c>
      <c r="G58" s="241">
        <f t="shared" si="14"/>
        <v>2227.27</v>
      </c>
      <c r="H58" s="241">
        <f t="shared" si="14"/>
        <v>2242.14</v>
      </c>
      <c r="I58" s="241">
        <f t="shared" si="14"/>
        <v>2169.1000000000004</v>
      </c>
      <c r="J58" s="241">
        <f t="shared" si="14"/>
        <v>2093.27</v>
      </c>
      <c r="K58" s="241">
        <f t="shared" si="14"/>
        <v>2358.4700000000003</v>
      </c>
      <c r="L58" s="241">
        <f t="shared" si="14"/>
        <v>2782.01</v>
      </c>
    </row>
    <row r="59" spans="1:12">
      <c r="A59" s="159" t="s">
        <v>282</v>
      </c>
      <c r="B59" s="155"/>
      <c r="C59" s="241">
        <f>Quantitative!B59+Quantitative!B60</f>
        <v>1523.8400000000001</v>
      </c>
      <c r="D59" s="241">
        <f>Quantitative!C59+Quantitative!C60</f>
        <v>1781.6599999999999</v>
      </c>
      <c r="E59" s="241">
        <f>Quantitative!D59+Quantitative!D60</f>
        <v>1756.81</v>
      </c>
      <c r="F59" s="241">
        <f>Quantitative!E59+Quantitative!E60</f>
        <v>1915.2400000000002</v>
      </c>
      <c r="G59" s="241">
        <f>Quantitative!F59+Quantitative!F60</f>
        <v>1819.79</v>
      </c>
      <c r="H59" s="241">
        <f>Quantitative!G59+Quantitative!G60</f>
        <v>1836.46</v>
      </c>
      <c r="I59" s="241">
        <f>Quantitative!H59+Quantitative!H60</f>
        <v>2024.96</v>
      </c>
      <c r="J59" s="241">
        <f>Quantitative!I59+Quantitative!I60</f>
        <v>2029.8899999999999</v>
      </c>
      <c r="K59" s="241">
        <f>Quantitative!J59+Quantitative!J60</f>
        <v>1887.68</v>
      </c>
      <c r="L59" s="241">
        <f>Quantitative!K59+Quantitative!K60</f>
        <v>2126.81</v>
      </c>
    </row>
    <row r="60" spans="1:12">
      <c r="A60" s="160" t="s">
        <v>17</v>
      </c>
      <c r="B60" s="161"/>
      <c r="C60" s="245">
        <f>Quantitative!B66</f>
        <v>2026.38</v>
      </c>
      <c r="D60" s="245">
        <f>Quantitative!C66</f>
        <v>2995.69</v>
      </c>
      <c r="E60" s="245">
        <f>Quantitative!D66</f>
        <v>2941.66</v>
      </c>
      <c r="F60" s="245">
        <f>Quantitative!E66</f>
        <v>2934.73</v>
      </c>
      <c r="G60" s="245">
        <f>Quantitative!F66</f>
        <v>2781.36</v>
      </c>
      <c r="H60" s="245">
        <f>Quantitative!G66</f>
        <v>2903.93</v>
      </c>
      <c r="I60" s="245">
        <f>Quantitative!H66</f>
        <v>2884.76</v>
      </c>
      <c r="J60" s="245">
        <f>Quantitative!I66</f>
        <v>2799.62</v>
      </c>
      <c r="K60" s="245">
        <f>Quantitative!J66</f>
        <v>2920.96</v>
      </c>
      <c r="L60" s="245">
        <f>Quantitative!K66</f>
        <v>3478.13</v>
      </c>
    </row>
    <row r="61" spans="1:12">
      <c r="A61" s="329"/>
      <c r="B61" s="329"/>
      <c r="C61" s="329"/>
      <c r="D61" s="329"/>
      <c r="E61" s="329"/>
      <c r="F61" s="329"/>
      <c r="G61" s="329"/>
      <c r="H61" s="329"/>
      <c r="I61" s="329"/>
      <c r="J61" s="329"/>
      <c r="K61" s="329"/>
      <c r="L61" s="141"/>
    </row>
    <row r="62" spans="1:12">
      <c r="A62" s="157" t="s">
        <v>61</v>
      </c>
      <c r="B62" s="155"/>
      <c r="C62" s="155">
        <f>Quantitative!B82</f>
        <v>159.69999999999999</v>
      </c>
      <c r="D62" s="155">
        <f>Quantitative!C82</f>
        <v>334.99</v>
      </c>
      <c r="E62" s="155">
        <f>Quantitative!D82</f>
        <v>191.96</v>
      </c>
      <c r="F62" s="155">
        <f>Quantitative!E82</f>
        <v>266.17</v>
      </c>
      <c r="G62" s="155">
        <f>Quantitative!F82</f>
        <v>387.29</v>
      </c>
      <c r="H62" s="155">
        <f>Quantitative!G82</f>
        <v>462.09</v>
      </c>
      <c r="I62" s="155">
        <f>Quantitative!H82</f>
        <v>158.43</v>
      </c>
      <c r="J62" s="155">
        <f>Quantitative!I82</f>
        <v>289.92</v>
      </c>
      <c r="K62" s="155">
        <f>Quantitative!J82</f>
        <v>493.6</v>
      </c>
      <c r="L62" s="155">
        <f>Quantitative!K82</f>
        <v>445.15</v>
      </c>
    </row>
    <row r="63" spans="1:12">
      <c r="A63" s="157" t="s">
        <v>29</v>
      </c>
      <c r="B63" s="158"/>
      <c r="C63" s="158"/>
      <c r="D63" s="158">
        <f t="shared" ref="D63:L63" si="15">D62-D23</f>
        <v>-783.65999999999985</v>
      </c>
      <c r="E63" s="158">
        <f t="shared" si="15"/>
        <v>148.27000000000004</v>
      </c>
      <c r="F63" s="158">
        <f t="shared" si="15"/>
        <v>256.96999999999997</v>
      </c>
      <c r="G63" s="158">
        <f t="shared" si="15"/>
        <v>373.52999999999992</v>
      </c>
      <c r="H63" s="158">
        <f t="shared" si="15"/>
        <v>365.28000000000009</v>
      </c>
      <c r="I63" s="158">
        <f t="shared" si="15"/>
        <v>99.170000000000044</v>
      </c>
      <c r="J63" s="158">
        <f t="shared" si="15"/>
        <v>146.12000000000006</v>
      </c>
      <c r="K63" s="158">
        <f t="shared" si="15"/>
        <v>266.82999999999993</v>
      </c>
      <c r="L63" s="158">
        <f t="shared" si="15"/>
        <v>18.799999999999784</v>
      </c>
    </row>
    <row r="64" spans="1:12">
      <c r="A64" s="157" t="s">
        <v>283</v>
      </c>
      <c r="B64" s="162"/>
      <c r="C64" s="162">
        <f>Quantitative!B83</f>
        <v>-150.37</v>
      </c>
      <c r="D64" s="162">
        <f>Quantitative!C83</f>
        <v>-287.02999999999997</v>
      </c>
      <c r="E64" s="162">
        <f>Quantitative!D83</f>
        <v>-149.37</v>
      </c>
      <c r="F64" s="162">
        <f>Quantitative!E83</f>
        <v>-13.94</v>
      </c>
      <c r="G64" s="162">
        <f>Quantitative!F83</f>
        <v>-37.39</v>
      </c>
      <c r="H64" s="162">
        <f>Quantitative!G83</f>
        <v>-175.39</v>
      </c>
      <c r="I64" s="162">
        <f>Quantitative!H83</f>
        <v>-83.1</v>
      </c>
      <c r="J64" s="162">
        <f>Quantitative!I83</f>
        <v>-127.26</v>
      </c>
      <c r="K64" s="162">
        <f>Quantitative!J83</f>
        <v>-248.88</v>
      </c>
      <c r="L64" s="162">
        <f>Quantitative!K83</f>
        <v>-374.48</v>
      </c>
    </row>
    <row r="65" spans="1:13">
      <c r="A65" s="157" t="s">
        <v>284</v>
      </c>
      <c r="B65" s="162"/>
      <c r="C65" s="162">
        <f>Quantitative!B84</f>
        <v>-29.82</v>
      </c>
      <c r="D65" s="162">
        <f>Quantitative!C84</f>
        <v>-24.93</v>
      </c>
      <c r="E65" s="162">
        <f>Quantitative!D84</f>
        <v>-64.56</v>
      </c>
      <c r="F65" s="162">
        <f>Quantitative!E84</f>
        <v>-245.76</v>
      </c>
      <c r="G65" s="162">
        <f>Quantitative!F84</f>
        <v>-351.23</v>
      </c>
      <c r="H65" s="162">
        <f>Quantitative!G84</f>
        <v>-288.12</v>
      </c>
      <c r="I65" s="162">
        <f>Quantitative!H84</f>
        <v>-64.959999999999994</v>
      </c>
      <c r="J65" s="162">
        <f>Quantitative!I84</f>
        <v>-169.73</v>
      </c>
      <c r="K65" s="162">
        <f>Quantitative!J84</f>
        <v>-235.86</v>
      </c>
      <c r="L65" s="162">
        <f>Quantitative!K84</f>
        <v>-102.69</v>
      </c>
    </row>
    <row r="66" spans="1:13">
      <c r="A66" s="157" t="s">
        <v>285</v>
      </c>
      <c r="B66" s="163"/>
      <c r="C66" s="163">
        <f t="shared" ref="C66:L66" si="16">C34/C33</f>
        <v>0.32848548952204665</v>
      </c>
      <c r="D66" s="163">
        <f t="shared" si="16"/>
        <v>0.15560314061384733</v>
      </c>
      <c r="E66" s="163">
        <f t="shared" si="16"/>
        <v>-0.16094226175768084</v>
      </c>
      <c r="F66" s="163">
        <f t="shared" si="16"/>
        <v>0.24904783422632473</v>
      </c>
      <c r="G66" s="163">
        <f t="shared" si="16"/>
        <v>9.8609355246523384E-3</v>
      </c>
      <c r="H66" s="163">
        <f t="shared" si="16"/>
        <v>0.17935170641153816</v>
      </c>
      <c r="I66" s="163">
        <f t="shared" si="16"/>
        <v>0.22608985024958403</v>
      </c>
      <c r="J66" s="163">
        <f t="shared" si="16"/>
        <v>0.29045514460727306</v>
      </c>
      <c r="K66" s="163">
        <f t="shared" si="16"/>
        <v>0.32054540640720147</v>
      </c>
      <c r="L66" s="163">
        <f t="shared" si="16"/>
        <v>0.2294343832805372</v>
      </c>
    </row>
    <row r="67" spans="1:13">
      <c r="A67" s="157" t="s">
        <v>286</v>
      </c>
      <c r="B67" s="158"/>
      <c r="C67" s="158">
        <f t="shared" ref="C67:L67" si="17">C31*(1-C66)</f>
        <v>144.57707410590336</v>
      </c>
      <c r="D67" s="158">
        <f t="shared" si="17"/>
        <v>182.65992862241248</v>
      </c>
      <c r="E67" s="158">
        <f t="shared" si="17"/>
        <v>264.0563174367843</v>
      </c>
      <c r="F67" s="158">
        <f t="shared" si="17"/>
        <v>200.18882835194648</v>
      </c>
      <c r="G67" s="158">
        <f t="shared" si="17"/>
        <v>302.23004804045513</v>
      </c>
      <c r="H67" s="158">
        <f t="shared" si="17"/>
        <v>246.68687705269144</v>
      </c>
      <c r="I67" s="158">
        <f t="shared" si="17"/>
        <v>249.05202529118137</v>
      </c>
      <c r="J67" s="158">
        <f t="shared" si="17"/>
        <v>299.889133131736</v>
      </c>
      <c r="K67" s="158">
        <f t="shared" si="17"/>
        <v>367.25879692877942</v>
      </c>
      <c r="L67" s="158">
        <f t="shared" si="17"/>
        <v>489.84856254856237</v>
      </c>
    </row>
    <row r="68" spans="1:13">
      <c r="A68" s="323"/>
      <c r="B68" s="323"/>
      <c r="C68" s="323"/>
      <c r="D68" s="323"/>
      <c r="E68" s="323"/>
      <c r="F68" s="323"/>
      <c r="G68" s="323"/>
      <c r="H68" s="323"/>
      <c r="I68" s="323"/>
      <c r="J68" s="323"/>
      <c r="K68" s="323"/>
      <c r="L68" s="141"/>
    </row>
    <row r="69" spans="1:13">
      <c r="A69" s="164" t="s">
        <v>287</v>
      </c>
      <c r="C69" s="165"/>
      <c r="D69" s="165">
        <f t="shared" ref="D69:L69" si="18">D37+C36</f>
        <v>341.97131019399995</v>
      </c>
      <c r="E69" s="165">
        <f t="shared" si="18"/>
        <v>501.69288137599995</v>
      </c>
      <c r="F69" s="165">
        <f t="shared" si="18"/>
        <v>443.78171478199994</v>
      </c>
      <c r="G69" s="165">
        <f t="shared" si="18"/>
        <v>381.06962246000001</v>
      </c>
      <c r="H69" s="165">
        <f t="shared" si="18"/>
        <v>373.868233868</v>
      </c>
      <c r="I69" s="165">
        <f t="shared" si="18"/>
        <v>394.07212963999996</v>
      </c>
      <c r="J69" s="165">
        <f t="shared" si="18"/>
        <v>763.34333355199988</v>
      </c>
      <c r="K69" s="165">
        <f t="shared" si="18"/>
        <v>1293.24512506</v>
      </c>
      <c r="L69" s="165">
        <f t="shared" si="18"/>
        <v>2669.2679231680004</v>
      </c>
    </row>
    <row r="70" spans="1:13">
      <c r="A70" s="149" t="s">
        <v>288</v>
      </c>
      <c r="B70" s="165"/>
      <c r="C70" s="165">
        <f t="shared" ref="C70:L70" si="19">C35-C36</f>
        <v>77.570000000000007</v>
      </c>
      <c r="D70" s="165">
        <f t="shared" si="19"/>
        <v>86.469999999999928</v>
      </c>
      <c r="E70" s="165">
        <f t="shared" si="19"/>
        <v>120.94999999999982</v>
      </c>
      <c r="F70" s="165">
        <f t="shared" si="19"/>
        <v>96.33000000000014</v>
      </c>
      <c r="G70" s="165">
        <f t="shared" si="19"/>
        <v>97.48</v>
      </c>
      <c r="H70" s="165">
        <f t="shared" si="19"/>
        <v>94.939999999999799</v>
      </c>
      <c r="I70" s="165">
        <f t="shared" si="19"/>
        <v>96.28</v>
      </c>
      <c r="J70" s="165">
        <f t="shared" si="19"/>
        <v>161.01999999999992</v>
      </c>
      <c r="K70" s="165">
        <f t="shared" si="19"/>
        <v>234.63</v>
      </c>
      <c r="L70" s="165">
        <f t="shared" si="19"/>
        <v>336.74999999999989</v>
      </c>
    </row>
    <row r="71" spans="1:13">
      <c r="A71" s="230"/>
      <c r="B71" s="230"/>
      <c r="C71" s="230"/>
      <c r="D71" s="230"/>
      <c r="E71" s="230"/>
      <c r="F71" s="230"/>
      <c r="G71" s="230"/>
      <c r="H71" s="230"/>
      <c r="I71" s="230"/>
      <c r="J71" s="230"/>
      <c r="K71" s="230"/>
      <c r="L71" s="141"/>
    </row>
    <row r="72" spans="1:13">
      <c r="A72" s="166" t="s">
        <v>345</v>
      </c>
      <c r="B72" s="182"/>
      <c r="C72" s="182">
        <f>Quantitative!B90</f>
        <v>88.24</v>
      </c>
      <c r="D72" s="182">
        <f>Quantitative!C90</f>
        <v>31.79</v>
      </c>
      <c r="E72" s="182">
        <f>Quantitative!D90</f>
        <v>48.16</v>
      </c>
      <c r="F72" s="182">
        <f>Quantitative!E90</f>
        <v>42.37</v>
      </c>
      <c r="G72" s="182">
        <f>Quantitative!F90</f>
        <v>36.1</v>
      </c>
      <c r="H72" s="182">
        <f>Quantitative!G90</f>
        <v>35.380000000000003</v>
      </c>
      <c r="I72" s="182">
        <f>Quantitative!H90</f>
        <v>37.4</v>
      </c>
      <c r="J72" s="182">
        <f>Quantitative!I90</f>
        <v>74.319999999999993</v>
      </c>
      <c r="K72" s="182">
        <f>Quantitative!J90</f>
        <v>127.1</v>
      </c>
      <c r="L72" s="182">
        <f>Quantitative!K90</f>
        <v>266.13</v>
      </c>
      <c r="M72" s="167"/>
    </row>
    <row r="73" spans="1:13">
      <c r="A73" s="166" t="s">
        <v>37</v>
      </c>
      <c r="B73" s="182"/>
      <c r="C73" s="182">
        <f>SUM(Quantitative!B57:B58)/Quantitative!B93</f>
        <v>50.244309882396081</v>
      </c>
      <c r="D73" s="182">
        <f>SUM(Quantitative!C57:C58)/Quantitative!C93</f>
        <v>121.3795907321314</v>
      </c>
      <c r="E73" s="182">
        <f>SUM(Quantitative!D57:D58)/Quantitative!D93</f>
        <v>118.46215338909738</v>
      </c>
      <c r="F73" s="182">
        <f>SUM(Quantitative!E57:E58)/Quantitative!E93</f>
        <v>101.92934190711981</v>
      </c>
      <c r="G73" s="182">
        <f>SUM(Quantitative!F57:F58)/Quantitative!F93</f>
        <v>96.138458736848008</v>
      </c>
      <c r="H73" s="182">
        <f>SUM(Quantitative!G57:G58)/Quantitative!G93</f>
        <v>106.72641674326691</v>
      </c>
      <c r="I73" s="182">
        <f>SUM(Quantitative!H57:H58)/Quantitative!H93</f>
        <v>85.963421094607696</v>
      </c>
      <c r="J73" s="182">
        <f>SUM(Quantitative!I57:I58)/Quantitative!I93</f>
        <v>76.958157849677121</v>
      </c>
      <c r="K73" s="182">
        <f>SUM(Quantitative!J57:J58)/Quantitative!J93</f>
        <v>103.30807600446178</v>
      </c>
      <c r="L73" s="182">
        <f>SUM(Quantitative!K57:K58)/Quantitative!K93</f>
        <v>135.84827907015645</v>
      </c>
    </row>
    <row r="74" spans="1:13">
      <c r="A74" s="166" t="s">
        <v>35</v>
      </c>
      <c r="B74" s="167"/>
      <c r="C74" s="167">
        <f>(Quantitative!B30/Quantitative!B93)</f>
        <v>10.15604130587375</v>
      </c>
      <c r="D74" s="167">
        <f>(Quantitative!C30/Quantitative!C93)</f>
        <v>10.644947015518587</v>
      </c>
      <c r="E74" s="167">
        <f>(Quantitative!D30/Quantitative!D93)</f>
        <v>14.092282162462148</v>
      </c>
      <c r="F74" s="167">
        <f>(Quantitative!E30/Quantitative!E93)</f>
        <v>11.630756892225765</v>
      </c>
      <c r="G74" s="167">
        <f>(Quantitative!F30/Quantitative!F93)</f>
        <v>11.745734717602364</v>
      </c>
      <c r="H74" s="167">
        <f>(Quantitative!G30/Quantitative!G93)</f>
        <v>11.490783887419473</v>
      </c>
      <c r="I74" s="167">
        <f>(Quantitative!H30/Quantitative!H93)</f>
        <v>11.626757663517015</v>
      </c>
      <c r="J74" s="167">
        <f>(Quantitative!I30/Quantitative!I93)</f>
        <v>18.298470956891258</v>
      </c>
      <c r="K74" s="167">
        <f>(Quantitative!J30/Quantitative!J93)</f>
        <v>25.658051588170707</v>
      </c>
      <c r="L74" s="167">
        <f>(Quantitative!K30/Quantitative!K93)</f>
        <v>38.882010845665285</v>
      </c>
    </row>
    <row r="75" spans="1:13">
      <c r="A75" s="166" t="s">
        <v>33</v>
      </c>
      <c r="B75" s="167"/>
      <c r="C75" s="167">
        <f>Quantitative!B31/Quantitative!B93</f>
        <v>2.400537032427926</v>
      </c>
      <c r="D75" s="167">
        <f>Quantitative!C31/Quantitative!C93</f>
        <v>1.9996143543756153</v>
      </c>
      <c r="E75" s="167">
        <f>Quantitative!D31/Quantitative!D93</f>
        <v>1.9996143543756153</v>
      </c>
      <c r="F75" s="167">
        <f>Quantitative!E31/Quantitative!E93</f>
        <v>1.9996143543756153</v>
      </c>
      <c r="G75" s="167">
        <f>Quantitative!F31/Quantitative!F93</f>
        <v>1.9996143543756153</v>
      </c>
      <c r="H75" s="167">
        <f>Quantitative!G31/Quantitative!G93</f>
        <v>1.9996143543756153</v>
      </c>
      <c r="I75" s="167">
        <f>Quantitative!H31/Quantitative!H93</f>
        <v>1.9996143543756153</v>
      </c>
      <c r="J75" s="167">
        <f>Quantitative!I31/Quantitative!I93</f>
        <v>2.1995757898131769</v>
      </c>
      <c r="K75" s="167">
        <f>Quantitative!J31/Quantitative!J93</f>
        <v>2.1995757898131769</v>
      </c>
      <c r="L75" s="167">
        <f>Quantitative!K31/Quantitative!K93</f>
        <v>5.0285135416401934</v>
      </c>
    </row>
    <row r="76" spans="1:13">
      <c r="A76" s="166" t="s">
        <v>38</v>
      </c>
      <c r="B76" s="167"/>
      <c r="C76" s="167">
        <f>Quantitative!B90/(Quantitative!B30/Quantitative!B93)</f>
        <v>8.6884246865918477</v>
      </c>
      <c r="D76" s="167">
        <f>Quantitative!C90/(Quantitative!C30/Quantitative!C93)</f>
        <v>2.9863934459847843</v>
      </c>
      <c r="E76" s="167">
        <f>Quantitative!D90/(Quantitative!D30/Quantitative!D93)</f>
        <v>3.4174734400567575</v>
      </c>
      <c r="F76" s="167">
        <f>Quantitative!E90/(Quantitative!E30/Quantitative!E93)</f>
        <v>3.6429271450356744</v>
      </c>
      <c r="G76" s="167">
        <f>Quantitative!F90/(Quantitative!F30/Quantitative!F93)</f>
        <v>3.0734560985699693</v>
      </c>
      <c r="H76" s="167">
        <f>Quantitative!G90/(Quantitative!G30/Quantitative!G93)</f>
        <v>3.0789892444792479</v>
      </c>
      <c r="I76" s="167">
        <f>Quantitative!H90/(Quantitative!H30/Quantitative!H93)</f>
        <v>3.2167179434173185</v>
      </c>
      <c r="J76" s="167">
        <f>Quantitative!I90/(Quantitative!I30/Quantitative!I93)</f>
        <v>4.0615415449240508</v>
      </c>
      <c r="K76" s="167">
        <f>Quantitative!J90/(Quantitative!J30/Quantitative!J93)</f>
        <v>4.9536107433269683</v>
      </c>
      <c r="L76" s="167">
        <f>Quantitative!K90/(Quantitative!K30/Quantitative!K93)</f>
        <v>6.8445534120226501</v>
      </c>
    </row>
    <row r="77" spans="1:13">
      <c r="A77" s="166" t="s">
        <v>289</v>
      </c>
      <c r="B77" s="166"/>
      <c r="C77" s="167"/>
      <c r="D77" s="167">
        <f>D76/((((Quantitative!C30/Quantitative!C93) - (Quantitative!B30/Quantitative!B93))/(Quantitative!B30/Quantitative!B93))*100)</f>
        <v>0.62036369374874112</v>
      </c>
      <c r="E77" s="167">
        <f>E76/((((Quantitative!D30/Quantitative!D93) - (Quantitative!C30/Quantitative!C93))/(Quantitative!C30/Quantitative!C93))*100)</f>
        <v>0.10552737736741385</v>
      </c>
      <c r="F77" s="167">
        <f>F76/((((Quantitative!E30/Quantitative!E93) - (Quantitative!D30/Quantitative!D93))/(Quantitative!D30/Quantitative!D93))*100)</f>
        <v>-0.20855831888415038</v>
      </c>
      <c r="G77" s="167">
        <f>G76/((((Quantitative!F30/Quantitative!F93) - (Quantitative!E30/Quantitative!E93))/(Quantitative!E30/Quantitative!E93))*100)</f>
        <v>3.1090012864925378</v>
      </c>
      <c r="H77" s="167">
        <f>H76/((((Quantitative!G30/Quantitative!G93) - (Quantitative!F30/Quantitative!F93))/(Quantitative!F30/Quantitative!F93))*100)</f>
        <v>-1.4185084566330306</v>
      </c>
      <c r="I77" s="167">
        <f>I76/((((Quantitative!H30/Quantitative!H93) - (Quantitative!G30/Quantitative!G93))/(Quantitative!G30/Quantitative!G93))*100)</f>
        <v>2.7183631855658295</v>
      </c>
      <c r="J77" s="167">
        <f>J76/((((Quantitative!I30/Quantitative!I93) - (Quantitative!H30/Quantitative!H93))/(Quantitative!H30/Quantitative!H93))*100)</f>
        <v>7.0780258693124182E-2</v>
      </c>
      <c r="K77" s="167">
        <f>K76/((((Quantitative!J30/Quantitative!J93) - (Quantitative!I30/Quantitative!I93))/(Quantitative!I30/Quantitative!I93))*100)</f>
        <v>0.12316395031160197</v>
      </c>
      <c r="L77" s="167">
        <f>L76/((((Quantitative!K30/Quantitative!K93) - (Quantitative!J30/Quantitative!J93))/(Quantitative!J30/Quantitative!J93))*100)</f>
        <v>0.13280281731368532</v>
      </c>
    </row>
    <row r="78" spans="1:13">
      <c r="A78" s="157" t="s">
        <v>290</v>
      </c>
      <c r="C78" s="168">
        <f t="shared" ref="C78:L78" si="20">C37/C42</f>
        <v>1.7562187679866277</v>
      </c>
      <c r="D78" s="168">
        <f t="shared" si="20"/>
        <v>0.26190564499559316</v>
      </c>
      <c r="E78" s="168">
        <f t="shared" si="20"/>
        <v>0.40654334420053168</v>
      </c>
      <c r="F78" s="168">
        <f t="shared" si="20"/>
        <v>0.41568010944884198</v>
      </c>
      <c r="G78" s="168">
        <f t="shared" si="20"/>
        <v>0.3755000909554167</v>
      </c>
      <c r="H78" s="168">
        <f t="shared" si="20"/>
        <v>0.33150180695288861</v>
      </c>
      <c r="I78" s="168">
        <f t="shared" si="20"/>
        <v>0.43506877138869504</v>
      </c>
      <c r="J78" s="168">
        <f t="shared" si="20"/>
        <v>0.96571958160913551</v>
      </c>
      <c r="K78" s="168">
        <f t="shared" si="20"/>
        <v>1.230300717191855</v>
      </c>
      <c r="L78" s="168">
        <f t="shared" si="20"/>
        <v>1.9590237124944503</v>
      </c>
    </row>
    <row r="79" spans="1:13">
      <c r="A79" s="160" t="s">
        <v>291</v>
      </c>
      <c r="B79" s="158"/>
      <c r="C79" s="158">
        <f t="shared" ref="C79:L79" si="21">C37/C62</f>
        <v>5.5264256710331869</v>
      </c>
      <c r="D79" s="158">
        <f t="shared" si="21"/>
        <v>0.94916657271560334</v>
      </c>
      <c r="E79" s="158">
        <f t="shared" si="21"/>
        <v>2.5093398696395077</v>
      </c>
      <c r="F79" s="158">
        <f t="shared" si="21"/>
        <v>1.5921468038546791</v>
      </c>
      <c r="G79" s="158">
        <f t="shared" si="21"/>
        <v>0.93229781936016931</v>
      </c>
      <c r="H79" s="158">
        <f t="shared" si="21"/>
        <v>0.76579937645913143</v>
      </c>
      <c r="I79" s="158">
        <f t="shared" si="21"/>
        <v>2.3611192933156597</v>
      </c>
      <c r="J79" s="158">
        <f t="shared" si="21"/>
        <v>2.563960173675496</v>
      </c>
      <c r="K79" s="158">
        <f t="shared" si="21"/>
        <v>2.5754560880470012</v>
      </c>
      <c r="L79" s="158">
        <f t="shared" si="21"/>
        <v>5.9469121041626432</v>
      </c>
    </row>
    <row r="80" spans="1:13">
      <c r="A80" s="160" t="s">
        <v>292</v>
      </c>
      <c r="B80" s="158"/>
      <c r="C80" s="158"/>
      <c r="D80" s="158">
        <f t="shared" ref="D80:L80" si="22">D37/D63</f>
        <v>-0.40573885383201902</v>
      </c>
      <c r="E80" s="158">
        <f t="shared" si="22"/>
        <v>3.2487548484251692</v>
      </c>
      <c r="F80" s="158">
        <f t="shared" si="22"/>
        <v>1.6491485962641552</v>
      </c>
      <c r="G80" s="158">
        <f t="shared" si="22"/>
        <v>0.96664156148100577</v>
      </c>
      <c r="H80" s="158">
        <f t="shared" si="22"/>
        <v>0.96875885312089338</v>
      </c>
      <c r="I80" s="158">
        <f t="shared" si="22"/>
        <v>3.7720291382474516</v>
      </c>
      <c r="J80" s="158">
        <f t="shared" si="22"/>
        <v>5.0872114258965206</v>
      </c>
      <c r="K80" s="158">
        <f t="shared" si="22"/>
        <v>4.7642511151669611</v>
      </c>
      <c r="L80" s="158">
        <f t="shared" si="22"/>
        <v>140.8121235727676</v>
      </c>
    </row>
    <row r="81" spans="1:12">
      <c r="A81" s="160" t="s">
        <v>293</v>
      </c>
      <c r="B81" s="158"/>
      <c r="C81" s="158">
        <f t="shared" ref="C81:L81" si="23">C37/C26</f>
        <v>0.8397512627750976</v>
      </c>
      <c r="D81" s="158">
        <f t="shared" si="23"/>
        <v>0.2617353272040302</v>
      </c>
      <c r="E81" s="158">
        <f t="shared" si="23"/>
        <v>0.4042472023498212</v>
      </c>
      <c r="F81" s="158">
        <f t="shared" si="23"/>
        <v>0.28286624000080091</v>
      </c>
      <c r="G81" s="158">
        <f t="shared" si="23"/>
        <v>0.1903642703284073</v>
      </c>
      <c r="H81" s="158">
        <f t="shared" si="23"/>
        <v>0.1665301460589661</v>
      </c>
      <c r="I81" s="158">
        <f t="shared" si="23"/>
        <v>0.16818201952153797</v>
      </c>
      <c r="J81" s="158">
        <f t="shared" si="23"/>
        <v>0.31316995359473537</v>
      </c>
      <c r="K81" s="158">
        <f t="shared" si="23"/>
        <v>0.50203386201667333</v>
      </c>
      <c r="L81" s="158">
        <f t="shared" si="23"/>
        <v>0.95201493263135206</v>
      </c>
    </row>
    <row r="82" spans="1:12">
      <c r="A82" s="160" t="s">
        <v>294</v>
      </c>
      <c r="B82" s="158"/>
      <c r="C82" s="158">
        <f t="shared" ref="C82:L82" si="24">(C37-C45+C8)/C29</f>
        <v>-0.91934727704847774</v>
      </c>
      <c r="D82" s="158">
        <f t="shared" si="24"/>
        <v>-3.3903007372643659</v>
      </c>
      <c r="E82" s="158">
        <f t="shared" si="24"/>
        <v>-2.6779783852417984</v>
      </c>
      <c r="F82" s="158">
        <f t="shared" si="24"/>
        <v>-2.6822277201492959</v>
      </c>
      <c r="G82" s="158">
        <f t="shared" si="24"/>
        <v>-2.2650687081768499</v>
      </c>
      <c r="H82" s="158">
        <f t="shared" si="24"/>
        <v>-2.0705015190213567</v>
      </c>
      <c r="I82" s="158">
        <f t="shared" si="24"/>
        <v>-2.2216467607714812</v>
      </c>
      <c r="J82" s="158">
        <f t="shared" si="24"/>
        <v>-1.0810622489607575</v>
      </c>
      <c r="K82" s="158">
        <f t="shared" si="24"/>
        <v>-2.1027986597242459E-2</v>
      </c>
      <c r="L82" s="158">
        <f t="shared" si="24"/>
        <v>1.7307807471243026</v>
      </c>
    </row>
    <row r="83" spans="1:12">
      <c r="A83" s="155" t="s">
        <v>295</v>
      </c>
      <c r="B83" s="169"/>
      <c r="C83" s="169">
        <f t="shared" ref="C83:L83" si="25">C36/C37</f>
        <v>2.7204635453625642E-2</v>
      </c>
      <c r="D83" s="169">
        <f t="shared" si="25"/>
        <v>6.290073464534808E-2</v>
      </c>
      <c r="E83" s="169">
        <f t="shared" si="25"/>
        <v>4.1520231610789354E-2</v>
      </c>
      <c r="F83" s="169">
        <f t="shared" si="25"/>
        <v>4.719410796260598E-2</v>
      </c>
      <c r="G83" s="169">
        <f t="shared" si="25"/>
        <v>5.5390979345584908E-2</v>
      </c>
      <c r="H83" s="169">
        <f t="shared" si="25"/>
        <v>5.6518212390492227E-2</v>
      </c>
      <c r="I83" s="169">
        <f t="shared" si="25"/>
        <v>5.3465624448545863E-2</v>
      </c>
      <c r="J83" s="169">
        <f t="shared" si="25"/>
        <v>2.9596014394687526E-2</v>
      </c>
      <c r="K83" s="169">
        <f t="shared" si="25"/>
        <v>1.7305867740465591E-2</v>
      </c>
      <c r="L83" s="169">
        <f t="shared" si="25"/>
        <v>1.8894951871792708E-2</v>
      </c>
    </row>
    <row r="84" spans="1:12">
      <c r="A84" s="170" t="s">
        <v>296</v>
      </c>
      <c r="B84" s="171"/>
      <c r="C84" s="172">
        <f t="shared" ref="C84:L84" si="26">C37+C8-C45</f>
        <v>-257.15982033600028</v>
      </c>
      <c r="D84" s="172">
        <f t="shared" si="26"/>
        <v>-969.388689806</v>
      </c>
      <c r="E84" s="172">
        <f t="shared" si="26"/>
        <v>-812.92711862399995</v>
      </c>
      <c r="F84" s="172">
        <f t="shared" si="26"/>
        <v>-941.40828521800017</v>
      </c>
      <c r="G84" s="172">
        <f t="shared" si="26"/>
        <v>-874.52037754000003</v>
      </c>
      <c r="H84" s="172">
        <f t="shared" si="26"/>
        <v>-792.11176613200007</v>
      </c>
      <c r="I84" s="172">
        <f t="shared" si="26"/>
        <v>-896.16787036000005</v>
      </c>
      <c r="J84" s="172">
        <f t="shared" si="26"/>
        <v>-548.20666644800008</v>
      </c>
      <c r="K84" s="172">
        <f t="shared" si="26"/>
        <v>-13.084874940000191</v>
      </c>
      <c r="L84" s="172">
        <f t="shared" si="26"/>
        <v>1248.5679231680001</v>
      </c>
    </row>
    <row r="85" spans="1:12">
      <c r="A85" s="323"/>
      <c r="B85" s="323"/>
      <c r="C85" s="323"/>
      <c r="D85" s="323"/>
      <c r="E85" s="323"/>
      <c r="F85" s="323"/>
      <c r="G85" s="323"/>
      <c r="H85" s="323"/>
      <c r="I85" s="323"/>
      <c r="J85" s="323"/>
      <c r="K85" s="323"/>
      <c r="L85" s="141" t="s">
        <v>297</v>
      </c>
    </row>
    <row r="86" spans="1:12">
      <c r="A86" s="155" t="s">
        <v>298</v>
      </c>
      <c r="B86" s="158"/>
      <c r="C86" s="158">
        <f t="shared" ref="C86:K86" si="27">C52/C60</f>
        <v>0.25375793286550402</v>
      </c>
      <c r="D86" s="158">
        <f t="shared" si="27"/>
        <v>0.14939463028551017</v>
      </c>
      <c r="E86" s="158">
        <f t="shared" si="27"/>
        <v>0.14124677902952756</v>
      </c>
      <c r="F86" s="158">
        <f t="shared" si="27"/>
        <v>0.14874281450082288</v>
      </c>
      <c r="G86" s="158">
        <f t="shared" si="27"/>
        <v>0.11183737452181663</v>
      </c>
      <c r="H86" s="158">
        <f t="shared" si="27"/>
        <v>0.11509919316236962</v>
      </c>
      <c r="I86" s="158">
        <f t="shared" si="27"/>
        <v>9.7585241059914854E-2</v>
      </c>
      <c r="J86" s="158">
        <f t="shared" si="27"/>
        <v>5.4407383859238018E-2</v>
      </c>
      <c r="K86" s="158">
        <f t="shared" si="27"/>
        <v>9.1747233786152502E-2</v>
      </c>
      <c r="L86" s="155">
        <v>1.2</v>
      </c>
    </row>
    <row r="87" spans="1:12">
      <c r="A87" s="155" t="s">
        <v>299</v>
      </c>
      <c r="B87" s="158"/>
      <c r="C87" s="158">
        <f t="shared" ref="C87:K87" si="28">C70/C60</f>
        <v>3.8280085670012537E-2</v>
      </c>
      <c r="D87" s="158">
        <f t="shared" si="28"/>
        <v>2.8864802432828473E-2</v>
      </c>
      <c r="E87" s="158">
        <f t="shared" si="28"/>
        <v>4.1116240490063377E-2</v>
      </c>
      <c r="F87" s="158">
        <f t="shared" si="28"/>
        <v>3.2824143958728791E-2</v>
      </c>
      <c r="G87" s="158">
        <f t="shared" si="28"/>
        <v>3.5047602611671988E-2</v>
      </c>
      <c r="H87" s="158">
        <f t="shared" si="28"/>
        <v>3.2693625535050709E-2</v>
      </c>
      <c r="I87" s="158">
        <f t="shared" si="28"/>
        <v>3.3375393446941855E-2</v>
      </c>
      <c r="J87" s="158">
        <f t="shared" si="28"/>
        <v>5.7514948457290604E-2</v>
      </c>
      <c r="K87" s="158">
        <f t="shared" si="28"/>
        <v>8.0326331069237505E-2</v>
      </c>
      <c r="L87" s="155">
        <v>1.4</v>
      </c>
    </row>
    <row r="88" spans="1:12">
      <c r="A88" s="155" t="s">
        <v>300</v>
      </c>
      <c r="B88" s="158"/>
      <c r="C88" s="158">
        <f t="shared" ref="C88:K88" si="29">C31/C60</f>
        <v>0.10624858121379011</v>
      </c>
      <c r="D88" s="158">
        <f t="shared" si="29"/>
        <v>7.2210408954197502E-2</v>
      </c>
      <c r="E88" s="158">
        <f t="shared" si="29"/>
        <v>7.7320288544563215E-2</v>
      </c>
      <c r="F88" s="158">
        <f t="shared" si="29"/>
        <v>9.0836294991362115E-2</v>
      </c>
      <c r="G88" s="158">
        <f t="shared" si="29"/>
        <v>0.10974487301176403</v>
      </c>
      <c r="H88" s="158">
        <f t="shared" si="29"/>
        <v>0.1035148918878898</v>
      </c>
      <c r="I88" s="158">
        <f t="shared" si="29"/>
        <v>0.11155520736560406</v>
      </c>
      <c r="J88" s="158">
        <f t="shared" si="29"/>
        <v>0.15096691693872738</v>
      </c>
      <c r="K88" s="158">
        <f t="shared" si="29"/>
        <v>0.18504875109553023</v>
      </c>
      <c r="L88" s="155">
        <v>3.3</v>
      </c>
    </row>
    <row r="89" spans="1:12">
      <c r="A89" s="155" t="s">
        <v>301</v>
      </c>
      <c r="B89" s="158"/>
      <c r="C89" s="158">
        <f t="shared" ref="C89:L89" si="30">C37/C59</f>
        <v>0.57917509690256175</v>
      </c>
      <c r="D89" s="158">
        <f t="shared" si="30"/>
        <v>0.17846351727826856</v>
      </c>
      <c r="E89" s="158">
        <f t="shared" si="30"/>
        <v>0.27418609945070893</v>
      </c>
      <c r="F89" s="158">
        <f t="shared" si="30"/>
        <v>0.22126820387105525</v>
      </c>
      <c r="G89" s="158">
        <f t="shared" si="30"/>
        <v>0.19841279623473038</v>
      </c>
      <c r="H89" s="158">
        <f t="shared" si="30"/>
        <v>0.19269041191640437</v>
      </c>
      <c r="I89" s="158">
        <f t="shared" si="30"/>
        <v>0.18473062660003159</v>
      </c>
      <c r="J89" s="158">
        <f t="shared" si="30"/>
        <v>0.36619882533142184</v>
      </c>
      <c r="K89" s="158">
        <f t="shared" si="30"/>
        <v>0.6734431286340905</v>
      </c>
      <c r="L89" s="158">
        <f t="shared" si="30"/>
        <v>1.2447129377650097</v>
      </c>
    </row>
    <row r="90" spans="1:12">
      <c r="A90" s="155" t="s">
        <v>302</v>
      </c>
      <c r="B90" s="158"/>
      <c r="C90" s="158">
        <f t="shared" ref="C90:K90" si="31">C26/C60</f>
        <v>0.51865395434222605</v>
      </c>
      <c r="D90" s="158">
        <f t="shared" si="31"/>
        <v>0.40552260080315383</v>
      </c>
      <c r="E90" s="158">
        <f t="shared" si="31"/>
        <v>0.40507060639230907</v>
      </c>
      <c r="F90" s="158">
        <f t="shared" si="31"/>
        <v>0.51049670668170499</v>
      </c>
      <c r="G90" s="158">
        <f t="shared" si="31"/>
        <v>0.68194336583541859</v>
      </c>
      <c r="H90" s="158">
        <f t="shared" si="31"/>
        <v>0.73174973225938644</v>
      </c>
      <c r="I90" s="158">
        <f t="shared" si="31"/>
        <v>0.77102081282325041</v>
      </c>
      <c r="J90" s="158">
        <f t="shared" si="31"/>
        <v>0.84783292018202483</v>
      </c>
      <c r="K90" s="158">
        <f t="shared" si="31"/>
        <v>0.86690334684487291</v>
      </c>
      <c r="L90" s="155">
        <v>1</v>
      </c>
    </row>
    <row r="91" spans="1:12">
      <c r="A91" s="157"/>
      <c r="B91" s="158"/>
      <c r="C91" s="158"/>
      <c r="D91" s="158"/>
      <c r="E91" s="158"/>
      <c r="F91" s="158"/>
      <c r="G91" s="158"/>
      <c r="H91" s="158"/>
      <c r="I91" s="158"/>
      <c r="J91" s="158"/>
      <c r="K91" s="158"/>
      <c r="L91" s="158"/>
    </row>
    <row r="92" spans="1:12">
      <c r="A92" s="141" t="s">
        <v>414</v>
      </c>
      <c r="B92" s="141"/>
      <c r="C92" s="242">
        <f>SUM('Polished Data'!C35:C35)/SUM('Polished Data'!C40:C41)</f>
        <v>0.20213316352927135</v>
      </c>
      <c r="D92" s="242">
        <f>SUM('Polished Data'!D35:D35)/SUM('Polished Data'!D40:D41)</f>
        <v>8.7699644984061298E-2</v>
      </c>
      <c r="E92" s="242">
        <f>SUM('Polished Data'!E35:E35)/SUM('Polished Data'!E40:E41)</f>
        <v>0.11896020593324035</v>
      </c>
      <c r="F92" s="242">
        <f>SUM('Polished Data'!F35:F35)/SUM('Polished Data'!F40:F41)</f>
        <v>0.11410607264416536</v>
      </c>
      <c r="G92" s="242">
        <f>SUM('Polished Data'!G35:G35)/SUM('Polished Data'!G40:G41)</f>
        <v>0.12217519265368097</v>
      </c>
      <c r="H92" s="242">
        <f>SUM('Polished Data'!H35:H35)/SUM('Polished Data'!H40:H41)</f>
        <v>0.10767515714727327</v>
      </c>
      <c r="I92" s="242">
        <f>SUM('Polished Data'!I35:I35)/SUM('Polished Data'!I40:I41)</f>
        <v>0.13524075366364272</v>
      </c>
      <c r="J92" s="242">
        <f>SUM('Polished Data'!J35:J35)/SUM('Polished Data'!J40:J41)</f>
        <v>0.23777168617567188</v>
      </c>
      <c r="K92" s="242">
        <f>SUM('Polished Data'!K35:K35)/SUM('Polished Data'!K40:K41)</f>
        <v>0.24836443171260453</v>
      </c>
      <c r="L92" s="242">
        <f>SUM('Polished Data'!L35:L35)/SUM('Polished Data'!L40:L41)</f>
        <v>0.28621644022141307</v>
      </c>
    </row>
    <row r="93" spans="1:12">
      <c r="A93" s="141"/>
      <c r="B93" s="141"/>
      <c r="C93" s="141"/>
      <c r="D93" s="141"/>
      <c r="E93" s="141"/>
      <c r="F93" s="141"/>
      <c r="G93" s="141"/>
      <c r="H93" s="141"/>
      <c r="I93" s="141"/>
      <c r="J93" s="141"/>
      <c r="K93" s="141"/>
      <c r="L93" s="141"/>
    </row>
    <row r="95" spans="1:12">
      <c r="A95" s="246" t="s">
        <v>385</v>
      </c>
      <c r="C95" s="258">
        <f>C4</f>
        <v>39538</v>
      </c>
      <c r="D95" s="258">
        <f t="shared" ref="D95:L95" si="32">D4</f>
        <v>39903</v>
      </c>
      <c r="E95" s="258">
        <f t="shared" si="32"/>
        <v>40268</v>
      </c>
      <c r="F95" s="258">
        <f t="shared" si="32"/>
        <v>40633</v>
      </c>
      <c r="G95" s="258">
        <f t="shared" si="32"/>
        <v>40999</v>
      </c>
      <c r="H95" s="258">
        <f t="shared" si="32"/>
        <v>41364</v>
      </c>
      <c r="I95" s="258">
        <f t="shared" si="32"/>
        <v>41729</v>
      </c>
      <c r="J95" s="258">
        <f t="shared" si="32"/>
        <v>42094</v>
      </c>
      <c r="K95" s="258">
        <f t="shared" si="32"/>
        <v>42460</v>
      </c>
      <c r="L95" s="258">
        <f t="shared" si="32"/>
        <v>42825</v>
      </c>
    </row>
    <row r="96" spans="1:12">
      <c r="A96" s="141" t="s">
        <v>416</v>
      </c>
      <c r="C96" s="247">
        <f>Quantitative!B62</f>
        <v>978.46</v>
      </c>
      <c r="D96" s="247">
        <f>Quantitative!C62</f>
        <v>2031.78</v>
      </c>
      <c r="E96" s="247">
        <f>Quantitative!D62</f>
        <v>2024.08</v>
      </c>
      <c r="F96" s="247">
        <f>Quantitative!E62</f>
        <v>1950.03</v>
      </c>
      <c r="G96" s="247">
        <f>Quantitative!F62</f>
        <v>1872.41</v>
      </c>
      <c r="H96" s="247">
        <f>Quantitative!G62</f>
        <v>1870.76</v>
      </c>
      <c r="I96" s="247">
        <f>Quantitative!H62</f>
        <v>1867.55</v>
      </c>
      <c r="J96" s="247">
        <f>Quantitative!I62</f>
        <v>1932.35</v>
      </c>
      <c r="K96" s="247">
        <f>Quantitative!J62</f>
        <v>2047.5</v>
      </c>
      <c r="L96" s="247">
        <f>Quantitative!K62</f>
        <v>2399.0500000000002</v>
      </c>
    </row>
    <row r="97" spans="1:12">
      <c r="A97" s="141" t="s">
        <v>416</v>
      </c>
      <c r="B97" s="141"/>
      <c r="C97" s="242">
        <f>Quantitative!B62/Quantitative!B66</f>
        <v>0.48286106258451028</v>
      </c>
      <c r="D97" s="242">
        <f>Quantitative!C62/Quantitative!C66</f>
        <v>0.67823439674999753</v>
      </c>
      <c r="E97" s="242">
        <f>Quantitative!D62/Quantitative!D66</f>
        <v>0.68807408062114594</v>
      </c>
      <c r="F97" s="242">
        <f>Quantitative!E62/Quantitative!E66</f>
        <v>0.66446657784532137</v>
      </c>
      <c r="G97" s="242">
        <f>Quantitative!F62/Quantitative!F66</f>
        <v>0.67319944199959736</v>
      </c>
      <c r="H97" s="242">
        <f>Quantitative!G62/Quantitative!G66</f>
        <v>0.64421663056616385</v>
      </c>
      <c r="I97" s="242">
        <f>Quantitative!H62/Quantitative!H66</f>
        <v>0.64738487777146103</v>
      </c>
      <c r="J97" s="242">
        <f>Quantitative!I62/Quantitative!I66</f>
        <v>0.69021867253412961</v>
      </c>
      <c r="K97" s="242">
        <f>Quantitative!J62/Quantitative!J66</f>
        <v>0.70096817484662577</v>
      </c>
      <c r="L97" s="242">
        <f>Quantitative!K62/Quantitative!K66</f>
        <v>0.68975282695011408</v>
      </c>
    </row>
    <row r="98" spans="1:12">
      <c r="A98" s="141" t="s">
        <v>417</v>
      </c>
      <c r="B98" s="141"/>
      <c r="C98" s="242">
        <f>Quantitative!B64/Quantitative!B66</f>
        <v>6.8506400576397314E-2</v>
      </c>
      <c r="D98" s="242">
        <f>Quantitative!C64/Quantitative!C66</f>
        <v>1.2885178372929108E-2</v>
      </c>
      <c r="E98" s="242">
        <f>Quantitative!D64/Quantitative!D66</f>
        <v>2.0117892618453526E-2</v>
      </c>
      <c r="F98" s="242">
        <f>Quantitative!E64/Quantitative!E66</f>
        <v>8.5288936290561657E-3</v>
      </c>
      <c r="G98" s="242">
        <f>Quantitative!F64/Quantitative!F66</f>
        <v>1.0329479103747806E-2</v>
      </c>
      <c r="H98" s="242">
        <f>Quantitative!G64/Quantitative!G66</f>
        <v>1.9215339212722072E-3</v>
      </c>
      <c r="I98" s="242">
        <f>Quantitative!H64/Quantitative!H66</f>
        <v>2.6276016029063076E-3</v>
      </c>
      <c r="J98" s="242">
        <f>Quantitative!I64/Quantitative!I66</f>
        <v>5.6793421964409455E-4</v>
      </c>
      <c r="K98" s="242">
        <f>Quantitative!J64/Quantitative!J66</f>
        <v>2.0849309815950921E-3</v>
      </c>
      <c r="L98" s="242">
        <f>Quantitative!K64/Quantitative!K66</f>
        <v>2.535845411183596E-3</v>
      </c>
    </row>
    <row r="99" spans="1:12">
      <c r="A99" s="141" t="s">
        <v>420</v>
      </c>
      <c r="B99" s="141"/>
      <c r="C99" s="242">
        <f>Quantitative!B68/Quantitative!B66</f>
        <v>0.12838164608809796</v>
      </c>
      <c r="D99" s="242">
        <f>Quantitative!C68/Quantitative!C66</f>
        <v>8.6874810143906744E-2</v>
      </c>
      <c r="E99" s="242">
        <f>Quantitative!D68/Quantitative!D66</f>
        <v>0.10570902143687577</v>
      </c>
      <c r="F99" s="242">
        <f>Quantitative!E68/Quantitative!E66</f>
        <v>0.13057078504666528</v>
      </c>
      <c r="G99" s="242">
        <f>Quantitative!F68/Quantitative!F66</f>
        <v>0.11667673368424079</v>
      </c>
      <c r="H99" s="242">
        <f>Quantitative!G68/Quantitative!G66</f>
        <v>0.13466922412041613</v>
      </c>
      <c r="I99" s="242">
        <f>Quantitative!H68/Quantitative!H66</f>
        <v>0.14010870921671126</v>
      </c>
      <c r="J99" s="242">
        <f>Quantitative!I68/Quantitative!I66</f>
        <v>0.14906665904658489</v>
      </c>
      <c r="K99" s="242">
        <f>Quantitative!J68/Quantitative!J66</f>
        <v>0.13955343448729185</v>
      </c>
      <c r="L99" s="242">
        <f>Quantitative!K68/Quantitative!K66</f>
        <v>0.14641200875182928</v>
      </c>
    </row>
    <row r="100" spans="1:12">
      <c r="A100" s="141" t="s">
        <v>421</v>
      </c>
      <c r="B100" s="141"/>
      <c r="C100" s="242">
        <f>Quantitative!B67/Quantitative!B66</f>
        <v>6.6784117490302913E-2</v>
      </c>
      <c r="D100" s="242">
        <f>Quantitative!C67/Quantitative!C66</f>
        <v>3.9636945077761714E-2</v>
      </c>
      <c r="E100" s="242">
        <f>Quantitative!D67/Quantitative!D66</f>
        <v>5.1569521970588034E-2</v>
      </c>
      <c r="F100" s="242">
        <f>Quantitative!E67/Quantitative!E66</f>
        <v>6.4067222538359586E-2</v>
      </c>
      <c r="G100" s="242">
        <f>Quantitative!F67/Quantitative!F66</f>
        <v>6.8132136796387383E-2</v>
      </c>
      <c r="H100" s="242">
        <f>Quantitative!G67/Quantitative!G66</f>
        <v>8.3035748106875862E-2</v>
      </c>
      <c r="I100" s="242">
        <f>Quantitative!H67/Quantitative!H66</f>
        <v>0.10325642341130631</v>
      </c>
      <c r="J100" s="242">
        <f>Quantitative!I67/Quantitative!I66</f>
        <v>9.5552253520120589E-2</v>
      </c>
      <c r="K100" s="242">
        <f>Quantitative!J67/Quantitative!J66</f>
        <v>8.4407181200701148E-2</v>
      </c>
      <c r="L100" s="242">
        <f>Quantitative!K67/Quantitative!K66</f>
        <v>9.3972910730766246E-2</v>
      </c>
    </row>
    <row r="101" spans="1:12">
      <c r="A101" s="141" t="s">
        <v>422</v>
      </c>
      <c r="B101" s="141"/>
      <c r="C101" s="242">
        <f>Quantitative!B69/Quantitative!B66</f>
        <v>1.1799366357741391E-2</v>
      </c>
      <c r="D101" s="242">
        <f>Quantitative!C69/Quantitative!C66</f>
        <v>1.5672516181580873E-2</v>
      </c>
      <c r="E101" s="242">
        <f>Quantitative!D69/Quantitative!D66</f>
        <v>8.4918039474310425E-3</v>
      </c>
      <c r="F101" s="242">
        <f>Quantitative!E69/Quantitative!E66</f>
        <v>1.0713080930784094E-2</v>
      </c>
      <c r="G101" s="242">
        <f>Quantitative!F69/Quantitative!F66</f>
        <v>1.0825639255615957E-2</v>
      </c>
      <c r="H101" s="242">
        <f>Quantitative!G69/Quantitative!G66</f>
        <v>9.8797147314157036E-3</v>
      </c>
      <c r="I101" s="242">
        <f>Quantitative!H69/Quantitative!H66</f>
        <v>1.3540121188591079E-2</v>
      </c>
      <c r="J101" s="242">
        <f>Quantitative!I69/Quantitative!I66</f>
        <v>1.1426550746172695E-2</v>
      </c>
      <c r="K101" s="242">
        <f>Quantitative!J69/Quantitative!J66</f>
        <v>1.3988551709027169E-2</v>
      </c>
      <c r="L101" s="242">
        <f>Quantitative!K69/Quantitative!K66</f>
        <v>9.1974710548484388E-3</v>
      </c>
    </row>
    <row r="102" spans="1:12">
      <c r="A102" s="141" t="s">
        <v>418</v>
      </c>
      <c r="B102" s="141"/>
      <c r="C102" s="242">
        <f>(Quantitative!B66-Quantitative!B62-Quantitative!B64-Quantitative!B68-Quantitative!B67-Quantitative!B69)/Quantitative!B66</f>
        <v>0.24166740690295013</v>
      </c>
      <c r="D102" s="242">
        <f>(Quantitative!C66-Quantitative!C62-Quantitative!C64-Quantitative!C68-Quantitative!C67-Quantitative!C69)/Quantitative!C66</f>
        <v>0.16669615347382408</v>
      </c>
      <c r="E102" s="242">
        <f>(Quantitative!D66-Quantitative!D62-Quantitative!D64-Quantitative!D68-Quantitative!D67-Quantitative!D69)/Quantitative!D66</f>
        <v>0.12603767940550575</v>
      </c>
      <c r="F102" s="242">
        <f>(Quantitative!E66-Quantitative!E62-Quantitative!E64-Quantitative!E68-Quantitative!E67-Quantitative!E69)/Quantitative!E66</f>
        <v>0.12165344000981353</v>
      </c>
      <c r="G102" s="242">
        <f>(Quantitative!F66-Quantitative!F62-Quantitative!F64-Quantitative!F68-Quantitative!F67-Quantitative!F69)/Quantitative!F66</f>
        <v>0.12083656916041075</v>
      </c>
      <c r="H102" s="242">
        <f>(Quantitative!G66-Quantitative!G62-Quantitative!G64-Quantitative!G68-Quantitative!G67-Quantitative!G69)/Quantitative!G66</f>
        <v>0.12627714855385633</v>
      </c>
      <c r="I102" s="242">
        <f>(Quantitative!H66-Quantitative!H62-Quantitative!H64-Quantitative!H68-Quantitative!H67-Quantitative!H69)/Quantitative!H66</f>
        <v>9.3082266809024053E-2</v>
      </c>
      <c r="J102" s="242">
        <f>(Quantitative!I66-Quantitative!I62-Quantitative!I64-Quantitative!I68-Quantitative!I67-Quantitative!I69)/Quantitative!I66</f>
        <v>5.3167929933348089E-2</v>
      </c>
      <c r="K102" s="242">
        <f>(Quantitative!J66-Quantitative!J62-Quantitative!J64-Quantitative!J68-Quantitative!J67-Quantitative!J69)/Quantitative!J66</f>
        <v>5.899772677475898E-2</v>
      </c>
      <c r="L102" s="242">
        <f>(Quantitative!K66-Quantitative!K62-Quantitative!K64-Quantitative!K68-Quantitative!K67-Quantitative!K69)/Quantitative!K66</f>
        <v>5.8128937101258417E-2</v>
      </c>
    </row>
    <row r="104" spans="1:12">
      <c r="A104" s="248" t="s">
        <v>423</v>
      </c>
      <c r="C104" s="258">
        <f>C4</f>
        <v>39538</v>
      </c>
      <c r="D104" s="258">
        <f t="shared" ref="D104:L104" si="33">D4</f>
        <v>39903</v>
      </c>
      <c r="E104" s="258">
        <f t="shared" si="33"/>
        <v>40268</v>
      </c>
      <c r="F104" s="258">
        <f t="shared" si="33"/>
        <v>40633</v>
      </c>
      <c r="G104" s="258">
        <f t="shared" si="33"/>
        <v>40999</v>
      </c>
      <c r="H104" s="258">
        <f t="shared" si="33"/>
        <v>41364</v>
      </c>
      <c r="I104" s="258">
        <f t="shared" si="33"/>
        <v>41729</v>
      </c>
      <c r="J104" s="258">
        <f t="shared" si="33"/>
        <v>42094</v>
      </c>
      <c r="K104" s="258">
        <f t="shared" si="33"/>
        <v>42460</v>
      </c>
      <c r="L104" s="258">
        <f t="shared" si="33"/>
        <v>42825</v>
      </c>
    </row>
    <row r="105" spans="1:12">
      <c r="A105" s="141" t="s">
        <v>424</v>
      </c>
      <c r="C105" s="249">
        <f>SUM(Quantitative!B57:B58)/Quantitative!B61</f>
        <v>0.24799889458048338</v>
      </c>
      <c r="D105" s="249">
        <f>SUM(Quantitative!C57:C58)/Quantitative!C61</f>
        <v>0.4052588886032934</v>
      </c>
      <c r="E105" s="249">
        <f>SUM(Quantitative!D57:D58)/Quantitative!D61</f>
        <v>0.40278278251055527</v>
      </c>
      <c r="F105" s="249">
        <f>SUM(Quantitative!E57:E58)/Quantitative!E61</f>
        <v>0.34738800502942352</v>
      </c>
      <c r="G105" s="249">
        <f>SUM(Quantitative!F57:F58)/Quantitative!F61</f>
        <v>0.34571936031294037</v>
      </c>
      <c r="H105" s="249">
        <f>SUM(Quantitative!G57:G58)/Quantitative!G61</f>
        <v>0.36759494891405786</v>
      </c>
      <c r="I105" s="249">
        <f>SUM(Quantitative!H57:H58)/Quantitative!H61</f>
        <v>0.29804905780723523</v>
      </c>
      <c r="J105" s="249">
        <f>SUM(Quantitative!I57:I58)/Quantitative!I61</f>
        <v>0.2749408848343704</v>
      </c>
      <c r="K105" s="249">
        <f>SUM(Quantitative!J57:J58)/Quantitative!J61</f>
        <v>0.35374671340929009</v>
      </c>
      <c r="L105" s="249">
        <f>SUM(Quantitative!K57:K58)/Quantitative!K61</f>
        <v>0.38851911803181594</v>
      </c>
    </row>
    <row r="106" spans="1:12">
      <c r="A106" s="141" t="s">
        <v>418</v>
      </c>
      <c r="C106" s="250">
        <f>1-C105</f>
        <v>0.75200110541951659</v>
      </c>
      <c r="D106" s="250">
        <f t="shared" ref="D106:L106" si="34">1-D105</f>
        <v>0.5947411113967066</v>
      </c>
      <c r="E106" s="250">
        <f t="shared" si="34"/>
        <v>0.59721721748944478</v>
      </c>
      <c r="F106" s="250">
        <f t="shared" si="34"/>
        <v>0.65261199497057643</v>
      </c>
      <c r="G106" s="250">
        <f t="shared" si="34"/>
        <v>0.65428063968705963</v>
      </c>
      <c r="H106" s="250">
        <f t="shared" si="34"/>
        <v>0.63240505108594214</v>
      </c>
      <c r="I106" s="250">
        <f t="shared" si="34"/>
        <v>0.70195094219276477</v>
      </c>
      <c r="J106" s="250">
        <f t="shared" si="34"/>
        <v>0.7250591151656296</v>
      </c>
      <c r="K106" s="250">
        <f t="shared" si="34"/>
        <v>0.64625328659070991</v>
      </c>
      <c r="L106" s="250">
        <f t="shared" si="34"/>
        <v>0.61148088196818406</v>
      </c>
    </row>
    <row r="110" spans="1:12">
      <c r="A110" s="248" t="s">
        <v>429</v>
      </c>
      <c r="C110" s="258">
        <f>C4</f>
        <v>39538</v>
      </c>
      <c r="D110" s="258">
        <f t="shared" ref="D110:L110" si="35">D4</f>
        <v>39903</v>
      </c>
      <c r="E110" s="258">
        <f t="shared" si="35"/>
        <v>40268</v>
      </c>
      <c r="F110" s="258">
        <f t="shared" si="35"/>
        <v>40633</v>
      </c>
      <c r="G110" s="258">
        <f t="shared" si="35"/>
        <v>40999</v>
      </c>
      <c r="H110" s="258">
        <f t="shared" si="35"/>
        <v>41364</v>
      </c>
      <c r="I110" s="258">
        <f t="shared" si="35"/>
        <v>41729</v>
      </c>
      <c r="J110" s="258">
        <f t="shared" si="35"/>
        <v>42094</v>
      </c>
      <c r="K110" s="258">
        <f t="shared" si="35"/>
        <v>42460</v>
      </c>
      <c r="L110" s="258">
        <f t="shared" si="35"/>
        <v>42825</v>
      </c>
    </row>
    <row r="111" spans="1:12">
      <c r="A111" s="141" t="s">
        <v>419</v>
      </c>
      <c r="B111" s="141"/>
      <c r="C111" s="242">
        <f>(Quantitative!B18-Quantitative!B19)/(Quantitative!B$17+Quantitative!B$25)</f>
        <v>0.3837406066340362</v>
      </c>
      <c r="D111" s="242">
        <f>(Quantitative!C18-Quantitative!C19)/(Quantitative!C$17+Quantitative!C$25)</f>
        <v>0.37092157985117352</v>
      </c>
      <c r="E111" s="242">
        <f>(Quantitative!D18-Quantitative!D19)/(Quantitative!D$17+Quantitative!D$25)</f>
        <v>0.35210354911604425</v>
      </c>
      <c r="F111" s="242">
        <f>(Quantitative!E18-Quantitative!E19)/(Quantitative!E$17+Quantitative!E$25)</f>
        <v>0.34582258197542209</v>
      </c>
      <c r="G111" s="242">
        <f>(Quantitative!F18-Quantitative!F19)/(Quantitative!F$17+Quantitative!F$25)</f>
        <v>0.43942054203638381</v>
      </c>
      <c r="H111" s="242">
        <f>(Quantitative!G18-Quantitative!G19)/(Quantitative!G$17+Quantitative!G$25)</f>
        <v>0.40261721371878101</v>
      </c>
      <c r="I111" s="242">
        <f>(Quantitative!H18-Quantitative!H19)/(Quantitative!H$17+Quantitative!H$25)</f>
        <v>0.4088438912404046</v>
      </c>
      <c r="J111" s="242">
        <f>(Quantitative!I18-Quantitative!I19)/(Quantitative!I$17+Quantitative!I$25)</f>
        <v>0.39958251946985002</v>
      </c>
      <c r="K111" s="242">
        <f>(Quantitative!J18-Quantitative!J19)/(Quantitative!J$17+Quantitative!J$25)</f>
        <v>0.37974768276068449</v>
      </c>
      <c r="L111" s="242">
        <f>(Quantitative!K18-Quantitative!K19)/(Quantitative!K$17+Quantitative!K$25)</f>
        <v>0.40055096221359282</v>
      </c>
    </row>
    <row r="112" spans="1:12">
      <c r="A112" s="174" t="s">
        <v>316</v>
      </c>
      <c r="B112" s="141"/>
      <c r="C112" s="242">
        <f>(Quantitative!B20)/(Quantitative!B$17+Quantitative!B$25)</f>
        <v>0.14710966356738658</v>
      </c>
      <c r="D112" s="242">
        <f>(Quantitative!C20)/(Quantitative!C$17+Quantitative!C$25)</f>
        <v>0.17102788453675691</v>
      </c>
      <c r="E112" s="242">
        <f>(Quantitative!D20)/(Quantitative!D$17+Quantitative!D$25)</f>
        <v>0.15524890336302011</v>
      </c>
      <c r="F112" s="242">
        <f>(Quantitative!E20)/(Quantitative!E$17+Quantitative!E$25)</f>
        <v>0.13426531405747411</v>
      </c>
      <c r="G112" s="242">
        <f>(Quantitative!F20)/(Quantitative!F$17+Quantitative!F$25)</f>
        <v>0.13572398178187517</v>
      </c>
      <c r="H112" s="242">
        <f>(Quantitative!G20)/(Quantitative!G$17+Quantitative!G$25)</f>
        <v>0.15991006848125569</v>
      </c>
      <c r="I112" s="242">
        <f>(Quantitative!H20)/(Quantitative!H$17+Quantitative!H$25)</f>
        <v>0.17279754645239973</v>
      </c>
      <c r="J112" s="242">
        <f>(Quantitative!I20)/(Quantitative!I$17+Quantitative!I$25)</f>
        <v>0.16329105434791719</v>
      </c>
      <c r="K112" s="242">
        <f>(Quantitative!J20)/(Quantitative!J$17+Quantitative!J$25)</f>
        <v>0.14013293117976422</v>
      </c>
      <c r="L112" s="242">
        <f>(Quantitative!K20)/(Quantitative!K$17+Quantitative!K$25)</f>
        <v>0.10980555117715333</v>
      </c>
    </row>
    <row r="113" spans="1:12">
      <c r="A113" s="174" t="s">
        <v>317</v>
      </c>
      <c r="B113" s="141"/>
      <c r="C113" s="242">
        <f>(Quantitative!B21)/(Quantitative!B$17+Quantitative!B$25)</f>
        <v>8.4799577867137307E-2</v>
      </c>
      <c r="D113" s="242">
        <f>(Quantitative!C21)/(Quantitative!C$17+Quantitative!C$25)</f>
        <v>7.1453103279090685E-2</v>
      </c>
      <c r="E113" s="242">
        <f>(Quantitative!D21)/(Quantitative!D$17+Quantitative!D$25)</f>
        <v>8.7008174930214024E-2</v>
      </c>
      <c r="F113" s="242">
        <f>(Quantitative!E21)/(Quantitative!E$17+Quantitative!E$25)</f>
        <v>7.9666089333474716E-2</v>
      </c>
      <c r="G113" s="242">
        <f>(Quantitative!F21)/(Quantitative!F$17+Quantitative!F$25)</f>
        <v>6.7170163365636082E-2</v>
      </c>
      <c r="H113" s="242">
        <f>(Quantitative!G21)/(Quantitative!G$17+Quantitative!G$25)</f>
        <v>6.5270756767159044E-2</v>
      </c>
      <c r="I113" s="242">
        <f>(Quantitative!H21)/(Quantitative!H$17+Quantitative!H$25)</f>
        <v>6.7822297151876015E-2</v>
      </c>
      <c r="J113" s="242">
        <f>(Quantitative!I21)/(Quantitative!I$17+Quantitative!I$25)</f>
        <v>6.903099248032056E-2</v>
      </c>
      <c r="K113" s="242">
        <f>(Quantitative!J21)/(Quantitative!J$17+Quantitative!J$25)</f>
        <v>7.9813833347770965E-2</v>
      </c>
      <c r="L113" s="242">
        <f>(Quantitative!K21)/(Quantitative!K$17+Quantitative!K$25)</f>
        <v>7.9739063149297143E-2</v>
      </c>
    </row>
    <row r="114" spans="1:12">
      <c r="A114" s="174" t="s">
        <v>22</v>
      </c>
      <c r="B114" s="141"/>
      <c r="C114" s="242">
        <f>(Quantitative!B22)/(Quantitative!B$17+Quantitative!B$25)</f>
        <v>5.5696064338870789E-2</v>
      </c>
      <c r="D114" s="242">
        <f>(Quantitative!C22)/(Quantitative!C$17+Quantitative!C$25)</f>
        <v>6.199198626216372E-2</v>
      </c>
      <c r="E114" s="242">
        <f>(Quantitative!D22)/(Quantitative!D$17+Quantitative!D$25)</f>
        <v>6.2632925694536767E-2</v>
      </c>
      <c r="F114" s="242">
        <f>(Quantitative!E22)/(Quantitative!E$17+Quantitative!E$25)</f>
        <v>5.3951197671815533E-2</v>
      </c>
      <c r="G114" s="242">
        <f>(Quantitative!F22)/(Quantitative!F$17+Quantitative!F$25)</f>
        <v>5.049816822939323E-2</v>
      </c>
      <c r="H114" s="242">
        <f>(Quantitative!G22)/(Quantitative!G$17+Quantitative!G$25)</f>
        <v>5.0668619250789727E-2</v>
      </c>
      <c r="I114" s="242">
        <f>(Quantitative!H22)/(Quantitative!H$17+Quantitative!H$25)</f>
        <v>5.3317131788507062E-2</v>
      </c>
      <c r="J114" s="242">
        <f>(Quantitative!I22)/(Quantitative!I$17+Quantitative!I$25)</f>
        <v>5.1334177236413016E-2</v>
      </c>
      <c r="K114" s="242">
        <f>(Quantitative!J22)/(Quantitative!J$17+Quantitative!J$25)</f>
        <v>5.2463715615476095E-2</v>
      </c>
      <c r="L114" s="242">
        <f>(Quantitative!K22)/(Quantitative!K$17+Quantitative!K$25)</f>
        <v>5.6647369853984261E-2</v>
      </c>
    </row>
    <row r="115" spans="1:12">
      <c r="A115" s="174" t="s">
        <v>318</v>
      </c>
      <c r="B115" s="141"/>
      <c r="C115" s="242">
        <f>(Quantitative!B23)/(Quantitative!B$17+Quantitative!B$25)</f>
        <v>8.2161247475390747E-2</v>
      </c>
      <c r="D115" s="242">
        <f>(Quantitative!C23)/(Quantitative!C$17+Quantitative!C$25)</f>
        <v>8.3719028538719445E-2</v>
      </c>
      <c r="E115" s="242">
        <f>(Quantitative!D23)/(Quantitative!D$17+Quantitative!D$25)</f>
        <v>0.1028180247241792</v>
      </c>
      <c r="F115" s="242">
        <f>(Quantitative!E23)/(Quantitative!E$17+Quantitative!E$25)</f>
        <v>6.3653929989513747E-2</v>
      </c>
      <c r="G115" s="242">
        <f>(Quantitative!F23)/(Quantitative!F$17+Quantitative!F$25)</f>
        <v>9.2531931509075002E-2</v>
      </c>
      <c r="H115" s="242">
        <f>(Quantitative!G23)/(Quantitative!G$17+Quantitative!G$25)</f>
        <v>8.6631839324856491E-2</v>
      </c>
      <c r="I115" s="242">
        <f>(Quantitative!H23)/(Quantitative!H$17+Quantitative!H$25)</f>
        <v>8.3390128416672635E-2</v>
      </c>
      <c r="J115" s="242">
        <f>(Quantitative!I23)/(Quantitative!I$17+Quantitative!I$25)</f>
        <v>8.6555953289126214E-2</v>
      </c>
      <c r="K115" s="242">
        <f>(Quantitative!J23)/(Quantitative!J$17+Quantitative!J$25)</f>
        <v>9.1787877117409433E-2</v>
      </c>
      <c r="L115" s="242">
        <f>(Quantitative!K23)/(Quantitative!K$17+Quantitative!K$25)</f>
        <v>8.6978950234284327E-2</v>
      </c>
    </row>
    <row r="116" spans="1:12">
      <c r="A116" s="174" t="s">
        <v>319</v>
      </c>
      <c r="B116" s="141"/>
      <c r="C116" s="242">
        <f>(Quantitative!B24)/(Quantitative!B$17+Quantitative!B$25)</f>
        <v>-7.9877727032879042E-3</v>
      </c>
      <c r="D116" s="242">
        <f>(Quantitative!C24)/(Quantitative!C$17+Quantitative!C$25)</f>
        <v>7.0733502330525807E-3</v>
      </c>
      <c r="E116" s="242">
        <f>(Quantitative!D24)/(Quantitative!D$17+Quantitative!D$25)</f>
        <v>-1.2004851787850592E-2</v>
      </c>
      <c r="F116" s="242">
        <f>(Quantitative!E24)/(Quantitative!E$17+Quantitative!E$25)</f>
        <v>0.11587312808549244</v>
      </c>
      <c r="G116" s="242">
        <f>(Quantitative!F24)/(Quantitative!F$17+Quantitative!F$25)</f>
        <v>1.2300903044565223E-2</v>
      </c>
      <c r="H116" s="242">
        <f>(Quantitative!G24)/(Quantitative!G$17+Quantitative!G$25)</f>
        <v>5.5334168814039839E-2</v>
      </c>
      <c r="I116" s="242">
        <f>(Quantitative!H24)/(Quantitative!H$17+Quantitative!H$25)</f>
        <v>3.296057823373269E-2</v>
      </c>
      <c r="J116" s="242">
        <f>(Quantitative!I24)/(Quantitative!I$17+Quantitative!I$25)</f>
        <v>1.7650707956441185E-2</v>
      </c>
      <c r="K116" s="242">
        <f>(Quantitative!J24)/(Quantitative!J$17+Quantitative!J$25)</f>
        <v>1.1036910452580267E-2</v>
      </c>
      <c r="L116" s="242">
        <f>(Quantitative!K24)/(Quantitative!K$17+Quantitative!K$25)</f>
        <v>7.8524653588777291E-3</v>
      </c>
    </row>
    <row r="117" spans="1:12">
      <c r="A117" s="178" t="s">
        <v>25</v>
      </c>
      <c r="B117" s="141"/>
      <c r="C117" s="242">
        <f>(Quantitative!B26)/(Quantitative!B$17+Quantitative!B$25)</f>
        <v>5.8607325460798047E-2</v>
      </c>
      <c r="D117" s="242">
        <f>(Quantitative!C26)/(Quantitative!C$17+Quantitative!C$25)</f>
        <v>5.6922070488183832E-2</v>
      </c>
      <c r="E117" s="242">
        <f>(Quantitative!D26)/(Quantitative!D$17+Quantitative!D$25)</f>
        <v>6.3231091319952151E-2</v>
      </c>
      <c r="F117" s="242">
        <f>(Quantitative!E26)/(Quantitative!E$17+Quantitative!E$25)</f>
        <v>4.9721348367560946E-2</v>
      </c>
      <c r="G117" s="242">
        <f>(Quantitative!F26)/(Quantitative!F$17+Quantitative!F$25)</f>
        <v>4.2374435924716583E-2</v>
      </c>
      <c r="H117" s="242">
        <f>(Quantitative!G26)/(Quantitative!G$17+Quantitative!G$25)</f>
        <v>3.8474355905393547E-2</v>
      </c>
      <c r="I117" s="242">
        <f>(Quantitative!H26)/(Quantitative!H$17+Quantitative!H$25)</f>
        <v>3.657453906306047E-2</v>
      </c>
      <c r="J117" s="242">
        <f>(Quantitative!I26)/(Quantitative!I$17+Quantitative!I$25)</f>
        <v>3.539782205940295E-2</v>
      </c>
      <c r="K117" s="242">
        <f>(Quantitative!J26)/(Quantitative!J$17+Quantitative!J$25)</f>
        <v>3.2185410645519476E-2</v>
      </c>
      <c r="L117" s="242">
        <f>(Quantitative!K26)/(Quantitative!K$17+Quantitative!K$25)</f>
        <v>3.0696977947182139E-2</v>
      </c>
    </row>
    <row r="118" spans="1:12">
      <c r="A118" s="178" t="s">
        <v>24</v>
      </c>
      <c r="B118" s="141"/>
      <c r="C118" s="242">
        <f>(Quantitative!B27)/(Quantitative!B$17+Quantitative!B$25)</f>
        <v>5.8252515511563165E-2</v>
      </c>
      <c r="D118" s="242">
        <f>(Quantitative!C27)/(Quantitative!C$17+Quantitative!C$25)</f>
        <v>7.3783629078420163E-2</v>
      </c>
      <c r="E118" s="242">
        <f>(Quantitative!D27)/(Quantitative!D$17+Quantitative!D$25)</f>
        <v>8.8096504054233707E-2</v>
      </c>
      <c r="F118" s="242">
        <f>(Quantitative!E27)/(Quantitative!E$17+Quantitative!E$25)</f>
        <v>6.5786528106700604E-2</v>
      </c>
      <c r="G118" s="242">
        <f>(Quantitative!F27)/(Quantitative!F$17+Quantitative!F$25)</f>
        <v>9.7794013595459098E-2</v>
      </c>
      <c r="H118" s="242">
        <f>(Quantitative!G27)/(Quantitative!G$17+Quantitative!G$25)</f>
        <v>7.5352849787140172E-2</v>
      </c>
      <c r="I118" s="242">
        <f>(Quantitative!H27)/(Quantitative!H$17+Quantitative!H$25)</f>
        <v>7.6924456560728882E-2</v>
      </c>
      <c r="J118" s="242">
        <f>(Quantitative!I27)/(Quantitative!I$17+Quantitative!I$25)</f>
        <v>6.9039375623496269E-2</v>
      </c>
      <c r="K118" s="242">
        <f>(Quantitative!J27)/(Quantitative!J$17+Quantitative!J$25)</f>
        <v>6.4110943984627869E-2</v>
      </c>
      <c r="L118" s="242">
        <f>(Quantitative!K27)/(Quantitative!K$17+Quantitative!K$25)</f>
        <v>4.7920816197859206E-2</v>
      </c>
    </row>
    <row r="119" spans="1:12">
      <c r="A119" s="178" t="s">
        <v>26</v>
      </c>
      <c r="B119" s="141"/>
      <c r="C119" s="242">
        <f>(Quantitative!B29)/(Quantitative!B$17+Quantitative!B$25)</f>
        <v>4.5206426608926653E-2</v>
      </c>
      <c r="D119" s="242">
        <f>(Quantitative!C29)/(Quantitative!C$17+Quantitative!C$25)</f>
        <v>1.6043830239594409E-2</v>
      </c>
      <c r="E119" s="242">
        <f>(Quantitative!D29)/(Quantitative!D$17+Quantitative!D$25)</f>
        <v>-1.6233550445301077E-2</v>
      </c>
      <c r="F119" s="242">
        <f>(Quantitative!E29)/(Quantitative!E$17+Quantitative!E$25)</f>
        <v>2.2728076066593616E-2</v>
      </c>
      <c r="G119" s="242">
        <f>(Quantitative!F29)/(Quantitative!F$17+Quantitative!F$25)</f>
        <v>6.1321076106268899E-4</v>
      </c>
      <c r="H119" s="242">
        <f>(Quantitative!G29)/(Quantitative!G$17+Quantitative!G$25)</f>
        <v>1.1790604127650189E-2</v>
      </c>
      <c r="I119" s="242">
        <f>(Quantitative!H29)/(Quantitative!H$17+Quantitative!H$25)</f>
        <v>1.5231544587129634E-2</v>
      </c>
      <c r="J119" s="242">
        <f>(Quantitative!I29)/(Quantitative!I$17+Quantitative!I$25)</f>
        <v>3.1403254336180804E-2</v>
      </c>
      <c r="K119" s="242">
        <f>(Quantitative!J29)/(Quantitative!J$17+Quantitative!J$25)</f>
        <v>4.767173558665333E-2</v>
      </c>
      <c r="L119" s="242">
        <f>(Quantitative!K29)/(Quantitative!K$17+Quantitative!K$25)</f>
        <v>4.1254101766804704E-2</v>
      </c>
    </row>
    <row r="120" spans="1:12">
      <c r="A120" s="178" t="s">
        <v>321</v>
      </c>
      <c r="B120" s="141"/>
      <c r="C120" s="242">
        <f>(Quantitative!B30)/(Quantitative!B$17+Quantitative!B$25)</f>
        <v>9.2414345239178283E-2</v>
      </c>
      <c r="D120" s="242">
        <f>(Quantitative!C30)/(Quantitative!C$17+Quantitative!C$25)</f>
        <v>8.7063537492844886E-2</v>
      </c>
      <c r="E120" s="242">
        <f>(Quantitative!D30)/(Quantitative!D$17+Quantitative!D$25)</f>
        <v>0.1170992290309717</v>
      </c>
      <c r="F120" s="242">
        <f>(Quantitative!E30)/(Quantitative!E$17+Quantitative!E$25)</f>
        <v>6.8531806345952184E-2</v>
      </c>
      <c r="G120" s="242">
        <f>(Quantitative!F30)/(Quantitative!F$17+Quantitative!F$25)</f>
        <v>6.1572649751833082E-2</v>
      </c>
      <c r="H120" s="242">
        <f>(Quantitative!G30)/(Quantitative!G$17+Quantitative!G$25)</f>
        <v>5.394483011110017E-2</v>
      </c>
      <c r="I120" s="242">
        <f>(Quantitative!H30)/(Quantitative!H$17+Quantitative!H$25)</f>
        <v>5.2142370327857089E-2</v>
      </c>
      <c r="J120" s="242">
        <f>(Quantitative!I30)/(Quantitative!I$17+Quantitative!I$25)</f>
        <v>7.6714143200851723E-2</v>
      </c>
      <c r="K120" s="242">
        <f>(Quantitative!J30)/(Quantitative!J$17+Quantitative!J$25)</f>
        <v>0.10104895930951388</v>
      </c>
      <c r="L120" s="242">
        <f>(Quantitative!K30)/(Quantitative!K$17+Quantitative!K$25)</f>
        <v>0.13855374210096436</v>
      </c>
    </row>
    <row r="121" spans="1:12">
      <c r="A121" s="174"/>
      <c r="B121" s="141"/>
      <c r="C121" s="242">
        <f>SUM(C111:C120)</f>
        <v>0.99999999999999989</v>
      </c>
      <c r="D121" s="242">
        <f t="shared" ref="D121:L121" si="36">SUM(D111:D120)</f>
        <v>1.0000000000000002</v>
      </c>
      <c r="E121" s="242">
        <f t="shared" si="36"/>
        <v>1.0000000000000004</v>
      </c>
      <c r="F121" s="242">
        <f t="shared" si="36"/>
        <v>1</v>
      </c>
      <c r="G121" s="242">
        <f t="shared" si="36"/>
        <v>1</v>
      </c>
      <c r="H121" s="242">
        <f t="shared" si="36"/>
        <v>0.99999530628816591</v>
      </c>
      <c r="I121" s="242">
        <f t="shared" si="36"/>
        <v>1.0000044838223687</v>
      </c>
      <c r="J121" s="242">
        <f t="shared" si="36"/>
        <v>1</v>
      </c>
      <c r="K121" s="242">
        <f t="shared" si="36"/>
        <v>1</v>
      </c>
      <c r="L121" s="242">
        <f t="shared" si="36"/>
        <v>1</v>
      </c>
    </row>
    <row r="122" spans="1:12">
      <c r="A122" s="174"/>
      <c r="B122" s="141"/>
      <c r="C122" s="242"/>
      <c r="D122" s="242"/>
      <c r="E122" s="242"/>
      <c r="F122" s="242"/>
      <c r="G122" s="242"/>
      <c r="H122" s="242"/>
      <c r="I122" s="242"/>
      <c r="J122" s="242"/>
      <c r="K122" s="242"/>
      <c r="L122" s="242"/>
    </row>
    <row r="123" spans="1:12">
      <c r="A123" s="248" t="s">
        <v>435</v>
      </c>
      <c r="B123" s="141"/>
      <c r="C123" s="265">
        <f>C4</f>
        <v>39538</v>
      </c>
      <c r="D123" s="265">
        <f t="shared" ref="D123:L123" si="37">D4</f>
        <v>39903</v>
      </c>
      <c r="E123" s="265">
        <f t="shared" si="37"/>
        <v>40268</v>
      </c>
      <c r="F123" s="265">
        <f t="shared" si="37"/>
        <v>40633</v>
      </c>
      <c r="G123" s="265">
        <f t="shared" si="37"/>
        <v>40999</v>
      </c>
      <c r="H123" s="265">
        <f t="shared" si="37"/>
        <v>41364</v>
      </c>
      <c r="I123" s="265">
        <f t="shared" si="37"/>
        <v>41729</v>
      </c>
      <c r="J123" s="265">
        <f t="shared" si="37"/>
        <v>42094</v>
      </c>
      <c r="K123" s="265">
        <f t="shared" si="37"/>
        <v>42460</v>
      </c>
      <c r="L123" s="265">
        <f t="shared" si="37"/>
        <v>42825</v>
      </c>
    </row>
    <row r="124" spans="1:12">
      <c r="A124" s="261" t="s">
        <v>239</v>
      </c>
      <c r="B124" s="141"/>
      <c r="C124" s="265"/>
      <c r="D124" s="270">
        <f>(Quantitative!C17+Quantitative!C25)</f>
        <v>1222.8999999999999</v>
      </c>
      <c r="E124" s="270">
        <f>(Quantitative!D17+Quantitative!D25)</f>
        <v>1203.6799999999998</v>
      </c>
      <c r="F124" s="270">
        <f>(Quantitative!E17+Quantitative!E25)</f>
        <v>1697.46</v>
      </c>
      <c r="G124" s="270">
        <f>(Quantitative!F17+Quantitative!F25)</f>
        <v>1907.99</v>
      </c>
      <c r="H124" s="270">
        <f>(Quantitative!G17+Quantitative!G25)</f>
        <v>2130.5099999999998</v>
      </c>
      <c r="I124" s="270">
        <f>(Quantitative!H17+Quantitative!H25)</f>
        <v>2230.2400000000002</v>
      </c>
      <c r="J124" s="270">
        <f>(Quantitative!I17+Quantitative!I25)</f>
        <v>2385.7400000000002</v>
      </c>
      <c r="K124" s="270">
        <f>(Quantitative!J17+Quantitative!J25)</f>
        <v>2539.66</v>
      </c>
      <c r="L124" s="270">
        <f>(Quantitative!K17+Quantitative!K25)</f>
        <v>2791.48</v>
      </c>
    </row>
    <row r="125" spans="1:12" s="263" customFormat="1">
      <c r="A125" s="261" t="s">
        <v>456</v>
      </c>
      <c r="B125" s="261"/>
      <c r="C125" s="262"/>
      <c r="D125" s="262">
        <f>(Quantitative!C17+Quantitative!C25)/(Quantitative!B17+Quantitative!B25)-1</f>
        <v>0.11255663312651221</v>
      </c>
      <c r="E125" s="262">
        <f>(Quantitative!D17+Quantitative!D25)/(Quantitative!C17+Quantitative!C25)-1</f>
        <v>-1.5716738899337668E-2</v>
      </c>
      <c r="F125" s="262">
        <f>(Quantitative!E17+Quantitative!E25)/(Quantitative!D17+Quantitative!D25)-1</f>
        <v>0.41022530905224008</v>
      </c>
      <c r="G125" s="262">
        <f>(Quantitative!F17+Quantitative!F25)/(Quantitative!E17+Quantitative!E25)-1</f>
        <v>0.12402648663296922</v>
      </c>
      <c r="H125" s="262">
        <f>(Quantitative!G17+Quantitative!G25)/(Quantitative!F17+Quantitative!F25)-1</f>
        <v>0.1166253491894611</v>
      </c>
      <c r="I125" s="262">
        <f>(Quantitative!H17+Quantitative!H25)/(Quantitative!G17+Quantitative!G25)-1</f>
        <v>4.6810388123031732E-2</v>
      </c>
      <c r="J125" s="262">
        <f>(Quantitative!I17+Quantitative!I25)/(Quantitative!H17+Quantitative!H25)-1</f>
        <v>6.9723437836286761E-2</v>
      </c>
      <c r="K125" s="262">
        <f>(Quantitative!J17+Quantitative!J25)/(Quantitative!I17+Quantitative!I25)-1</f>
        <v>6.4516669880204658E-2</v>
      </c>
      <c r="L125" s="262">
        <f>(Quantitative!K17+Quantitative!K25)/(Quantitative!J17+Quantitative!J25)-1</f>
        <v>9.9155005000669538E-2</v>
      </c>
    </row>
    <row r="126" spans="1:12" s="263" customFormat="1">
      <c r="A126" s="261" t="s">
        <v>35</v>
      </c>
      <c r="B126" s="261"/>
      <c r="C126" s="262"/>
      <c r="D126" s="269">
        <f>Quantitative!C30/Quantitative!C93</f>
        <v>10.644947015518587</v>
      </c>
      <c r="E126" s="269">
        <f>Quantitative!D30/Quantitative!D93</f>
        <v>14.092282162462148</v>
      </c>
      <c r="F126" s="269">
        <f>Quantitative!E30/Quantitative!E93</f>
        <v>11.630756892225765</v>
      </c>
      <c r="G126" s="269">
        <f>Quantitative!F30/Quantitative!F93</f>
        <v>11.745734717602364</v>
      </c>
      <c r="H126" s="269">
        <f>Quantitative!G30/Quantitative!G93</f>
        <v>11.490783887419473</v>
      </c>
      <c r="I126" s="269">
        <f>Quantitative!H30/Quantitative!H93</f>
        <v>11.626757663517015</v>
      </c>
      <c r="J126" s="269">
        <f>Quantitative!I30/Quantitative!I93</f>
        <v>18.298470956891258</v>
      </c>
      <c r="K126" s="269">
        <f>Quantitative!J30/Quantitative!J93</f>
        <v>25.658051588170707</v>
      </c>
      <c r="L126" s="269">
        <f>Quantitative!K30/Quantitative!K93</f>
        <v>38.882010845665285</v>
      </c>
    </row>
    <row r="127" spans="1:12" s="263" customFormat="1">
      <c r="A127" s="261" t="s">
        <v>457</v>
      </c>
      <c r="B127" s="261"/>
      <c r="C127" s="262"/>
      <c r="D127" s="262">
        <f>((Quantitative!C30/Quantitative!C93)/(Quantitative!B30/Quantitative!B93))-1</f>
        <v>4.8139397519196603E-2</v>
      </c>
      <c r="E127" s="262">
        <f>((Quantitative!D30/Quantitative!D93)/(Quantitative!C30/Quantitative!C93))-1</f>
        <v>0.3238470930778623</v>
      </c>
      <c r="F127" s="262">
        <f>((Quantitative!E30/Quantitative!E93)/(Quantitative!D30/Quantitative!D93))-1</f>
        <v>-0.17467186945725433</v>
      </c>
      <c r="G127" s="262">
        <f>((Quantitative!F30/Quantitative!F93)/(Quantitative!E30/Quantitative!E93))-1</f>
        <v>9.8856700765066474E-3</v>
      </c>
      <c r="H127" s="262">
        <f>((Quantitative!G30/Quantitative!G93)/(Quantitative!F30/Quantitative!F93))-1</f>
        <v>-2.1705822267619967E-2</v>
      </c>
      <c r="I127" s="262">
        <f>((Quantitative!H30/Quantitative!H93)/(Quantitative!G30/Quantitative!G93))-1</f>
        <v>1.1833289828591331E-2</v>
      </c>
      <c r="J127" s="262">
        <f>((Quantitative!I30/Quantitative!I93)/(Quantitative!H30/Quantitative!H93))-1</f>
        <v>0.57382406053830959</v>
      </c>
      <c r="K127" s="262">
        <f>((Quantitative!J30/Quantitative!J93)/(Quantitative!I30/Quantitative!I93))-1</f>
        <v>0.40219648125887852</v>
      </c>
      <c r="L127" s="262">
        <f>((Quantitative!K30/Quantitative!K93)/(Quantitative!J30/Quantitative!J93))-1</f>
        <v>0.51539218447870394</v>
      </c>
    </row>
    <row r="128" spans="1:12" s="263" customFormat="1">
      <c r="A128" s="264"/>
      <c r="B128" s="261"/>
      <c r="C128" s="262"/>
      <c r="D128" s="262"/>
      <c r="E128" s="262"/>
      <c r="F128" s="262"/>
      <c r="G128" s="262"/>
      <c r="H128" s="262"/>
      <c r="I128" s="262"/>
      <c r="J128" s="262"/>
      <c r="K128" s="262"/>
      <c r="L128" s="262"/>
    </row>
    <row r="129" spans="1:12" s="263" customFormat="1">
      <c r="A129" s="248" t="s">
        <v>452</v>
      </c>
      <c r="B129" s="141"/>
      <c r="C129" s="265">
        <f>Quantitative!B41</f>
        <v>42277</v>
      </c>
      <c r="D129" s="265">
        <f>Quantitative!C41</f>
        <v>42369</v>
      </c>
      <c r="E129" s="265">
        <f>Quantitative!D41</f>
        <v>42460</v>
      </c>
      <c r="F129" s="265">
        <f>Quantitative!E41</f>
        <v>42551</v>
      </c>
      <c r="G129" s="265">
        <f>Quantitative!F41</f>
        <v>42643</v>
      </c>
      <c r="H129" s="265">
        <f>Quantitative!G41</f>
        <v>42735</v>
      </c>
      <c r="I129" s="265">
        <f>Quantitative!H41</f>
        <v>42825</v>
      </c>
      <c r="J129" s="265">
        <f>Quantitative!I41</f>
        <v>42916</v>
      </c>
      <c r="K129" s="265">
        <f>Quantitative!J41</f>
        <v>43008</v>
      </c>
      <c r="L129" s="265">
        <f>Quantitative!K41</f>
        <v>43100</v>
      </c>
    </row>
    <row r="130" spans="1:12" s="263" customFormat="1">
      <c r="A130" s="261" t="s">
        <v>453</v>
      </c>
      <c r="B130" s="141"/>
      <c r="C130" s="265"/>
      <c r="D130" s="268">
        <f>(Quantitative!C42+Quantitative!C44)</f>
        <v>662.04</v>
      </c>
      <c r="E130" s="268">
        <f>(Quantitative!D42+Quantitative!D44)</f>
        <v>642.71</v>
      </c>
      <c r="F130" s="268">
        <f>(Quantitative!E42+Quantitative!E44)</f>
        <v>687.90000000000009</v>
      </c>
      <c r="G130" s="268">
        <f>(Quantitative!F42+Quantitative!F44)</f>
        <v>660.52</v>
      </c>
      <c r="H130" s="268">
        <f>(Quantitative!G42+Quantitative!G44)</f>
        <v>618.39</v>
      </c>
      <c r="I130" s="268">
        <f>(Quantitative!H42+Quantitative!H44)</f>
        <v>825.98</v>
      </c>
      <c r="J130" s="268">
        <f>(Quantitative!I42+Quantitative!I44)</f>
        <v>753.26</v>
      </c>
      <c r="K130" s="268">
        <f>(Quantitative!J42+Quantitative!J44)</f>
        <v>717.38</v>
      </c>
      <c r="L130" s="268">
        <f>(Quantitative!K42+Quantitative!K44)</f>
        <v>738.13</v>
      </c>
    </row>
    <row r="131" spans="1:12" s="263" customFormat="1">
      <c r="A131" s="261" t="s">
        <v>454</v>
      </c>
      <c r="B131" s="261"/>
      <c r="C131" s="262"/>
      <c r="D131" s="262">
        <f>(Quantitative!C42+Quantitative!C44)/(Quantitative!B42+Quantitative!B44)-1</f>
        <v>1.5835021174737562E-2</v>
      </c>
      <c r="E131" s="262">
        <f>(Quantitative!D42+Quantitative!D44)/(Quantitative!C42+Quantitative!C44)-1</f>
        <v>-2.9197631563047444E-2</v>
      </c>
      <c r="F131" s="262">
        <f>(Quantitative!E42+Quantitative!E44)/(Quantitative!D42+Quantitative!D44)-1</f>
        <v>7.0311649110796459E-2</v>
      </c>
      <c r="G131" s="262">
        <f>(Quantitative!F42+Quantitative!F44)/(Quantitative!E42+Quantitative!E44)-1</f>
        <v>-3.9802296845471874E-2</v>
      </c>
      <c r="H131" s="262">
        <f>(Quantitative!G42+Quantitative!G44)/(Quantitative!F42+Quantitative!F44)-1</f>
        <v>-6.3783079997577707E-2</v>
      </c>
      <c r="I131" s="262">
        <f>(Quantitative!H42+Quantitative!H44)/(Quantitative!G42+Quantitative!G44)-1</f>
        <v>0.33569430294797797</v>
      </c>
      <c r="J131" s="262">
        <f>(Quantitative!I42+Quantitative!I44)/(Quantitative!H42+Quantitative!H44)-1</f>
        <v>-8.8040872660354985E-2</v>
      </c>
      <c r="K131" s="262">
        <f>(Quantitative!J42+Quantitative!J44)/(Quantitative!I42+Quantitative!I44)-1</f>
        <v>-4.7632955420439105E-2</v>
      </c>
      <c r="L131" s="262">
        <f>(Quantitative!K42+Quantitative!K44)/(Quantitative!J42+Quantitative!J44)-1</f>
        <v>2.8924698207365651E-2</v>
      </c>
    </row>
    <row r="132" spans="1:12" s="263" customFormat="1">
      <c r="A132" s="261" t="s">
        <v>415</v>
      </c>
      <c r="B132" s="261"/>
      <c r="C132" s="262"/>
      <c r="D132" s="268">
        <f>Quantitative!C49</f>
        <v>66.489999999999995</v>
      </c>
      <c r="E132" s="268">
        <f>Quantitative!D49</f>
        <v>78.11</v>
      </c>
      <c r="F132" s="268">
        <f>Quantitative!E49</f>
        <v>102.83</v>
      </c>
      <c r="G132" s="268">
        <f>Quantitative!F49</f>
        <v>90.28</v>
      </c>
      <c r="H132" s="268">
        <f>Quantitative!G49</f>
        <v>80.540000000000006</v>
      </c>
      <c r="I132" s="268">
        <f>Quantitative!H49</f>
        <v>113.11</v>
      </c>
      <c r="J132" s="268">
        <f>Quantitative!I49</f>
        <v>157.86000000000001</v>
      </c>
      <c r="K132" s="268">
        <f>Quantitative!J49</f>
        <v>53.32</v>
      </c>
      <c r="L132" s="268">
        <f>Quantitative!K49</f>
        <v>71.17</v>
      </c>
    </row>
    <row r="133" spans="1:12" s="263" customFormat="1">
      <c r="A133" s="261" t="s">
        <v>455</v>
      </c>
      <c r="B133" s="261"/>
      <c r="C133" s="262"/>
      <c r="D133" s="262">
        <f>Quantitative!C49/Quantitative!B49-1</f>
        <v>0.3189843285062488</v>
      </c>
      <c r="E133" s="262">
        <f>Quantitative!D49/Quantitative!C49-1</f>
        <v>0.17476312227402624</v>
      </c>
      <c r="F133" s="262">
        <f>Quantitative!E49/Quantitative!D49-1</f>
        <v>0.31647676353859944</v>
      </c>
      <c r="G133" s="262">
        <f>Quantitative!F49/Quantitative!E49-1</f>
        <v>-0.12204609549742296</v>
      </c>
      <c r="H133" s="262">
        <f>Quantitative!G49/Quantitative!F49-1</f>
        <v>-0.1078865750996898</v>
      </c>
      <c r="I133" s="262">
        <f>Quantitative!H49/Quantitative!G49-1</f>
        <v>0.4043953315122919</v>
      </c>
      <c r="J133" s="262">
        <f>Quantitative!I49/Quantitative!H49-1</f>
        <v>0.39563257006453911</v>
      </c>
      <c r="K133" s="262">
        <f>Quantitative!J49/Quantitative!I49-1</f>
        <v>-0.66223235778537948</v>
      </c>
      <c r="L133" s="262">
        <f>Quantitative!K49/Quantitative!J49-1</f>
        <v>0.33477119279819956</v>
      </c>
    </row>
    <row r="134" spans="1:12" s="263" customFormat="1">
      <c r="A134" s="261"/>
      <c r="B134" s="261"/>
      <c r="C134" s="261"/>
      <c r="D134" s="261"/>
      <c r="E134" s="261"/>
      <c r="F134" s="261"/>
      <c r="G134" s="261"/>
      <c r="H134" s="261"/>
      <c r="I134" s="261"/>
      <c r="J134" s="261"/>
      <c r="K134" s="261"/>
      <c r="L134" s="261"/>
    </row>
    <row r="135" spans="1:12">
      <c r="A135" s="248" t="s">
        <v>430</v>
      </c>
      <c r="B135" s="141"/>
      <c r="C135" s="259">
        <f>Quantitative!B41</f>
        <v>42277</v>
      </c>
      <c r="D135" s="259">
        <f>Quantitative!C41</f>
        <v>42369</v>
      </c>
      <c r="E135" s="259">
        <f>Quantitative!D41</f>
        <v>42460</v>
      </c>
      <c r="F135" s="259">
        <f>Quantitative!E41</f>
        <v>42551</v>
      </c>
      <c r="G135" s="259">
        <f>Quantitative!F41</f>
        <v>42643</v>
      </c>
      <c r="H135" s="259">
        <f>Quantitative!G41</f>
        <v>42735</v>
      </c>
      <c r="I135" s="259">
        <f>Quantitative!H41</f>
        <v>42825</v>
      </c>
      <c r="J135" s="259">
        <f>Quantitative!I41</f>
        <v>42916</v>
      </c>
      <c r="K135" s="259">
        <f>Quantitative!J41</f>
        <v>43008</v>
      </c>
      <c r="L135" s="259">
        <f>Quantitative!K41</f>
        <v>43100</v>
      </c>
    </row>
    <row r="136" spans="1:12">
      <c r="A136" s="178" t="s">
        <v>324</v>
      </c>
      <c r="B136" s="141"/>
      <c r="C136" s="242">
        <f>Quantitative!B43/(Quantitative!B42+Quantitative!B44)</f>
        <v>0.76964033634075979</v>
      </c>
      <c r="D136" s="242">
        <f>Quantitative!C43/(Quantitative!C42+Quantitative!C44)</f>
        <v>0.76126820131714101</v>
      </c>
      <c r="E136" s="242">
        <f>Quantitative!D43/(Quantitative!D42+Quantitative!D44)</f>
        <v>0.72813555102612371</v>
      </c>
      <c r="F136" s="242">
        <f>Quantitative!E43/(Quantitative!E42+Quantitative!E44)</f>
        <v>0.71446431167320823</v>
      </c>
      <c r="G136" s="242">
        <f>Quantitative!F43/(Quantitative!F42+Quantitative!F44)</f>
        <v>0.7314994246956944</v>
      </c>
      <c r="H136" s="242">
        <f>Quantitative!G43/(Quantitative!G42+Quantitative!G44)</f>
        <v>0.73641229644722583</v>
      </c>
      <c r="I136" s="242">
        <f>Quantitative!H43/(Quantitative!H42+Quantitative!H44)</f>
        <v>0.77650790576043005</v>
      </c>
      <c r="J136" s="242">
        <f>Quantitative!I43/(Quantitative!I42+Quantitative!I44)</f>
        <v>0.77840320739187008</v>
      </c>
      <c r="K136" s="242">
        <f>Quantitative!J43/(Quantitative!J42+Quantitative!J44)</f>
        <v>0.80642058602135547</v>
      </c>
      <c r="L136" s="242">
        <f>Quantitative!K43/(Quantitative!K42+Quantitative!K44)</f>
        <v>0.78533591643748379</v>
      </c>
    </row>
    <row r="137" spans="1:12">
      <c r="A137" s="178" t="s">
        <v>25</v>
      </c>
      <c r="B137" s="141"/>
      <c r="C137" s="242">
        <f>Quantitative!B45/(Quantitative!B42+Quantitative!B44)</f>
        <v>3.0703369545203463E-2</v>
      </c>
      <c r="D137" s="242">
        <f>Quantitative!C45/(Quantitative!C42+Quantitative!C44)</f>
        <v>3.0511751555797235E-2</v>
      </c>
      <c r="E137" s="242">
        <f>Quantitative!D45/(Quantitative!D42+Quantitative!D44)</f>
        <v>3.3234273622629179E-2</v>
      </c>
      <c r="F137" s="242">
        <f>Quantitative!E45/(Quantitative!E42+Quantitative!E44)</f>
        <v>3.083296990841692E-2</v>
      </c>
      <c r="G137" s="242">
        <f>Quantitative!F45/(Quantitative!F42+Quantitative!F44)</f>
        <v>3.3337370556531215E-2</v>
      </c>
      <c r="H137" s="242">
        <f>Quantitative!G45/(Quantitative!G42+Quantitative!G44)</f>
        <v>3.5430715244425037E-2</v>
      </c>
      <c r="I137" s="242">
        <f>Quantitative!H45/(Quantitative!H42+Quantitative!H44)</f>
        <v>2.4879537034795032E-2</v>
      </c>
      <c r="J137" s="242">
        <f>Quantitative!I45/(Quantitative!I42+Quantitative!I44)</f>
        <v>3.3388205931550854E-2</v>
      </c>
      <c r="K137" s="242">
        <f>Quantitative!J45/(Quantitative!J42+Quantitative!J44)</f>
        <v>3.4904792439153585E-2</v>
      </c>
      <c r="L137" s="242">
        <f>Quantitative!K45/(Quantitative!K42+Quantitative!K44)</f>
        <v>3.4370639318277267E-2</v>
      </c>
    </row>
    <row r="138" spans="1:12">
      <c r="A138" s="178" t="s">
        <v>24</v>
      </c>
      <c r="B138" s="141"/>
      <c r="C138" s="242">
        <f>Quantitative!B46/(Quantitative!B42+Quantitative!B44)</f>
        <v>6.7559688209660587E-2</v>
      </c>
      <c r="D138" s="242">
        <f>Quantitative!C46/(Quantitative!C42+Quantitative!C44)</f>
        <v>5.7066038305842552E-2</v>
      </c>
      <c r="E138" s="242">
        <f>Quantitative!D46/(Quantitative!D42+Quantitative!D44)</f>
        <v>5.8284451774517278E-2</v>
      </c>
      <c r="F138" s="242">
        <f>Quantitative!E46/(Quantitative!E42+Quantitative!E44)</f>
        <v>5.0486989387992433E-2</v>
      </c>
      <c r="G138" s="242">
        <f>Quantitative!F46/(Quantitative!F42+Quantitative!F44)</f>
        <v>5.0475383031550906E-2</v>
      </c>
      <c r="H138" s="242">
        <f>Quantitative!G46/(Quantitative!G42+Quantitative!G44)</f>
        <v>5.13753456556542E-2</v>
      </c>
      <c r="I138" s="242">
        <f>Quantitative!H46/(Quantitative!H42+Quantitative!H44)</f>
        <v>4.1066369645754136E-2</v>
      </c>
      <c r="J138" s="242">
        <f>Quantitative!I46/(Quantitative!I42+Quantitative!I44)</f>
        <v>4.0676526033507687E-2</v>
      </c>
      <c r="K138" s="242">
        <f>Quantitative!J46/(Quantitative!J42+Quantitative!J44)</f>
        <v>4.835651955727787E-2</v>
      </c>
      <c r="L138" s="242">
        <f>Quantitative!K46/(Quantitative!K42+Quantitative!K44)</f>
        <v>3.809627030468888E-2</v>
      </c>
    </row>
    <row r="139" spans="1:12">
      <c r="A139" s="178" t="s">
        <v>26</v>
      </c>
      <c r="B139" s="141"/>
      <c r="C139" s="242">
        <f>Quantitative!B48/(Quantitative!B42+Quantitative!B44)</f>
        <v>5.4747437549868036E-2</v>
      </c>
      <c r="D139" s="242">
        <f>Quantitative!C48/(Quantitative!C42+Quantitative!C44)</f>
        <v>5.0722010754637184E-2</v>
      </c>
      <c r="E139" s="242">
        <f>Quantitative!D48/(Quantitative!D42+Quantitative!D44)</f>
        <v>5.8813461747911182E-2</v>
      </c>
      <c r="F139" s="242">
        <f>Quantitative!E48/(Quantitative!E42+Quantitative!E44)</f>
        <v>5.4731792411687734E-2</v>
      </c>
      <c r="G139" s="242">
        <f>Quantitative!F48/(Quantitative!F42+Quantitative!F44)</f>
        <v>4.8007630351844001E-2</v>
      </c>
      <c r="H139" s="242">
        <f>Quantitative!G48/(Quantitative!G42+Quantitative!G44)</f>
        <v>4.654020925306037E-2</v>
      </c>
      <c r="I139" s="242">
        <f>Quantitative!H48/(Quantitative!H42+Quantitative!H44)</f>
        <v>2.0605825806920264E-2</v>
      </c>
      <c r="J139" s="242">
        <f>Quantitative!I48/(Quantitative!I42+Quantitative!I44)</f>
        <v>-6.2037012452539626E-2</v>
      </c>
      <c r="K139" s="242">
        <f>Quantitative!J48/(Quantitative!J42+Quantitative!J44)</f>
        <v>3.5992082299478659E-2</v>
      </c>
      <c r="L139" s="242">
        <f>Quantitative!K48/(Quantitative!K42+Quantitative!K44)</f>
        <v>4.5777844011217532E-2</v>
      </c>
    </row>
    <row r="140" spans="1:12">
      <c r="A140" s="178" t="s">
        <v>321</v>
      </c>
      <c r="B140" s="141"/>
      <c r="C140" s="242">
        <f>Quantitative!B49/(Quantitative!B42+Quantitative!B44)</f>
        <v>7.7349168354508058E-2</v>
      </c>
      <c r="D140" s="242">
        <f>Quantitative!C49/(Quantitative!C42+Quantitative!C44)</f>
        <v>0.10043199806658208</v>
      </c>
      <c r="E140" s="242">
        <f>Quantitative!D49/(Quantitative!D42+Quantitative!D44)</f>
        <v>0.12153226182881859</v>
      </c>
      <c r="F140" s="242">
        <f>Quantitative!E49/(Quantitative!E42+Quantitative!E44)</f>
        <v>0.14948393661869455</v>
      </c>
      <c r="G140" s="242">
        <f>Quantitative!F49/(Quantitative!F42+Quantitative!F44)</f>
        <v>0.13668019136437959</v>
      </c>
      <c r="H140" s="242">
        <f>Quantitative!G49/(Quantitative!G42+Quantitative!G44)</f>
        <v>0.13024143339963454</v>
      </c>
      <c r="I140" s="242">
        <f>Quantitative!H49/(Quantitative!H42+Quantitative!H44)</f>
        <v>0.13694036175210053</v>
      </c>
      <c r="J140" s="242">
        <f>Quantitative!I49/(Quantitative!I42+Quantitative!I44)</f>
        <v>0.2095690730956111</v>
      </c>
      <c r="K140" s="242">
        <f>Quantitative!J49/(Quantitative!J42+Quantitative!J44)</f>
        <v>7.432601968273439E-2</v>
      </c>
      <c r="L140" s="242">
        <f>Quantitative!K49/(Quantitative!K42+Quantitative!K44)</f>
        <v>9.6419329928332409E-2</v>
      </c>
    </row>
    <row r="141" spans="1:12">
      <c r="A141" s="174"/>
      <c r="B141" s="141"/>
      <c r="C141" s="141"/>
      <c r="D141" s="141"/>
      <c r="E141" s="141"/>
      <c r="F141" s="141"/>
      <c r="G141" s="141"/>
      <c r="H141" s="141"/>
      <c r="I141" s="141"/>
      <c r="J141" s="141"/>
      <c r="K141" s="141"/>
      <c r="L141" s="141"/>
    </row>
    <row r="142" spans="1:12">
      <c r="A142" s="178"/>
      <c r="B142" s="141"/>
      <c r="C142" s="141"/>
      <c r="D142" s="141"/>
      <c r="E142" s="141"/>
      <c r="F142" s="141"/>
      <c r="G142" s="141"/>
      <c r="H142" s="141"/>
      <c r="I142" s="141"/>
      <c r="J142" s="141"/>
      <c r="K142" s="141"/>
      <c r="L142" s="141"/>
    </row>
    <row r="143" spans="1:12">
      <c r="A143" s="178"/>
    </row>
    <row r="144" spans="1:12">
      <c r="A144" s="178"/>
    </row>
    <row r="145" spans="1:1">
      <c r="A145" s="178"/>
    </row>
  </sheetData>
  <mergeCells count="7">
    <mergeCell ref="A68:K68"/>
    <mergeCell ref="A85:K85"/>
    <mergeCell ref="A3:J3"/>
    <mergeCell ref="A12:K12"/>
    <mergeCell ref="A13:J13"/>
    <mergeCell ref="C38:K38"/>
    <mergeCell ref="A61:K61"/>
  </mergeCells>
  <pageMargins left="0.7" right="0.7" top="0.75" bottom="0.75" header="0.3" footer="0.3"/>
  <pageSetup orientation="portrait" r:id="rId1"/>
  <ignoredErrors>
    <ignoredError sqref="C32:L34 C47:L47" formula="1"/>
    <ignoredError sqref="C73:L73 B39"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Dashboard</vt:lpstr>
      <vt:lpstr>Scorecard</vt:lpstr>
      <vt:lpstr>Analysis</vt:lpstr>
      <vt:lpstr>Valuation</vt:lpstr>
      <vt:lpstr>Dupont</vt:lpstr>
      <vt:lpstr>Piotroski</vt:lpstr>
      <vt:lpstr>Altman</vt:lpstr>
      <vt:lpstr>MICAP</vt:lpstr>
      <vt:lpstr>Polished Data</vt:lpstr>
      <vt:lpstr>Quantitative</vt:lpstr>
      <vt:lpstr>Qualitative</vt:lpstr>
      <vt:lpstr>Phil Fisher</vt:lpstr>
      <vt:lpstr>dividend</vt:lpstr>
      <vt:lpstr>UPDATE</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Bothra</dc:creator>
  <cp:lastModifiedBy>HP</cp:lastModifiedBy>
  <cp:lastPrinted>2015-03-07T00:34:42Z</cp:lastPrinted>
  <dcterms:created xsi:type="dcterms:W3CDTF">2014-03-30T00:53:10Z</dcterms:created>
  <dcterms:modified xsi:type="dcterms:W3CDTF">2018-05-07T15:35:33Z</dcterms:modified>
</cp:coreProperties>
</file>