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New\"/>
    </mc:Choice>
  </mc:AlternateContent>
  <bookViews>
    <workbookView xWindow="0" yWindow="0" windowWidth="15360" windowHeight="7650" tabRatio="877" firstSheet="2" activeTab="15"/>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B22" i="11" l="1"/>
  <c r="B21" i="11"/>
  <c r="D5" i="24"/>
  <c r="D2" i="24"/>
  <c r="H26" i="31"/>
  <c r="G26" i="31"/>
  <c r="F26" i="31"/>
  <c r="E26" i="31"/>
  <c r="D26" i="31"/>
  <c r="C26" i="31"/>
  <c r="H17" i="31"/>
  <c r="G17" i="31"/>
  <c r="D17" i="31"/>
  <c r="C17" i="31"/>
  <c r="H13" i="31"/>
  <c r="G13" i="31"/>
  <c r="F13" i="31"/>
  <c r="F17" i="31" s="1"/>
  <c r="E13" i="31"/>
  <c r="E17" i="31" s="1"/>
  <c r="D13" i="31"/>
  <c r="C13" i="31"/>
  <c r="D5" i="31"/>
  <c r="E5" i="31" s="1"/>
  <c r="F5" i="31" s="1"/>
  <c r="G5" i="31" s="1"/>
  <c r="H5" i="31" s="1"/>
  <c r="K93" i="21"/>
  <c r="J93" i="21"/>
  <c r="I93" i="21"/>
  <c r="H93" i="21"/>
  <c r="G93" i="21"/>
  <c r="F93" i="21"/>
  <c r="E93" i="21"/>
  <c r="D93" i="21"/>
  <c r="C93" i="21"/>
  <c r="B93" i="21"/>
  <c r="B6" i="21"/>
  <c r="E1" i="21"/>
  <c r="M29" i="20" l="1"/>
  <c r="M34" i="20"/>
  <c r="M32" i="20"/>
  <c r="M30" i="20"/>
  <c r="N29" i="20"/>
  <c r="N25" i="20"/>
  <c r="M25" i="20"/>
  <c r="M130" i="20" l="1"/>
  <c r="M131" i="20"/>
  <c r="M132" i="20"/>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M127" i="20" l="1"/>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E186" i="20" l="1"/>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H191" i="20" l="1"/>
  <c r="H193" i="20"/>
  <c r="D189" i="20"/>
  <c r="E189" i="20"/>
  <c r="F189" i="20"/>
  <c r="G189" i="20"/>
  <c r="H189" i="20"/>
  <c r="I189" i="20"/>
  <c r="J189" i="20"/>
  <c r="K189" i="20"/>
  <c r="L189" i="20"/>
  <c r="C189" i="20"/>
  <c r="E185" i="20" l="1"/>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8" i="11"/>
  <c r="B13" i="11" l="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E13" i="19" s="1"/>
  <c r="H25" i="20"/>
  <c r="I25" i="20"/>
  <c r="J25" i="20"/>
  <c r="K25" i="20"/>
  <c r="L25" i="20"/>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H8" i="16"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J114" i="20" s="1"/>
  <c r="I54" i="20"/>
  <c r="I6" i="20" s="1"/>
  <c r="H54" i="20"/>
  <c r="H6" i="20" s="1"/>
  <c r="G54" i="20"/>
  <c r="G6" i="20" s="1"/>
  <c r="F54" i="20"/>
  <c r="F6" i="20" s="1"/>
  <c r="F114"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L132" i="20" s="1"/>
  <c r="K34" i="20"/>
  <c r="J34" i="20"/>
  <c r="I34" i="20"/>
  <c r="H34" i="20"/>
  <c r="H132" i="20" s="1"/>
  <c r="G34" i="20"/>
  <c r="F34" i="20"/>
  <c r="E34" i="20"/>
  <c r="D34" i="20"/>
  <c r="D132" i="20" s="1"/>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K95" i="20" s="1"/>
  <c r="K96" i="20" s="1"/>
  <c r="J26" i="20"/>
  <c r="J95" i="20" s="1"/>
  <c r="J96" i="20" s="1"/>
  <c r="I26" i="20"/>
  <c r="H26" i="20"/>
  <c r="G26" i="20"/>
  <c r="G95" i="20" s="1"/>
  <c r="G96" i="20" s="1"/>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I113" i="20" s="1"/>
  <c r="H15" i="20"/>
  <c r="H27" i="20" s="1"/>
  <c r="H113" i="20" s="1"/>
  <c r="G15" i="20"/>
  <c r="G27" i="20" s="1"/>
  <c r="F15" i="20"/>
  <c r="F27" i="20" s="1"/>
  <c r="E15" i="20"/>
  <c r="E27" i="20" s="1"/>
  <c r="E113"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F131" i="20" l="1"/>
  <c r="E130" i="20"/>
  <c r="I130" i="20"/>
  <c r="C131" i="20"/>
  <c r="G131" i="20"/>
  <c r="K131" i="20"/>
  <c r="E132" i="20"/>
  <c r="I132" i="20"/>
  <c r="C114" i="20"/>
  <c r="G114" i="20"/>
  <c r="K114" i="20"/>
  <c r="J131" i="20"/>
  <c r="F130" i="20"/>
  <c r="J130" i="20"/>
  <c r="D131" i="20"/>
  <c r="H131" i="20"/>
  <c r="L131" i="20"/>
  <c r="L134" i="20" s="1"/>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C5" i="27"/>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K8"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I88" i="20" s="1"/>
  <c r="D86" i="20"/>
  <c r="C11" i="15"/>
  <c r="G4" i="19"/>
  <c r="F31" i="20"/>
  <c r="F88" i="20" s="1"/>
  <c r="J31" i="20"/>
  <c r="J33" i="20" s="1"/>
  <c r="J35" i="20" s="1"/>
  <c r="J133" i="20" s="1"/>
  <c r="D89" i="20"/>
  <c r="H89" i="20"/>
  <c r="L89" i="20"/>
  <c r="D11" i="20"/>
  <c r="L11" i="20"/>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C88" i="20" s="1"/>
  <c r="G31" i="20"/>
  <c r="G33" i="20" s="1"/>
  <c r="G35" i="20" s="1"/>
  <c r="K31" i="20"/>
  <c r="K33" i="20" s="1"/>
  <c r="K35" i="20" s="1"/>
  <c r="K133" i="20" s="1"/>
  <c r="F86" i="20"/>
  <c r="J86" i="20"/>
  <c r="J4" i="19"/>
  <c r="F11" i="20"/>
  <c r="J11" i="20"/>
  <c r="J106" i="20" s="1"/>
  <c r="D31" i="20"/>
  <c r="D33" i="20" s="1"/>
  <c r="H31" i="20"/>
  <c r="H88" i="20" s="1"/>
  <c r="L31" i="20"/>
  <c r="L33" i="20" s="1"/>
  <c r="L35" i="20" s="1"/>
  <c r="L133" i="20" s="1"/>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F134" i="20" l="1"/>
  <c r="G134" i="20"/>
  <c r="K134" i="20"/>
  <c r="J134" i="20"/>
  <c r="M4" i="19"/>
  <c r="D4" i="16"/>
  <c r="K4" i="16" s="1"/>
  <c r="L8" i="18" s="1"/>
  <c r="F5" i="28"/>
  <c r="I5" i="18" s="1"/>
  <c r="I12" i="19"/>
  <c r="G133" i="20"/>
  <c r="H13" i="19"/>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J118" i="20"/>
  <c r="K107" i="20"/>
  <c r="I8" i="18"/>
  <c r="F106" i="20"/>
  <c r="H106" i="20"/>
  <c r="D106" i="20"/>
  <c r="G106" i="20"/>
  <c r="E106" i="20"/>
  <c r="I106" i="20"/>
  <c r="L106" i="20"/>
  <c r="K119" i="20"/>
  <c r="C9" i="14"/>
  <c r="F5" i="29"/>
  <c r="L118" i="20"/>
  <c r="C18" i="14"/>
  <c r="J117" i="20"/>
  <c r="G119" i="20"/>
  <c r="L119" i="20"/>
  <c r="K117" i="20"/>
  <c r="J119" i="20"/>
  <c r="G117" i="20"/>
  <c r="L117" i="20"/>
  <c r="L127" i="20"/>
  <c r="J9" i="11"/>
  <c r="G5" i="28"/>
  <c r="G139" i="20"/>
  <c r="G127" i="20"/>
  <c r="J139" i="20"/>
  <c r="J127" i="20"/>
  <c r="K139" i="20"/>
  <c r="K127" i="20"/>
  <c r="L139" i="20"/>
  <c r="L38" i="20"/>
  <c r="K140" i="20"/>
  <c r="L140" i="20"/>
  <c r="K80" i="20"/>
  <c r="G140" i="20"/>
  <c r="J140" i="20"/>
  <c r="E10" i="11"/>
  <c r="K10" i="11" s="1"/>
  <c r="B15" i="11"/>
  <c r="G70" i="20"/>
  <c r="G87" i="20" s="1"/>
  <c r="G92" i="20"/>
  <c r="E7" i="16"/>
  <c r="J92" i="20"/>
  <c r="L92" i="20"/>
  <c r="K7" i="16"/>
  <c r="F7" i="16"/>
  <c r="K92" i="20"/>
  <c r="C82" i="20"/>
  <c r="G80" i="20"/>
  <c r="G84" i="20"/>
  <c r="C79" i="20"/>
  <c r="G82" i="20"/>
  <c r="C81" i="20"/>
  <c r="E69" i="20"/>
  <c r="C19" i="14"/>
  <c r="F33" i="20"/>
  <c r="F35" i="20" s="1"/>
  <c r="F133"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H9" i="19"/>
  <c r="J8" i="19"/>
  <c r="F8" i="19"/>
  <c r="K66" i="20"/>
  <c r="K67" i="20" s="1"/>
  <c r="L70" i="20"/>
  <c r="N4" i="19"/>
  <c r="I18" i="18"/>
  <c r="O4" i="19"/>
  <c r="B12" i="11"/>
  <c r="J66" i="20"/>
  <c r="J67" i="20" s="1"/>
  <c r="L79" i="20"/>
  <c r="G66" i="20"/>
  <c r="G67" i="20" s="1"/>
  <c r="L5" i="28" l="1"/>
  <c r="L5" i="18" s="1"/>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H127" i="20"/>
  <c r="C5" i="28"/>
  <c r="P5" i="28" s="1"/>
  <c r="D127" i="20"/>
  <c r="C127" i="20"/>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C17" i="14"/>
  <c r="L12" i="19"/>
  <c r="L13" i="19"/>
  <c r="N9" i="19"/>
  <c r="N8" i="19"/>
  <c r="L80" i="20"/>
  <c r="L7" i="18" l="1"/>
  <c r="I7" i="18"/>
  <c r="M5" i="29"/>
  <c r="L10" i="18" s="1"/>
  <c r="I10" i="18"/>
  <c r="G142" i="20"/>
  <c r="K142" i="20"/>
  <c r="J142" i="20"/>
  <c r="I142" i="20"/>
  <c r="F142" i="20"/>
  <c r="H142" i="20"/>
  <c r="E142" i="20"/>
  <c r="B25" i="11"/>
  <c r="K6" i="1" s="1"/>
  <c r="K7" i="1"/>
  <c r="F17" i="11"/>
  <c r="E17" i="11"/>
  <c r="J17" i="11"/>
  <c r="H17" i="11"/>
  <c r="G17" i="11"/>
  <c r="I17" i="11"/>
  <c r="B17" i="11"/>
  <c r="N7" i="1" s="1"/>
  <c r="B19" i="11"/>
  <c r="C15" i="14"/>
  <c r="C23" i="14" s="1"/>
  <c r="J19" i="16"/>
  <c r="L3" i="18" l="1"/>
  <c r="C5" i="18" s="1"/>
  <c r="C4" i="18" s="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F10" i="16"/>
  <c r="F3" i="17" l="1"/>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E21" i="11"/>
  <c r="C14" i="15" l="1"/>
  <c r="P3" i="17"/>
  <c r="O5" i="17"/>
  <c r="O6" i="17" s="1"/>
  <c r="O8" i="17" s="1"/>
  <c r="O9" i="17" s="1"/>
  <c r="K12" i="14"/>
  <c r="K14" i="14" s="1"/>
  <c r="E18" i="11"/>
  <c r="F14" i="11"/>
  <c r="E14" i="11"/>
  <c r="B14" i="11"/>
  <c r="H14" i="11"/>
  <c r="I14" i="11"/>
  <c r="P5" i="17" l="1"/>
  <c r="P6" i="17" s="1"/>
  <c r="P8" i="17" s="1"/>
  <c r="P9" i="17" s="1"/>
  <c r="Q3" i="17"/>
  <c r="E27" i="11"/>
  <c r="E28" i="11" s="1"/>
  <c r="G14" i="11"/>
  <c r="B20" i="11" s="1"/>
  <c r="E29" i="11" l="1"/>
  <c r="F18" i="11"/>
  <c r="Q5" i="17"/>
  <c r="Q6" i="17" s="1"/>
  <c r="Q8" i="17" s="1"/>
  <c r="Q9" i="17" s="1"/>
  <c r="R3" i="17"/>
  <c r="G18" i="11" l="1"/>
  <c r="R5" i="17"/>
  <c r="R6" i="17" s="1"/>
  <c r="R8" i="17" s="1"/>
  <c r="R9" i="17" s="1"/>
  <c r="S3" i="17"/>
  <c r="H18" i="11"/>
  <c r="F27" i="11"/>
  <c r="F28" i="11" s="1"/>
  <c r="F29" i="11" l="1"/>
  <c r="S5" i="17"/>
  <c r="S6" i="17" s="1"/>
  <c r="S8" i="17" s="1"/>
  <c r="S9" i="17" s="1"/>
  <c r="T3" i="17"/>
  <c r="I18" i="11"/>
  <c r="G27" i="11" l="1"/>
  <c r="G28" i="11" s="1"/>
  <c r="T5" i="17"/>
  <c r="T6" i="17" s="1"/>
  <c r="T8" i="17" s="1"/>
  <c r="T9" i="17" s="1"/>
  <c r="U3" i="17"/>
  <c r="E20" i="11"/>
  <c r="E23" i="11" s="1"/>
  <c r="J18" i="11"/>
  <c r="E22" i="11" s="1"/>
  <c r="G29" i="11" l="1"/>
  <c r="U5" i="17"/>
  <c r="U6" i="17" s="1"/>
  <c r="U8" i="17" s="1"/>
  <c r="U9" i="17" s="1"/>
  <c r="V3" i="17"/>
  <c r="H27" i="11" l="1"/>
  <c r="E24" i="11"/>
  <c r="V5" i="17"/>
  <c r="V6" i="17" s="1"/>
  <c r="V8" i="17" s="1"/>
  <c r="V9" i="17" s="1"/>
  <c r="W3" i="17"/>
  <c r="B26" i="11" l="1"/>
  <c r="K8" i="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3.xml><?xml version="1.0" encoding="utf-8"?>
<comments xmlns="http://schemas.openxmlformats.org/spreadsheetml/2006/main">
  <authors>
    <author>Kumar Saurabh</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sharedStrings.xml><?xml version="1.0" encoding="utf-8"?>
<sst xmlns="http://schemas.openxmlformats.org/spreadsheetml/2006/main" count="743" uniqueCount="533">
  <si>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</si>
  <si>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</si>
  <si>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</si>
  <si>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</si>
  <si>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</si>
  <si>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</si>
  <si>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</si>
  <si>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</si>
  <si>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</si>
  <si>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</si>
  <si>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</si>
  <si>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</si>
  <si>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</si>
  <si>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</si>
  <si>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</si>
  <si>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</si>
  <si>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</si>
  <si>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</si>
  <si>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</si>
  <si>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</si>
  <si>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</si>
  <si>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</si>
  <si>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</si>
  <si>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</si>
  <si>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</si>
  <si>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</si>
  <si>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</si>
  <si>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</si>
  <si>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</si>
  <si>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</si>
  <si>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</si>
  <si>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</si>
  <si>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</si>
  <si>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</si>
  <si>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</si>
  <si>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</si>
  <si>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</si>
  <si>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</si>
  <si>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</si>
  <si>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</si>
  <si>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</si>
  <si>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</si>
  <si>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</si>
  <si>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</si>
  <si>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</si>
  <si>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</si>
  <si>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</si>
  <si>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</si>
  <si>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</si>
  <si>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</si>
  <si>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</si>
  <si>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</si>
  <si>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</si>
  <si>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</si>
  <si>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</si>
  <si>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</si>
  <si>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</si>
  <si>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</si>
  <si>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</si>
  <si>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</si>
  <si>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</si>
  <si>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</si>
  <si>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</si>
  <si>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</si>
  <si>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</si>
  <si>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</si>
  <si>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</si>
  <si>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</si>
  <si>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</si>
  <si>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</si>
  <si>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</si>
  <si>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</si>
  <si>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</si>
  <si>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</si>
  <si>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</si>
  <si>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</si>
  <si>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</si>
  <si>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</si>
  <si>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</si>
  <si>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</si>
  <si>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</si>
  <si>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</si>
  <si>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</si>
  <si>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</si>
  <si>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</si>
  <si>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</si>
  <si>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</si>
  <si>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</si>
  <si>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</si>
  <si>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</si>
  <si>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</si>
  <si>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</si>
  <si>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</si>
  <si>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</si>
  <si>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</si>
  <si>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</si>
  <si>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</si>
  <si>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</si>
  <si>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</si>
  <si>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</si>
  <si>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</si>
  <si>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</si>
  <si>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</si>
  <si>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</si>
  <si>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</si>
  <si>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</si>
  <si>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</si>
  <si>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</si>
  <si>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</si>
  <si>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</si>
  <si>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</si>
  <si>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</si>
  <si>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</si>
  <si>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</si>
  <si>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</si>
  <si>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</si>
  <si>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</si>
  <si>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</si>
  <si>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</si>
  <si>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</si>
  <si>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</si>
  <si>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</si>
  <si>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</si>
  <si>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</si>
  <si>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</si>
  <si>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</si>
  <si>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</si>
  <si>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</si>
  <si>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</si>
  <si>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</si>
  <si>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</si>
  <si>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</si>
  <si>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</si>
  <si>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</si>
  <si>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</si>
  <si>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</si>
  <si>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</si>
  <si>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</si>
  <si>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</si>
  <si>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</si>
  <si>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</si>
  <si>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</si>
  <si>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</si>
  <si>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</si>
  <si>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</si>
  <si>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</si>
  <si>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</si>
  <si>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</si>
  <si>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</si>
  <si>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</si>
  <si>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</si>
  <si>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</si>
  <si>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</si>
  <si>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</si>
  <si>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</si>
  <si>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</si>
  <si>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</si>
  <si>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</si>
  <si>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</si>
  <si>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</si>
  <si>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</si>
  <si>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</si>
  <si>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</si>
  <si>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</si>
  <si>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</si>
  <si>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</si>
  <si>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</si>
  <si>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</si>
  <si>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</si>
  <si>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</si>
  <si>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</si>
  <si>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</si>
  <si>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</si>
  <si>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</si>
  <si>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</si>
  <si>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</si>
  <si>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</si>
  <si>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</si>
  <si>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</si>
  <si>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</si>
  <si>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</si>
  <si>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</si>
  <si>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</si>
  <si>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</si>
  <si>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</si>
  <si>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</si>
  <si>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</si>
  <si>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</si>
  <si>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</si>
  <si>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</si>
  <si>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</si>
  <si>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</si>
  <si>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</si>
  <si>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</si>
  <si>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</si>
  <si>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</si>
  <si>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</si>
  <si>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</si>
  <si>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</si>
  <si>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</si>
  <si>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</si>
  <si>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</si>
  <si>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</si>
  <si>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</si>
  <si>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</si>
  <si>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</si>
  <si>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</si>
  <si>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</si>
  <si>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</si>
  <si>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</si>
  <si>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</si>
  <si>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</si>
  <si>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</si>
  <si>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</si>
  <si>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</si>
  <si>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</si>
  <si>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</si>
  <si>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</si>
  <si>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</si>
  <si>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</si>
  <si>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</si>
  <si>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</si>
  <si>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</si>
  <si>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</si>
  <si>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</si>
  <si>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</si>
  <si>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</si>
  <si>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</si>
  <si>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</si>
  <si>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</si>
  <si>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</si>
  <si>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</si>
  <si>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</si>
  <si>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</si>
  <si>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</si>
  <si>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</si>
  <si>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</si>
  <si>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</si>
  <si>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</si>
  <si>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</si>
  <si>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</si>
  <si>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</si>
  <si>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</si>
  <si>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</si>
  <si>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</si>
  <si>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</si>
  <si>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</si>
  <si>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</si>
  <si>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</si>
  <si>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</si>
  <si>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</si>
  <si>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</si>
  <si>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</si>
  <si>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</si>
  <si>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</si>
  <si>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</si>
  <si>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</si>
  <si>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</si>
  <si>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</si>
  <si>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</si>
  <si>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</si>
  <si>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</si>
  <si>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</si>
  <si>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</si>
  <si>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</si>
  <si>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</si>
  <si>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</si>
  <si>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</si>
  <si>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</si>
  <si>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</si>
  <si>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</si>
  <si>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</si>
  <si>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</si>
  <si>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</si>
  <si>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</si>
  <si>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</si>
  <si>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</si>
  <si>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</si>
  <si>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</si>
  <si>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</si>
  <si>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</si>
  <si>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</si>
  <si>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</si>
  <si>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</si>
  <si>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</si>
  <si>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</si>
  <si>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</si>
  <si>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</si>
  <si>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</si>
  <si>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</si>
  <si>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</si>
  <si>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</si>
  <si>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</si>
  <si>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</si>
  <si>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</si>
  <si>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</si>
  <si>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</si>
  <si>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</si>
  <si>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</si>
  <si>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</si>
  <si>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</si>
  <si>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</si>
  <si>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EPS/BV  after 5 years</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</si>
  <si>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</si>
  <si>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</si>
  <si>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</si>
  <si>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</si>
  <si>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</si>
  <si>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</si>
  <si>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</si>
  <si>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</si>
  <si>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</si>
  <si>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</si>
  <si>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</si>
  <si>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</si>
  <si>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</si>
  <si>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</si>
  <si>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</si>
  <si>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</si>
  <si>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</si>
  <si>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</si>
  <si>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</si>
  <si>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</si>
  <si>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</si>
  <si>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</si>
  <si>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</si>
  <si>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</si>
  <si>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</si>
  <si>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</si>
  <si>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</si>
  <si>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</si>
  <si>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</si>
  <si>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</si>
  <si>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</si>
  <si>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</si>
  <si>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</si>
  <si>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</si>
  <si>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</si>
  <si>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</si>
  <si>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</si>
  <si>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</si>
  <si>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</si>
  <si>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</si>
  <si>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</si>
  <si>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</si>
  <si>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</si>
  <si>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</si>
  <si>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</si>
  <si>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</si>
  <si>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</si>
  <si>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</si>
  <si>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</si>
  <si>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</si>
  <si>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</si>
  <si>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</si>
  <si>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</si>
  <si>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</si>
  <si>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</si>
  <si>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</si>
  <si>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</si>
  <si>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</si>
  <si>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</si>
  <si>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</si>
  <si>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</si>
  <si>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</si>
  <si>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</si>
  <si>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</si>
  <si>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</si>
  <si>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</si>
  <si>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</si>
  <si>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</si>
  <si>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</si>
  <si>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Distance Left (5 Yrs.)</t>
  </si>
  <si>
    <t>Distance Left (1 Yr)</t>
  </si>
  <si>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</si>
  <si>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</si>
  <si>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</si>
  <si>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</si>
  <si>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</si>
  <si>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</si>
  <si>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</si>
  <si>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</si>
  <si>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</si>
  <si>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</si>
  <si>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</si>
  <si>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</si>
  <si>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</si>
  <si>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</si>
  <si>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</si>
  <si>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</si>
  <si>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</si>
  <si>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</si>
  <si>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</si>
  <si>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</si>
  <si>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</si>
  <si>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</si>
  <si>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</si>
  <si>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</si>
  <si>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</si>
  <si>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</si>
  <si>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</si>
  <si>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</si>
  <si>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</si>
  <si>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</si>
  <si>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</si>
  <si>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</si>
  <si>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</si>
  <si>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</si>
  <si>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</si>
  <si>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</si>
  <si>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</si>
  <si>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</si>
  <si>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</si>
  <si>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</si>
  <si>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</si>
  <si>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</si>
  <si>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</si>
  <si>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</si>
  <si>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</si>
  <si>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</si>
  <si>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</si>
  <si>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</si>
  <si>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</si>
  <si>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</si>
  <si>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</si>
  <si>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</si>
  <si>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</si>
  <si>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</si>
  <si>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</si>
  <si>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</si>
  <si>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</si>
  <si>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</si>
  <si>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</si>
  <si>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</si>
  <si>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</si>
  <si>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</si>
  <si>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</si>
  <si>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</si>
  <si>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</si>
  <si>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</si>
  <si>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</si>
  <si>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</si>
  <si>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</si>
  <si>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</si>
  <si>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</si>
  <si>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</si>
  <si>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</si>
  <si>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</si>
  <si>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</si>
  <si>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</si>
  <si>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</si>
  <si>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</si>
  <si>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</si>
  <si>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</si>
  <si>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</si>
  <si>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</si>
  <si>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</si>
  <si>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</si>
  <si>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</si>
  <si>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</si>
  <si>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</si>
  <si>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</si>
  <si>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</si>
  <si>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</si>
  <si>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</si>
  <si>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</si>
  <si>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</si>
  <si>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</si>
  <si>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</si>
  <si>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</si>
  <si>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</si>
  <si>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</si>
  <si>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</si>
  <si>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</si>
  <si>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</si>
  <si>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</si>
  <si>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</si>
  <si>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</si>
  <si>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</si>
  <si>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</si>
  <si>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</si>
  <si>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</si>
  <si>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</si>
  <si>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</si>
  <si>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PSP PROJECTS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</si>
  <si>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</si>
  <si>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</si>
  <si>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</si>
  <si>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</si>
  <si>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</si>
  <si>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</si>
  <si>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</si>
  <si>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</si>
  <si>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</si>
  <si>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</si>
  <si>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</si>
  <si>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</si>
  <si>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</si>
  <si>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</si>
  <si>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</si>
  <si>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</si>
  <si>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</si>
  <si>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</si>
  <si>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</si>
  <si>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</si>
  <si>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</si>
  <si>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</si>
  <si>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</si>
  <si>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</si>
  <si>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</si>
  <si>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</si>
  <si>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</si>
  <si>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</si>
  <si>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</si>
  <si>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</si>
  <si>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</si>
  <si>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</si>
  <si>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</si>
  <si>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</si>
  <si>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 unpledged</t>
  </si>
  <si>
    <t>Promoter pledged</t>
  </si>
  <si>
    <t>FII</t>
  </si>
  <si>
    <t>Mutual funds</t>
  </si>
  <si>
    <t>Bodies corporate</t>
  </si>
  <si>
    <t>Individuals &lt;= 2 lakh</t>
  </si>
  <si>
    <t>Individuals &gt; 2 lakh</t>
  </si>
  <si>
    <t>Others</t>
  </si>
  <si>
    <t>Promoters</t>
  </si>
  <si>
    <t>PRAHALADBHAI SHIVRAMBHAI PATEL</t>
  </si>
  <si>
    <t>SHILPABEN P PATEL</t>
  </si>
  <si>
    <t>POOJA P PATEL</t>
  </si>
  <si>
    <t>SAGAR PRAHLADBHAI PATEL</t>
  </si>
  <si>
    <t>Data manually filled in Quantitative tab. Enough history not available
Valuation formulas manually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</si>
</sst>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0">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12">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9" fontId="1" fillId="0" borderId="34"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9" fontId="1" fillId="0" borderId="33" xfId="6" applyNumberFormat="1" applyFont="1" applyBorder="1" applyAlignment="1" applyProtection="1">
      <protection locked="0"/>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170" fontId="20" fillId="6" borderId="0" xfId="10" applyFont="1" applyFill="1" applyBorder="1"/>
    <xf numFmtId="170" fontId="0" fillId="6" borderId="0" xfId="10" applyFont="1" applyFill="1" applyBorder="1"/>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55" fillId="29" borderId="0" xfId="0" applyFont="1" applyFill="1" applyBorder="1" applyAlignment="1" applyProtection="1">
      <alignment horizontal="center"/>
      <protection locked="0"/>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67" fillId="0" borderId="0" xfId="0" applyFont="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55" fillId="29" borderId="0" xfId="0" applyFont="1" applyFill="1" applyBorder="1" applyAlignment="1" applyProtection="1">
      <alignment horizontal="left" vertical="top" wrapText="1"/>
      <protection locked="0"/>
    </xf>
    <xf numFmtId="0" fontId="68" fillId="0" borderId="0" xfId="0" applyFont="1" applyAlignment="1">
      <alignment horizontal="left" vertical="top" wrapText="1"/>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Valuation_Table!$B$26</c:f>
              <c:numCache>
                <c:formatCode>0</c:formatCode>
                <c:ptCount val="1"/>
                <c:pt idx="0">
                  <c:v>41.958978516959007</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Valuation_Table!$B$25</c:f>
              <c:numCache>
                <c:formatCode>0</c:formatCode>
                <c:ptCount val="1"/>
                <c:pt idx="0">
                  <c:v>418.15774630839985</c:v>
                </c:pt>
              </c:numCache>
            </c:numRef>
          </c:val>
        </c:ser>
        <c:dLbls>
          <c:dLblPos val="outEnd"/>
          <c:showLegendKey val="0"/>
          <c:showVal val="1"/>
          <c:showCatName val="0"/>
          <c:showSerName val="0"/>
          <c:showPercent val="0"/>
          <c:showBubbleSize val="0"/>
        </c:dLbls>
        <c:gapWidth val="150"/>
        <c:axId val="-96255536"/>
        <c:axId val="-199486272"/>
      </c:barChart>
      <c:catAx>
        <c:axId val="-96255536"/>
        <c:scaling>
          <c:orientation val="minMax"/>
        </c:scaling>
        <c:delete val="0"/>
        <c:axPos val="l"/>
        <c:majorGridlines/>
        <c:numFmt formatCode="General" sourceLinked="0"/>
        <c:majorTickMark val="out"/>
        <c:minorTickMark val="none"/>
        <c:tickLblPos val="nextTo"/>
        <c:crossAx val="-199486272"/>
        <c:crosses val="autoZero"/>
        <c:auto val="1"/>
        <c:lblAlgn val="ctr"/>
        <c:lblOffset val="100"/>
        <c:noMultiLvlLbl val="0"/>
      </c:catAx>
      <c:valAx>
        <c:axId val="-199486272"/>
        <c:scaling>
          <c:orientation val="minMax"/>
        </c:scaling>
        <c:delete val="1"/>
        <c:axPos val="b"/>
        <c:numFmt formatCode="0" sourceLinked="1"/>
        <c:majorTickMark val="out"/>
        <c:minorTickMark val="none"/>
        <c:tickLblPos val="nextTo"/>
        <c:crossAx val="-96255536"/>
        <c:crosses val="autoZero"/>
        <c:crossBetween val="between"/>
      </c:valAx>
      <c:spPr>
        <a:noFill/>
        <a:ln w="25400">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Output.v0'!$D$192:$L$192</c:f>
              <c:numCache>
                <c:formatCode>0</c:formatCode>
                <c:ptCount val="9"/>
                <c:pt idx="0">
                  <c:v>5.95</c:v>
                </c:pt>
                <c:pt idx="1">
                  <c:v>7.5</c:v>
                </c:pt>
                <c:pt idx="2">
                  <c:v>6.28</c:v>
                </c:pt>
                <c:pt idx="3">
                  <c:v>7.32</c:v>
                </c:pt>
                <c:pt idx="4">
                  <c:v>20.52</c:v>
                </c:pt>
                <c:pt idx="5">
                  <c:v>13.56</c:v>
                </c:pt>
                <c:pt idx="6">
                  <c:v>12.66</c:v>
                </c:pt>
                <c:pt idx="7">
                  <c:v>15.18</c:v>
                </c:pt>
                <c:pt idx="8">
                  <c:v>22.96</c:v>
                </c:pt>
              </c:numCache>
            </c:numRef>
          </c:val>
        </c:ser>
        <c:dLbls>
          <c:dLblPos val="inEnd"/>
          <c:showLegendKey val="0"/>
          <c:showVal val="1"/>
          <c:showCatName val="0"/>
          <c:showSerName val="0"/>
          <c:showPercent val="0"/>
          <c:showBubbleSize val="0"/>
        </c:dLbls>
        <c:gapWidth val="41"/>
        <c:axId val="-160700240"/>
        <c:axId val="-160699696"/>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Output.v0'!$D$193:$L$193</c:f>
              <c:numCache>
                <c:formatCode>0%</c:formatCode>
                <c:ptCount val="9"/>
                <c:pt idx="3">
                  <c:v>0.2302521008403362</c:v>
                </c:pt>
                <c:pt idx="4">
                  <c:v>2.4487394957983191</c:v>
                </c:pt>
                <c:pt idx="5">
                  <c:v>0.80800000000000005</c:v>
                </c:pt>
                <c:pt idx="6">
                  <c:v>1.015923566878981</c:v>
                </c:pt>
                <c:pt idx="7">
                  <c:v>1.0737704918032787</c:v>
                </c:pt>
                <c:pt idx="8">
                  <c:v>0.11890838206627685</c:v>
                </c:pt>
              </c:numCache>
            </c:numRef>
          </c:val>
          <c:smooth val="0"/>
        </c:ser>
        <c:dLbls>
          <c:showLegendKey val="0"/>
          <c:showVal val="0"/>
          <c:showCatName val="0"/>
          <c:showSerName val="0"/>
          <c:showPercent val="0"/>
          <c:showBubbleSize val="0"/>
        </c:dLbls>
        <c:marker val="1"/>
        <c:smooth val="0"/>
        <c:axId val="-160698608"/>
        <c:axId val="-160705680"/>
      </c:lineChart>
      <c:dateAx>
        <c:axId val="-16070024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60699696"/>
        <c:crosses val="autoZero"/>
        <c:auto val="1"/>
        <c:lblOffset val="100"/>
        <c:baseTimeUnit val="months"/>
        <c:majorUnit val="3"/>
        <c:majorTimeUnit val="months"/>
      </c:dateAx>
      <c:valAx>
        <c:axId val="-160699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00240"/>
        <c:crosses val="autoZero"/>
        <c:crossBetween val="between"/>
      </c:valAx>
      <c:valAx>
        <c:axId val="-160705680"/>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698608"/>
        <c:crosses val="max"/>
        <c:crossBetween val="between"/>
        <c:majorUnit val="0.2"/>
      </c:valAx>
      <c:dateAx>
        <c:axId val="-160698608"/>
        <c:scaling>
          <c:orientation val="minMax"/>
        </c:scaling>
        <c:delete val="1"/>
        <c:axPos val="b"/>
        <c:numFmt formatCode="[$-409]mmm\-yy;@" sourceLinked="1"/>
        <c:majorTickMark val="out"/>
        <c:minorTickMark val="none"/>
        <c:tickLblPos val="nextTo"/>
        <c:crossAx val="-160705680"/>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Output.v0'!$B$130:$M$130</c:f>
              <c:numCache>
                <c:formatCode>0%</c:formatCode>
                <c:ptCount val="12"/>
                <c:pt idx="1">
                  <c:v>0.16200798630918437</c:v>
                </c:pt>
                <c:pt idx="2">
                  <c:v>0.16200798630918437</c:v>
                </c:pt>
                <c:pt idx="3">
                  <c:v>0.16200798630918437</c:v>
                </c:pt>
                <c:pt idx="4">
                  <c:v>0.16200798630918437</c:v>
                </c:pt>
                <c:pt idx="5">
                  <c:v>0.16200798630918437</c:v>
                </c:pt>
                <c:pt idx="6">
                  <c:v>0.1451926819774231</c:v>
                </c:pt>
                <c:pt idx="7">
                  <c:v>0.17329545454545442</c:v>
                </c:pt>
                <c:pt idx="8">
                  <c:v>0.17876901798063646</c:v>
                </c:pt>
                <c:pt idx="9">
                  <c:v>0.1425398748233393</c:v>
                </c:pt>
                <c:pt idx="10">
                  <c:v>9.5762175838077085E-2</c:v>
                </c:pt>
                <c:pt idx="11">
                  <c:v>9.3345579026467382E-2</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Output.v0'!$B$131:$M$131</c:f>
              <c:numCache>
                <c:formatCode>0%</c:formatCode>
                <c:ptCount val="12"/>
                <c:pt idx="1">
                  <c:v>0.1300627495721621</c:v>
                </c:pt>
                <c:pt idx="2">
                  <c:v>0.1300627495721621</c:v>
                </c:pt>
                <c:pt idx="3">
                  <c:v>0.1300627495721621</c:v>
                </c:pt>
                <c:pt idx="4">
                  <c:v>0.1300627495721621</c:v>
                </c:pt>
                <c:pt idx="5">
                  <c:v>0.1300627495721621</c:v>
                </c:pt>
                <c:pt idx="6">
                  <c:v>0.14713896457765663</c:v>
                </c:pt>
                <c:pt idx="7">
                  <c:v>9.7064393939393867E-2</c:v>
                </c:pt>
                <c:pt idx="8">
                  <c:v>8.6099585062240788E-2</c:v>
                </c:pt>
                <c:pt idx="9">
                  <c:v>6.1982636785786353E-2</c:v>
                </c:pt>
                <c:pt idx="10">
                  <c:v>9.5256166982922122E-2</c:v>
                </c:pt>
                <c:pt idx="11">
                  <c:v>7.2639225181598058E-2</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Output.v0'!$B$132:$M$132</c:f>
              <c:numCache>
                <c:formatCode>0%</c:formatCode>
                <c:ptCount val="12"/>
                <c:pt idx="1">
                  <c:v>0.23160296634341143</c:v>
                </c:pt>
                <c:pt idx="2">
                  <c:v>0.23160296634341143</c:v>
                </c:pt>
                <c:pt idx="3">
                  <c:v>0.23160296634341143</c:v>
                </c:pt>
                <c:pt idx="4">
                  <c:v>0.23160296634341143</c:v>
                </c:pt>
                <c:pt idx="5">
                  <c:v>0.23160296634341143</c:v>
                </c:pt>
                <c:pt idx="6">
                  <c:v>0.23121837290774619</c:v>
                </c:pt>
                <c:pt idx="7">
                  <c:v>0.25284090909090889</c:v>
                </c:pt>
                <c:pt idx="8">
                  <c:v>0.24896265560166009</c:v>
                </c:pt>
                <c:pt idx="9">
                  <c:v>0.2881082172420753</c:v>
                </c:pt>
                <c:pt idx="10">
                  <c:v>0.28627450980392133</c:v>
                </c:pt>
                <c:pt idx="11">
                  <c:v>0.29640143608583114</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Output.v0'!$B$133:$M$133</c:f>
              <c:numCache>
                <c:formatCode>0%</c:formatCode>
                <c:ptCount val="12"/>
                <c:pt idx="1">
                  <c:v>0.47632629777524205</c:v>
                </c:pt>
                <c:pt idx="2">
                  <c:v>0.47632629777524205</c:v>
                </c:pt>
                <c:pt idx="3">
                  <c:v>0.47632629777524205</c:v>
                </c:pt>
                <c:pt idx="4">
                  <c:v>0.47632629777524205</c:v>
                </c:pt>
                <c:pt idx="5">
                  <c:v>0.47632629777524205</c:v>
                </c:pt>
                <c:pt idx="6">
                  <c:v>0.47644998053717397</c:v>
                </c:pt>
                <c:pt idx="7">
                  <c:v>0.47679924242424276</c:v>
                </c:pt>
                <c:pt idx="8">
                  <c:v>0.48616874135546273</c:v>
                </c:pt>
                <c:pt idx="9">
                  <c:v>0.50736927114879893</c:v>
                </c:pt>
                <c:pt idx="10">
                  <c:v>0.52270714737507962</c:v>
                </c:pt>
                <c:pt idx="11">
                  <c:v>0.53736327961927022</c:v>
                </c:pt>
              </c:numCache>
            </c:numRef>
          </c:val>
        </c:ser>
        <c:dLbls>
          <c:dLblPos val="ctr"/>
          <c:showLegendKey val="0"/>
          <c:showVal val="1"/>
          <c:showCatName val="0"/>
          <c:showSerName val="0"/>
          <c:showPercent val="0"/>
          <c:showBubbleSize val="0"/>
        </c:dLbls>
        <c:gapWidth val="150"/>
        <c:overlap val="100"/>
        <c:axId val="-160707856"/>
        <c:axId val="-160707312"/>
      </c:barChart>
      <c:catAx>
        <c:axId val="-160707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07312"/>
        <c:crosses val="autoZero"/>
        <c:auto val="1"/>
        <c:lblAlgn val="ctr"/>
        <c:lblOffset val="100"/>
        <c:noMultiLvlLbl val="1"/>
      </c:catAx>
      <c:valAx>
        <c:axId val="-16070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07856"/>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Output.v0'!$B$126:$M$126</c:f>
              <c:numCache>
                <c:formatCode>0%</c:formatCode>
                <c:ptCount val="12"/>
                <c:pt idx="1">
                  <c:v>9.8124825076966057E-2</c:v>
                </c:pt>
                <c:pt idx="2">
                  <c:v>9.8124825076966057E-2</c:v>
                </c:pt>
                <c:pt idx="3">
                  <c:v>9.8124825076966057E-2</c:v>
                </c:pt>
                <c:pt idx="4">
                  <c:v>9.8124825076966057E-2</c:v>
                </c:pt>
                <c:pt idx="5">
                  <c:v>9.8124825076966057E-2</c:v>
                </c:pt>
                <c:pt idx="6">
                  <c:v>9.986006374873671E-2</c:v>
                </c:pt>
                <c:pt idx="7">
                  <c:v>0.10036591740721387</c:v>
                </c:pt>
                <c:pt idx="8">
                  <c:v>0.10309792877259265</c:v>
                </c:pt>
                <c:pt idx="9">
                  <c:v>0.10814882745971446</c:v>
                </c:pt>
                <c:pt idx="10">
                  <c:v>0.19725022457331087</c:v>
                </c:pt>
                <c:pt idx="11">
                  <c:v>0.16410670978173</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Mar-08</c:v>
                </c:pt>
                <c:pt idx="2">
                  <c:v>Mar-09</c:v>
                </c:pt>
                <c:pt idx="3">
                  <c:v>Mar-10</c:v>
                </c:pt>
                <c:pt idx="4">
                  <c:v>Mar-11</c:v>
                </c:pt>
                <c:pt idx="5">
                  <c:v>Mar-12</c:v>
                </c:pt>
                <c:pt idx="6">
                  <c:v>Mar-13</c:v>
                </c:pt>
                <c:pt idx="7">
                  <c:v>Mar-14</c:v>
                </c:pt>
                <c:pt idx="8">
                  <c:v>Mar-15</c:v>
                </c:pt>
                <c:pt idx="9">
                  <c:v>Mar-16</c:v>
                </c:pt>
                <c:pt idx="10">
                  <c:v>Mar-17</c:v>
                </c:pt>
                <c:pt idx="11">
                  <c:v>TTM</c:v>
                </c:pt>
              </c:strCache>
            </c:strRef>
          </c:cat>
          <c:val>
            <c:numRef>
              <c:f>'Screener Output.v0'!$B$127:$M$127</c:f>
              <c:numCache>
                <c:formatCode>0%</c:formatCode>
                <c:ptCount val="12"/>
                <c:pt idx="1">
                  <c:v>4.6193848196503573E-2</c:v>
                </c:pt>
                <c:pt idx="2">
                  <c:v>4.6193848196503573E-2</c:v>
                </c:pt>
                <c:pt idx="3">
                  <c:v>4.6193848196503573E-2</c:v>
                </c:pt>
                <c:pt idx="4">
                  <c:v>4.6193848196503573E-2</c:v>
                </c:pt>
                <c:pt idx="5">
                  <c:v>4.6193848196503573E-2</c:v>
                </c:pt>
                <c:pt idx="6">
                  <c:v>4.6900145605027206E-2</c:v>
                </c:pt>
                <c:pt idx="7">
                  <c:v>4.6878636934965849E-2</c:v>
                </c:pt>
                <c:pt idx="8">
                  <c:v>4.8986133370496704E-2</c:v>
                </c:pt>
                <c:pt idx="9">
                  <c:v>5.3667912439935989E-2</c:v>
                </c:pt>
                <c:pt idx="10">
                  <c:v>9.9816407382355976E-2</c:v>
                </c:pt>
                <c:pt idx="11">
                  <c:v>8.6019780807270782E-2</c:v>
                </c:pt>
              </c:numCache>
            </c:numRef>
          </c:val>
          <c:smooth val="0"/>
        </c:ser>
        <c:dLbls>
          <c:dLblPos val="ctr"/>
          <c:showLegendKey val="0"/>
          <c:showVal val="1"/>
          <c:showCatName val="0"/>
          <c:showSerName val="0"/>
          <c:showPercent val="0"/>
          <c:showBubbleSize val="0"/>
        </c:dLbls>
        <c:marker val="1"/>
        <c:smooth val="0"/>
        <c:axId val="-160705136"/>
        <c:axId val="-160704592"/>
      </c:lineChart>
      <c:catAx>
        <c:axId val="-16070513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160704592"/>
        <c:crosses val="autoZero"/>
        <c:auto val="1"/>
        <c:lblAlgn val="ctr"/>
        <c:lblOffset val="100"/>
        <c:noMultiLvlLbl val="1"/>
      </c:catAx>
      <c:valAx>
        <c:axId val="-160704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0705136"/>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2.5849841521394614</c:v>
                </c:pt>
                <c:pt idx="1">
                  <c:v>1.5763557642914801</c:v>
                </c:pt>
                <c:pt idx="2">
                  <c:v>1.5399721000107307</c:v>
                </c:pt>
                <c:pt idx="3">
                  <c:v>2.046905053331002</c:v>
                </c:pt>
                <c:pt idx="4">
                  <c:v>1.3131582286511863</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3.795488721804511</c:v>
                </c:pt>
                <c:pt idx="1">
                  <c:v>3.9169301523426276</c:v>
                </c:pt>
                <c:pt idx="2">
                  <c:v>3.9722932651321403</c:v>
                </c:pt>
                <c:pt idx="3">
                  <c:v>3.4498567335243551</c:v>
                </c:pt>
                <c:pt idx="4">
                  <c:v>2.9291953168556035</c:v>
                </c:pt>
              </c:numCache>
            </c:numRef>
          </c:val>
        </c:ser>
        <c:dLbls>
          <c:showLegendKey val="0"/>
          <c:showVal val="0"/>
          <c:showCatName val="0"/>
          <c:showSerName val="0"/>
          <c:showPercent val="0"/>
          <c:showBubbleSize val="0"/>
        </c:dLbls>
        <c:gapWidth val="247"/>
        <c:axId val="-160706768"/>
        <c:axId val="-92519552"/>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4.7578325429526558E-2</c:v>
                </c:pt>
                <c:pt idx="1">
                  <c:v>4.7854393384973694E-2</c:v>
                </c:pt>
                <c:pt idx="2">
                  <c:v>5.0122990267726514E-2</c:v>
                </c:pt>
                <c:pt idx="3">
                  <c:v>5.4871391763832537E-2</c:v>
                </c:pt>
                <c:pt idx="4">
                  <c:v>0.10310410220580916</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0.46680418686458053</c:v>
                </c:pt>
                <c:pt idx="1">
                  <c:v>0.29547577588462776</c:v>
                </c:pt>
                <c:pt idx="2">
                  <c:v>0.3066133986923032</c:v>
                </c:pt>
                <c:pt idx="3">
                  <c:v>0.38747593414891546</c:v>
                </c:pt>
                <c:pt idx="4">
                  <c:v>0.39658961298194356</c:v>
                </c:pt>
              </c:numCache>
            </c:numRef>
          </c:val>
          <c:smooth val="0"/>
        </c:ser>
        <c:dLbls>
          <c:showLegendKey val="0"/>
          <c:showVal val="0"/>
          <c:showCatName val="0"/>
          <c:showSerName val="0"/>
          <c:showPercent val="0"/>
          <c:showBubbleSize val="0"/>
        </c:dLbls>
        <c:marker val="1"/>
        <c:smooth val="0"/>
        <c:axId val="-92523904"/>
        <c:axId val="-92514656"/>
      </c:lineChart>
      <c:catAx>
        <c:axId val="-1607067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92519552"/>
        <c:crosses val="autoZero"/>
        <c:auto val="1"/>
        <c:lblAlgn val="ctr"/>
        <c:lblOffset val="100"/>
        <c:noMultiLvlLbl val="0"/>
      </c:catAx>
      <c:valAx>
        <c:axId val="-9251955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06768"/>
        <c:crosses val="autoZero"/>
        <c:crossBetween val="between"/>
      </c:valAx>
      <c:valAx>
        <c:axId val="-9251465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2523904"/>
        <c:crosses val="max"/>
        <c:crossBetween val="between"/>
      </c:valAx>
      <c:catAx>
        <c:axId val="-92523904"/>
        <c:scaling>
          <c:orientation val="minMax"/>
        </c:scaling>
        <c:delete val="1"/>
        <c:axPos val="b"/>
        <c:numFmt formatCode="General" sourceLinked="1"/>
        <c:majorTickMark val="out"/>
        <c:minorTickMark val="none"/>
        <c:tickLblPos val="nextTo"/>
        <c:crossAx val="-9251465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Output.v0'!$C$117:$L$117</c:f>
              <c:numCache>
                <c:formatCode>0.0</c:formatCode>
                <c:ptCount val="10"/>
                <c:pt idx="0">
                  <c:v>3.0982035928143761</c:v>
                </c:pt>
                <c:pt idx="1">
                  <c:v>3.0982035928143761</c:v>
                </c:pt>
                <c:pt idx="2">
                  <c:v>3.0982035928143761</c:v>
                </c:pt>
                <c:pt idx="3">
                  <c:v>3.0982035928143761</c:v>
                </c:pt>
                <c:pt idx="4">
                  <c:v>3.0982035928143761</c:v>
                </c:pt>
                <c:pt idx="5">
                  <c:v>1.224673202614379</c:v>
                </c:pt>
                <c:pt idx="6">
                  <c:v>2.5829195630585864</c:v>
                </c:pt>
                <c:pt idx="7">
                  <c:v>2.3762446657183558</c:v>
                </c:pt>
                <c:pt idx="8">
                  <c:v>1.8006366892160743</c:v>
                </c:pt>
                <c:pt idx="9">
                  <c:v>1.6393998063891546</c:v>
                </c:pt>
              </c:numCache>
            </c:numRef>
          </c:val>
          <c:smooth val="0"/>
        </c:ser>
        <c:dLbls>
          <c:dLblPos val="ctr"/>
          <c:showLegendKey val="0"/>
          <c:showVal val="1"/>
          <c:showCatName val="0"/>
          <c:showSerName val="0"/>
          <c:showPercent val="0"/>
          <c:showBubbleSize val="0"/>
        </c:dLbls>
        <c:marker val="1"/>
        <c:smooth val="0"/>
        <c:axId val="-92518464"/>
        <c:axId val="-92509216"/>
      </c:lineChart>
      <c:dateAx>
        <c:axId val="-9251846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09216"/>
        <c:crosses val="autoZero"/>
        <c:auto val="1"/>
        <c:lblOffset val="100"/>
        <c:baseTimeUnit val="years"/>
      </c:dateAx>
      <c:valAx>
        <c:axId val="-925092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92518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Output.v0'!$C$118:$L$118</c:f>
              <c:numCache>
                <c:formatCode>0.0</c:formatCode>
                <c:ptCount val="10"/>
                <c:pt idx="0">
                  <c:v>1.8934131736526976</c:v>
                </c:pt>
                <c:pt idx="1">
                  <c:v>1.8934131736526976</c:v>
                </c:pt>
                <c:pt idx="2">
                  <c:v>1.8934131736526976</c:v>
                </c:pt>
                <c:pt idx="3">
                  <c:v>1.8934131736526976</c:v>
                </c:pt>
                <c:pt idx="4">
                  <c:v>1.8934131736526976</c:v>
                </c:pt>
                <c:pt idx="5">
                  <c:v>2.1535947712418295</c:v>
                </c:pt>
                <c:pt idx="6">
                  <c:v>1.9364448857994014</c:v>
                </c:pt>
                <c:pt idx="7">
                  <c:v>2.1315789473684266</c:v>
                </c:pt>
                <c:pt idx="8">
                  <c:v>1.6339037007560668</c:v>
                </c:pt>
                <c:pt idx="9">
                  <c:v>2.5895450145208086E-2</c:v>
                </c:pt>
              </c:numCache>
            </c:numRef>
          </c:val>
        </c:ser>
        <c:dLbls>
          <c:dLblPos val="inEnd"/>
          <c:showLegendKey val="0"/>
          <c:showVal val="1"/>
          <c:showCatName val="0"/>
          <c:showSerName val="0"/>
          <c:showPercent val="0"/>
          <c:showBubbleSize val="0"/>
        </c:dLbls>
        <c:gapWidth val="65"/>
        <c:axId val="-92510848"/>
        <c:axId val="-92510304"/>
      </c:barChart>
      <c:dateAx>
        <c:axId val="-9251084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10304"/>
        <c:crosses val="autoZero"/>
        <c:auto val="1"/>
        <c:lblOffset val="100"/>
        <c:baseTimeUnit val="years"/>
      </c:dateAx>
      <c:valAx>
        <c:axId val="-92510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925108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Output.v0'!$C$119:$L$119</c:f>
              <c:numCache>
                <c:formatCode>0%</c:formatCode>
                <c:ptCount val="10"/>
                <c:pt idx="0">
                  <c:v>0.36590709903593283</c:v>
                </c:pt>
                <c:pt idx="1">
                  <c:v>0.36590709903593283</c:v>
                </c:pt>
                <c:pt idx="2">
                  <c:v>0.36590709903593283</c:v>
                </c:pt>
                <c:pt idx="3">
                  <c:v>0.36590709903593283</c:v>
                </c:pt>
                <c:pt idx="4">
                  <c:v>0.36590709903593283</c:v>
                </c:pt>
                <c:pt idx="5">
                  <c:v>0.62321792260692455</c:v>
                </c:pt>
                <c:pt idx="6">
                  <c:v>0.30176805513934712</c:v>
                </c:pt>
                <c:pt idx="7">
                  <c:v>0.41087083576855515</c:v>
                </c:pt>
                <c:pt idx="8">
                  <c:v>0.60876937984496204</c:v>
                </c:pt>
                <c:pt idx="9">
                  <c:v>0.40505832761494054</c:v>
                </c:pt>
              </c:numCache>
            </c:numRef>
          </c:val>
          <c:smooth val="0"/>
        </c:ser>
        <c:dLbls>
          <c:dLblPos val="ctr"/>
          <c:showLegendKey val="0"/>
          <c:showVal val="1"/>
          <c:showCatName val="0"/>
          <c:showSerName val="0"/>
          <c:showPercent val="0"/>
          <c:showBubbleSize val="0"/>
        </c:dLbls>
        <c:smooth val="0"/>
        <c:axId val="-92522816"/>
        <c:axId val="-92516288"/>
      </c:lineChart>
      <c:dateAx>
        <c:axId val="-92522816"/>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92516288"/>
        <c:crosses val="autoZero"/>
        <c:auto val="1"/>
        <c:lblOffset val="100"/>
        <c:baseTimeUnit val="years"/>
      </c:dateAx>
      <c:valAx>
        <c:axId val="-92516288"/>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9252281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Output.v0'!$C$121:$L$121</c:f>
              <c:numCache>
                <c:formatCode>0.00</c:formatCode>
                <c:ptCount val="10"/>
                <c:pt idx="0">
                  <c:v>0.6901140684410646</c:v>
                </c:pt>
                <c:pt idx="1">
                  <c:v>0.6901140684410646</c:v>
                </c:pt>
                <c:pt idx="2">
                  <c:v>0.6901140684410646</c:v>
                </c:pt>
                <c:pt idx="3">
                  <c:v>0.6901140684410646</c:v>
                </c:pt>
                <c:pt idx="4">
                  <c:v>0.6901140684410646</c:v>
                </c:pt>
                <c:pt idx="5">
                  <c:v>0.75142387039615233</c:v>
                </c:pt>
                <c:pt idx="6">
                  <c:v>0.69340316060271956</c:v>
                </c:pt>
                <c:pt idx="7">
                  <c:v>0.75604191915591357</c:v>
                </c:pt>
                <c:pt idx="8">
                  <c:v>0.73952549217566887</c:v>
                </c:pt>
                <c:pt idx="9">
                  <c:v>0.57827938319070649</c:v>
                </c:pt>
              </c:numCache>
            </c:numRef>
          </c:val>
        </c:ser>
        <c:dLbls>
          <c:dLblPos val="inEnd"/>
          <c:showLegendKey val="0"/>
          <c:showVal val="1"/>
          <c:showCatName val="0"/>
          <c:showSerName val="0"/>
          <c:showPercent val="0"/>
          <c:showBubbleSize val="0"/>
        </c:dLbls>
        <c:gapWidth val="41"/>
        <c:axId val="-92523360"/>
        <c:axId val="-92509760"/>
      </c:barChart>
      <c:dateAx>
        <c:axId val="-9252336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92509760"/>
        <c:crosses val="autoZero"/>
        <c:auto val="1"/>
        <c:lblOffset val="100"/>
        <c:baseTimeUnit val="years"/>
      </c:dateAx>
      <c:valAx>
        <c:axId val="-92509760"/>
        <c:scaling>
          <c:orientation val="minMax"/>
        </c:scaling>
        <c:delete val="1"/>
        <c:axPos val="l"/>
        <c:numFmt formatCode="0.00" sourceLinked="1"/>
        <c:majorTickMark val="none"/>
        <c:minorTickMark val="none"/>
        <c:tickLblPos val="nextTo"/>
        <c:crossAx val="-9252336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Output.v0'!$D$106:$L$106</c:f>
              <c:numCache>
                <c:formatCode>0</c:formatCode>
                <c:ptCount val="9"/>
                <c:pt idx="0">
                  <c:v>0</c:v>
                </c:pt>
                <c:pt idx="1">
                  <c:v>0</c:v>
                </c:pt>
                <c:pt idx="2">
                  <c:v>0</c:v>
                </c:pt>
                <c:pt idx="3">
                  <c:v>0</c:v>
                </c:pt>
                <c:pt idx="4">
                  <c:v>-3.1799999999999926</c:v>
                </c:pt>
                <c:pt idx="5">
                  <c:v>13.729999999999997</c:v>
                </c:pt>
                <c:pt idx="6">
                  <c:v>0.85000000000000853</c:v>
                </c:pt>
                <c:pt idx="7">
                  <c:v>7.0599999999999739</c:v>
                </c:pt>
                <c:pt idx="8">
                  <c:v>60.730000000000004</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Output.v0'!$D$107:$L$107</c:f>
              <c:numCache>
                <c:formatCode>0</c:formatCode>
                <c:ptCount val="9"/>
                <c:pt idx="0">
                  <c:v>8.3499999999999872</c:v>
                </c:pt>
                <c:pt idx="1">
                  <c:v>8.3499999999999872</c:v>
                </c:pt>
                <c:pt idx="2">
                  <c:v>8.3499999999999872</c:v>
                </c:pt>
                <c:pt idx="3">
                  <c:v>8.3499999999999872</c:v>
                </c:pt>
                <c:pt idx="4">
                  <c:v>8.3499999999999872</c:v>
                </c:pt>
                <c:pt idx="5">
                  <c:v>12.240000000000002</c:v>
                </c:pt>
                <c:pt idx="6">
                  <c:v>10.070000000000014</c:v>
                </c:pt>
                <c:pt idx="7">
                  <c:v>14.059999999999963</c:v>
                </c:pt>
                <c:pt idx="8">
                  <c:v>25.130000000000027</c:v>
                </c:pt>
              </c:numCache>
            </c:numRef>
          </c:val>
        </c:ser>
        <c:dLbls>
          <c:dLblPos val="inEnd"/>
          <c:showLegendKey val="0"/>
          <c:showVal val="1"/>
          <c:showCatName val="0"/>
          <c:showSerName val="0"/>
          <c:showPercent val="0"/>
          <c:showBubbleSize val="0"/>
        </c:dLbls>
        <c:gapWidth val="65"/>
        <c:axId val="-92517376"/>
        <c:axId val="-92517920"/>
      </c:barChart>
      <c:dateAx>
        <c:axId val="-9251737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17920"/>
        <c:crosses val="autoZero"/>
        <c:auto val="1"/>
        <c:lblOffset val="100"/>
        <c:baseTimeUnit val="years"/>
      </c:dateAx>
      <c:valAx>
        <c:axId val="-92517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51737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Output.v0'!$B$62:$L$62</c:f>
              <c:numCache>
                <c:formatCode>0</c:formatCode>
                <c:ptCount val="11"/>
                <c:pt idx="1">
                  <c:v>15.81</c:v>
                </c:pt>
                <c:pt idx="2">
                  <c:v>15.81</c:v>
                </c:pt>
                <c:pt idx="3">
                  <c:v>15.81</c:v>
                </c:pt>
                <c:pt idx="4">
                  <c:v>15.81</c:v>
                </c:pt>
                <c:pt idx="5">
                  <c:v>15.81</c:v>
                </c:pt>
                <c:pt idx="6">
                  <c:v>26.36</c:v>
                </c:pt>
                <c:pt idx="7">
                  <c:v>19.5</c:v>
                </c:pt>
                <c:pt idx="8">
                  <c:v>29.97</c:v>
                </c:pt>
                <c:pt idx="9">
                  <c:v>41.06</c:v>
                </c:pt>
                <c:pt idx="10">
                  <c:v>1.07</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Output.v0'!$B$64:$L$64</c:f>
              <c:numCache>
                <c:formatCode>0</c:formatCode>
                <c:ptCount val="11"/>
                <c:pt idx="1">
                  <c:v>-21.81</c:v>
                </c:pt>
                <c:pt idx="2">
                  <c:v>-21.81</c:v>
                </c:pt>
                <c:pt idx="3">
                  <c:v>-21.81</c:v>
                </c:pt>
                <c:pt idx="4">
                  <c:v>-21.81</c:v>
                </c:pt>
                <c:pt idx="5">
                  <c:v>-21.81</c:v>
                </c:pt>
                <c:pt idx="6">
                  <c:v>1.88</c:v>
                </c:pt>
                <c:pt idx="7">
                  <c:v>-40.57</c:v>
                </c:pt>
                <c:pt idx="8">
                  <c:v>-25.55</c:v>
                </c:pt>
                <c:pt idx="9">
                  <c:v>-43.29</c:v>
                </c:pt>
                <c:pt idx="10">
                  <c:v>-6.95</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Output.v0'!$B$65:$L$65</c:f>
              <c:numCache>
                <c:formatCode>0</c:formatCode>
                <c:ptCount val="11"/>
                <c:pt idx="1">
                  <c:v>8.81</c:v>
                </c:pt>
                <c:pt idx="2">
                  <c:v>8.81</c:v>
                </c:pt>
                <c:pt idx="3">
                  <c:v>8.81</c:v>
                </c:pt>
                <c:pt idx="4">
                  <c:v>8.81</c:v>
                </c:pt>
                <c:pt idx="5">
                  <c:v>8.81</c:v>
                </c:pt>
                <c:pt idx="6">
                  <c:v>-13.58</c:v>
                </c:pt>
                <c:pt idx="7">
                  <c:v>9.4499999999999993</c:v>
                </c:pt>
                <c:pt idx="8">
                  <c:v>4.07</c:v>
                </c:pt>
                <c:pt idx="9">
                  <c:v>2.5499999999999998</c:v>
                </c:pt>
                <c:pt idx="10">
                  <c:v>15.97</c:v>
                </c:pt>
              </c:numCache>
            </c:numRef>
          </c:val>
        </c:ser>
        <c:dLbls>
          <c:dLblPos val="inEnd"/>
          <c:showLegendKey val="0"/>
          <c:showVal val="1"/>
          <c:showCatName val="0"/>
          <c:showSerName val="0"/>
          <c:showPercent val="0"/>
          <c:showBubbleSize val="0"/>
        </c:dLbls>
        <c:gapWidth val="65"/>
        <c:axId val="-92522272"/>
        <c:axId val="-92524448"/>
      </c:barChart>
      <c:dateAx>
        <c:axId val="-92522272"/>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92524448"/>
        <c:crosses val="autoZero"/>
        <c:auto val="1"/>
        <c:lblOffset val="100"/>
        <c:baseTimeUnit val="years"/>
      </c:dateAx>
      <c:valAx>
        <c:axId val="-925244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25222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Growth Basis</c:v>
              </c:pt>
            </c:strLit>
          </c:cat>
          <c:val>
            <c:numRef>
              <c:f>Valuation_Table!$B$27</c:f>
              <c:numCache>
                <c:formatCode>0</c:formatCode>
                <c:ptCount val="1"/>
                <c:pt idx="0">
                  <c:v>2423.3054084448599</c:v>
                </c:pt>
              </c:numCache>
            </c:numRef>
          </c:val>
        </c:ser>
        <c:dLbls>
          <c:dLblPos val="outEnd"/>
          <c:showLegendKey val="0"/>
          <c:showVal val="1"/>
          <c:showCatName val="0"/>
          <c:showSerName val="0"/>
          <c:showPercent val="0"/>
          <c:showBubbleSize val="0"/>
        </c:dLbls>
        <c:gapWidth val="150"/>
        <c:axId val="-199479200"/>
        <c:axId val="-370388528"/>
      </c:barChart>
      <c:catAx>
        <c:axId val="-199479200"/>
        <c:scaling>
          <c:orientation val="minMax"/>
        </c:scaling>
        <c:delete val="0"/>
        <c:axPos val="l"/>
        <c:numFmt formatCode="General" sourceLinked="0"/>
        <c:majorTickMark val="out"/>
        <c:minorTickMark val="none"/>
        <c:tickLblPos val="nextTo"/>
        <c:crossAx val="-370388528"/>
        <c:crosses val="autoZero"/>
        <c:auto val="1"/>
        <c:lblAlgn val="ctr"/>
        <c:lblOffset val="100"/>
        <c:noMultiLvlLbl val="0"/>
      </c:catAx>
      <c:valAx>
        <c:axId val="-370388528"/>
        <c:scaling>
          <c:orientation val="minMax"/>
        </c:scaling>
        <c:delete val="1"/>
        <c:axPos val="b"/>
        <c:numFmt formatCode="0" sourceLinked="1"/>
        <c:majorTickMark val="out"/>
        <c:minorTickMark val="none"/>
        <c:tickLblPos val="nextTo"/>
        <c:crossAx val="-199479200"/>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Output.v0'!$C$157:$L$157</c:f>
              <c:numCache>
                <c:formatCode>0%</c:formatCode>
                <c:ptCount val="10"/>
                <c:pt idx="0">
                  <c:v>0.19593345656192238</c:v>
                </c:pt>
                <c:pt idx="1">
                  <c:v>0.19593345656192238</c:v>
                </c:pt>
                <c:pt idx="2">
                  <c:v>0.19593345656192238</c:v>
                </c:pt>
                <c:pt idx="3">
                  <c:v>0.19593345656192238</c:v>
                </c:pt>
                <c:pt idx="4">
                  <c:v>0.19593345656192238</c:v>
                </c:pt>
                <c:pt idx="5">
                  <c:v>0.18284469096671951</c:v>
                </c:pt>
                <c:pt idx="6">
                  <c:v>0.13583327218023042</c:v>
                </c:pt>
                <c:pt idx="7">
                  <c:v>0.17823800836999679</c:v>
                </c:pt>
                <c:pt idx="8">
                  <c:v>0.22827417380660955</c:v>
                </c:pt>
                <c:pt idx="9">
                  <c:v>0.16422408323816776</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Output.v0'!$C$158:$L$158</c:f>
              <c:numCache>
                <c:formatCode>0%</c:formatCode>
                <c:ptCount val="10"/>
                <c:pt idx="0">
                  <c:v>3.3706643470696965E-3</c:v>
                </c:pt>
                <c:pt idx="1">
                  <c:v>3.3706643470696965E-3</c:v>
                </c:pt>
                <c:pt idx="2">
                  <c:v>3.3706643470696965E-3</c:v>
                </c:pt>
                <c:pt idx="3">
                  <c:v>3.3706643470696965E-3</c:v>
                </c:pt>
                <c:pt idx="4">
                  <c:v>3.3706643470696965E-3</c:v>
                </c:pt>
                <c:pt idx="5">
                  <c:v>3.456814580031696E-2</c:v>
                </c:pt>
                <c:pt idx="6">
                  <c:v>6.5458281353195855E-2</c:v>
                </c:pt>
                <c:pt idx="7">
                  <c:v>6.7872089279965658E-2</c:v>
                </c:pt>
                <c:pt idx="8">
                  <c:v>7.8947368421052627E-2</c:v>
                </c:pt>
                <c:pt idx="9">
                  <c:v>6.8455779723385346E-2</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Output.v0'!$C$159:$L$159</c:f>
              <c:numCache>
                <c:formatCode>0%</c:formatCode>
                <c:ptCount val="10"/>
                <c:pt idx="0">
                  <c:v>1.543981733173861E-2</c:v>
                </c:pt>
                <c:pt idx="1">
                  <c:v>1.543981733173861E-2</c:v>
                </c:pt>
                <c:pt idx="2">
                  <c:v>1.543981733173861E-2</c:v>
                </c:pt>
                <c:pt idx="3">
                  <c:v>1.543981733173861E-2</c:v>
                </c:pt>
                <c:pt idx="4">
                  <c:v>1.543981733173861E-2</c:v>
                </c:pt>
                <c:pt idx="5">
                  <c:v>1.8225039619651349E-2</c:v>
                </c:pt>
                <c:pt idx="6">
                  <c:v>1.1521244587950391E-2</c:v>
                </c:pt>
                <c:pt idx="7">
                  <c:v>2.2588260542976715E-2</c:v>
                </c:pt>
                <c:pt idx="8">
                  <c:v>1.7660430145130267E-2</c:v>
                </c:pt>
                <c:pt idx="9">
                  <c:v>9.6434462631645734E-3</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Output.v0'!$C$160:$L$160</c:f>
              <c:numCache>
                <c:formatCode>0%</c:formatCode>
                <c:ptCount val="10"/>
                <c:pt idx="0">
                  <c:v>0.20604544960313145</c:v>
                </c:pt>
                <c:pt idx="1">
                  <c:v>0.20604544960313145</c:v>
                </c:pt>
                <c:pt idx="2">
                  <c:v>0.20604544960313145</c:v>
                </c:pt>
                <c:pt idx="3">
                  <c:v>0.20604544960313145</c:v>
                </c:pt>
                <c:pt idx="4">
                  <c:v>0.20604544960313145</c:v>
                </c:pt>
                <c:pt idx="5">
                  <c:v>0.12054278922345484</c:v>
                </c:pt>
                <c:pt idx="6">
                  <c:v>0.10097600352241871</c:v>
                </c:pt>
                <c:pt idx="7">
                  <c:v>0.12807168151089174</c:v>
                </c:pt>
                <c:pt idx="8">
                  <c:v>4.5112781954887222E-2</c:v>
                </c:pt>
                <c:pt idx="9">
                  <c:v>0.16895064078162669</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Output.v0'!$C$161:$L$161</c:f>
              <c:numCache>
                <c:formatCode>0%</c:formatCode>
                <c:ptCount val="10"/>
                <c:pt idx="0">
                  <c:v>0.3907796020441448</c:v>
                </c:pt>
                <c:pt idx="1">
                  <c:v>0.3907796020441448</c:v>
                </c:pt>
                <c:pt idx="2">
                  <c:v>0.3907796020441448</c:v>
                </c:pt>
                <c:pt idx="3">
                  <c:v>0.3907796020441448</c:v>
                </c:pt>
                <c:pt idx="4">
                  <c:v>0.3907796020441448</c:v>
                </c:pt>
                <c:pt idx="5">
                  <c:v>0.44185816164817754</c:v>
                </c:pt>
                <c:pt idx="6">
                  <c:v>0.50223820356644888</c:v>
                </c:pt>
                <c:pt idx="7">
                  <c:v>0.45509174804163532</c:v>
                </c:pt>
                <c:pt idx="8">
                  <c:v>0.46502885119776183</c:v>
                </c:pt>
                <c:pt idx="9">
                  <c:v>0.39652328384722751</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Output.v0'!$C$162:$L$162</c:f>
              <c:numCache>
                <c:formatCode>0%</c:formatCode>
                <c:ptCount val="10"/>
                <c:pt idx="0">
                  <c:v>0.18843101011199304</c:v>
                </c:pt>
                <c:pt idx="1">
                  <c:v>0.18843101011199304</c:v>
                </c:pt>
                <c:pt idx="2">
                  <c:v>0.18843101011199304</c:v>
                </c:pt>
                <c:pt idx="3">
                  <c:v>0.18843101011199304</c:v>
                </c:pt>
                <c:pt idx="4">
                  <c:v>0.18843101011199304</c:v>
                </c:pt>
                <c:pt idx="5">
                  <c:v>0.20196117274167988</c:v>
                </c:pt>
                <c:pt idx="6">
                  <c:v>0.18397299478975568</c:v>
                </c:pt>
                <c:pt idx="7">
                  <c:v>0.14813821225453366</c:v>
                </c:pt>
                <c:pt idx="8">
                  <c:v>0.16497639447455853</c:v>
                </c:pt>
                <c:pt idx="9">
                  <c:v>0.19220276614642831</c:v>
                </c:pt>
              </c:numCache>
            </c:numRef>
          </c:val>
        </c:ser>
        <c:dLbls>
          <c:showLegendKey val="0"/>
          <c:showVal val="1"/>
          <c:showCatName val="0"/>
          <c:showSerName val="0"/>
          <c:showPercent val="0"/>
          <c:showBubbleSize val="0"/>
        </c:dLbls>
        <c:axId val="-92520096"/>
        <c:axId val="-92513568"/>
      </c:areaChart>
      <c:dateAx>
        <c:axId val="-9252009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13568"/>
        <c:crosses val="autoZero"/>
        <c:auto val="1"/>
        <c:lblOffset val="100"/>
        <c:baseTimeUnit val="years"/>
      </c:dateAx>
      <c:valAx>
        <c:axId val="-9251356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2520096"/>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Output.v0'!$C$112:$L$112</c:f>
              <c:numCache>
                <c:formatCode>0</c:formatCode>
                <c:ptCount val="10"/>
                <c:pt idx="0">
                  <c:v>38.716764623565624</c:v>
                </c:pt>
                <c:pt idx="1">
                  <c:v>38.716764623565624</c:v>
                </c:pt>
                <c:pt idx="2">
                  <c:v>38.716764623565624</c:v>
                </c:pt>
                <c:pt idx="3">
                  <c:v>38.716764623565624</c:v>
                </c:pt>
                <c:pt idx="4">
                  <c:v>38.716764623565624</c:v>
                </c:pt>
                <c:pt idx="5">
                  <c:v>17.266772914561145</c:v>
                </c:pt>
                <c:pt idx="6">
                  <c:v>23.867319298579098</c:v>
                </c:pt>
                <c:pt idx="7">
                  <c:v>31.059677016862146</c:v>
                </c:pt>
                <c:pt idx="8">
                  <c:v>8.2248133106249188</c:v>
                </c:pt>
                <c:pt idx="9">
                  <c:v>48.507585587383964</c:v>
                </c:pt>
              </c:numCache>
            </c:numRef>
          </c:val>
        </c:ser>
        <c:dLbls>
          <c:dLblPos val="inEnd"/>
          <c:showLegendKey val="0"/>
          <c:showVal val="1"/>
          <c:showCatName val="0"/>
          <c:showSerName val="0"/>
          <c:showPercent val="0"/>
          <c:showBubbleSize val="0"/>
        </c:dLbls>
        <c:gapWidth val="65"/>
        <c:axId val="-92513024"/>
        <c:axId val="-92521728"/>
      </c:barChart>
      <c:dateAx>
        <c:axId val="-92513024"/>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21728"/>
        <c:crosses val="autoZero"/>
        <c:auto val="1"/>
        <c:lblOffset val="100"/>
        <c:baseTimeUnit val="years"/>
      </c:dateAx>
      <c:valAx>
        <c:axId val="-925217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25130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Output.v0'!$C$113:$L$113</c:f>
              <c:numCache>
                <c:formatCode>0.0</c:formatCode>
                <c:ptCount val="10"/>
                <c:pt idx="0">
                  <c:v>45.063380281690144</c:v>
                </c:pt>
                <c:pt idx="1">
                  <c:v>45.063380281690144</c:v>
                </c:pt>
                <c:pt idx="2">
                  <c:v>45.063380281690144</c:v>
                </c:pt>
                <c:pt idx="3">
                  <c:v>45.063380281690144</c:v>
                </c:pt>
                <c:pt idx="4">
                  <c:v>45.063380281690144</c:v>
                </c:pt>
                <c:pt idx="5">
                  <c:v>60.588957055214728</c:v>
                </c:pt>
                <c:pt idx="6">
                  <c:v>46.492668621700872</c:v>
                </c:pt>
                <c:pt idx="7">
                  <c:v>46.134948096885815</c:v>
                </c:pt>
                <c:pt idx="8">
                  <c:v>46.06545454545455</c:v>
                </c:pt>
                <c:pt idx="9">
                  <c:v>36.206214689265536</c:v>
                </c:pt>
              </c:numCache>
            </c:numRef>
          </c:val>
        </c:ser>
        <c:dLbls>
          <c:dLblPos val="inEnd"/>
          <c:showLegendKey val="0"/>
          <c:showVal val="1"/>
          <c:showCatName val="0"/>
          <c:showSerName val="0"/>
          <c:showPercent val="0"/>
          <c:showBubbleSize val="0"/>
        </c:dLbls>
        <c:gapWidth val="41"/>
        <c:axId val="-92512480"/>
        <c:axId val="-92519008"/>
      </c:barChart>
      <c:dateAx>
        <c:axId val="-9251248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92519008"/>
        <c:crosses val="autoZero"/>
        <c:auto val="1"/>
        <c:lblOffset val="100"/>
        <c:baseTimeUnit val="years"/>
      </c:dateAx>
      <c:valAx>
        <c:axId val="-92519008"/>
        <c:scaling>
          <c:orientation val="minMax"/>
        </c:scaling>
        <c:delete val="1"/>
        <c:axPos val="l"/>
        <c:numFmt formatCode="0.0" sourceLinked="1"/>
        <c:majorTickMark val="none"/>
        <c:minorTickMark val="none"/>
        <c:tickLblPos val="nextTo"/>
        <c:crossAx val="-9251248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Output.v0'!$C$100:$L$100</c:f>
              <c:numCache>
                <c:formatCode>0%</c:formatCode>
                <c:ptCount val="10"/>
                <c:pt idx="0">
                  <c:v>0.16614113297814506</c:v>
                </c:pt>
                <c:pt idx="1">
                  <c:v>0.16614113297814506</c:v>
                </c:pt>
                <c:pt idx="2">
                  <c:v>0.16614113297814506</c:v>
                </c:pt>
                <c:pt idx="3">
                  <c:v>0.16614113297814506</c:v>
                </c:pt>
                <c:pt idx="4">
                  <c:v>0.16614113297814506</c:v>
                </c:pt>
                <c:pt idx="5">
                  <c:v>0.26347068145800318</c:v>
                </c:pt>
                <c:pt idx="6">
                  <c:v>0.25530197402216193</c:v>
                </c:pt>
                <c:pt idx="7">
                  <c:v>0.25174374932932714</c:v>
                </c:pt>
                <c:pt idx="8">
                  <c:v>0.28986710963455153</c:v>
                </c:pt>
                <c:pt idx="9">
                  <c:v>0.34139068646110898</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Output.v0'!$C$101:$L$101</c:f>
              <c:numCache>
                <c:formatCode>0%</c:formatCode>
                <c:ptCount val="10"/>
                <c:pt idx="0">
                  <c:v>0.55257149070349032</c:v>
                </c:pt>
                <c:pt idx="1">
                  <c:v>0.55257149070349032</c:v>
                </c:pt>
                <c:pt idx="2">
                  <c:v>0.55257149070349032</c:v>
                </c:pt>
                <c:pt idx="3">
                  <c:v>0.55257149070349032</c:v>
                </c:pt>
                <c:pt idx="4">
                  <c:v>0.55257149070349032</c:v>
                </c:pt>
                <c:pt idx="5">
                  <c:v>0.588054675118859</c:v>
                </c:pt>
                <c:pt idx="6">
                  <c:v>0.55382696118001029</c:v>
                </c:pt>
                <c:pt idx="7">
                  <c:v>0.56899881961583865</c:v>
                </c:pt>
                <c:pt idx="8">
                  <c:v>0.51232732995278896</c:v>
                </c:pt>
                <c:pt idx="9">
                  <c:v>0.44372541555640144</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Output.v0'!$C$102:$L$102</c:f>
              <c:numCache>
                <c:formatCode>0%</c:formatCode>
                <c:ptCount val="10"/>
                <c:pt idx="0">
                  <c:v>0.2812873763183647</c:v>
                </c:pt>
                <c:pt idx="1">
                  <c:v>0.2812873763183647</c:v>
                </c:pt>
                <c:pt idx="2">
                  <c:v>0.2812873763183647</c:v>
                </c:pt>
                <c:pt idx="3">
                  <c:v>0.2812873763183647</c:v>
                </c:pt>
                <c:pt idx="4">
                  <c:v>0.2812873763183647</c:v>
                </c:pt>
                <c:pt idx="5">
                  <c:v>0.14847464342313788</c:v>
                </c:pt>
                <c:pt idx="6">
                  <c:v>0.19087106479782787</c:v>
                </c:pt>
                <c:pt idx="7">
                  <c:v>0.17925743105483419</c:v>
                </c:pt>
                <c:pt idx="8">
                  <c:v>0.19780556041265956</c:v>
                </c:pt>
                <c:pt idx="9">
                  <c:v>0.2148838979824895</c:v>
                </c:pt>
              </c:numCache>
            </c:numRef>
          </c:val>
        </c:ser>
        <c:dLbls>
          <c:dLblPos val="ctr"/>
          <c:showLegendKey val="0"/>
          <c:showVal val="1"/>
          <c:showCatName val="0"/>
          <c:showSerName val="0"/>
          <c:showPercent val="0"/>
          <c:showBubbleSize val="0"/>
        </c:dLbls>
        <c:gapWidth val="150"/>
        <c:overlap val="100"/>
        <c:axId val="-92516832"/>
        <c:axId val="-92521184"/>
      </c:barChart>
      <c:dateAx>
        <c:axId val="-9251683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21184"/>
        <c:crosses val="autoZero"/>
        <c:auto val="1"/>
        <c:lblOffset val="100"/>
        <c:baseTimeUnit val="years"/>
      </c:dateAx>
      <c:valAx>
        <c:axId val="-925211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5168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Output.v0'!$C$114:$L$114</c:f>
              <c:numCache>
                <c:formatCode>0%</c:formatCode>
                <c:ptCount val="10"/>
                <c:pt idx="0">
                  <c:v>7.9485026588301134E-3</c:v>
                </c:pt>
                <c:pt idx="1">
                  <c:v>7.9485026588301134E-3</c:v>
                </c:pt>
                <c:pt idx="2">
                  <c:v>7.9485026588301134E-3</c:v>
                </c:pt>
                <c:pt idx="3">
                  <c:v>7.9485026588301134E-3</c:v>
                </c:pt>
                <c:pt idx="4">
                  <c:v>7.9485026588301134E-3</c:v>
                </c:pt>
                <c:pt idx="5">
                  <c:v>7.1522972867915733E-3</c:v>
                </c:pt>
                <c:pt idx="6">
                  <c:v>7.460913367865799E-3</c:v>
                </c:pt>
                <c:pt idx="7">
                  <c:v>1.5008377597946598E-2</c:v>
                </c:pt>
                <c:pt idx="8">
                  <c:v>8.8213459103017589E-3</c:v>
                </c:pt>
                <c:pt idx="9">
                  <c:v>7.5855873839704565E-3</c:v>
                </c:pt>
              </c:numCache>
            </c:numRef>
          </c:val>
          <c:smooth val="0"/>
        </c:ser>
        <c:dLbls>
          <c:dLblPos val="ctr"/>
          <c:showLegendKey val="0"/>
          <c:showVal val="1"/>
          <c:showCatName val="0"/>
          <c:showSerName val="0"/>
          <c:showPercent val="0"/>
          <c:showBubbleSize val="0"/>
        </c:dLbls>
        <c:marker val="1"/>
        <c:smooth val="0"/>
        <c:axId val="-92515744"/>
        <c:axId val="-92515200"/>
      </c:lineChart>
      <c:dateAx>
        <c:axId val="-9251574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15200"/>
        <c:crosses val="autoZero"/>
        <c:auto val="1"/>
        <c:lblOffset val="100"/>
        <c:baseTimeUnit val="years"/>
      </c:dateAx>
      <c:valAx>
        <c:axId val="-92515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5157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input'!$C$6:$H$6</c:f>
              <c:numCache>
                <c:formatCode>0.0%</c:formatCode>
                <c:ptCount val="6"/>
                <c:pt idx="0">
                  <c:v>0.72130000000000005</c:v>
                </c:pt>
                <c:pt idx="1">
                  <c:v>0.71989999999999998</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input'!$C$7:$H$7</c:f>
              <c:numCache>
                <c:formatCode>0.0%</c:formatCode>
                <c:ptCount val="6"/>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input'!$C$8:$H$8</c:f>
              <c:numCache>
                <c:formatCode>0.0%</c:formatCode>
                <c:ptCount val="6"/>
                <c:pt idx="0">
                  <c:v>1.1599999999999999E-2</c:v>
                </c:pt>
                <c:pt idx="1">
                  <c:v>2.5100000000000001E-2</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input'!$C$9:$H$9</c:f>
              <c:numCache>
                <c:formatCode>0.0%</c:formatCode>
                <c:ptCount val="6"/>
                <c:pt idx="0">
                  <c:v>8.0199999999999994E-2</c:v>
                </c:pt>
                <c:pt idx="1">
                  <c:v>0.13830000000000001</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input'!$C$10:$H$10</c:f>
              <c:numCache>
                <c:formatCode>0.0%</c:formatCode>
                <c:ptCount val="6"/>
                <c:pt idx="0">
                  <c:v>7.9899999999999999E-2</c:v>
                </c:pt>
                <c:pt idx="1">
                  <c:v>4.7800000000000002E-2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input'!$C$11:$H$11</c:f>
              <c:numCache>
                <c:formatCode>0.0%</c:formatCode>
                <c:ptCount val="6"/>
                <c:pt idx="0">
                  <c:v>6.7500000000000004E-2</c:v>
                </c:pt>
                <c:pt idx="1">
                  <c:v>3.1E-2</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input'!$C$12:$H$12</c:f>
              <c:numCache>
                <c:formatCode>0.0%</c:formatCode>
                <c:ptCount val="6"/>
                <c:pt idx="0">
                  <c:v>2.8799999999999999E-2</c:v>
                </c:pt>
                <c:pt idx="1">
                  <c:v>3.0300000000000001E-2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43160</c:v>
                </c:pt>
                <c:pt idx="1">
                  <c:v>42795</c:v>
                </c:pt>
                <c:pt idx="2">
                  <c:v>42430</c:v>
                </c:pt>
                <c:pt idx="3">
                  <c:v>42064</c:v>
                </c:pt>
                <c:pt idx="4">
                  <c:v>41699</c:v>
                </c:pt>
                <c:pt idx="5">
                  <c:v>41334</c:v>
                </c:pt>
              </c:numCache>
            </c:numRef>
          </c:cat>
          <c:val>
            <c:numRef>
              <c:f>'Shareholding input'!$C$13:$H$13</c:f>
              <c:numCache>
                <c:formatCode>0.0%</c:formatCode>
                <c:ptCount val="6"/>
                <c:pt idx="0">
                  <c:v>1.0699999999999821E-2</c:v>
                </c:pt>
                <c:pt idx="1">
                  <c:v>7.6000000000000512E-3</c:v>
                </c:pt>
                <c:pt idx="2" formatCode="0%">
                  <c:v>1</c:v>
                </c:pt>
                <c:pt idx="3" formatCode="0%">
                  <c:v>1</c:v>
                </c:pt>
                <c:pt idx="4" formatCode="0%">
                  <c:v>1</c:v>
                </c:pt>
                <c:pt idx="5" formatCode="0%">
                  <c:v>1</c:v>
                </c:pt>
              </c:numCache>
            </c:numRef>
          </c:val>
        </c:ser>
        <c:dLbls>
          <c:dLblPos val="ctr"/>
          <c:showLegendKey val="0"/>
          <c:showVal val="1"/>
          <c:showCatName val="0"/>
          <c:showSerName val="0"/>
          <c:showPercent val="0"/>
          <c:showBubbleSize val="0"/>
        </c:dLbls>
        <c:gapWidth val="150"/>
        <c:overlap val="100"/>
        <c:axId val="-92511936"/>
        <c:axId val="-92520640"/>
      </c:barChart>
      <c:dateAx>
        <c:axId val="-92511936"/>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2520640"/>
        <c:crosses val="autoZero"/>
        <c:auto val="1"/>
        <c:lblOffset val="100"/>
        <c:baseTimeUnit val="years"/>
      </c:dateAx>
      <c:valAx>
        <c:axId val="-9252064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5119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158%</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205%</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55.555555555555557</c:v>
                </c:pt>
                <c:pt idx="1">
                  <c:v>1</c:v>
                </c:pt>
                <c:pt idx="2">
                  <c:v>143.44444444444446</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Output.v0'!$D$184:$L$184</c:f>
              <c:numCache>
                <c:formatCode>_(* #,##0_);_(* \(#,##0\);_(* "-"??_);_(@_)</c:formatCode>
                <c:ptCount val="9"/>
                <c:pt idx="0">
                  <c:v>180.76000000000002</c:v>
                </c:pt>
                <c:pt idx="1">
                  <c:v>180.76000000000002</c:v>
                </c:pt>
                <c:pt idx="2">
                  <c:v>180.76000000000002</c:v>
                </c:pt>
                <c:pt idx="3">
                  <c:v>180.76000000000002</c:v>
                </c:pt>
                <c:pt idx="4">
                  <c:v>260.98</c:v>
                </c:pt>
                <c:pt idx="5">
                  <c:v>214.81</c:v>
                </c:pt>
                <c:pt idx="6">
                  <c:v>287.02</c:v>
                </c:pt>
                <c:pt idx="7">
                  <c:v>468.25</c:v>
                </c:pt>
                <c:pt idx="8">
                  <c:v>413.96</c:v>
                </c:pt>
              </c:numCache>
            </c:numRef>
          </c:val>
        </c:ser>
        <c:dLbls>
          <c:dLblPos val="inEnd"/>
          <c:showLegendKey val="0"/>
          <c:showVal val="1"/>
          <c:showCatName val="0"/>
          <c:showSerName val="0"/>
          <c:showPercent val="0"/>
          <c:showBubbleSize val="0"/>
        </c:dLbls>
        <c:gapWidth val="41"/>
        <c:axId val="-160701328"/>
        <c:axId val="-160706224"/>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Output.v0'!$D$185:$L$185</c:f>
              <c:numCache>
                <c:formatCode>0%</c:formatCode>
                <c:ptCount val="9"/>
                <c:pt idx="0">
                  <c:v>0</c:v>
                </c:pt>
                <c:pt idx="1">
                  <c:v>0</c:v>
                </c:pt>
                <c:pt idx="2">
                  <c:v>0</c:v>
                </c:pt>
                <c:pt idx="3">
                  <c:v>0</c:v>
                </c:pt>
                <c:pt idx="4">
                  <c:v>0.44379287452976324</c:v>
                </c:pt>
                <c:pt idx="5">
                  <c:v>-0.17691010805425711</c:v>
                </c:pt>
                <c:pt idx="6">
                  <c:v>0.33615753456542974</c:v>
                </c:pt>
                <c:pt idx="7">
                  <c:v>0.63141941328130446</c:v>
                </c:pt>
                <c:pt idx="8">
                  <c:v>-0.11594233849439406</c:v>
                </c:pt>
              </c:numCache>
            </c:numRef>
          </c:val>
          <c:smooth val="0"/>
        </c:ser>
        <c:dLbls>
          <c:showLegendKey val="0"/>
          <c:showVal val="0"/>
          <c:showCatName val="0"/>
          <c:showSerName val="0"/>
          <c:showPercent val="0"/>
          <c:showBubbleSize val="0"/>
        </c:dLbls>
        <c:marker val="1"/>
        <c:smooth val="0"/>
        <c:axId val="-160704048"/>
        <c:axId val="-160708944"/>
      </c:lineChart>
      <c:dateAx>
        <c:axId val="-160701328"/>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160706224"/>
        <c:crosses val="autoZero"/>
        <c:auto val="1"/>
        <c:lblOffset val="100"/>
        <c:baseTimeUnit val="years"/>
      </c:dateAx>
      <c:valAx>
        <c:axId val="-160706224"/>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01328"/>
        <c:crosses val="autoZero"/>
        <c:crossBetween val="between"/>
      </c:valAx>
      <c:valAx>
        <c:axId val="-16070894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04048"/>
        <c:crosses val="max"/>
        <c:crossBetween val="between"/>
        <c:majorUnit val="0.2"/>
      </c:valAx>
      <c:dateAx>
        <c:axId val="-160704048"/>
        <c:scaling>
          <c:orientation val="minMax"/>
        </c:scaling>
        <c:delete val="1"/>
        <c:axPos val="b"/>
        <c:numFmt formatCode="[$-409]mmm\-yy;@" sourceLinked="1"/>
        <c:majorTickMark val="out"/>
        <c:minorTickMark val="none"/>
        <c:tickLblPos val="nextTo"/>
        <c:crossAx val="-160708944"/>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Output.v0'!$C$171:$L$171</c:f>
              <c:numCache>
                <c:formatCode>0%</c:formatCode>
                <c:ptCount val="10"/>
                <c:pt idx="0">
                  <c:v>0.36224828501880946</c:v>
                </c:pt>
                <c:pt idx="1">
                  <c:v>0.36224828501880946</c:v>
                </c:pt>
                <c:pt idx="2">
                  <c:v>0.36224828501880946</c:v>
                </c:pt>
                <c:pt idx="3">
                  <c:v>0.36224828501880946</c:v>
                </c:pt>
                <c:pt idx="4">
                  <c:v>0.36224828501880946</c:v>
                </c:pt>
                <c:pt idx="5">
                  <c:v>0.37539275040232967</c:v>
                </c:pt>
                <c:pt idx="6">
                  <c:v>0.37116521577207762</c:v>
                </c:pt>
                <c:pt idx="7">
                  <c:v>0.45864399693401164</c:v>
                </c:pt>
                <c:pt idx="8">
                  <c:v>0.40617191671115854</c:v>
                </c:pt>
                <c:pt idx="9">
                  <c:v>0.31435404386897287</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Output.v0'!$C$172:$L$172</c:f>
              <c:numCache>
                <c:formatCode>0%</c:formatCode>
                <c:ptCount val="10"/>
                <c:pt idx="0">
                  <c:v>5.2555875193626899E-3</c:v>
                </c:pt>
                <c:pt idx="1">
                  <c:v>5.2555875193626899E-3</c:v>
                </c:pt>
                <c:pt idx="2">
                  <c:v>5.2555875193626899E-3</c:v>
                </c:pt>
                <c:pt idx="3">
                  <c:v>5.2555875193626899E-3</c:v>
                </c:pt>
                <c:pt idx="4">
                  <c:v>5.2555875193626899E-3</c:v>
                </c:pt>
                <c:pt idx="5">
                  <c:v>3.8700283546631922E-3</c:v>
                </c:pt>
                <c:pt idx="6">
                  <c:v>7.2622317396769239E-3</c:v>
                </c:pt>
                <c:pt idx="7">
                  <c:v>8.0133788586161242E-3</c:v>
                </c:pt>
                <c:pt idx="8">
                  <c:v>2.3705285638013882E-3</c:v>
                </c:pt>
                <c:pt idx="9">
                  <c:v>5.1695816020871591E-3</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Output.v0'!$C$173:$L$173</c:f>
              <c:numCache>
                <c:formatCode>0%</c:formatCode>
                <c:ptCount val="10"/>
                <c:pt idx="0">
                  <c:v>0.46846647488382387</c:v>
                </c:pt>
                <c:pt idx="1">
                  <c:v>0.46846647488382387</c:v>
                </c:pt>
                <c:pt idx="2">
                  <c:v>0.46846647488382387</c:v>
                </c:pt>
                <c:pt idx="3">
                  <c:v>0.46846647488382387</c:v>
                </c:pt>
                <c:pt idx="4">
                  <c:v>0.46846647488382387</c:v>
                </c:pt>
                <c:pt idx="5">
                  <c:v>0.46003525174342857</c:v>
                </c:pt>
                <c:pt idx="6">
                  <c:v>0.44644104091988268</c:v>
                </c:pt>
                <c:pt idx="7">
                  <c:v>0.33112675074907677</c:v>
                </c:pt>
                <c:pt idx="8">
                  <c:v>1.3411639081687134E-2</c:v>
                </c:pt>
                <c:pt idx="9">
                  <c:v>1.7586240216446034E-2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Output.v0'!$C$174:$L$174</c:f>
              <c:numCache>
                <c:formatCode>0%</c:formatCode>
                <c:ptCount val="10"/>
                <c:pt idx="0">
                  <c:v>2.8048240761230359E-2</c:v>
                </c:pt>
                <c:pt idx="1">
                  <c:v>2.8048240761230359E-2</c:v>
                </c:pt>
                <c:pt idx="2">
                  <c:v>2.8048240761230359E-2</c:v>
                </c:pt>
                <c:pt idx="3">
                  <c:v>2.8048240761230359E-2</c:v>
                </c:pt>
                <c:pt idx="4">
                  <c:v>2.8048240761230359E-2</c:v>
                </c:pt>
                <c:pt idx="5">
                  <c:v>2.3526707027358415E-2</c:v>
                </c:pt>
                <c:pt idx="6">
                  <c:v>3.2354173455611937E-2</c:v>
                </c:pt>
                <c:pt idx="7">
                  <c:v>2.8151348338094909E-2</c:v>
                </c:pt>
                <c:pt idx="8">
                  <c:v>0.28241324079017621</c:v>
                </c:pt>
                <c:pt idx="9">
                  <c:v>0.27355300028988311</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Output.v0'!$C$175:$L$175</c:f>
              <c:numCache>
                <c:formatCode>0%</c:formatCode>
                <c:ptCount val="10"/>
                <c:pt idx="0">
                  <c:v>3.5572029210002208E-2</c:v>
                </c:pt>
                <c:pt idx="1">
                  <c:v>3.5572029210002208E-2</c:v>
                </c:pt>
                <c:pt idx="2">
                  <c:v>3.5572029210002208E-2</c:v>
                </c:pt>
                <c:pt idx="3">
                  <c:v>3.5572029210002208E-2</c:v>
                </c:pt>
                <c:pt idx="4">
                  <c:v>3.5572029210002208E-2</c:v>
                </c:pt>
                <c:pt idx="5">
                  <c:v>3.7014330600045976E-2</c:v>
                </c:pt>
                <c:pt idx="6">
                  <c:v>3.9662957962850888E-2</c:v>
                </c:pt>
                <c:pt idx="7">
                  <c:v>7.2329454393422074E-2</c:v>
                </c:pt>
                <c:pt idx="8">
                  <c:v>4.2733582487987191E-2</c:v>
                </c:pt>
                <c:pt idx="9">
                  <c:v>5.887042226302059E-2</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Output.v0'!$C$176:$L$176</c:f>
              <c:numCache>
                <c:formatCode>0%</c:formatCode>
                <c:ptCount val="10"/>
                <c:pt idx="0">
                  <c:v>3.4299623810577556E-3</c:v>
                </c:pt>
                <c:pt idx="1">
                  <c:v>3.4299623810577556E-3</c:v>
                </c:pt>
                <c:pt idx="2">
                  <c:v>3.4299623810577556E-3</c:v>
                </c:pt>
                <c:pt idx="3">
                  <c:v>3.4299623810577556E-3</c:v>
                </c:pt>
                <c:pt idx="4">
                  <c:v>3.4299623810577556E-3</c:v>
                </c:pt>
                <c:pt idx="5">
                  <c:v>1.7242700590083531E-3</c:v>
                </c:pt>
                <c:pt idx="6">
                  <c:v>4.7949350588892513E-3</c:v>
                </c:pt>
                <c:pt idx="7">
                  <c:v>9.7554177409239795E-4</c:v>
                </c:pt>
                <c:pt idx="8">
                  <c:v>0.14712226374799786</c:v>
                </c:pt>
                <c:pt idx="9">
                  <c:v>0.13950623248623056</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Output.v0'!$C$177:$L$177</c:f>
              <c:numCache>
                <c:formatCode>0%</c:formatCode>
                <c:ptCount val="10"/>
                <c:pt idx="0">
                  <c:v>1.5711440584200043E-2</c:v>
                </c:pt>
                <c:pt idx="1">
                  <c:v>1.5711440584200043E-2</c:v>
                </c:pt>
                <c:pt idx="2">
                  <c:v>1.5711440584200043E-2</c:v>
                </c:pt>
                <c:pt idx="3">
                  <c:v>1.5711440584200043E-2</c:v>
                </c:pt>
                <c:pt idx="4">
                  <c:v>1.5711440584200043E-2</c:v>
                </c:pt>
                <c:pt idx="5">
                  <c:v>1.4292282933558127E-2</c:v>
                </c:pt>
                <c:pt idx="6">
                  <c:v>1.7038312927703553E-2</c:v>
                </c:pt>
                <c:pt idx="7">
                  <c:v>1.8012682043063201E-2</c:v>
                </c:pt>
                <c:pt idx="8">
                  <c:v>1.5077415910304324E-2</c:v>
                </c:pt>
                <c:pt idx="9">
                  <c:v>1.8286790994298967E-2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Output.v0'!$C$178:$L$178</c:f>
              <c:numCache>
                <c:formatCode>0%</c:formatCode>
                <c:ptCount val="10"/>
                <c:pt idx="0">
                  <c:v>1.2613410046470456E-2</c:v>
                </c:pt>
                <c:pt idx="1">
                  <c:v>1.2613410046470456E-2</c:v>
                </c:pt>
                <c:pt idx="2">
                  <c:v>1.2613410046470456E-2</c:v>
                </c:pt>
                <c:pt idx="3">
                  <c:v>1.2613410046470456E-2</c:v>
                </c:pt>
                <c:pt idx="4">
                  <c:v>1.2613410046470456E-2</c:v>
                </c:pt>
                <c:pt idx="5">
                  <c:v>1.4483868495670165E-2</c:v>
                </c:pt>
                <c:pt idx="6">
                  <c:v>9.5433173502164695E-3</c:v>
                </c:pt>
                <c:pt idx="7">
                  <c:v>8.6753536338931101E-3</c:v>
                </c:pt>
                <c:pt idx="8">
                  <c:v>6.5563267485317673E-3</c:v>
                </c:pt>
                <c:pt idx="9">
                  <c:v>1.8190163300802011E-2</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Output.v0'!$C$179:$L$179</c:f>
              <c:numCache>
                <c:formatCode>0%</c:formatCode>
                <c:ptCount val="10"/>
                <c:pt idx="0">
                  <c:v>2.2460721398539496E-2</c:v>
                </c:pt>
                <c:pt idx="1">
                  <c:v>2.2460721398539496E-2</c:v>
                </c:pt>
                <c:pt idx="2">
                  <c:v>2.2460721398539496E-2</c:v>
                </c:pt>
                <c:pt idx="3">
                  <c:v>2.2460721398539496E-2</c:v>
                </c:pt>
                <c:pt idx="4">
                  <c:v>2.2460721398539496E-2</c:v>
                </c:pt>
                <c:pt idx="5">
                  <c:v>2.2760364778910261E-2</c:v>
                </c:pt>
                <c:pt idx="6">
                  <c:v>2.4859177878124854E-2</c:v>
                </c:pt>
                <c:pt idx="7">
                  <c:v>2.5085359905233088E-2</c:v>
                </c:pt>
                <c:pt idx="8">
                  <c:v>3.0475173518419645E-2</c:v>
                </c:pt>
                <c:pt idx="9">
                  <c:v>5.4667117595902988E-2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Output.v0'!$C$180:$L$180</c:f>
              <c:numCache>
                <c:formatCode>0%</c:formatCode>
                <c:ptCount val="10"/>
                <c:pt idx="0">
                  <c:v>4.619384819650374E-2</c:v>
                </c:pt>
                <c:pt idx="1">
                  <c:v>4.619384819650374E-2</c:v>
                </c:pt>
                <c:pt idx="2">
                  <c:v>4.619384819650374E-2</c:v>
                </c:pt>
                <c:pt idx="3">
                  <c:v>4.619384819650374E-2</c:v>
                </c:pt>
                <c:pt idx="4">
                  <c:v>4.619384819650374E-2</c:v>
                </c:pt>
                <c:pt idx="5">
                  <c:v>4.690014560502731E-2</c:v>
                </c:pt>
                <c:pt idx="6">
                  <c:v>4.6878636934965634E-2</c:v>
                </c:pt>
                <c:pt idx="7">
                  <c:v>4.8986133370496621E-2</c:v>
                </c:pt>
                <c:pt idx="8">
                  <c:v>5.3667912439935961E-2</c:v>
                </c:pt>
                <c:pt idx="9">
                  <c:v>9.9816407382355643E-2</c:v>
                </c:pt>
              </c:numCache>
            </c:numRef>
          </c:val>
        </c:ser>
        <c:dLbls>
          <c:showLegendKey val="0"/>
          <c:showVal val="1"/>
          <c:showCatName val="0"/>
          <c:showSerName val="0"/>
          <c:showPercent val="0"/>
          <c:showBubbleSize val="0"/>
        </c:dLbls>
        <c:axId val="-160699152"/>
        <c:axId val="-160711120"/>
      </c:areaChart>
      <c:dateAx>
        <c:axId val="-160699152"/>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60711120"/>
        <c:crosses val="autoZero"/>
        <c:auto val="1"/>
        <c:lblOffset val="100"/>
        <c:baseTimeUnit val="years"/>
      </c:dateAx>
      <c:valAx>
        <c:axId val="-160711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0699152"/>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Output.v0'!$D$190:$L$190</c:f>
              <c:numCache>
                <c:formatCode>0</c:formatCode>
                <c:ptCount val="9"/>
                <c:pt idx="0">
                  <c:v>110.5</c:v>
                </c:pt>
                <c:pt idx="1">
                  <c:v>88.73</c:v>
                </c:pt>
                <c:pt idx="2">
                  <c:v>79.930000000000007</c:v>
                </c:pt>
                <c:pt idx="3">
                  <c:v>80.39</c:v>
                </c:pt>
                <c:pt idx="4">
                  <c:v>165.1</c:v>
                </c:pt>
                <c:pt idx="5">
                  <c:v>159.91000000000003</c:v>
                </c:pt>
                <c:pt idx="6">
                  <c:v>144.74</c:v>
                </c:pt>
                <c:pt idx="7">
                  <c:v>174.02</c:v>
                </c:pt>
                <c:pt idx="8">
                  <c:v>269.53000000000003</c:v>
                </c:pt>
              </c:numCache>
            </c:numRef>
          </c:val>
        </c:ser>
        <c:dLbls>
          <c:dLblPos val="inEnd"/>
          <c:showLegendKey val="0"/>
          <c:showVal val="1"/>
          <c:showCatName val="0"/>
          <c:showSerName val="0"/>
          <c:showPercent val="0"/>
          <c:showBubbleSize val="0"/>
        </c:dLbls>
        <c:gapWidth val="0"/>
        <c:axId val="-160710576"/>
        <c:axId val="-160698064"/>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42460</c:v>
                </c:pt>
                <c:pt idx="1">
                  <c:v>42551</c:v>
                </c:pt>
                <c:pt idx="2">
                  <c:v>42643</c:v>
                </c:pt>
                <c:pt idx="3">
                  <c:v>42735</c:v>
                </c:pt>
                <c:pt idx="4">
                  <c:v>42825</c:v>
                </c:pt>
                <c:pt idx="5">
                  <c:v>42916</c:v>
                </c:pt>
                <c:pt idx="6">
                  <c:v>43008</c:v>
                </c:pt>
                <c:pt idx="7">
                  <c:v>43100</c:v>
                </c:pt>
                <c:pt idx="8">
                  <c:v>43190</c:v>
                </c:pt>
              </c:numCache>
            </c:numRef>
          </c:cat>
          <c:val>
            <c:numRef>
              <c:f>'Screener Output.v0'!$D$191:$L$191</c:f>
              <c:numCache>
                <c:formatCode>0%</c:formatCode>
                <c:ptCount val="9"/>
                <c:pt idx="3">
                  <c:v>-0.27248868778280544</c:v>
                </c:pt>
                <c:pt idx="4">
                  <c:v>0.49411764705882355</c:v>
                </c:pt>
                <c:pt idx="5">
                  <c:v>0.80220894849543578</c:v>
                </c:pt>
                <c:pt idx="6">
                  <c:v>0.81083448017014881</c:v>
                </c:pt>
                <c:pt idx="7">
                  <c:v>1.1646971016295562</c:v>
                </c:pt>
                <c:pt idx="8">
                  <c:v>0.63252574197456113</c:v>
                </c:pt>
              </c:numCache>
            </c:numRef>
          </c:val>
          <c:smooth val="0"/>
        </c:ser>
        <c:dLbls>
          <c:showLegendKey val="0"/>
          <c:showVal val="0"/>
          <c:showCatName val="0"/>
          <c:showSerName val="0"/>
          <c:showPercent val="0"/>
          <c:showBubbleSize val="0"/>
        </c:dLbls>
        <c:marker val="1"/>
        <c:smooth val="0"/>
        <c:axId val="-160713296"/>
        <c:axId val="-160702960"/>
      </c:lineChart>
      <c:dateAx>
        <c:axId val="-16071057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60698064"/>
        <c:crosses val="autoZero"/>
        <c:auto val="1"/>
        <c:lblOffset val="100"/>
        <c:baseTimeUnit val="months"/>
        <c:majorUnit val="3"/>
        <c:majorTimeUnit val="months"/>
      </c:dateAx>
      <c:valAx>
        <c:axId val="-16069806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10576"/>
        <c:crosses val="autoZero"/>
        <c:crossBetween val="between"/>
      </c:valAx>
      <c:valAx>
        <c:axId val="-160702960"/>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13296"/>
        <c:crosses val="max"/>
        <c:crossBetween val="between"/>
        <c:majorUnit val="0.2"/>
      </c:valAx>
      <c:dateAx>
        <c:axId val="-160713296"/>
        <c:scaling>
          <c:orientation val="minMax"/>
        </c:scaling>
        <c:delete val="1"/>
        <c:axPos val="b"/>
        <c:numFmt formatCode="[$-409]mmm\-yy;@" sourceLinked="1"/>
        <c:majorTickMark val="out"/>
        <c:minorTickMark val="none"/>
        <c:tickLblPos val="nextTo"/>
        <c:crossAx val="-160702960"/>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Output.v0'!$C$196:$L$196</c:f>
              <c:numCache>
                <c:formatCode>0%</c:formatCode>
                <c:ptCount val="10"/>
                <c:pt idx="0">
                  <c:v>0.89420814479638011</c:v>
                </c:pt>
                <c:pt idx="1">
                  <c:v>0.89420814479638011</c:v>
                </c:pt>
                <c:pt idx="2">
                  <c:v>0.83647019046545701</c:v>
                </c:pt>
                <c:pt idx="3">
                  <c:v>0.83060177655448508</c:v>
                </c:pt>
                <c:pt idx="4">
                  <c:v>0.82062445577808185</c:v>
                </c:pt>
                <c:pt idx="5">
                  <c:v>0.77674136886735323</c:v>
                </c:pt>
                <c:pt idx="6">
                  <c:v>0.84979050716027749</c:v>
                </c:pt>
                <c:pt idx="7">
                  <c:v>0.83535995578278288</c:v>
                </c:pt>
                <c:pt idx="8">
                  <c:v>0.82887024479944837</c:v>
                </c:pt>
                <c:pt idx="9">
                  <c:v>0.84365376766964706</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Output.v0'!$C$197:$L$197</c:f>
              <c:numCache>
                <c:formatCode>0%</c:formatCode>
                <c:ptCount val="10"/>
                <c:pt idx="0">
                  <c:v>1.51131221719457E-2</c:v>
                </c:pt>
                <c:pt idx="1">
                  <c:v>1.51131221719457E-2</c:v>
                </c:pt>
                <c:pt idx="2">
                  <c:v>1.9046545700439534E-2</c:v>
                </c:pt>
                <c:pt idx="3">
                  <c:v>2.3020142624796697E-2</c:v>
                </c:pt>
                <c:pt idx="4">
                  <c:v>2.4132354770493841E-2</c:v>
                </c:pt>
                <c:pt idx="5">
                  <c:v>1.2658994548758329E-2</c:v>
                </c:pt>
                <c:pt idx="6">
                  <c:v>1.1506472390719778E-2</c:v>
                </c:pt>
                <c:pt idx="7">
                  <c:v>1.5752383584358157E-2</c:v>
                </c:pt>
                <c:pt idx="8">
                  <c:v>1.5917710607976095E-2</c:v>
                </c:pt>
                <c:pt idx="9">
                  <c:v>1.5916595555225763E-2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Output.v0'!$C$198:$L$198</c:f>
              <c:numCache>
                <c:formatCode>0%</c:formatCode>
                <c:ptCount val="10"/>
                <c:pt idx="0">
                  <c:v>6.5158371040723983E-3</c:v>
                </c:pt>
                <c:pt idx="1">
                  <c:v>6.5158371040723983E-3</c:v>
                </c:pt>
                <c:pt idx="2">
                  <c:v>1.7243322438859461E-2</c:v>
                </c:pt>
                <c:pt idx="3">
                  <c:v>2.2019266858501186E-2</c:v>
                </c:pt>
                <c:pt idx="4">
                  <c:v>2.77397686279388E-2</c:v>
                </c:pt>
                <c:pt idx="5">
                  <c:v>1.217443973349485E-2</c:v>
                </c:pt>
                <c:pt idx="6">
                  <c:v>8.5047839409667925E-3</c:v>
                </c:pt>
                <c:pt idx="7">
                  <c:v>1.3886969738842059E-2</c:v>
                </c:pt>
                <c:pt idx="8">
                  <c:v>1.3446730260889552E-2</c:v>
                </c:pt>
                <c:pt idx="9">
                  <c:v>1.1093384780914926E-2</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Output.v0'!$C$199:$L$199</c:f>
              <c:numCache>
                <c:formatCode>0%</c:formatCode>
                <c:ptCount val="10"/>
                <c:pt idx="0">
                  <c:v>3.0316742081447964E-2</c:v>
                </c:pt>
                <c:pt idx="1">
                  <c:v>3.0316742081447964E-2</c:v>
                </c:pt>
                <c:pt idx="2">
                  <c:v>4.260114955482925E-2</c:v>
                </c:pt>
                <c:pt idx="3">
                  <c:v>4.5790066308019517E-2</c:v>
                </c:pt>
                <c:pt idx="4">
                  <c:v>3.6447319318323179E-2</c:v>
                </c:pt>
                <c:pt idx="5">
                  <c:v>7.4197456087219865E-2</c:v>
                </c:pt>
                <c:pt idx="6">
                  <c:v>4.5338002626477386E-2</c:v>
                </c:pt>
                <c:pt idx="7">
                  <c:v>4.7395329556446042E-2</c:v>
                </c:pt>
                <c:pt idx="8">
                  <c:v>5.4533961613607629E-2</c:v>
                </c:pt>
                <c:pt idx="9">
                  <c:v>4.4150929395614588E-2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42369</c:v>
                </c:pt>
                <c:pt idx="1">
                  <c:v>42460</c:v>
                </c:pt>
                <c:pt idx="2">
                  <c:v>42551</c:v>
                </c:pt>
                <c:pt idx="3">
                  <c:v>42643</c:v>
                </c:pt>
                <c:pt idx="4">
                  <c:v>42735</c:v>
                </c:pt>
                <c:pt idx="5">
                  <c:v>42825</c:v>
                </c:pt>
                <c:pt idx="6">
                  <c:v>42916</c:v>
                </c:pt>
                <c:pt idx="7">
                  <c:v>43008</c:v>
                </c:pt>
                <c:pt idx="8">
                  <c:v>43100</c:v>
                </c:pt>
                <c:pt idx="9">
                  <c:v>43190</c:v>
                </c:pt>
              </c:numCache>
            </c:numRef>
          </c:cat>
          <c:val>
            <c:numRef>
              <c:f>'Screener Output.v0'!$C$200:$L$200</c:f>
              <c:numCache>
                <c:formatCode>0%</c:formatCode>
                <c:ptCount val="10"/>
                <c:pt idx="0">
                  <c:v>5.3846153846153766E-2</c:v>
                </c:pt>
                <c:pt idx="1">
                  <c:v>5.3846153846153766E-2</c:v>
                </c:pt>
                <c:pt idx="2">
                  <c:v>8.4638791840414673E-2</c:v>
                </c:pt>
                <c:pt idx="3">
                  <c:v>7.8568747654197524E-2</c:v>
                </c:pt>
                <c:pt idx="4">
                  <c:v>9.1056101505162301E-2</c:v>
                </c:pt>
                <c:pt idx="5">
                  <c:v>0.12422774076317378</c:v>
                </c:pt>
                <c:pt idx="6">
                  <c:v>8.4860233881558611E-2</c:v>
                </c:pt>
                <c:pt idx="7">
                  <c:v>8.7605361337570908E-2</c:v>
                </c:pt>
                <c:pt idx="8">
                  <c:v>8.7231352718078359E-2</c:v>
                </c:pt>
                <c:pt idx="9">
                  <c:v>8.5185322598597679E-2</c:v>
                </c:pt>
              </c:numCache>
            </c:numRef>
          </c:val>
        </c:ser>
        <c:dLbls>
          <c:showLegendKey val="0"/>
          <c:showVal val="1"/>
          <c:showCatName val="0"/>
          <c:showSerName val="0"/>
          <c:showPercent val="0"/>
          <c:showBubbleSize val="0"/>
        </c:dLbls>
        <c:axId val="-160702416"/>
        <c:axId val="-160711664"/>
      </c:areaChart>
      <c:dateAx>
        <c:axId val="-16070241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60711664"/>
        <c:crosses val="autoZero"/>
        <c:auto val="1"/>
        <c:lblOffset val="100"/>
        <c:baseTimeUnit val="months"/>
        <c:majorUnit val="3"/>
        <c:majorTimeUnit val="months"/>
      </c:dateAx>
      <c:valAx>
        <c:axId val="-160711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0702416"/>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Output.v0'!$C$120:$L$120</c:f>
              <c:numCache>
                <c:formatCode>0.00</c:formatCode>
                <c:ptCount val="10"/>
                <c:pt idx="0">
                  <c:v>9.9139844617092123</c:v>
                </c:pt>
                <c:pt idx="1">
                  <c:v>9.9139844617092123</c:v>
                </c:pt>
                <c:pt idx="2">
                  <c:v>9.9139844617092123</c:v>
                </c:pt>
                <c:pt idx="3">
                  <c:v>9.9139844617092123</c:v>
                </c:pt>
                <c:pt idx="4">
                  <c:v>9.9139844617092123</c:v>
                </c:pt>
                <c:pt idx="5">
                  <c:v>14.104166666666664</c:v>
                </c:pt>
                <c:pt idx="6">
                  <c:v>11.383824722748175</c:v>
                </c:pt>
                <c:pt idx="7">
                  <c:v>10.845157548811134</c:v>
                </c:pt>
                <c:pt idx="8">
                  <c:v>10.720505617977528</c:v>
                </c:pt>
                <c:pt idx="9">
                  <c:v>7.7076641984806225</c:v>
                </c:pt>
              </c:numCache>
            </c:numRef>
          </c:val>
        </c:ser>
        <c:dLbls>
          <c:dLblPos val="inEnd"/>
          <c:showLegendKey val="0"/>
          <c:showVal val="1"/>
          <c:showCatName val="0"/>
          <c:showSerName val="0"/>
          <c:showPercent val="0"/>
          <c:showBubbleSize val="0"/>
        </c:dLbls>
        <c:gapWidth val="41"/>
        <c:axId val="-160703504"/>
        <c:axId val="-160708400"/>
      </c:barChart>
      <c:dateAx>
        <c:axId val="-16070350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60708400"/>
        <c:crosses val="autoZero"/>
        <c:auto val="1"/>
        <c:lblOffset val="100"/>
        <c:baseTimeUnit val="years"/>
      </c:dateAx>
      <c:valAx>
        <c:axId val="-160708400"/>
        <c:scaling>
          <c:orientation val="minMax"/>
        </c:scaling>
        <c:delete val="1"/>
        <c:axPos val="l"/>
        <c:numFmt formatCode="0.00" sourceLinked="1"/>
        <c:majorTickMark val="none"/>
        <c:minorTickMark val="none"/>
        <c:tickLblPos val="nextTo"/>
        <c:crossAx val="-16070350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Output.v0'!$C$95:$L$95</c:f>
              <c:numCache>
                <c:formatCode>0%</c:formatCode>
                <c:ptCount val="10"/>
                <c:pt idx="0">
                  <c:v>0.89392667226420386</c:v>
                </c:pt>
                <c:pt idx="1">
                  <c:v>0.89392667226420386</c:v>
                </c:pt>
                <c:pt idx="2">
                  <c:v>0.89392667226420386</c:v>
                </c:pt>
                <c:pt idx="3">
                  <c:v>0.89392667226420386</c:v>
                </c:pt>
                <c:pt idx="4">
                  <c:v>0.89392667226420386</c:v>
                </c:pt>
                <c:pt idx="5">
                  <c:v>0.95269377283681878</c:v>
                </c:pt>
                <c:pt idx="6">
                  <c:v>0.93461008411348201</c:v>
                </c:pt>
                <c:pt idx="7">
                  <c:v>0.91490499447435025</c:v>
                </c:pt>
                <c:pt idx="8">
                  <c:v>0.97746626490239752</c:v>
                </c:pt>
                <c:pt idx="9">
                  <c:v>0.86710250524004395</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39508</c:v>
                </c:pt>
                <c:pt idx="1">
                  <c:v>39873</c:v>
                </c:pt>
                <c:pt idx="2">
                  <c:v>40238</c:v>
                </c:pt>
                <c:pt idx="3">
                  <c:v>40603</c:v>
                </c:pt>
                <c:pt idx="4">
                  <c:v>40969</c:v>
                </c:pt>
                <c:pt idx="5">
                  <c:v>41334</c:v>
                </c:pt>
                <c:pt idx="6">
                  <c:v>41699</c:v>
                </c:pt>
                <c:pt idx="7">
                  <c:v>42064</c:v>
                </c:pt>
                <c:pt idx="8">
                  <c:v>42430</c:v>
                </c:pt>
                <c:pt idx="9">
                  <c:v>42795</c:v>
                </c:pt>
              </c:numCache>
            </c:numRef>
          </c:cat>
          <c:val>
            <c:numRef>
              <c:f>'Screener Output.v0'!$C$96:$L$96</c:f>
              <c:numCache>
                <c:formatCode>0%</c:formatCode>
                <c:ptCount val="10"/>
                <c:pt idx="0">
                  <c:v>0.10607332773579614</c:v>
                </c:pt>
                <c:pt idx="1">
                  <c:v>0.10607332773579614</c:v>
                </c:pt>
                <c:pt idx="2">
                  <c:v>0.10607332773579614</c:v>
                </c:pt>
                <c:pt idx="3">
                  <c:v>0.10607332773579614</c:v>
                </c:pt>
                <c:pt idx="4">
                  <c:v>0.10607332773579614</c:v>
                </c:pt>
                <c:pt idx="5">
                  <c:v>4.7306227163181225E-2</c:v>
                </c:pt>
                <c:pt idx="6">
                  <c:v>6.5389915886517991E-2</c:v>
                </c:pt>
                <c:pt idx="7">
                  <c:v>8.5095005525649747E-2</c:v>
                </c:pt>
                <c:pt idx="8">
                  <c:v>2.2533735097602481E-2</c:v>
                </c:pt>
                <c:pt idx="9">
                  <c:v>0.13289749475995605</c:v>
                </c:pt>
              </c:numCache>
            </c:numRef>
          </c:val>
        </c:ser>
        <c:dLbls>
          <c:dLblPos val="ctr"/>
          <c:showLegendKey val="0"/>
          <c:showVal val="1"/>
          <c:showCatName val="0"/>
          <c:showSerName val="0"/>
          <c:showPercent val="0"/>
          <c:showBubbleSize val="0"/>
        </c:dLbls>
        <c:gapWidth val="150"/>
        <c:overlap val="100"/>
        <c:axId val="-160712752"/>
        <c:axId val="-160701872"/>
      </c:barChart>
      <c:dateAx>
        <c:axId val="-16071275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0701872"/>
        <c:crosses val="autoZero"/>
        <c:auto val="1"/>
        <c:lblOffset val="100"/>
        <c:baseTimeUnit val="years"/>
      </c:dateAx>
      <c:valAx>
        <c:axId val="-160701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07127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Output.v0'!$D$186:$L$186</c:f>
              <c:numCache>
                <c:formatCode>_(* #,##0.0_);_(* \(#,##0.0\);_(* "-"??_);_(@_)</c:formatCode>
                <c:ptCount val="9"/>
                <c:pt idx="0">
                  <c:v>104.375</c:v>
                </c:pt>
                <c:pt idx="1">
                  <c:v>104.375</c:v>
                </c:pt>
                <c:pt idx="2">
                  <c:v>104.375</c:v>
                </c:pt>
                <c:pt idx="3">
                  <c:v>104.375</c:v>
                </c:pt>
                <c:pt idx="4">
                  <c:v>153.125</c:v>
                </c:pt>
                <c:pt idx="5">
                  <c:v>125.875</c:v>
                </c:pt>
                <c:pt idx="6">
                  <c:v>175.625</c:v>
                </c:pt>
                <c:pt idx="7">
                  <c:v>78.53125</c:v>
                </c:pt>
                <c:pt idx="8">
                  <c:v>14.343750000000002</c:v>
                </c:pt>
              </c:numCache>
            </c:numRef>
          </c:val>
        </c:ser>
        <c:dLbls>
          <c:dLblPos val="inEnd"/>
          <c:showLegendKey val="0"/>
          <c:showVal val="1"/>
          <c:showCatName val="0"/>
          <c:showSerName val="0"/>
          <c:showPercent val="0"/>
          <c:showBubbleSize val="0"/>
        </c:dLbls>
        <c:gapWidth val="41"/>
        <c:axId val="-160700784"/>
        <c:axId val="-160709488"/>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39873</c:v>
                </c:pt>
                <c:pt idx="1">
                  <c:v>40238</c:v>
                </c:pt>
                <c:pt idx="2">
                  <c:v>40603</c:v>
                </c:pt>
                <c:pt idx="3">
                  <c:v>40969</c:v>
                </c:pt>
                <c:pt idx="4">
                  <c:v>41334</c:v>
                </c:pt>
                <c:pt idx="5">
                  <c:v>41699</c:v>
                </c:pt>
                <c:pt idx="6">
                  <c:v>42064</c:v>
                </c:pt>
                <c:pt idx="7">
                  <c:v>42430</c:v>
                </c:pt>
                <c:pt idx="8">
                  <c:v>42795</c:v>
                </c:pt>
              </c:numCache>
            </c:numRef>
          </c:cat>
          <c:val>
            <c:numRef>
              <c:f>'Screener Output.v0'!$D$187:$L$187</c:f>
              <c:numCache>
                <c:formatCode>0%</c:formatCode>
                <c:ptCount val="9"/>
                <c:pt idx="0">
                  <c:v>0</c:v>
                </c:pt>
                <c:pt idx="1">
                  <c:v>0</c:v>
                </c:pt>
                <c:pt idx="2">
                  <c:v>0</c:v>
                </c:pt>
                <c:pt idx="3">
                  <c:v>0</c:v>
                </c:pt>
                <c:pt idx="4">
                  <c:v>0.46706586826347296</c:v>
                </c:pt>
                <c:pt idx="5">
                  <c:v>-0.17795918367346941</c:v>
                </c:pt>
                <c:pt idx="6">
                  <c:v>0.39523336643495521</c:v>
                </c:pt>
                <c:pt idx="7">
                  <c:v>-0.55284697508896796</c:v>
                </c:pt>
                <c:pt idx="8">
                  <c:v>-0.81734978113808199</c:v>
                </c:pt>
              </c:numCache>
            </c:numRef>
          </c:val>
          <c:smooth val="0"/>
        </c:ser>
        <c:dLbls>
          <c:showLegendKey val="0"/>
          <c:showVal val="0"/>
          <c:showCatName val="0"/>
          <c:showSerName val="0"/>
          <c:showPercent val="0"/>
          <c:showBubbleSize val="0"/>
        </c:dLbls>
        <c:marker val="1"/>
        <c:smooth val="0"/>
        <c:axId val="-160710032"/>
        <c:axId val="-160712208"/>
      </c:lineChart>
      <c:dateAx>
        <c:axId val="-16070078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160709488"/>
        <c:crosses val="autoZero"/>
        <c:auto val="1"/>
        <c:lblOffset val="100"/>
        <c:baseTimeUnit val="years"/>
      </c:dateAx>
      <c:valAx>
        <c:axId val="-160709488"/>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60700784"/>
        <c:crossesAt val="39875"/>
        <c:crossBetween val="between"/>
      </c:valAx>
      <c:valAx>
        <c:axId val="-160712208"/>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60710032"/>
        <c:crosses val="max"/>
        <c:crossBetween val="between"/>
        <c:majorUnit val="0.2"/>
      </c:valAx>
      <c:dateAx>
        <c:axId val="-160710032"/>
        <c:scaling>
          <c:orientation val="minMax"/>
        </c:scaling>
        <c:delete val="1"/>
        <c:axPos val="b"/>
        <c:numFmt formatCode="[$-409]mmm\-yy;@" sourceLinked="1"/>
        <c:majorTickMark val="out"/>
        <c:minorTickMark val="none"/>
        <c:tickLblPos val="nextTo"/>
        <c:crossAx val="-160712208"/>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4</xdr:col>
          <xdr:colOff>771525</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10</xdr:row>
      <xdr:rowOff>10582</xdr:rowOff>
    </xdr:from>
    <xdr:to>
      <xdr:col>9</xdr:col>
      <xdr:colOff>0</xdr:colOff>
      <xdr:row>25</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16</xdr:row>
      <xdr:rowOff>40217</xdr:rowOff>
    </xdr:from>
    <xdr:to>
      <xdr:col>8</xdr:col>
      <xdr:colOff>247650</xdr:colOff>
      <xdr:row>16</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8</xdr:col>
      <xdr:colOff>161925</xdr:colOff>
      <xdr:row>12</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32</xdr:row>
      <xdr:rowOff>10583</xdr:rowOff>
    </xdr:from>
    <xdr:to>
      <xdr:col>8</xdr:col>
      <xdr:colOff>590550</xdr:colOff>
      <xdr:row>46</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35</xdr:row>
      <xdr:rowOff>43392</xdr:rowOff>
    </xdr:from>
    <xdr:to>
      <xdr:col>8</xdr:col>
      <xdr:colOff>228600</xdr:colOff>
      <xdr:row>35</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39</xdr:row>
      <xdr:rowOff>28575</xdr:rowOff>
    </xdr:from>
    <xdr:to>
      <xdr:col>8</xdr:col>
      <xdr:colOff>247650</xdr:colOff>
      <xdr:row>39</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32</xdr:row>
      <xdr:rowOff>9525</xdr:rowOff>
    </xdr:from>
    <xdr:to>
      <xdr:col>17</xdr:col>
      <xdr:colOff>590549</xdr:colOff>
      <xdr:row>46</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10</xdr:row>
      <xdr:rowOff>19049</xdr:rowOff>
    </xdr:from>
    <xdr:to>
      <xdr:col>17</xdr:col>
      <xdr:colOff>600074</xdr:colOff>
      <xdr:row>25</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P_Projects_V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evenue"/>
      <sheetName val="Profit"/>
      <sheetName val="Dupont"/>
      <sheetName val="Efficiency"/>
      <sheetName val="Others"/>
      <sheetName val="Scorecard"/>
      <sheetName val="Analysis"/>
      <sheetName val="Valuation"/>
      <sheetName val="Piotroski"/>
      <sheetName val="Altman"/>
      <sheetName val="MICAP"/>
      <sheetName val="Polished Data"/>
      <sheetName val="Quantitative"/>
      <sheetName val="Qualitative"/>
      <sheetName val="Phil Fis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PSP PROJECTS LTD</v>
          </cell>
        </row>
        <row r="8">
          <cell r="B8">
            <v>540.29999999999995</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K11" sqref="K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45" t="s">
        <v>64</v>
      </c>
      <c r="B1" s="345"/>
      <c r="C1" s="345" t="s">
        <v>67</v>
      </c>
      <c r="D1" s="345"/>
      <c r="E1" s="345"/>
      <c r="F1" s="345"/>
      <c r="G1" s="345"/>
      <c r="H1" s="345"/>
      <c r="I1" s="345"/>
      <c r="J1" s="345"/>
      <c r="K1" s="345"/>
      <c r="L1" s="345"/>
      <c r="M1" s="345"/>
    </row>
    <row r="3" spans="1:14">
      <c r="A3" s="3" t="s">
        <v>0</v>
      </c>
      <c r="B3" s="17" t="str">
        <f>'Annual Report input'!D2</f>
        <v>PSP PROJECTS LTD</v>
      </c>
    </row>
    <row r="4" spans="1:14">
      <c r="A4" s="3" t="s">
        <v>1</v>
      </c>
      <c r="B4" s="17">
        <f>'Annual Report input'!D3</f>
        <v>0</v>
      </c>
    </row>
    <row r="5" spans="1:14" ht="15.75" thickBot="1">
      <c r="A5" s="3" t="s">
        <v>63</v>
      </c>
      <c r="B5" s="170">
        <f>'Annual Report input'!D5</f>
        <v>540.29999999999995</v>
      </c>
      <c r="K5" s="348"/>
      <c r="L5" s="348"/>
    </row>
    <row r="6" spans="1:14" ht="16.5" thickTop="1" thickBot="1">
      <c r="A6" s="3" t="s">
        <v>2</v>
      </c>
      <c r="B6" s="69">
        <f>'Screener Output.v0'!L40</f>
        <v>28.8</v>
      </c>
      <c r="I6" s="346" t="s">
        <v>329</v>
      </c>
      <c r="J6" s="346"/>
      <c r="K6" s="215">
        <f>(Valuation_Table!B8-Valuation_Table!B25)/Valuation_Table!B25</f>
        <v>0.29209611628602405</v>
      </c>
      <c r="L6" s="215"/>
      <c r="N6" s="338" t="s">
        <v>269</v>
      </c>
    </row>
    <row r="7" spans="1:14" ht="15.75" thickTop="1">
      <c r="A7" s="3" t="s">
        <v>3</v>
      </c>
      <c r="B7" s="1">
        <f>'Screener Output.v0'!B38</f>
        <v>1945.08</v>
      </c>
      <c r="I7" s="240" t="s">
        <v>373</v>
      </c>
      <c r="K7" s="239">
        <f>IF(Valuation_Table!A28=2, (Valuation_Table!B9*(Valuation_Table!B9/Valuation_Table!B10)*Valuation_Table!B21)/Valuation_Table!B8-1, (Valuation_Table!B11*(Valuation_Table!E12/Valuation_Table!F12)*Valuation_Table!B22)/Valuation_Table!B8-1)</f>
        <v>0.19679327031321669</v>
      </c>
      <c r="N7" s="342">
        <f>Valuation_Table!B17</f>
        <v>-0.73796853828574438</v>
      </c>
    </row>
    <row r="8" spans="1:14" ht="15.75" thickBot="1">
      <c r="A8" s="3" t="s">
        <v>4</v>
      </c>
      <c r="B8" s="18">
        <f>SUM('Shareholding input'!C6:C7)</f>
        <v>0.72130000000000005</v>
      </c>
      <c r="I8" s="347" t="s">
        <v>372</v>
      </c>
      <c r="J8" s="347"/>
      <c r="K8" s="216">
        <f>POWER(Valuation_Table!E24/Valuation_Table!B8, 1/5)-1</f>
        <v>-0.35216897416164517</v>
      </c>
      <c r="L8" s="216"/>
      <c r="N8" s="343"/>
    </row>
    <row r="9" spans="1:14" ht="15.75" thickTop="1"/>
    <row r="11" spans="1:14" ht="185.25" customHeight="1">
      <c r="A11" s="3" t="s">
        <v>5</v>
      </c>
      <c r="B11" s="19" t="str">
        <f>'Annual Report input'!D4</f>
        <v>Data manually filled in Quantitative tab. Enough history not available
Valuation formulas manually adjusted</v>
      </c>
    </row>
    <row r="12" spans="1:14">
      <c r="A12" s="344"/>
      <c r="B12" s="344"/>
    </row>
    <row r="13" spans="1:14">
      <c r="A13" s="77"/>
      <c r="B13" s="77"/>
    </row>
  </sheetData>
  <mergeCells count="7">
    <mergeCell ref="N7:N8"/>
    <mergeCell ref="A12:B12"/>
    <mergeCell ref="A1:B1"/>
    <mergeCell ref="I6:J6"/>
    <mergeCell ref="I8:J8"/>
    <mergeCell ref="C1:M1"/>
    <mergeCell ref="K5:L5"/>
  </mergeCells>
  <conditionalFormatting sqref="K6:L6">
    <cfRule type="dataBar" priority="3">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{F742FF4B-F066-472D-BEF6-96B2E6E9AEEA}</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{49351161-47A0-46A1-A074-ECA749E7B241}</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F742FF4B-F066-472D-BEF6-96B2E6E9AEEA}">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49351161-47A0-46A1-A074-ECA749E7B241}">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workbookViewId="0">
      <selection activeCell="O64" sqref="O6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382"/>
      <c r="C1" s="383"/>
      <c r="D1" s="383"/>
      <c r="E1" s="383"/>
      <c r="F1" s="383"/>
      <c r="G1" s="383"/>
    </row>
    <row r="2" spans="2:12" ht="15">
      <c r="B2" s="384" t="s">
        <v>88</v>
      </c>
      <c r="C2" s="384"/>
      <c r="D2" s="384"/>
      <c r="E2" s="384"/>
      <c r="F2" s="384"/>
      <c r="G2" s="384"/>
    </row>
    <row r="3" spans="2:12">
      <c r="B3" s="30" t="s">
        <v>84</v>
      </c>
      <c r="C3" s="31" t="s">
        <v>90</v>
      </c>
      <c r="D3" s="31" t="s">
        <v>91</v>
      </c>
      <c r="E3" s="31" t="s">
        <v>92</v>
      </c>
      <c r="F3" s="31" t="s">
        <v>93</v>
      </c>
      <c r="G3" s="31" t="s">
        <v>94</v>
      </c>
    </row>
    <row r="4" spans="2:12">
      <c r="B4" s="22" t="s">
        <v>50</v>
      </c>
      <c r="C4" s="166">
        <f>SUM('Screener Output.v0'!L35:L35)/SUM('Screener Output.v0'!L60:L60)</f>
        <v>0.13107473670853978</v>
      </c>
      <c r="D4" s="166">
        <f>SUM('Screener Output.v0'!K35:K35)/SUM('Screener Output.v0'!K60:K60)</f>
        <v>0.10985312117503072</v>
      </c>
      <c r="E4" s="166">
        <f>SUM('Screener Output.v0'!J35:J35)/SUM('Screener Output.v0'!J60:J60)</f>
        <v>7.5437278677969538E-2</v>
      </c>
      <c r="F4" s="166">
        <f>SUM('Screener Output.v0'!I35:I35)/SUM('Screener Output.v0'!I60:I60)</f>
        <v>7.3897409554560894E-2</v>
      </c>
      <c r="G4" s="166">
        <f>SUM('Screener Output.v0'!H35:H35)/SUM('Screener Output.v0'!H60:H60)</f>
        <v>0.12123613312202855</v>
      </c>
    </row>
    <row r="5" spans="2:12">
      <c r="B5" s="22" t="s">
        <v>293</v>
      </c>
      <c r="C5" s="23">
        <f>'Screener Output.v0'!L45/'Screener Output.v0'!L60</f>
        <v>0.2148838979824895</v>
      </c>
      <c r="D5" s="23">
        <f>'Screener Output.v0'!K45/'Screener Output.v0'!K60</f>
        <v>0.19780556041265956</v>
      </c>
      <c r="E5" s="23">
        <f>'Screener Output.v0'!J45/'Screener Output.v0'!J60</f>
        <v>0.17925743105483419</v>
      </c>
      <c r="F5" s="23">
        <f>'Screener Output.v0'!I45/'Screener Output.v0'!I60</f>
        <v>0.19087106479782784</v>
      </c>
      <c r="G5" s="23">
        <f>'Screener Output.v0'!H45/'Screener Output.v0'!H60</f>
        <v>0.14847464342313788</v>
      </c>
    </row>
    <row r="6" spans="2:12">
      <c r="B6" s="22" t="s">
        <v>51</v>
      </c>
      <c r="C6" s="23">
        <f>SUM('Screener Output.v0'!L9:L9)/SUM('Screener Output.v0'!L10:L10)</f>
        <v>1.7292679439519587</v>
      </c>
      <c r="D6" s="23">
        <f>SUM('Screener Output.v0'!K9:K9)/SUM('Screener Output.v0'!K10:K10)</f>
        <v>1.3522184300341296</v>
      </c>
      <c r="E6" s="23">
        <f>SUM('Screener Output.v0'!J9:J9)/SUM('Screener Output.v0'!J10:J10)</f>
        <v>1.3226779820839227</v>
      </c>
      <c r="F6" s="23">
        <f>SUM('Screener Output.v0'!I9:I9)/SUM('Screener Output.v0'!I10:I10)</f>
        <v>1.4421624486550948</v>
      </c>
      <c r="G6" s="23">
        <f>SUM('Screener Output.v0'!H9:H9)/SUM('Screener Output.v0'!H10:H10)</f>
        <v>1.3308068047835608</v>
      </c>
    </row>
    <row r="7" spans="2:12">
      <c r="B7" s="22" t="s">
        <v>52</v>
      </c>
      <c r="C7" s="25">
        <f>'Screener Output.v0'!L29/'Screener Output.v0'!L26</f>
        <v>0.19725022457331087</v>
      </c>
      <c r="D7" s="25">
        <f>'Screener Output.v0'!K29/'Screener Output.v0'!K26</f>
        <v>0.10814882745971446</v>
      </c>
      <c r="E7" s="25">
        <f>'Screener Output.v0'!J29/'Screener Output.v0'!J26</f>
        <v>0.10309792877259265</v>
      </c>
      <c r="F7" s="25">
        <f>'Screener Output.v0'!I29/'Screener Output.v0'!I26</f>
        <v>0.10036591740721387</v>
      </c>
      <c r="G7" s="25">
        <f>'Screener Output.v0'!H29/'Screener Output.v0'!H26</f>
        <v>9.986006374873671E-2</v>
      </c>
    </row>
    <row r="8" spans="2:12">
      <c r="B8" s="22" t="s">
        <v>229</v>
      </c>
      <c r="C8" s="22">
        <f>'Screener Output.v0'!L35</f>
        <v>41.320000000000078</v>
      </c>
      <c r="D8" s="22">
        <f>'Screener Output.v0'!K35</f>
        <v>25.130000000000027</v>
      </c>
      <c r="E8" s="22">
        <f>'Screener Output.v0'!J35</f>
        <v>14.059999999999963</v>
      </c>
      <c r="F8" s="22">
        <f>'Screener Output.v0'!I35</f>
        <v>10.070000000000014</v>
      </c>
      <c r="G8" s="22">
        <f>'Screener Output.v0'!H35</f>
        <v>12.240000000000002</v>
      </c>
    </row>
    <row r="9" spans="2:12">
      <c r="B9" s="22" t="s">
        <v>54</v>
      </c>
      <c r="C9" s="22">
        <f>'Screener Output.v0'!L62</f>
        <v>1.07</v>
      </c>
      <c r="D9" s="22">
        <f>'Screener Output.v0'!K62</f>
        <v>41.06</v>
      </c>
      <c r="E9" s="22">
        <f>'Screener Output.v0'!J62</f>
        <v>29.97</v>
      </c>
      <c r="F9" s="22">
        <f>'Screener Output.v0'!I62</f>
        <v>19.5</v>
      </c>
      <c r="G9" s="22">
        <f>'Screener Output.v0'!H62</f>
        <v>26.36</v>
      </c>
    </row>
    <row r="10" spans="2:12">
      <c r="B10" s="22" t="s">
        <v>23</v>
      </c>
      <c r="C10" s="27">
        <f>'Screener Output.v0'!L40</f>
        <v>28.8</v>
      </c>
      <c r="D10" s="27">
        <f>'Screener Output.v0'!K40</f>
        <v>3.2</v>
      </c>
      <c r="E10" s="27">
        <f>'Screener Output.v0'!J40</f>
        <v>0.8</v>
      </c>
      <c r="F10" s="27">
        <f>'Screener Output.v0'!I40</f>
        <v>0.8</v>
      </c>
      <c r="G10" s="27">
        <f>'Screener Output.v0'!H40</f>
        <v>0.8</v>
      </c>
      <c r="L10" s="169"/>
    </row>
    <row r="11" spans="2:12">
      <c r="B11" s="22" t="s">
        <v>55</v>
      </c>
      <c r="C11" s="165">
        <f>'Screener Output.v0'!L25/'Screener Output.v0'!L49</f>
        <v>1.3131582286511863</v>
      </c>
      <c r="D11" s="165">
        <f>'Screener Output.v0'!K25/'Screener Output.v0'!K49</f>
        <v>2.046905053331002</v>
      </c>
      <c r="E11" s="165">
        <f>'Screener Output.v0'!J25/'Screener Output.v0'!J49</f>
        <v>1.5399721000107307</v>
      </c>
      <c r="F11" s="165">
        <f>'Screener Output.v0'!I25/'Screener Output.v0'!I49</f>
        <v>1.5763557642914801</v>
      </c>
      <c r="G11" s="165">
        <f>'Screener Output.v0'!H25/'Screener Output.v0'!H49</f>
        <v>2.5849841521394614</v>
      </c>
    </row>
    <row r="12" spans="2:12">
      <c r="B12" s="22"/>
      <c r="C12" s="33"/>
      <c r="D12" s="28"/>
      <c r="E12" s="28"/>
      <c r="F12" s="28"/>
      <c r="G12" s="28"/>
      <c r="H12" s="32" t="s">
        <v>70</v>
      </c>
      <c r="I12" s="32">
        <v>0</v>
      </c>
      <c r="J12" s="32" t="s">
        <v>65</v>
      </c>
      <c r="K12" s="34">
        <f>(C23/9)*100</f>
        <v>55.555555555555557</v>
      </c>
    </row>
    <row r="13" spans="2:12">
      <c r="B13" s="22"/>
      <c r="C13" s="22"/>
      <c r="D13" s="28"/>
      <c r="E13" s="28"/>
      <c r="F13" s="28"/>
      <c r="G13" s="28"/>
      <c r="H13" s="32" t="s">
        <v>71</v>
      </c>
      <c r="I13" s="32">
        <v>30</v>
      </c>
      <c r="J13" s="32" t="s">
        <v>75</v>
      </c>
      <c r="K13" s="32">
        <v>1</v>
      </c>
    </row>
    <row r="14" spans="2:12">
      <c r="B14" s="24" t="s">
        <v>290</v>
      </c>
      <c r="C14" s="35">
        <f>--(C8&gt;0)</f>
        <v>1</v>
      </c>
      <c r="D14" s="36"/>
      <c r="E14" s="36"/>
      <c r="F14" s="36"/>
      <c r="G14" s="36"/>
      <c r="H14" s="32" t="s">
        <v>72</v>
      </c>
      <c r="I14" s="32">
        <v>40</v>
      </c>
      <c r="J14" s="32" t="s">
        <v>73</v>
      </c>
      <c r="K14" s="32">
        <f>SUM(I12:I16) - SUM(K12:K13)</f>
        <v>143.44444444444446</v>
      </c>
    </row>
    <row r="15" spans="2:12">
      <c r="B15" s="24" t="s">
        <v>123</v>
      </c>
      <c r="C15" s="35">
        <f>--(C9&gt;0)</f>
        <v>1</v>
      </c>
      <c r="D15" s="36"/>
      <c r="E15" s="36"/>
      <c r="F15" s="36"/>
      <c r="G15" s="36"/>
      <c r="H15" s="32" t="s">
        <v>73</v>
      </c>
      <c r="I15" s="32">
        <v>30</v>
      </c>
      <c r="J15" s="32"/>
      <c r="K15" s="32"/>
    </row>
    <row r="16" spans="2:12">
      <c r="B16" s="24" t="s">
        <v>124</v>
      </c>
      <c r="C16" s="37">
        <f>--(C4&gt;D4)</f>
        <v>1</v>
      </c>
      <c r="D16" s="38"/>
      <c r="E16" s="38"/>
      <c r="F16" s="38"/>
      <c r="G16" s="28"/>
      <c r="H16" s="32" t="s">
        <v>74</v>
      </c>
      <c r="I16" s="32">
        <v>100</v>
      </c>
      <c r="J16" s="32"/>
      <c r="K16" s="32"/>
    </row>
    <row r="17" spans="2:8">
      <c r="B17" s="24" t="s">
        <v>291</v>
      </c>
      <c r="C17" s="37">
        <f>--(C9&gt;C8)</f>
        <v>0</v>
      </c>
      <c r="D17" s="38"/>
      <c r="E17" s="38"/>
      <c r="F17" s="38"/>
      <c r="G17" s="28"/>
    </row>
    <row r="18" spans="2:8">
      <c r="B18" s="24" t="s">
        <v>294</v>
      </c>
      <c r="C18" s="37">
        <f>--(C5&lt;D5)</f>
        <v>0</v>
      </c>
      <c r="D18" s="38"/>
      <c r="E18" s="38"/>
      <c r="F18" s="38"/>
      <c r="G18" s="28"/>
    </row>
    <row r="19" spans="2:8">
      <c r="B19" s="24" t="s">
        <v>295</v>
      </c>
      <c r="C19" s="37">
        <f>--(C6&gt;D6)</f>
        <v>1</v>
      </c>
      <c r="D19" s="38"/>
      <c r="E19" s="38"/>
      <c r="F19" s="38"/>
      <c r="G19" s="28"/>
    </row>
    <row r="20" spans="2:8">
      <c r="B20" s="22" t="s">
        <v>125</v>
      </c>
      <c r="C20" s="37">
        <f>--(C10&lt;D10)</f>
        <v>0</v>
      </c>
      <c r="D20" s="38"/>
      <c r="E20" s="38"/>
      <c r="F20" s="38"/>
      <c r="G20" s="28"/>
    </row>
    <row r="21" spans="2:8">
      <c r="B21" s="22" t="s">
        <v>126</v>
      </c>
      <c r="C21" s="37">
        <f>--(C7&gt;D7)</f>
        <v>1</v>
      </c>
      <c r="D21" s="38"/>
      <c r="E21" s="38"/>
      <c r="F21" s="38"/>
      <c r="G21" s="28"/>
    </row>
    <row r="22" spans="2:8">
      <c r="B22" s="22" t="s">
        <v>127</v>
      </c>
      <c r="C22" s="37">
        <f>--(C11&gt;D11)</f>
        <v>0</v>
      </c>
      <c r="D22" s="38"/>
      <c r="E22" s="38"/>
      <c r="F22" s="38"/>
      <c r="G22" s="28"/>
    </row>
    <row r="23" spans="2:8" ht="15">
      <c r="B23" s="39" t="s">
        <v>49</v>
      </c>
      <c r="C23" s="40">
        <f>SUM(C14:C22)</f>
        <v>5</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385" t="s">
        <v>85</v>
      </c>
      <c r="C35" s="385"/>
      <c r="D35" s="385"/>
      <c r="E35" s="2"/>
      <c r="F35" s="2"/>
      <c r="G35" s="2"/>
      <c r="H35" s="2"/>
    </row>
    <row r="36" spans="2:8" ht="15">
      <c r="B36" s="386" t="s">
        <v>86</v>
      </c>
      <c r="C36" s="386"/>
      <c r="D36" s="386"/>
      <c r="E36" s="2"/>
      <c r="F36" s="2"/>
      <c r="G36" s="2"/>
      <c r="H36" s="2"/>
    </row>
    <row r="37" spans="2:8" ht="15">
      <c r="B37" s="387" t="s">
        <v>87</v>
      </c>
      <c r="C37" s="387"/>
      <c r="D37" s="387"/>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election activeCell="F7" sqref="F7"/>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382"/>
      <c r="C1" s="383"/>
      <c r="D1" s="383"/>
      <c r="E1" s="383"/>
      <c r="F1" s="383"/>
    </row>
    <row r="2" spans="2:11" ht="15">
      <c r="B2" s="384" t="s">
        <v>89</v>
      </c>
      <c r="C2" s="384"/>
      <c r="D2" s="384"/>
      <c r="E2" s="384"/>
      <c r="F2" s="384"/>
    </row>
    <row r="3" spans="2:11" ht="15">
      <c r="B3" s="388" t="s">
        <v>66</v>
      </c>
      <c r="C3" s="389"/>
      <c r="D3" s="389"/>
      <c r="E3" s="389"/>
      <c r="F3" s="390"/>
    </row>
    <row r="4" spans="2:11" ht="15">
      <c r="B4" s="22" t="s">
        <v>27</v>
      </c>
      <c r="C4" s="42" t="s">
        <v>90</v>
      </c>
      <c r="D4" s="22"/>
      <c r="E4" s="22" t="s">
        <v>60</v>
      </c>
      <c r="F4" s="23">
        <f>C5/C6</f>
        <v>0.32359472148204538</v>
      </c>
      <c r="G4" s="32" t="s">
        <v>76</v>
      </c>
      <c r="I4" s="29" t="s">
        <v>75</v>
      </c>
    </row>
    <row r="5" spans="2:11">
      <c r="B5" s="22" t="s">
        <v>56</v>
      </c>
      <c r="C5" s="22">
        <f>'Screener Output.v0'!L52</f>
        <v>102.00999999999999</v>
      </c>
      <c r="D5" s="22"/>
      <c r="E5" s="22" t="s">
        <v>292</v>
      </c>
      <c r="F5" s="23">
        <f>C8/C6</f>
        <v>0.25003172186270772</v>
      </c>
      <c r="G5" s="32" t="s">
        <v>70</v>
      </c>
      <c r="H5" s="29">
        <v>0</v>
      </c>
      <c r="I5" s="29" t="s">
        <v>65</v>
      </c>
      <c r="J5" s="234">
        <f>(C14/6)*100</f>
        <v>100</v>
      </c>
    </row>
    <row r="6" spans="2:11">
      <c r="B6" s="22" t="s">
        <v>12</v>
      </c>
      <c r="C6" s="22">
        <f>'Screener Output.v0'!L60</f>
        <v>315.24</v>
      </c>
      <c r="D6" s="22"/>
      <c r="E6" s="22" t="s">
        <v>61</v>
      </c>
      <c r="F6" s="23">
        <f>C9/C6</f>
        <v>0.25076132470498691</v>
      </c>
      <c r="G6" s="32" t="s">
        <v>71</v>
      </c>
      <c r="H6" s="29">
        <v>30</v>
      </c>
      <c r="I6" s="29" t="s">
        <v>75</v>
      </c>
      <c r="J6" s="29">
        <v>1</v>
      </c>
    </row>
    <row r="7" spans="2:11">
      <c r="B7" s="22" t="s">
        <v>9</v>
      </c>
      <c r="C7" s="22">
        <f>'Screener Output.v0'!L60</f>
        <v>315.24</v>
      </c>
      <c r="D7" s="22"/>
      <c r="E7" s="22" t="s">
        <v>296</v>
      </c>
      <c r="F7" s="23">
        <f>'Screener Output.v0'!B38/'Screener Output.v0'!L60</f>
        <v>6.1701560715645218</v>
      </c>
      <c r="G7" s="32" t="s">
        <v>72</v>
      </c>
      <c r="H7" s="29">
        <v>20</v>
      </c>
      <c r="I7" s="29" t="s">
        <v>73</v>
      </c>
      <c r="J7" s="29">
        <f>SUM(H5:H9) - SUM(J5:J6)</f>
        <v>99</v>
      </c>
    </row>
    <row r="8" spans="2:11">
      <c r="B8" s="22" t="s">
        <v>253</v>
      </c>
      <c r="C8" s="22">
        <f>'Screener Output.v0'!L41</f>
        <v>78.819999999999993</v>
      </c>
      <c r="D8" s="22"/>
      <c r="E8" s="22" t="s">
        <v>62</v>
      </c>
      <c r="F8" s="23">
        <f>C11/C6</f>
        <v>1.2712853698769191</v>
      </c>
      <c r="G8" s="32" t="s">
        <v>73</v>
      </c>
      <c r="H8" s="29">
        <v>50</v>
      </c>
    </row>
    <row r="9" spans="2:11">
      <c r="B9" s="22" t="s">
        <v>57</v>
      </c>
      <c r="C9" s="22">
        <f>'Screener Output.v0'!L29</f>
        <v>79.050000000000068</v>
      </c>
      <c r="D9" s="22"/>
      <c r="E9" s="22"/>
      <c r="F9" s="22"/>
      <c r="G9" s="32" t="s">
        <v>74</v>
      </c>
      <c r="H9" s="29">
        <v>100</v>
      </c>
    </row>
    <row r="10" spans="2:11">
      <c r="B10" s="22" t="s">
        <v>58</v>
      </c>
      <c r="C10" s="23">
        <f>'Screener Output.v0'!B38</f>
        <v>1945.08</v>
      </c>
      <c r="D10" s="22"/>
      <c r="E10" s="22"/>
      <c r="F10" s="22"/>
      <c r="G10" s="32">
        <f>IF(SUM(C1:D1)&gt;=20,20,SUM(C1:D1))</f>
        <v>0</v>
      </c>
    </row>
    <row r="11" spans="2:11">
      <c r="B11" s="22" t="s">
        <v>13</v>
      </c>
      <c r="C11" s="22">
        <f>'Screener Output.v0'!L26</f>
        <v>400.76</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6</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J14" sqref="J1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307</v>
      </c>
      <c r="C2" s="101" t="s">
        <v>308</v>
      </c>
      <c r="D2" s="100" t="s">
        <v>217</v>
      </c>
      <c r="E2" s="101" t="s">
        <v>218</v>
      </c>
      <c r="F2" s="101" t="s">
        <v>219</v>
      </c>
      <c r="G2" s="101" t="s">
        <v>220</v>
      </c>
      <c r="H2" s="101" t="s">
        <v>306</v>
      </c>
      <c r="I2" s="101" t="s">
        <v>221</v>
      </c>
      <c r="J2" s="101" t="s">
        <v>222</v>
      </c>
      <c r="K2" s="101" t="s">
        <v>223</v>
      </c>
      <c r="L2" s="101" t="s">
        <v>328</v>
      </c>
      <c r="M2" s="101" t="s">
        <v>35</v>
      </c>
      <c r="N2" s="101" t="s">
        <v>224</v>
      </c>
      <c r="O2" s="101" t="s">
        <v>50</v>
      </c>
    </row>
    <row r="3" spans="2:27" ht="15" customHeight="1">
      <c r="B3" s="103">
        <f>AVERAGE('Screener Output.v0'!H76:L76)</f>
        <v>2.6492374727668841</v>
      </c>
      <c r="C3" s="103">
        <f>AVERAGE('Screener Output.v0'!H78:L78)</f>
        <v>1.0169113547667719</v>
      </c>
      <c r="D3" s="101" t="s">
        <v>215</v>
      </c>
      <c r="E3" s="109">
        <f>SUM('Screener Output.v0'!H29:L29)/SUM('Screener Output.v0'!H26:L26)</f>
        <v>0.1271422704021308</v>
      </c>
      <c r="F3" s="106">
        <f>SUM('Screener Output.v0'!H35:M35)/SUM('Screener Output.v0'!H26:M26)</f>
        <v>7.1543198517611942E-2</v>
      </c>
      <c r="G3" s="109">
        <f>SUM('Screener Output.v0'!H6:L6)/SUM('Screener Output.v0'!H26:L26)</f>
        <v>9.1478213250027994E-3</v>
      </c>
      <c r="H3" s="109">
        <f>SUM('Screener Output.v0'!H7:L7)/SUM('Screener Output.v0'!H26:L26)</f>
        <v>7.0556461348899147E-2</v>
      </c>
      <c r="I3" s="104">
        <f>SUM('Screener Output.v0'!H55:L55)/SUM('Screener Output.v0'!H60:L60)</f>
        <v>0.44361881336488873</v>
      </c>
      <c r="J3" s="104">
        <f>SUM('Screener Output.v0'!H9:L9)/SUM('Screener Output.v0'!H10:L10)</f>
        <v>1.4629194529790952</v>
      </c>
      <c r="K3" s="103">
        <f>SUM('Screener Input'!G66:K66)/SUM('Screener Input'!G57:K58)</f>
        <v>3.4283234126984126</v>
      </c>
      <c r="L3" s="103">
        <f>SUM('Screener Output.v0'!H45:L45)/SUM('Screener Output.v0'!H35:L35)</f>
        <v>1.8226026064967888</v>
      </c>
      <c r="M3" s="190">
        <f>SUM('Screener Output.v0'!H35:L35)/SUM('Screener Output.v0'!H40:L41)</f>
        <v>0.36429988662131546</v>
      </c>
      <c r="N3" s="104">
        <f>SUM('Screener Output.v0'!H35:L35)/SUM('Screener Output.v0'!H42:L45)</f>
        <v>0.21893365130738454</v>
      </c>
      <c r="O3" s="104">
        <f>SUM('Screener Output.v0'!H35:L35)/SUM('Screener Output.v0'!H60:L60)</f>
        <v>0.10626182036150937</v>
      </c>
    </row>
    <row r="4" spans="2:27" ht="15" customHeight="1">
      <c r="B4" s="103">
        <f>'Screener Output.v0'!L76</f>
        <v>13.246187363834421</v>
      </c>
      <c r="C4" s="103">
        <f>'Screener Output.v0'!L78</f>
        <v>5.0845567738338593</v>
      </c>
      <c r="D4" s="101" t="s">
        <v>216</v>
      </c>
      <c r="E4" s="107">
        <f>'Screener Output.v0'!L29/'Screener Output.v0'!L26</f>
        <v>0.19725022457331087</v>
      </c>
      <c r="F4" s="106">
        <f>'Screener Output.v0'!M35/'Screener Output.v0'!M26</f>
        <v>8.81849197758382E-2</v>
      </c>
      <c r="G4" s="109">
        <f>SUM('Screener Output.v0'!L6:L6)/SUM('Screener Output.v0'!L26:L26)</f>
        <v>7.5855873839704565E-3</v>
      </c>
      <c r="H4" s="109">
        <f>SUM('Screener Output.v0'!L7:L7)/SUM('Screener Output.v0'!L26:L26)</f>
        <v>0.13289749475995608</v>
      </c>
      <c r="I4" s="116">
        <f>'Screener Output.v0'!L55/'Screener Output.v0'!L60</f>
        <v>0.39652328384722751</v>
      </c>
      <c r="J4" s="104">
        <f>SUM('Screener Output.v0'!L9:L9)/SUM('Screener Output.v0'!L10:L10)</f>
        <v>1.7292679439519587</v>
      </c>
      <c r="K4" s="103">
        <f>SUM('Screener Input'!K66:K66)/SUM('Screener Input'!K57:K58)</f>
        <v>2.9291953168556035</v>
      </c>
      <c r="L4" s="103">
        <f>SUM('Screener Output.v0'!L45:L45)/SUM('Screener Output.v0'!M35:M35)</f>
        <v>1.0525170913610937</v>
      </c>
      <c r="M4" s="190">
        <f>Dupont!H10</f>
        <v>0.59803010592826622</v>
      </c>
      <c r="N4" s="104">
        <f>SUM('Screener Output.v0'!L35:L35)/SUM('Screener Output.v0'!L42:L45)</f>
        <v>0.23562956204379609</v>
      </c>
      <c r="O4" s="104">
        <f>SUM('Screener Output.v0'!L35:L35)/SUM('Screener Output.v0'!L60:L60)</f>
        <v>0.13107473670853978</v>
      </c>
    </row>
    <row r="5" spans="2:27" ht="12.95" customHeight="1">
      <c r="B5" s="103">
        <f>MAX('Screener Output.v0'!H76:L76)</f>
        <v>13.246187363834421</v>
      </c>
      <c r="C5" s="103">
        <f>MAX('Screener Output.v0'!H78:L78)</f>
        <v>5.0845567738338593</v>
      </c>
      <c r="D5" s="101" t="s">
        <v>304</v>
      </c>
      <c r="E5" s="107"/>
      <c r="F5" s="106"/>
      <c r="G5" s="109"/>
      <c r="H5" s="109"/>
      <c r="I5" s="116"/>
      <c r="J5" s="104"/>
      <c r="K5" s="103"/>
      <c r="L5" s="103"/>
      <c r="M5" s="104"/>
      <c r="N5" s="104"/>
      <c r="O5" s="104"/>
    </row>
    <row r="6" spans="2:27" ht="15" customHeight="1">
      <c r="D6" s="102" t="s">
        <v>305</v>
      </c>
      <c r="O6" s="117"/>
      <c r="S6" s="117"/>
      <c r="Z6" s="119"/>
    </row>
    <row r="7" spans="2:27" ht="26.25" customHeight="1">
      <c r="D7" s="100" t="s">
        <v>206</v>
      </c>
      <c r="E7" s="101" t="s">
        <v>95</v>
      </c>
      <c r="F7" s="101" t="s">
        <v>207</v>
      </c>
      <c r="G7" s="101" t="s">
        <v>208</v>
      </c>
      <c r="H7" s="101" t="s">
        <v>209</v>
      </c>
      <c r="I7" s="101" t="s">
        <v>210</v>
      </c>
      <c r="J7" s="101" t="s">
        <v>211</v>
      </c>
      <c r="K7" s="101" t="s">
        <v>212</v>
      </c>
      <c r="L7" s="101" t="s">
        <v>213</v>
      </c>
      <c r="M7" s="101" t="s">
        <v>310</v>
      </c>
      <c r="N7" s="101" t="s">
        <v>214</v>
      </c>
      <c r="S7" s="117"/>
      <c r="Z7" s="120"/>
      <c r="AA7" s="119"/>
    </row>
    <row r="8" spans="2:27" s="115" customFormat="1" ht="26.25" customHeight="1">
      <c r="D8" s="101" t="s">
        <v>215</v>
      </c>
      <c r="E8" s="103">
        <f>AVERAGE('Screener Output.v0'!H62:L62)</f>
        <v>23.591999999999999</v>
      </c>
      <c r="F8" s="104">
        <f>SUM('Screener Output.v0'!H65:L65)/SUM('Screener Output.v0'!H62:L62)</f>
        <v>0.15649372668701256</v>
      </c>
      <c r="G8" s="105">
        <f>SUM('Screener Output.v0'!H23:L23)/SUM('Screener Output.v0'!H62:L62)</f>
        <v>0.51661580196676848</v>
      </c>
      <c r="H8" s="104">
        <f>SUM('Screener Output.v0'!H62:L62)/SUM('Screener Output.v0'!H35:L35)</f>
        <v>1.1472476171950974</v>
      </c>
      <c r="I8" s="106">
        <f>SUM('Screener Output.v0'!H62:L62)/SUM('Screener Output.v0'!H26:L26)</f>
        <v>7.3406598877369403E-2</v>
      </c>
      <c r="J8" s="107">
        <f>SUM('Screener Output.v0'!H62:L62)/SUM('Screener Output.v0'!H60:L60)</f>
        <v>0.12190862020855509</v>
      </c>
      <c r="K8" s="108">
        <f>SUM('Screener Output.v0'!H62:L62)/SUM('Screener Output.v0'!H48:L48)</f>
        <v>0.23688173986384722</v>
      </c>
      <c r="L8" s="108">
        <f>SUM('Screener Output.v0'!H62:L62)/SUM('Screener Output.v0'!H45:L45)</f>
        <v>0.62945570971184639</v>
      </c>
      <c r="M8" s="109">
        <f>SUM('Screener Output.v0'!H63:L63)/SUM('Screener Output.v0'!H62:L62)</f>
        <v>0.48338419803323157</v>
      </c>
      <c r="N8" s="104">
        <f>SUM('Screener Output.v0'!H23:L23)/SUM('Screener Output.v0'!H63:L63)</f>
        <v>1.0687478077867416</v>
      </c>
      <c r="S8" s="117"/>
      <c r="Z8" s="120"/>
      <c r="AA8" s="119"/>
    </row>
    <row r="9" spans="2:27" s="115" customFormat="1" ht="26.25" customHeight="1">
      <c r="D9" s="101" t="s">
        <v>216</v>
      </c>
      <c r="E9" s="103">
        <f>'Screener Output.v0'!L62</f>
        <v>1.07</v>
      </c>
      <c r="F9" s="110">
        <f>SUM('Screener Output.v0'!L65:L65)/SUM('Screener Output.v0'!L62:L62)</f>
        <v>14.925233644859812</v>
      </c>
      <c r="G9" s="104">
        <f>SUM('Screener Output.v0'!L23:L23)/SUM('Screener Output.v0'!L62:L62)</f>
        <v>6.6542056074766398</v>
      </c>
      <c r="H9" s="104">
        <f>SUM('Screener Output.v0'!L62:L62)/SUM('Screener Output.v0'!L35:L35)</f>
        <v>2.5895450145208086E-2</v>
      </c>
      <c r="I9" s="109">
        <f>SUM('Screener Output.v0'!L62:L62)/SUM('Screener Output.v0'!L26:L26)</f>
        <v>2.6699271384369701E-3</v>
      </c>
      <c r="J9" s="109">
        <f>SUM('Screener Output.v0'!L62:L62)/SUM('Screener Output.v0'!L60:L60)</f>
        <v>3.3942393097322675E-3</v>
      </c>
      <c r="K9" s="109">
        <f>SUM('Screener Output.v0'!L62:L62)/SUM('Screener Output.v0'!L48:L48)</f>
        <v>7.6494137832427804E-3</v>
      </c>
      <c r="L9" s="109">
        <f>SUM('Screener Output.v0'!L62:L62)/SUM('Screener Output.v0'!L45:L45)</f>
        <v>1.5795689400649543E-2</v>
      </c>
      <c r="M9" s="109">
        <f>SUM('Screener Output.v0'!L63:L63)/SUM('Screener Output.v0'!L62:L62)</f>
        <v>-5.6542056074766389</v>
      </c>
      <c r="N9" s="104">
        <f>SUM('Screener Output.v0'!L23:L23)/SUM('Screener Output.v0'!L63:L63)</f>
        <v>-1.1768595041322314</v>
      </c>
      <c r="S9" s="117"/>
      <c r="Z9" s="120"/>
      <c r="AA9" s="119"/>
    </row>
    <row r="10" spans="2:27" s="115" customFormat="1" ht="26.25" customHeight="1">
      <c r="S10" s="117"/>
      <c r="Z10" s="120"/>
      <c r="AA10" s="119"/>
    </row>
    <row r="11" spans="2:27" ht="12">
      <c r="D11" s="100" t="s">
        <v>225</v>
      </c>
      <c r="E11" s="101" t="s">
        <v>226</v>
      </c>
      <c r="F11" s="101" t="s">
        <v>227</v>
      </c>
      <c r="G11" s="101" t="s">
        <v>228</v>
      </c>
      <c r="H11" s="101" t="s">
        <v>229</v>
      </c>
      <c r="I11" s="101" t="s">
        <v>28</v>
      </c>
      <c r="J11" s="101" t="s">
        <v>30</v>
      </c>
      <c r="K11" s="101" t="s">
        <v>95</v>
      </c>
      <c r="L11" s="101" t="s">
        <v>25</v>
      </c>
      <c r="M11" s="101" t="s">
        <v>6</v>
      </c>
      <c r="N11" s="101"/>
      <c r="AA11" s="120"/>
    </row>
    <row r="12" spans="2:27" ht="12.95" customHeight="1">
      <c r="D12" s="101" t="s">
        <v>230</v>
      </c>
      <c r="E12" s="107">
        <f>POWER('Screener Output.v0'!M25/'Screener Output.v0'!C25,1/9)-1</f>
        <v>0.17097103448022533</v>
      </c>
      <c r="F12" s="104">
        <f>('Screener Output.v0'!L6/'Screener Output.v0'!C6)^(1/9)-1</f>
        <v>8.8257561036426901E-2</v>
      </c>
      <c r="G12" s="104">
        <f>('Screener Output.v0'!L7/'Screener Output.v0'!C7)^(1/9)-1</f>
        <v>0.12167172402382342</v>
      </c>
      <c r="H12" s="107">
        <f>POWER('Screener Output.v0'!M35/'Screener Output.v0'!C35,1/9)-1</f>
        <v>0.25472262406350032</v>
      </c>
      <c r="I12" s="107">
        <f>('Screener Output.v0'!M74/'Screener Output.v0'!C74)^(1/9)-1</f>
        <v>-0.15739267779849919</v>
      </c>
      <c r="J12" s="107">
        <f>('Screener Output.v0'!L73/'Screener Output.v0'!C73)^(1/9)-1</f>
        <v>-0.16579243128385601</v>
      </c>
      <c r="K12" s="107">
        <f>('Screener Output.v0'!L62/'Screener Output.v0'!C62)^(1/9)-1</f>
        <v>-0.25860404542636706</v>
      </c>
      <c r="L12" s="107">
        <f>('Screener Output.v0'!L63/'Screener Output.v0'!C62)^(1/9)-1</f>
        <v>-1.8987668717273638</v>
      </c>
      <c r="M12" s="107">
        <f>('Screener Output.v0'!L42/'Screener Output.v0'!C42)^(1/9)-1</f>
        <v>0.24221459041967064</v>
      </c>
      <c r="N12" s="121"/>
      <c r="AA12" s="120"/>
    </row>
    <row r="13" spans="2:27" ht="12.95" customHeight="1">
      <c r="D13" s="101" t="s">
        <v>231</v>
      </c>
      <c r="E13" s="107">
        <f>POWER('Screener Output.v0'!M25/'Screener Output.v0'!G25,1/5)-1</f>
        <v>0.32856581718952982</v>
      </c>
      <c r="F13" s="104">
        <f>('Screener Output.v0'!L6/'Screener Output.v0'!G6)^(1/5)-1</f>
        <v>0.16443981835377008</v>
      </c>
      <c r="G13" s="104">
        <f>('Screener Output.v0'!L7/'Screener Output.v0'!G7)^(1/5)-1</f>
        <v>0.22958452746167968</v>
      </c>
      <c r="H13" s="107">
        <f>POWER('Screener Output.v0'!M35/'Screener Output.v0'!G35,1/5)-1</f>
        <v>0.50447824443181899</v>
      </c>
      <c r="I13" s="107">
        <f>('Screener Output.v0'!M74/'Screener Output.v0'!G74)^(1/5)-1</f>
        <v>-0.26527399460039247</v>
      </c>
      <c r="J13" s="107">
        <f>('Screener Output.v0'!L73/'Screener Output.v0'!G73)^(1/5)-1</f>
        <v>-0.27840514743797107</v>
      </c>
      <c r="K13" s="107">
        <f>('Screener Output.v0'!L62/'Screener Output.v0'!G62)^(1/5)-1</f>
        <v>-0.41643346162353745</v>
      </c>
      <c r="L13" s="107">
        <f>('Screener Output.v0'!L63/'Screener Output.v0'!G63)^(1/5)-1</f>
        <v>-1.8585450324141981</v>
      </c>
      <c r="M13" s="107">
        <f>('Screener Output.v0'!L42/'Screener Output.v0'!G42)^(1/5)-1</f>
        <v>0.47758994372752883</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396" t="s">
        <v>27</v>
      </c>
      <c r="B1" s="396"/>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540.29999999999995</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8</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392"/>
      <c r="B7" s="393"/>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394"/>
      <c r="B8" s="395"/>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f>IF(L8&gt;B4,L1*1,"No")</f>
        <v>8</v>
      </c>
      <c r="M9" s="57">
        <f>IF(M8&gt;B4,M1*1,"No")</f>
        <v>9</v>
      </c>
      <c r="N9" s="57">
        <f>IF(N8&gt;B4,N1*1,"No")</f>
        <v>10</v>
      </c>
      <c r="O9" s="57">
        <f>IF(O8&gt;B4,O1*1,"No")</f>
        <v>11</v>
      </c>
      <c r="P9" s="57">
        <f>IF(P8&gt;B4,P1*1,"No")</f>
        <v>12</v>
      </c>
      <c r="Q9" s="57">
        <f>IF(Q8&gt;B4,Q1*1,"No")</f>
        <v>13</v>
      </c>
      <c r="R9" s="57">
        <f>IF(R8&gt;B4,1*R1,"No")</f>
        <v>14</v>
      </c>
      <c r="S9" s="57">
        <f>IF(S8&gt;B4,S1*1,"No")</f>
        <v>15</v>
      </c>
      <c r="T9" s="57">
        <f>IF(T8&gt;B4,T1*1,"No")</f>
        <v>16</v>
      </c>
      <c r="U9" s="57">
        <f>IF(U8&gt;B4,U1*1,"No")</f>
        <v>17</v>
      </c>
      <c r="V9" s="57">
        <f>IF(V8&gt;B4,V1*1,"No")</f>
        <v>18</v>
      </c>
      <c r="W9" s="57">
        <f>IF(W8&gt;B4,W1*1,"No")</f>
        <v>19</v>
      </c>
      <c r="X9" s="57">
        <f>IF(X8&gt;B4,X1*1,"No")</f>
        <v>20</v>
      </c>
    </row>
    <row r="10" spans="1:24">
      <c r="C10" s="54"/>
    </row>
    <row r="11" spans="1:24">
      <c r="A11" s="391" t="s">
        <v>111</v>
      </c>
      <c r="B11" s="391"/>
      <c r="C11" s="391"/>
      <c r="D11" s="391"/>
      <c r="E11" s="391"/>
      <c r="F11" s="391"/>
    </row>
    <row r="12" spans="1:24">
      <c r="A12" s="66" t="s">
        <v>112</v>
      </c>
      <c r="B12" s="68" t="e">
        <f>(#REF!/Valuation_Chart!B6)*10^7</f>
        <v>#REF!</v>
      </c>
      <c r="C12" s="70" t="s">
        <v>119</v>
      </c>
    </row>
    <row r="13" spans="1:24" ht="15.75" thickBot="1">
      <c r="A13" s="402" t="s">
        <v>117</v>
      </c>
      <c r="B13" s="402"/>
      <c r="C13" s="402"/>
    </row>
    <row r="14" spans="1:24">
      <c r="A14" s="397" t="s">
        <v>118</v>
      </c>
      <c r="B14" s="398"/>
      <c r="C14" s="398"/>
      <c r="D14" s="398"/>
      <c r="E14" s="398"/>
      <c r="F14" s="398"/>
      <c r="G14" s="398"/>
      <c r="H14" s="398"/>
      <c r="I14" s="398"/>
      <c r="J14" s="398"/>
      <c r="K14" s="398"/>
      <c r="L14" s="398"/>
      <c r="M14" s="398"/>
      <c r="N14" s="398"/>
      <c r="O14" s="398"/>
      <c r="P14" s="398"/>
      <c r="Q14" s="398"/>
      <c r="R14" s="398"/>
      <c r="S14" s="398"/>
      <c r="T14" s="398"/>
      <c r="U14" s="398"/>
      <c r="V14" s="398"/>
      <c r="W14" s="398"/>
      <c r="X14" s="399"/>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00"/>
      <c r="D17" s="400"/>
      <c r="E17" s="400"/>
      <c r="F17" s="400"/>
      <c r="G17" s="400"/>
      <c r="H17" s="400"/>
      <c r="I17" s="400"/>
      <c r="J17" s="400"/>
      <c r="K17" s="400"/>
      <c r="L17" s="400"/>
      <c r="M17" s="400"/>
      <c r="N17" s="400"/>
      <c r="O17" s="400"/>
      <c r="P17" s="400"/>
      <c r="Q17" s="400"/>
      <c r="R17" s="400"/>
      <c r="S17" s="400"/>
      <c r="T17" s="400"/>
      <c r="U17" s="400"/>
      <c r="V17" s="400"/>
      <c r="W17" s="400"/>
      <c r="X17" s="401"/>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44" workbookViewId="0">
      <selection activeCell="L60" sqref="L60"/>
    </sheetView>
  </sheetViews>
  <sheetFormatPr defaultRowHeight="15"/>
  <cols>
    <col min="1" max="1" width="30" bestFit="1" customWidth="1"/>
    <col min="12" max="12" width="11" customWidth="1"/>
  </cols>
  <sheetData>
    <row r="1" spans="1:14">
      <c r="A1" s="123" t="str">
        <f>'Annual Report input'!D2</f>
        <v>PSP PROJECTS LTD</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04" t="s">
        <v>232</v>
      </c>
      <c r="B3" s="404"/>
      <c r="C3" s="404"/>
      <c r="D3" s="404"/>
      <c r="E3" s="404"/>
      <c r="F3" s="404"/>
      <c r="G3" s="404"/>
      <c r="H3" s="404"/>
      <c r="I3" s="404"/>
      <c r="J3" s="404"/>
      <c r="K3" s="125"/>
      <c r="L3" s="126"/>
      <c r="M3" s="126"/>
      <c r="N3" s="126"/>
    </row>
    <row r="4" spans="1:14">
      <c r="A4" s="127" t="str">
        <f>'Screener Input'!A1</f>
        <v>COMPANY NAME</v>
      </c>
      <c r="B4" s="180"/>
      <c r="C4" s="180">
        <f>EOMONTH('Screener Input'!B$16,-1)+1</f>
        <v>39508</v>
      </c>
      <c r="D4" s="180">
        <f>EOMONTH('Screener Input'!C$16,-1)+1</f>
        <v>39873</v>
      </c>
      <c r="E4" s="180">
        <f>EOMONTH('Screener Input'!D$16,-1)+1</f>
        <v>40238</v>
      </c>
      <c r="F4" s="180">
        <f>EOMONTH('Screener Input'!E$16,-1)+1</f>
        <v>40603</v>
      </c>
      <c r="G4" s="180">
        <f>EOMONTH('Screener Input'!F$16,-1)+1</f>
        <v>40969</v>
      </c>
      <c r="H4" s="180">
        <f>EOMONTH('Screener Input'!G$16,-1)+1</f>
        <v>41334</v>
      </c>
      <c r="I4" s="180">
        <f>EOMONTH('Screener Input'!H$16,-1)+1</f>
        <v>41699</v>
      </c>
      <c r="J4" s="180">
        <f>EOMONTH('Screener Input'!I$16,-1)+1</f>
        <v>42064</v>
      </c>
      <c r="K4" s="180">
        <f>EOMONTH('Screener Input'!J$16,-1)+1</f>
        <v>42430</v>
      </c>
      <c r="L4" s="180">
        <f>EOMONTH('Screener Input'!K$16,-1)+1</f>
        <v>42795</v>
      </c>
      <c r="M4" s="180"/>
      <c r="N4" s="180"/>
    </row>
    <row r="5" spans="1:14">
      <c r="A5" s="128" t="s">
        <v>233</v>
      </c>
      <c r="B5" s="129"/>
      <c r="C5" s="129"/>
      <c r="D5" s="129"/>
      <c r="E5" s="129"/>
      <c r="F5" s="129"/>
      <c r="G5" s="129"/>
      <c r="H5" s="129"/>
      <c r="I5" s="129"/>
      <c r="J5" s="129"/>
      <c r="K5" s="129"/>
      <c r="L5" s="126"/>
      <c r="M5" s="126"/>
      <c r="N5" s="126"/>
    </row>
    <row r="6" spans="1:14" s="229" customFormat="1">
      <c r="A6" s="335" t="s">
        <v>234</v>
      </c>
      <c r="B6" s="336"/>
      <c r="C6" s="337">
        <f>'Screener Output.v0'!C54</f>
        <v>1.42</v>
      </c>
      <c r="D6" s="337">
        <f>'Screener Output.v0'!D54</f>
        <v>1.42</v>
      </c>
      <c r="E6" s="337">
        <f>'Screener Output.v0'!E54</f>
        <v>1.42</v>
      </c>
      <c r="F6" s="337">
        <f>'Screener Output.v0'!F54</f>
        <v>1.42</v>
      </c>
      <c r="G6" s="337">
        <f>'Screener Output.v0'!G54</f>
        <v>1.42</v>
      </c>
      <c r="H6" s="337">
        <f>'Screener Output.v0'!H54</f>
        <v>1.84</v>
      </c>
      <c r="I6" s="337">
        <f>'Screener Output.v0'!I54</f>
        <v>1.57</v>
      </c>
      <c r="J6" s="337">
        <f>'Screener Output.v0'!J54</f>
        <v>4.21</v>
      </c>
      <c r="K6" s="337">
        <f>'Screener Output.v0'!K54</f>
        <v>4.04</v>
      </c>
      <c r="L6" s="337">
        <f>'Screener Output.v0'!L54</f>
        <v>3.04</v>
      </c>
      <c r="M6" s="336"/>
      <c r="N6" s="336"/>
    </row>
    <row r="7" spans="1:14" s="246" customFormat="1">
      <c r="A7" s="130" t="s">
        <v>235</v>
      </c>
      <c r="B7" s="131"/>
      <c r="C7" s="275">
        <f t="shared" ref="C7:L7" si="0">C53</f>
        <v>18.95</v>
      </c>
      <c r="D7" s="275">
        <f t="shared" si="0"/>
        <v>18.95</v>
      </c>
      <c r="E7" s="275">
        <f t="shared" si="0"/>
        <v>18.95</v>
      </c>
      <c r="F7" s="275">
        <f t="shared" si="0"/>
        <v>18.95</v>
      </c>
      <c r="G7" s="275">
        <f t="shared" si="0"/>
        <v>18.95</v>
      </c>
      <c r="H7" s="275">
        <f t="shared" si="0"/>
        <v>12.17</v>
      </c>
      <c r="I7" s="275">
        <f t="shared" si="0"/>
        <v>13.76</v>
      </c>
      <c r="J7" s="275">
        <f t="shared" si="0"/>
        <v>23.87</v>
      </c>
      <c r="K7" s="275">
        <f t="shared" si="0"/>
        <v>10.32</v>
      </c>
      <c r="L7" s="275">
        <f t="shared" si="0"/>
        <v>53.26</v>
      </c>
      <c r="M7" s="131"/>
      <c r="N7" s="131"/>
    </row>
    <row r="8" spans="1:14">
      <c r="A8" s="130" t="s">
        <v>258</v>
      </c>
      <c r="B8" s="131"/>
      <c r="C8" s="275">
        <f t="shared" ref="C8:L8" si="1">C55</f>
        <v>35.94</v>
      </c>
      <c r="D8" s="275">
        <f t="shared" si="1"/>
        <v>35.94</v>
      </c>
      <c r="E8" s="275">
        <f t="shared" si="1"/>
        <v>35.94</v>
      </c>
      <c r="F8" s="275">
        <f t="shared" si="1"/>
        <v>35.94</v>
      </c>
      <c r="G8" s="275">
        <f t="shared" si="1"/>
        <v>35.94</v>
      </c>
      <c r="H8" s="275">
        <f t="shared" si="1"/>
        <v>44.61</v>
      </c>
      <c r="I8" s="275">
        <f t="shared" si="1"/>
        <v>68.44</v>
      </c>
      <c r="J8" s="275">
        <f t="shared" si="1"/>
        <v>84.82</v>
      </c>
      <c r="K8" s="275">
        <f t="shared" si="1"/>
        <v>106.38</v>
      </c>
      <c r="L8" s="275">
        <f t="shared" si="1"/>
        <v>125</v>
      </c>
      <c r="M8" s="131"/>
      <c r="N8" s="131"/>
    </row>
    <row r="9" spans="1:14">
      <c r="A9" s="130" t="s">
        <v>20</v>
      </c>
      <c r="B9" s="131"/>
      <c r="C9" s="275">
        <f t="shared" ref="C9:L10" si="2">C47</f>
        <v>73.64</v>
      </c>
      <c r="D9" s="275">
        <f t="shared" si="2"/>
        <v>73.64</v>
      </c>
      <c r="E9" s="275">
        <f t="shared" si="2"/>
        <v>73.64</v>
      </c>
      <c r="F9" s="275">
        <f t="shared" si="2"/>
        <v>73.64</v>
      </c>
      <c r="G9" s="275">
        <f t="shared" si="2"/>
        <v>73.64</v>
      </c>
      <c r="H9" s="275">
        <f t="shared" si="2"/>
        <v>79.010000000000005</v>
      </c>
      <c r="I9" s="275">
        <f t="shared" si="2"/>
        <v>108.84</v>
      </c>
      <c r="J9" s="275">
        <f t="shared" si="2"/>
        <v>140.27000000000001</v>
      </c>
      <c r="K9" s="275">
        <f t="shared" si="2"/>
        <v>158.47999999999999</v>
      </c>
      <c r="L9" s="275">
        <f t="shared" si="2"/>
        <v>241.89</v>
      </c>
      <c r="M9" s="131"/>
      <c r="N9" s="131"/>
    </row>
    <row r="10" spans="1:14">
      <c r="A10" s="130" t="s">
        <v>11</v>
      </c>
      <c r="B10" s="131"/>
      <c r="C10" s="275">
        <f t="shared" si="2"/>
        <v>50.82</v>
      </c>
      <c r="D10" s="275">
        <f t="shared" si="2"/>
        <v>50.82</v>
      </c>
      <c r="E10" s="275">
        <f t="shared" si="2"/>
        <v>50.82</v>
      </c>
      <c r="F10" s="275">
        <f t="shared" si="2"/>
        <v>50.82</v>
      </c>
      <c r="G10" s="275">
        <f t="shared" si="2"/>
        <v>50.82</v>
      </c>
      <c r="H10" s="275">
        <f t="shared" si="2"/>
        <v>59.37</v>
      </c>
      <c r="I10" s="275">
        <f t="shared" si="2"/>
        <v>75.47</v>
      </c>
      <c r="J10" s="275">
        <f t="shared" si="2"/>
        <v>106.05</v>
      </c>
      <c r="K10" s="275">
        <f t="shared" si="2"/>
        <v>117.2</v>
      </c>
      <c r="L10" s="275">
        <f t="shared" si="2"/>
        <v>139.88</v>
      </c>
      <c r="M10" s="131"/>
      <c r="N10" s="131"/>
    </row>
    <row r="11" spans="1:14">
      <c r="A11" s="130" t="s">
        <v>236</v>
      </c>
      <c r="B11" s="131"/>
      <c r="C11" s="275">
        <f t="shared" ref="C11:L11" si="3">C9-C10</f>
        <v>22.82</v>
      </c>
      <c r="D11" s="275">
        <f t="shared" si="3"/>
        <v>22.82</v>
      </c>
      <c r="E11" s="275">
        <f t="shared" si="3"/>
        <v>22.82</v>
      </c>
      <c r="F11" s="275">
        <f t="shared" si="3"/>
        <v>22.82</v>
      </c>
      <c r="G11" s="275">
        <f t="shared" si="3"/>
        <v>22.82</v>
      </c>
      <c r="H11" s="275">
        <f t="shared" si="3"/>
        <v>19.640000000000008</v>
      </c>
      <c r="I11" s="275">
        <f t="shared" si="3"/>
        <v>33.370000000000005</v>
      </c>
      <c r="J11" s="275">
        <f t="shared" si="3"/>
        <v>34.220000000000013</v>
      </c>
      <c r="K11" s="275">
        <f t="shared" si="3"/>
        <v>41.279999999999987</v>
      </c>
      <c r="L11" s="275">
        <f t="shared" si="3"/>
        <v>102.00999999999999</v>
      </c>
      <c r="M11" s="131"/>
      <c r="N11" s="131"/>
    </row>
    <row r="12" spans="1:14">
      <c r="A12" s="405"/>
      <c r="B12" s="405"/>
      <c r="C12" s="405"/>
      <c r="D12" s="405"/>
      <c r="E12" s="405"/>
      <c r="F12" s="405"/>
      <c r="G12" s="405"/>
      <c r="H12" s="405"/>
      <c r="I12" s="405"/>
      <c r="J12" s="405"/>
      <c r="K12" s="405"/>
      <c r="L12" s="126"/>
      <c r="M12" s="126"/>
      <c r="N12" s="126"/>
    </row>
    <row r="13" spans="1:14">
      <c r="A13" s="404" t="s">
        <v>237</v>
      </c>
      <c r="B13" s="404"/>
      <c r="C13" s="404"/>
      <c r="D13" s="404"/>
      <c r="E13" s="404"/>
      <c r="F13" s="404"/>
      <c r="G13" s="404"/>
      <c r="H13" s="404"/>
      <c r="I13" s="404"/>
      <c r="J13" s="404"/>
      <c r="K13" s="132"/>
      <c r="L13" s="126"/>
      <c r="M13" s="126"/>
      <c r="N13" s="126"/>
    </row>
    <row r="14" spans="1:14">
      <c r="A14" s="133" t="s">
        <v>238</v>
      </c>
      <c r="B14" s="180"/>
      <c r="C14" s="180">
        <f t="shared" ref="C14:L14" si="4">C4</f>
        <v>39508</v>
      </c>
      <c r="D14" s="180">
        <f t="shared" si="4"/>
        <v>39873</v>
      </c>
      <c r="E14" s="180">
        <f t="shared" si="4"/>
        <v>40238</v>
      </c>
      <c r="F14" s="180">
        <f t="shared" si="4"/>
        <v>40603</v>
      </c>
      <c r="G14" s="180">
        <f t="shared" si="4"/>
        <v>40969</v>
      </c>
      <c r="H14" s="180">
        <f t="shared" si="4"/>
        <v>41334</v>
      </c>
      <c r="I14" s="180">
        <f t="shared" si="4"/>
        <v>41699</v>
      </c>
      <c r="J14" s="180">
        <f t="shared" si="4"/>
        <v>42064</v>
      </c>
      <c r="K14" s="180">
        <f t="shared" si="4"/>
        <v>42430</v>
      </c>
      <c r="L14" s="180">
        <f t="shared" si="4"/>
        <v>42795</v>
      </c>
      <c r="M14" s="180"/>
      <c r="N14" s="180"/>
    </row>
    <row r="15" spans="1:14">
      <c r="A15" s="134" t="s">
        <v>15</v>
      </c>
      <c r="B15" s="135"/>
      <c r="C15" s="135">
        <f>'Screener Input'!B18</f>
        <v>63.99</v>
      </c>
      <c r="D15" s="135">
        <f>'Screener Input'!C18</f>
        <v>63.99</v>
      </c>
      <c r="E15" s="135">
        <f>'Screener Input'!D18</f>
        <v>63.99</v>
      </c>
      <c r="F15" s="135">
        <f>'Screener Input'!E18</f>
        <v>63.99</v>
      </c>
      <c r="G15" s="135">
        <f>'Screener Input'!F18</f>
        <v>63.99</v>
      </c>
      <c r="H15" s="135">
        <f>'Screener Input'!G18</f>
        <v>98.76</v>
      </c>
      <c r="I15" s="135">
        <f>'Screener Input'!H18</f>
        <v>79.27</v>
      </c>
      <c r="J15" s="135">
        <f>'Screener Input'!I18</f>
        <v>133.33000000000001</v>
      </c>
      <c r="K15" s="135">
        <f>'Screener Input'!J18</f>
        <v>190.02</v>
      </c>
      <c r="L15" s="135">
        <f>'Screener Input'!K18</f>
        <v>128.16999999999999</v>
      </c>
      <c r="M15" s="135"/>
      <c r="N15" s="135"/>
    </row>
    <row r="16" spans="1:14">
      <c r="A16" s="134" t="s">
        <v>239</v>
      </c>
      <c r="B16" s="135"/>
      <c r="C16" s="135">
        <f>'Screener Input'!B22</f>
        <v>5.07</v>
      </c>
      <c r="D16" s="135">
        <f>'Screener Input'!C22</f>
        <v>5.07</v>
      </c>
      <c r="E16" s="135">
        <f>'Screener Input'!D22</f>
        <v>5.07</v>
      </c>
      <c r="F16" s="135">
        <f>'Screener Input'!E22</f>
        <v>5.07</v>
      </c>
      <c r="G16" s="135">
        <f>'Screener Input'!F22</f>
        <v>5.07</v>
      </c>
      <c r="H16" s="135">
        <f>'Screener Input'!G22</f>
        <v>6.14</v>
      </c>
      <c r="I16" s="135">
        <f>'Screener Input'!H22</f>
        <v>6.95</v>
      </c>
      <c r="J16" s="135">
        <f>'Screener Input'!I22</f>
        <v>8.08</v>
      </c>
      <c r="K16" s="135">
        <f>'Screener Input'!J22</f>
        <v>132.24</v>
      </c>
      <c r="L16" s="135">
        <f>'Screener Input'!K22</f>
        <v>113.24</v>
      </c>
      <c r="M16" s="135"/>
      <c r="N16" s="135"/>
    </row>
    <row r="17" spans="1:15">
      <c r="A17" s="134" t="s">
        <v>240</v>
      </c>
      <c r="B17" s="135"/>
      <c r="C17" s="135">
        <f>'Screener Input'!B23</f>
        <v>6.43</v>
      </c>
      <c r="D17" s="135">
        <f>'Screener Input'!C23</f>
        <v>6.43</v>
      </c>
      <c r="E17" s="135">
        <f>'Screener Input'!D23</f>
        <v>6.43</v>
      </c>
      <c r="F17" s="135">
        <f>'Screener Input'!E23</f>
        <v>6.43</v>
      </c>
      <c r="G17" s="135">
        <f>'Screener Input'!F23</f>
        <v>6.43</v>
      </c>
      <c r="H17" s="135">
        <f>'Screener Input'!G23</f>
        <v>9.66</v>
      </c>
      <c r="I17" s="135">
        <f>'Screener Input'!H23</f>
        <v>8.52</v>
      </c>
      <c r="J17" s="135">
        <f>'Screener Input'!I23</f>
        <v>20.76</v>
      </c>
      <c r="K17" s="135">
        <f>'Screener Input'!J23</f>
        <v>20.010000000000002</v>
      </c>
      <c r="L17" s="135">
        <f>'Screener Input'!K23</f>
        <v>24.37</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0.95</v>
      </c>
      <c r="D20" s="135">
        <f>'Screener Input'!C20</f>
        <v>0.95</v>
      </c>
      <c r="E20" s="135">
        <f>'Screener Input'!D20</f>
        <v>0.95</v>
      </c>
      <c r="F20" s="135">
        <f>'Screener Input'!E20</f>
        <v>0.95</v>
      </c>
      <c r="G20" s="135">
        <f>'Screener Input'!F20</f>
        <v>0.95</v>
      </c>
      <c r="H20" s="135">
        <f>'Screener Input'!G20</f>
        <v>1.01</v>
      </c>
      <c r="I20" s="135">
        <f>'Screener Input'!H20</f>
        <v>1.56</v>
      </c>
      <c r="J20" s="135">
        <f>'Screener Input'!I20</f>
        <v>2.2999999999999998</v>
      </c>
      <c r="K20" s="135">
        <f>'Screener Input'!J20</f>
        <v>1.1100000000000001</v>
      </c>
      <c r="L20" s="135">
        <f>'Screener Input'!K20</f>
        <v>2.14</v>
      </c>
      <c r="M20" s="135"/>
      <c r="N20" s="135"/>
    </row>
    <row r="21" spans="1:15">
      <c r="A21" s="134" t="s">
        <v>244</v>
      </c>
      <c r="B21" s="135"/>
      <c r="C21" s="135">
        <f>'Screener Input'!B24</f>
        <v>0.62</v>
      </c>
      <c r="D21" s="135">
        <f>'Screener Input'!C24</f>
        <v>0.62</v>
      </c>
      <c r="E21" s="135">
        <f>'Screener Input'!D24</f>
        <v>0.62</v>
      </c>
      <c r="F21" s="135">
        <f>'Screener Input'!E24</f>
        <v>0.62</v>
      </c>
      <c r="G21" s="135">
        <f>'Screener Input'!F24</f>
        <v>0.62</v>
      </c>
      <c r="H21" s="135">
        <f>'Screener Input'!G24</f>
        <v>0.45</v>
      </c>
      <c r="I21" s="135">
        <f>'Screener Input'!H24</f>
        <v>1.03</v>
      </c>
      <c r="J21" s="135">
        <f>'Screener Input'!I24</f>
        <v>0.28000000000000003</v>
      </c>
      <c r="K21" s="135">
        <f>'Screener Input'!J24</f>
        <v>68.89</v>
      </c>
      <c r="L21" s="135">
        <f>'Screener Input'!K24</f>
        <v>57.75</v>
      </c>
      <c r="M21" s="135"/>
      <c r="N21" s="135"/>
    </row>
    <row r="22" spans="1:15">
      <c r="A22" s="134" t="s">
        <v>245</v>
      </c>
      <c r="B22" s="135"/>
      <c r="C22" s="135">
        <f>'Screener Output.v0'!L8</f>
        <v>125</v>
      </c>
      <c r="D22" s="135"/>
      <c r="E22" s="135"/>
      <c r="F22" s="135"/>
      <c r="G22" s="136"/>
      <c r="H22" s="136"/>
      <c r="I22" s="136"/>
      <c r="J22" s="136"/>
      <c r="K22" s="134"/>
      <c r="L22" s="137"/>
      <c r="M22" s="137"/>
      <c r="N22" s="137"/>
    </row>
    <row r="23" spans="1:15">
      <c r="A23" s="138" t="s">
        <v>113</v>
      </c>
      <c r="B23" s="135"/>
      <c r="C23" s="135"/>
      <c r="D23" s="135">
        <f t="shared" ref="D23:L23" si="5">(D50-C50)+(D51-C51)+D30</f>
        <v>2.84</v>
      </c>
      <c r="E23" s="135">
        <f t="shared" si="5"/>
        <v>2.84</v>
      </c>
      <c r="F23" s="135">
        <f t="shared" si="5"/>
        <v>2.84</v>
      </c>
      <c r="G23" s="135">
        <f t="shared" si="5"/>
        <v>2.84</v>
      </c>
      <c r="H23" s="135">
        <f t="shared" si="5"/>
        <v>4.1700000000000017</v>
      </c>
      <c r="I23" s="135">
        <f t="shared" si="5"/>
        <v>3.7100000000000009</v>
      </c>
      <c r="J23" s="135">
        <f t="shared" si="5"/>
        <v>20.119999999999997</v>
      </c>
      <c r="K23" s="135">
        <f t="shared" si="5"/>
        <v>25.82</v>
      </c>
      <c r="L23" s="135">
        <f t="shared" si="5"/>
        <v>7.1200000000000045</v>
      </c>
      <c r="M23" s="135"/>
      <c r="N23" s="135"/>
    </row>
    <row r="24" spans="1:15" ht="18">
      <c r="A24" s="139" t="str">
        <f>'Screener Input'!A1</f>
        <v>COMPANY NAME</v>
      </c>
      <c r="B24" s="180"/>
      <c r="C24" s="180">
        <f t="shared" ref="C24:L24" si="6">C14</f>
        <v>39508</v>
      </c>
      <c r="D24" s="180">
        <f t="shared" si="6"/>
        <v>39873</v>
      </c>
      <c r="E24" s="180">
        <f t="shared" si="6"/>
        <v>40238</v>
      </c>
      <c r="F24" s="180">
        <f t="shared" si="6"/>
        <v>40603</v>
      </c>
      <c r="G24" s="180">
        <f t="shared" si="6"/>
        <v>40969</v>
      </c>
      <c r="H24" s="180">
        <f t="shared" si="6"/>
        <v>41334</v>
      </c>
      <c r="I24" s="180">
        <f t="shared" si="6"/>
        <v>41699</v>
      </c>
      <c r="J24" s="180">
        <f t="shared" si="6"/>
        <v>42064</v>
      </c>
      <c r="K24" s="180">
        <f t="shared" si="6"/>
        <v>42430</v>
      </c>
      <c r="L24" s="180">
        <f t="shared" si="6"/>
        <v>42795</v>
      </c>
      <c r="M24" s="180" t="s">
        <v>409</v>
      </c>
      <c r="N24" s="180" t="s">
        <v>410</v>
      </c>
    </row>
    <row r="25" spans="1:15">
      <c r="A25" s="140" t="s">
        <v>14</v>
      </c>
      <c r="B25" s="140"/>
      <c r="C25" s="224">
        <f>'Screener Input'!B17+'Screener Input'!B25</f>
        <v>180.76000000000002</v>
      </c>
      <c r="D25" s="224">
        <f>'Screener Input'!C17+'Screener Input'!C25</f>
        <v>180.76000000000002</v>
      </c>
      <c r="E25" s="224">
        <f>'Screener Input'!D17+'Screener Input'!D25</f>
        <v>180.76000000000002</v>
      </c>
      <c r="F25" s="224">
        <f>'Screener Input'!E17+'Screener Input'!E25</f>
        <v>180.76000000000002</v>
      </c>
      <c r="G25" s="224">
        <f>'Screener Input'!F17+'Screener Input'!F25</f>
        <v>180.76000000000002</v>
      </c>
      <c r="H25" s="224">
        <f>'Screener Input'!G17+'Screener Input'!G25</f>
        <v>260.98</v>
      </c>
      <c r="I25" s="224">
        <f>'Screener Input'!H17+'Screener Input'!H25</f>
        <v>214.81</v>
      </c>
      <c r="J25" s="224">
        <f>'Screener Input'!I17+'Screener Input'!I25</f>
        <v>287.02</v>
      </c>
      <c r="K25" s="224">
        <f>'Screener Input'!J17+'Screener Input'!J25</f>
        <v>468.25</v>
      </c>
      <c r="L25" s="224">
        <f>'Screener Input'!K17+'Screener Input'!K25</f>
        <v>413.96</v>
      </c>
      <c r="M25" s="224">
        <f>SUM('Screener Input'!H42:K42)+SUM('Screener Input'!H44:K44)</f>
        <v>748.2</v>
      </c>
      <c r="N25" s="224">
        <f>SUM('Screener Input'!D42:G42)+SUM('Screener Input'!D44:G44)</f>
        <v>414.15</v>
      </c>
    </row>
    <row r="26" spans="1:15" s="229" customFormat="1" ht="14.25" customHeight="1">
      <c r="A26" s="145" t="s">
        <v>226</v>
      </c>
      <c r="B26" s="145"/>
      <c r="C26" s="333">
        <f>'Screener Input'!B17</f>
        <v>178.65</v>
      </c>
      <c r="D26" s="333">
        <f>'Screener Input'!C17</f>
        <v>178.65</v>
      </c>
      <c r="E26" s="333">
        <f>'Screener Input'!D17</f>
        <v>178.65</v>
      </c>
      <c r="F26" s="333">
        <f>'Screener Input'!E17</f>
        <v>178.65</v>
      </c>
      <c r="G26" s="333">
        <f>'Screener Input'!F17</f>
        <v>178.65</v>
      </c>
      <c r="H26" s="333">
        <f>'Screener Input'!G17</f>
        <v>257.26</v>
      </c>
      <c r="I26" s="333">
        <f>'Screener Input'!H17</f>
        <v>210.43</v>
      </c>
      <c r="J26" s="333">
        <f>'Screener Input'!I17</f>
        <v>280.51</v>
      </c>
      <c r="K26" s="333">
        <f>'Screener Input'!J17</f>
        <v>457.98</v>
      </c>
      <c r="L26" s="333">
        <f>'Screener Input'!K17</f>
        <v>400.76</v>
      </c>
      <c r="M26" s="333">
        <f>SUM('Screener Input'!H42:K42)</f>
        <v>729.83</v>
      </c>
      <c r="N26" s="333">
        <f>SUM('Screener Input'!D42:G42)</f>
        <v>400.76</v>
      </c>
    </row>
    <row r="27" spans="1:15">
      <c r="A27" s="140" t="str">
        <f t="shared" ref="A27:L27" si="7">A15</f>
        <v>Raw Materials</v>
      </c>
      <c r="B27" s="140"/>
      <c r="C27" s="224">
        <f t="shared" si="7"/>
        <v>63.99</v>
      </c>
      <c r="D27" s="224">
        <f t="shared" si="7"/>
        <v>63.99</v>
      </c>
      <c r="E27" s="224">
        <f t="shared" si="7"/>
        <v>63.99</v>
      </c>
      <c r="F27" s="224">
        <f t="shared" si="7"/>
        <v>63.99</v>
      </c>
      <c r="G27" s="224">
        <f t="shared" si="7"/>
        <v>63.99</v>
      </c>
      <c r="H27" s="224">
        <f t="shared" si="7"/>
        <v>98.76</v>
      </c>
      <c r="I27" s="224">
        <f t="shared" si="7"/>
        <v>79.27</v>
      </c>
      <c r="J27" s="224">
        <f t="shared" si="7"/>
        <v>133.33000000000001</v>
      </c>
      <c r="K27" s="224">
        <f t="shared" si="7"/>
        <v>190.02</v>
      </c>
      <c r="L27" s="224">
        <f t="shared" si="7"/>
        <v>128.16999999999999</v>
      </c>
      <c r="M27" s="224"/>
      <c r="N27" s="224"/>
    </row>
    <row r="28" spans="1:15">
      <c r="A28" s="140" t="s">
        <v>246</v>
      </c>
      <c r="B28" s="140"/>
      <c r="C28" s="224">
        <f t="shared" ref="C28:L28" si="8">C26-C27</f>
        <v>114.66</v>
      </c>
      <c r="D28" s="224">
        <f t="shared" si="8"/>
        <v>114.66</v>
      </c>
      <c r="E28" s="224">
        <f t="shared" si="8"/>
        <v>114.66</v>
      </c>
      <c r="F28" s="224">
        <f t="shared" si="8"/>
        <v>114.66</v>
      </c>
      <c r="G28" s="224">
        <f t="shared" si="8"/>
        <v>114.66</v>
      </c>
      <c r="H28" s="224">
        <f t="shared" si="8"/>
        <v>158.5</v>
      </c>
      <c r="I28" s="224">
        <f t="shared" si="8"/>
        <v>131.16000000000003</v>
      </c>
      <c r="J28" s="224">
        <f t="shared" si="8"/>
        <v>147.17999999999998</v>
      </c>
      <c r="K28" s="224">
        <f t="shared" si="8"/>
        <v>267.96000000000004</v>
      </c>
      <c r="L28" s="224">
        <f t="shared" si="8"/>
        <v>272.59000000000003</v>
      </c>
      <c r="M28" s="224"/>
      <c r="N28" s="224"/>
    </row>
    <row r="29" spans="1:15" s="246" customFormat="1">
      <c r="A29" s="142" t="s">
        <v>57</v>
      </c>
      <c r="B29" s="142"/>
      <c r="C29" s="226">
        <f>'Screener Input'!B17-'Screener Input'!B18-'Screener Input'!B20-'Screener Input'!B21-'Screener Input'!B22-'Screener Input'!B23-'Screener Input'!B24+'Screener Input'!B25+'Screener Input'!B19</f>
        <v>17.529999999999987</v>
      </c>
      <c r="D29" s="226">
        <f>'Screener Input'!C17-'Screener Input'!C18-'Screener Input'!C20-'Screener Input'!C21-'Screener Input'!C22-'Screener Input'!C23-'Screener Input'!C24+'Screener Input'!C25+'Screener Input'!C19</f>
        <v>17.529999999999987</v>
      </c>
      <c r="E29" s="226">
        <f>'Screener Input'!D17-'Screener Input'!D18-'Screener Input'!D20-'Screener Input'!D21-'Screener Input'!D22-'Screener Input'!D23-'Screener Input'!D24+'Screener Input'!D25+'Screener Input'!D19</f>
        <v>17.529999999999987</v>
      </c>
      <c r="F29" s="226">
        <f>'Screener Input'!E17-'Screener Input'!E18-'Screener Input'!E20-'Screener Input'!E21-'Screener Input'!E22-'Screener Input'!E23-'Screener Input'!E24+'Screener Input'!E25+'Screener Input'!E19</f>
        <v>17.529999999999987</v>
      </c>
      <c r="G29" s="226">
        <f>'Screener Input'!F17-'Screener Input'!F18-'Screener Input'!F20-'Screener Input'!F21-'Screener Input'!F22-'Screener Input'!F23-'Screener Input'!F24+'Screener Input'!F25+'Screener Input'!F19</f>
        <v>17.529999999999987</v>
      </c>
      <c r="H29" s="226">
        <f>'Screener Input'!G17-'Screener Input'!G18-'Screener Input'!G20-'Screener Input'!G21-'Screener Input'!G22-'Screener Input'!G23-'Screener Input'!G24+'Screener Input'!G25+'Screener Input'!G19</f>
        <v>25.690000000000005</v>
      </c>
      <c r="I29" s="226">
        <f>'Screener Input'!H17-'Screener Input'!H18-'Screener Input'!H20-'Screener Input'!H21-'Screener Input'!H22-'Screener Input'!H23-'Screener Input'!H24+'Screener Input'!H25+'Screener Input'!H19</f>
        <v>21.120000000000015</v>
      </c>
      <c r="J29" s="226">
        <f>'Screener Input'!I17-'Screener Input'!I18-'Screener Input'!I20-'Screener Input'!I21-'Screener Input'!I22-'Screener Input'!I23-'Screener Input'!I24+'Screener Input'!I25+'Screener Input'!I19</f>
        <v>28.919999999999963</v>
      </c>
      <c r="K29" s="226">
        <f>'Screener Input'!J17-'Screener Input'!J18-'Screener Input'!J20-'Screener Input'!J21-'Screener Input'!J22-'Screener Input'!J23-'Screener Input'!J24+'Screener Input'!J25+'Screener Input'!J19</f>
        <v>49.53000000000003</v>
      </c>
      <c r="L29" s="226">
        <f>'Screener Input'!K17-'Screener Input'!K18-'Screener Input'!K20-'Screener Input'!K21-'Screener Input'!K22-'Screener Input'!K23-'Screener Input'!K24+'Screener Input'!K25+'Screener Input'!K19</f>
        <v>79.050000000000068</v>
      </c>
      <c r="M29" s="226">
        <f>SUM('Screener Input'!H50:K50)+SUM('Screener Input'!H44:K44)</f>
        <v>119.77000000000001</v>
      </c>
      <c r="N29" s="226">
        <f>SUM('Screener Input'!D50:G50)</f>
        <v>65.94</v>
      </c>
      <c r="O29" s="334"/>
    </row>
    <row r="30" spans="1:15">
      <c r="A30" s="140" t="s">
        <v>247</v>
      </c>
      <c r="B30" s="140"/>
      <c r="C30" s="224">
        <f>'Screener Input'!B26</f>
        <v>2.84</v>
      </c>
      <c r="D30" s="224">
        <f>'Screener Input'!C26</f>
        <v>2.84</v>
      </c>
      <c r="E30" s="224">
        <f>'Screener Input'!D26</f>
        <v>2.84</v>
      </c>
      <c r="F30" s="224">
        <f>'Screener Input'!E26</f>
        <v>2.84</v>
      </c>
      <c r="G30" s="224">
        <f>'Screener Input'!F26</f>
        <v>2.84</v>
      </c>
      <c r="H30" s="224">
        <f>'Screener Input'!G26</f>
        <v>3.73</v>
      </c>
      <c r="I30" s="224">
        <f>'Screener Input'!H26</f>
        <v>3.66</v>
      </c>
      <c r="J30" s="224">
        <f>'Screener Input'!I26</f>
        <v>5.17</v>
      </c>
      <c r="K30" s="224">
        <f>'Screener Input'!J26</f>
        <v>7.06</v>
      </c>
      <c r="L30" s="224">
        <f>'Screener Input'!K26</f>
        <v>7.57</v>
      </c>
      <c r="M30" s="224">
        <f>SUM('Screener Input'!H45:K45)</f>
        <v>11.18</v>
      </c>
      <c r="N30" s="224"/>
    </row>
    <row r="31" spans="1:15">
      <c r="A31" s="140" t="s">
        <v>248</v>
      </c>
      <c r="B31" s="140"/>
      <c r="C31" s="224">
        <f t="shared" ref="C31:L31" si="9">C29-C30</f>
        <v>14.689999999999987</v>
      </c>
      <c r="D31" s="224">
        <f t="shared" si="9"/>
        <v>14.689999999999987</v>
      </c>
      <c r="E31" s="224">
        <f t="shared" si="9"/>
        <v>14.689999999999987</v>
      </c>
      <c r="F31" s="224">
        <f t="shared" si="9"/>
        <v>14.689999999999987</v>
      </c>
      <c r="G31" s="224">
        <f t="shared" si="9"/>
        <v>14.689999999999987</v>
      </c>
      <c r="H31" s="224">
        <f t="shared" si="9"/>
        <v>21.960000000000004</v>
      </c>
      <c r="I31" s="224">
        <f t="shared" si="9"/>
        <v>17.460000000000015</v>
      </c>
      <c r="J31" s="224">
        <f t="shared" si="9"/>
        <v>23.749999999999964</v>
      </c>
      <c r="K31" s="224">
        <f t="shared" si="9"/>
        <v>42.470000000000027</v>
      </c>
      <c r="L31" s="224">
        <f t="shared" si="9"/>
        <v>71.480000000000075</v>
      </c>
      <c r="M31" s="224"/>
      <c r="N31" s="224"/>
    </row>
    <row r="32" spans="1:15">
      <c r="A32" s="140" t="s">
        <v>17</v>
      </c>
      <c r="B32" s="140"/>
      <c r="C32" s="224">
        <f>'Screener Input'!B27</f>
        <v>2.2799999999999998</v>
      </c>
      <c r="D32" s="224">
        <f>'Screener Input'!C27</f>
        <v>2.2799999999999998</v>
      </c>
      <c r="E32" s="224">
        <f>'Screener Input'!D27</f>
        <v>2.2799999999999998</v>
      </c>
      <c r="F32" s="224">
        <f>'Screener Input'!E27</f>
        <v>2.2799999999999998</v>
      </c>
      <c r="G32" s="224">
        <f>'Screener Input'!F27</f>
        <v>2.2799999999999998</v>
      </c>
      <c r="H32" s="224">
        <f>'Screener Input'!G27</f>
        <v>3.78</v>
      </c>
      <c r="I32" s="224">
        <f>'Screener Input'!H27</f>
        <v>2.0499999999999998</v>
      </c>
      <c r="J32" s="224">
        <f>'Screener Input'!I27</f>
        <v>2.4900000000000002</v>
      </c>
      <c r="K32" s="224">
        <f>'Screener Input'!J27</f>
        <v>3.07</v>
      </c>
      <c r="L32" s="224">
        <f>'Screener Input'!K27</f>
        <v>7.53</v>
      </c>
      <c r="M32" s="224">
        <f>SUM('Screener Input'!H46:K46)</f>
        <v>8.6999999999999993</v>
      </c>
      <c r="N32" s="224"/>
    </row>
    <row r="33" spans="1:14">
      <c r="A33" s="140" t="s">
        <v>249</v>
      </c>
      <c r="B33" s="140"/>
      <c r="C33" s="224">
        <f t="shared" ref="C33:L33" si="10">C31-C32</f>
        <v>12.409999999999988</v>
      </c>
      <c r="D33" s="224">
        <f t="shared" si="10"/>
        <v>12.409999999999988</v>
      </c>
      <c r="E33" s="224">
        <f t="shared" si="10"/>
        <v>12.409999999999988</v>
      </c>
      <c r="F33" s="224">
        <f t="shared" si="10"/>
        <v>12.409999999999988</v>
      </c>
      <c r="G33" s="224">
        <f t="shared" si="10"/>
        <v>12.409999999999988</v>
      </c>
      <c r="H33" s="224">
        <f t="shared" si="10"/>
        <v>18.180000000000003</v>
      </c>
      <c r="I33" s="224">
        <f t="shared" si="10"/>
        <v>15.410000000000014</v>
      </c>
      <c r="J33" s="224">
        <f t="shared" si="10"/>
        <v>21.259999999999962</v>
      </c>
      <c r="K33" s="224">
        <f t="shared" si="10"/>
        <v>39.400000000000027</v>
      </c>
      <c r="L33" s="224">
        <f t="shared" si="10"/>
        <v>63.950000000000074</v>
      </c>
      <c r="M33" s="224"/>
      <c r="N33" s="224"/>
    </row>
    <row r="34" spans="1:14">
      <c r="A34" s="140" t="s">
        <v>19</v>
      </c>
      <c r="B34" s="140"/>
      <c r="C34" s="224">
        <f>'Screener Input'!B29</f>
        <v>4.0599999999999996</v>
      </c>
      <c r="D34" s="224">
        <f>'Screener Input'!C29</f>
        <v>4.0599999999999996</v>
      </c>
      <c r="E34" s="224">
        <f>'Screener Input'!D29</f>
        <v>4.0599999999999996</v>
      </c>
      <c r="F34" s="224">
        <f>'Screener Input'!E29</f>
        <v>4.0599999999999996</v>
      </c>
      <c r="G34" s="224">
        <f>'Screener Input'!F29</f>
        <v>4.0599999999999996</v>
      </c>
      <c r="H34" s="224">
        <f>'Screener Input'!G29</f>
        <v>5.94</v>
      </c>
      <c r="I34" s="224">
        <f>'Screener Input'!H29</f>
        <v>5.34</v>
      </c>
      <c r="J34" s="224">
        <f>'Screener Input'!I29</f>
        <v>7.2</v>
      </c>
      <c r="K34" s="224">
        <f>'Screener Input'!J29</f>
        <v>14.27</v>
      </c>
      <c r="L34" s="224">
        <f>'Screener Input'!K29</f>
        <v>22.63</v>
      </c>
      <c r="M34" s="224">
        <f>SUM('Screener Input'!H48:K48)</f>
        <v>35.5</v>
      </c>
      <c r="N34" s="224"/>
    </row>
    <row r="35" spans="1:14">
      <c r="A35" s="140" t="s">
        <v>229</v>
      </c>
      <c r="B35" s="140"/>
      <c r="C35" s="224">
        <f t="shared" ref="C35:L35" si="11">C33-C34</f>
        <v>8.3499999999999872</v>
      </c>
      <c r="D35" s="224">
        <f t="shared" si="11"/>
        <v>8.3499999999999872</v>
      </c>
      <c r="E35" s="224">
        <f t="shared" si="11"/>
        <v>8.3499999999999872</v>
      </c>
      <c r="F35" s="224">
        <f t="shared" si="11"/>
        <v>8.3499999999999872</v>
      </c>
      <c r="G35" s="224">
        <f t="shared" si="11"/>
        <v>8.3499999999999872</v>
      </c>
      <c r="H35" s="224">
        <f t="shared" si="11"/>
        <v>12.240000000000002</v>
      </c>
      <c r="I35" s="224">
        <f t="shared" si="11"/>
        <v>10.070000000000014</v>
      </c>
      <c r="J35" s="224">
        <f t="shared" si="11"/>
        <v>14.059999999999963</v>
      </c>
      <c r="K35" s="224">
        <f t="shared" si="11"/>
        <v>25.130000000000027</v>
      </c>
      <c r="L35" s="224">
        <f t="shared" si="11"/>
        <v>41.320000000000078</v>
      </c>
      <c r="M35" s="224">
        <f>SUM('Screener Input'!H49:K49)</f>
        <v>64.36</v>
      </c>
      <c r="N35" s="224"/>
    </row>
    <row r="36" spans="1:14">
      <c r="A36" s="140" t="s">
        <v>250</v>
      </c>
      <c r="B36" s="140"/>
      <c r="C36" s="224">
        <f>'Screener Input'!B31</f>
        <v>0</v>
      </c>
      <c r="D36" s="224">
        <f>'Screener Input'!C31</f>
        <v>0</v>
      </c>
      <c r="E36" s="224">
        <f>'Screener Input'!D31</f>
        <v>0</v>
      </c>
      <c r="F36" s="224">
        <f>'Screener Input'!E31</f>
        <v>0</v>
      </c>
      <c r="G36" s="224">
        <f>'Screener Input'!F31</f>
        <v>0</v>
      </c>
      <c r="H36" s="224">
        <f>'Screener Input'!G31</f>
        <v>0.8</v>
      </c>
      <c r="I36" s="224">
        <f>'Screener Input'!H31</f>
        <v>1.6</v>
      </c>
      <c r="J36" s="224">
        <f>'Screener Input'!I31</f>
        <v>1.6</v>
      </c>
      <c r="K36" s="224">
        <f>'Screener Input'!J31</f>
        <v>4.8</v>
      </c>
      <c r="L36" s="224">
        <f>'Screener Input'!K31</f>
        <v>0</v>
      </c>
      <c r="M36" s="224"/>
      <c r="N36" s="224"/>
    </row>
    <row r="37" spans="1:14">
      <c r="A37" s="140" t="s">
        <v>3</v>
      </c>
      <c r="C37" s="224">
        <f>'Screener Input'!B90*'Screener Input'!B93</f>
        <v>0</v>
      </c>
      <c r="D37" s="224">
        <f>'Screener Input'!C90*'Screener Input'!C93</f>
        <v>0</v>
      </c>
      <c r="E37" s="224">
        <f>'Screener Input'!D90*'Screener Input'!D93</f>
        <v>0</v>
      </c>
      <c r="F37" s="224">
        <f>'Screener Input'!E90*'Screener Input'!E93</f>
        <v>0</v>
      </c>
      <c r="G37" s="224">
        <f>'Screener Input'!F90*'Screener Input'!F93</f>
        <v>0</v>
      </c>
      <c r="H37" s="224">
        <f>'Screener Input'!G90*'Screener Input'!G93</f>
        <v>0</v>
      </c>
      <c r="I37" s="224">
        <f>'Screener Input'!H90*'Screener Input'!H93</f>
        <v>0</v>
      </c>
      <c r="J37" s="224">
        <f>'Screener Input'!I90*'Screener Input'!I93</f>
        <v>0</v>
      </c>
      <c r="K37" s="224">
        <f>'Screener Input'!J90*'Screener Input'!J93</f>
        <v>0</v>
      </c>
      <c r="L37" s="224">
        <f>'Screener Input'!K90*'Screener Input'!K93</f>
        <v>547.19999999999993</v>
      </c>
      <c r="M37" s="224"/>
      <c r="N37" s="224"/>
    </row>
    <row r="38" spans="1:14">
      <c r="A38" s="141" t="s">
        <v>251</v>
      </c>
      <c r="B38" s="192">
        <f>'Screener Input'!B9</f>
        <v>1945.08</v>
      </c>
      <c r="C38" s="406"/>
      <c r="D38" s="407"/>
      <c r="E38" s="407"/>
      <c r="F38" s="407"/>
      <c r="G38" s="407"/>
      <c r="H38" s="407"/>
      <c r="I38" s="407"/>
      <c r="J38" s="407"/>
      <c r="K38" s="408"/>
      <c r="L38" s="227">
        <f>L35+L34+L32+L30</f>
        <v>79.050000000000068</v>
      </c>
      <c r="M38" s="126"/>
      <c r="N38" s="126"/>
    </row>
    <row r="39" spans="1:14">
      <c r="A39" s="141" t="s">
        <v>326</v>
      </c>
      <c r="C39" s="188"/>
      <c r="D39" s="188"/>
      <c r="E39" s="188"/>
      <c r="F39" s="188"/>
      <c r="G39" s="188"/>
      <c r="H39" s="188"/>
      <c r="I39" s="188"/>
      <c r="J39" s="188"/>
      <c r="K39" s="188"/>
      <c r="L39" s="126"/>
      <c r="N39" s="126"/>
    </row>
    <row r="40" spans="1:14">
      <c r="A40" s="142" t="s">
        <v>252</v>
      </c>
      <c r="B40" s="143"/>
      <c r="C40" s="224">
        <f>'Screener Input'!B57</f>
        <v>0.8</v>
      </c>
      <c r="D40" s="224">
        <f>'Screener Input'!C57</f>
        <v>0.8</v>
      </c>
      <c r="E40" s="224">
        <f>'Screener Input'!D57</f>
        <v>0.8</v>
      </c>
      <c r="F40" s="224">
        <f>'Screener Input'!E57</f>
        <v>0.8</v>
      </c>
      <c r="G40" s="224">
        <f>'Screener Input'!F57</f>
        <v>0.8</v>
      </c>
      <c r="H40" s="224">
        <f>'Screener Input'!G57</f>
        <v>0.8</v>
      </c>
      <c r="I40" s="224">
        <f>'Screener Input'!H57</f>
        <v>0.8</v>
      </c>
      <c r="J40" s="224">
        <f>'Screener Input'!I57</f>
        <v>0.8</v>
      </c>
      <c r="K40" s="224">
        <f>'Screener Input'!J57</f>
        <v>3.2</v>
      </c>
      <c r="L40" s="224">
        <f>'Screener Input'!K57</f>
        <v>28.8</v>
      </c>
      <c r="M40" s="224"/>
      <c r="N40" s="224"/>
    </row>
    <row r="41" spans="1:14">
      <c r="A41" s="142" t="s">
        <v>253</v>
      </c>
      <c r="B41" s="142"/>
      <c r="C41" s="226">
        <f>'Screener Input'!B58</f>
        <v>14.48</v>
      </c>
      <c r="D41" s="226">
        <f>'Screener Input'!C58</f>
        <v>14.48</v>
      </c>
      <c r="E41" s="226">
        <f>'Screener Input'!D58</f>
        <v>14.48</v>
      </c>
      <c r="F41" s="226">
        <f>'Screener Input'!E58</f>
        <v>14.48</v>
      </c>
      <c r="G41" s="226">
        <f>'Screener Input'!F58</f>
        <v>14.48</v>
      </c>
      <c r="H41" s="226">
        <f>'Screener Input'!G58</f>
        <v>25.8</v>
      </c>
      <c r="I41" s="226">
        <f>'Screener Input'!H58</f>
        <v>33.99</v>
      </c>
      <c r="J41" s="226">
        <f>'Screener Input'!I58</f>
        <v>46.12</v>
      </c>
      <c r="K41" s="226">
        <f>'Screener Input'!J58</f>
        <v>63.11</v>
      </c>
      <c r="L41" s="226">
        <f>'Screener Input'!K58</f>
        <v>78.819999999999993</v>
      </c>
      <c r="M41" s="226"/>
      <c r="N41" s="226"/>
    </row>
    <row r="42" spans="1:14">
      <c r="A42" s="142" t="s">
        <v>6</v>
      </c>
      <c r="B42" s="140"/>
      <c r="C42" s="224">
        <f t="shared" ref="C42:L42" si="12">C41+C40</f>
        <v>15.280000000000001</v>
      </c>
      <c r="D42" s="224">
        <f t="shared" si="12"/>
        <v>15.280000000000001</v>
      </c>
      <c r="E42" s="224">
        <f t="shared" si="12"/>
        <v>15.280000000000001</v>
      </c>
      <c r="F42" s="224">
        <f t="shared" si="12"/>
        <v>15.280000000000001</v>
      </c>
      <c r="G42" s="224">
        <f t="shared" si="12"/>
        <v>15.280000000000001</v>
      </c>
      <c r="H42" s="224">
        <f t="shared" si="12"/>
        <v>26.6</v>
      </c>
      <c r="I42" s="224">
        <f t="shared" si="12"/>
        <v>34.79</v>
      </c>
      <c r="J42" s="224">
        <f t="shared" si="12"/>
        <v>46.919999999999995</v>
      </c>
      <c r="K42" s="224">
        <f t="shared" si="12"/>
        <v>66.31</v>
      </c>
      <c r="L42" s="224">
        <f t="shared" si="12"/>
        <v>107.61999999999999</v>
      </c>
      <c r="M42" s="224"/>
      <c r="N42" s="224"/>
    </row>
    <row r="43" spans="1:14">
      <c r="A43" s="144" t="s">
        <v>7</v>
      </c>
      <c r="B43" s="145"/>
      <c r="C43" s="224"/>
      <c r="D43" s="224"/>
      <c r="E43" s="224"/>
      <c r="F43" s="224"/>
      <c r="G43" s="224"/>
      <c r="H43" s="224"/>
      <c r="I43" s="224"/>
      <c r="J43" s="224"/>
      <c r="K43" s="224"/>
      <c r="L43" s="227"/>
      <c r="M43" s="227"/>
      <c r="N43" s="227"/>
    </row>
    <row r="44" spans="1:14">
      <c r="A44" s="144" t="s">
        <v>8</v>
      </c>
      <c r="B44" s="145"/>
      <c r="C44" s="224"/>
      <c r="D44" s="224"/>
      <c r="E44" s="224"/>
      <c r="F44" s="224"/>
      <c r="G44" s="224"/>
      <c r="H44" s="224"/>
      <c r="I44" s="224"/>
      <c r="J44" s="224"/>
      <c r="K44" s="224"/>
      <c r="L44" s="227"/>
      <c r="M44" s="227"/>
      <c r="N44" s="227"/>
    </row>
    <row r="45" spans="1:14">
      <c r="A45" s="144" t="s">
        <v>254</v>
      </c>
      <c r="B45" s="142"/>
      <c r="C45" s="226">
        <f>'Screener Input'!B59</f>
        <v>25.87</v>
      </c>
      <c r="D45" s="226">
        <f>'Screener Input'!C59</f>
        <v>25.87</v>
      </c>
      <c r="E45" s="226">
        <f>'Screener Input'!D59</f>
        <v>25.87</v>
      </c>
      <c r="F45" s="226">
        <f>'Screener Input'!E59</f>
        <v>25.87</v>
      </c>
      <c r="G45" s="226">
        <f>'Screener Input'!F59</f>
        <v>25.87</v>
      </c>
      <c r="H45" s="226">
        <f>'Screener Input'!G59</f>
        <v>14.99</v>
      </c>
      <c r="I45" s="226">
        <f>'Screener Input'!H59</f>
        <v>26.01</v>
      </c>
      <c r="J45" s="226">
        <f>'Screener Input'!I59</f>
        <v>33.409999999999997</v>
      </c>
      <c r="K45" s="226">
        <f>'Screener Input'!J59</f>
        <v>45.25</v>
      </c>
      <c r="L45" s="226">
        <f>'Screener Input'!K59</f>
        <v>67.739999999999995</v>
      </c>
      <c r="M45" s="226"/>
      <c r="N45" s="226"/>
    </row>
    <row r="46" spans="1:14">
      <c r="A46" s="144" t="s">
        <v>255</v>
      </c>
      <c r="B46" s="142"/>
      <c r="C46" s="226">
        <f>'Screener Input'!B60</f>
        <v>50.82</v>
      </c>
      <c r="D46" s="226">
        <f>'Screener Input'!C60</f>
        <v>50.82</v>
      </c>
      <c r="E46" s="226">
        <f>'Screener Input'!D60</f>
        <v>50.82</v>
      </c>
      <c r="F46" s="226">
        <f>'Screener Input'!E60</f>
        <v>50.82</v>
      </c>
      <c r="G46" s="226">
        <f>'Screener Input'!F60</f>
        <v>50.82</v>
      </c>
      <c r="H46" s="226">
        <f>'Screener Input'!G60</f>
        <v>59.37</v>
      </c>
      <c r="I46" s="226">
        <f>'Screener Input'!H60</f>
        <v>75.47</v>
      </c>
      <c r="J46" s="226">
        <f>'Screener Input'!I60</f>
        <v>106.05</v>
      </c>
      <c r="K46" s="226">
        <f>'Screener Input'!J60</f>
        <v>117.2</v>
      </c>
      <c r="L46" s="226">
        <f>'Screener Input'!K60</f>
        <v>139.88</v>
      </c>
      <c r="M46" s="226"/>
      <c r="N46" s="226"/>
    </row>
    <row r="47" spans="1:14">
      <c r="A47" s="144" t="s">
        <v>256</v>
      </c>
      <c r="B47" s="142"/>
      <c r="C47" s="226">
        <f>'Screener Input'!B65</f>
        <v>73.64</v>
      </c>
      <c r="D47" s="226">
        <f>'Screener Input'!C65</f>
        <v>73.64</v>
      </c>
      <c r="E47" s="226">
        <f>'Screener Input'!D65</f>
        <v>73.64</v>
      </c>
      <c r="F47" s="226">
        <f>'Screener Input'!E65</f>
        <v>73.64</v>
      </c>
      <c r="G47" s="226">
        <f>'Screener Input'!F65</f>
        <v>73.64</v>
      </c>
      <c r="H47" s="226">
        <f>'Screener Input'!G65</f>
        <v>79.010000000000005</v>
      </c>
      <c r="I47" s="226">
        <f>'Screener Input'!H65</f>
        <v>108.84</v>
      </c>
      <c r="J47" s="226">
        <f>'Screener Input'!I65</f>
        <v>140.27000000000001</v>
      </c>
      <c r="K47" s="226">
        <f>'Screener Input'!J65</f>
        <v>158.47999999999999</v>
      </c>
      <c r="L47" s="226">
        <f>'Screener Input'!K65</f>
        <v>241.89</v>
      </c>
      <c r="M47" s="226"/>
      <c r="N47" s="226"/>
    </row>
    <row r="48" spans="1:14">
      <c r="A48" s="144" t="s">
        <v>11</v>
      </c>
      <c r="B48" s="142"/>
      <c r="C48" s="226">
        <f>'Screener Input'!B60</f>
        <v>50.82</v>
      </c>
      <c r="D48" s="226">
        <f>'Screener Input'!C60</f>
        <v>50.82</v>
      </c>
      <c r="E48" s="226">
        <f>'Screener Input'!D60</f>
        <v>50.82</v>
      </c>
      <c r="F48" s="226">
        <f>'Screener Input'!E60</f>
        <v>50.82</v>
      </c>
      <c r="G48" s="226">
        <f>'Screener Input'!F60</f>
        <v>50.82</v>
      </c>
      <c r="H48" s="226">
        <f>'Screener Input'!G60</f>
        <v>59.37</v>
      </c>
      <c r="I48" s="226">
        <f>'Screener Input'!H60</f>
        <v>75.47</v>
      </c>
      <c r="J48" s="226">
        <f>'Screener Input'!I60</f>
        <v>106.05</v>
      </c>
      <c r="K48" s="226">
        <f>'Screener Input'!J60</f>
        <v>117.2</v>
      </c>
      <c r="L48" s="226">
        <f>'Screener Input'!K60</f>
        <v>139.88</v>
      </c>
      <c r="M48" s="226"/>
      <c r="N48" s="226"/>
    </row>
    <row r="49" spans="1:14">
      <c r="A49" s="144" t="s">
        <v>12</v>
      </c>
      <c r="B49" s="142"/>
      <c r="C49" s="226">
        <f>'Screener Input'!B66</f>
        <v>91.97</v>
      </c>
      <c r="D49" s="226">
        <f>'Screener Input'!C66</f>
        <v>91.97</v>
      </c>
      <c r="E49" s="226">
        <f>'Screener Input'!D66</f>
        <v>91.97</v>
      </c>
      <c r="F49" s="226">
        <f>'Screener Input'!E66</f>
        <v>91.97</v>
      </c>
      <c r="G49" s="226">
        <f>'Screener Input'!F66</f>
        <v>91.97</v>
      </c>
      <c r="H49" s="226">
        <f>'Screener Input'!G66</f>
        <v>100.96</v>
      </c>
      <c r="I49" s="226">
        <f>'Screener Input'!H66</f>
        <v>136.27000000000001</v>
      </c>
      <c r="J49" s="226">
        <f>'Screener Input'!I66</f>
        <v>186.38</v>
      </c>
      <c r="K49" s="226">
        <f>'Screener Input'!J66</f>
        <v>228.76</v>
      </c>
      <c r="L49" s="226">
        <f>'Screener Input'!K66</f>
        <v>315.24</v>
      </c>
      <c r="M49" s="226"/>
      <c r="N49" s="226"/>
    </row>
    <row r="50" spans="1:14">
      <c r="A50" s="258" t="s">
        <v>257</v>
      </c>
      <c r="B50" s="258"/>
      <c r="C50" s="259">
        <f>'Screener Input'!B62</f>
        <v>18.02</v>
      </c>
      <c r="D50" s="259">
        <f>'Screener Input'!C62</f>
        <v>18.02</v>
      </c>
      <c r="E50" s="259">
        <f>'Screener Input'!D62</f>
        <v>18.02</v>
      </c>
      <c r="F50" s="259">
        <f>'Screener Input'!E62</f>
        <v>18.02</v>
      </c>
      <c r="G50" s="259">
        <f>'Screener Input'!F62</f>
        <v>18.02</v>
      </c>
      <c r="H50" s="259">
        <f>'Screener Input'!G62</f>
        <v>18.46</v>
      </c>
      <c r="I50" s="259">
        <f>'Screener Input'!H62</f>
        <v>18.510000000000002</v>
      </c>
      <c r="J50" s="259">
        <f>'Screener Input'!I62</f>
        <v>33.22</v>
      </c>
      <c r="K50" s="259">
        <f>'Screener Input'!J62</f>
        <v>52.22</v>
      </c>
      <c r="L50" s="259">
        <f>'Screener Input'!K62</f>
        <v>51.77</v>
      </c>
      <c r="M50" s="224"/>
      <c r="N50" s="224"/>
    </row>
    <row r="51" spans="1:14">
      <c r="A51" s="140" t="s">
        <v>10</v>
      </c>
      <c r="B51" s="140"/>
      <c r="C51" s="224">
        <f>'Screener Input'!B63</f>
        <v>0</v>
      </c>
      <c r="D51" s="224">
        <f>'Screener Input'!C63</f>
        <v>0</v>
      </c>
      <c r="E51" s="224">
        <f>'Screener Input'!D63</f>
        <v>0</v>
      </c>
      <c r="F51" s="224">
        <f>'Screener Input'!E63</f>
        <v>0</v>
      </c>
      <c r="G51" s="224">
        <f>'Screener Input'!F63</f>
        <v>0</v>
      </c>
      <c r="H51" s="224">
        <f>'Screener Input'!G63</f>
        <v>0</v>
      </c>
      <c r="I51" s="224">
        <f>'Screener Input'!H63</f>
        <v>0</v>
      </c>
      <c r="J51" s="224">
        <f>'Screener Input'!I63</f>
        <v>0.24</v>
      </c>
      <c r="K51" s="224">
        <f>'Screener Input'!J63</f>
        <v>0</v>
      </c>
      <c r="L51" s="224">
        <f>'Screener Input'!K63</f>
        <v>0</v>
      </c>
      <c r="M51" s="224"/>
      <c r="N51" s="224"/>
    </row>
    <row r="52" spans="1:14">
      <c r="A52" s="144" t="s">
        <v>56</v>
      </c>
      <c r="B52" s="142"/>
      <c r="C52" s="226">
        <f>'Screener Input'!B65-'Screener Input'!B60</f>
        <v>22.82</v>
      </c>
      <c r="D52" s="226">
        <f>'Screener Input'!C65-'Screener Input'!C60</f>
        <v>22.82</v>
      </c>
      <c r="E52" s="226">
        <f>'Screener Input'!D65-'Screener Input'!D60</f>
        <v>22.82</v>
      </c>
      <c r="F52" s="226">
        <f>'Screener Input'!E65-'Screener Input'!E60</f>
        <v>22.82</v>
      </c>
      <c r="G52" s="226">
        <f>'Screener Input'!F65-'Screener Input'!F60</f>
        <v>22.82</v>
      </c>
      <c r="H52" s="226">
        <f>'Screener Input'!G65-'Screener Input'!G60</f>
        <v>19.640000000000008</v>
      </c>
      <c r="I52" s="226">
        <f>'Screener Input'!H65-'Screener Input'!H60</f>
        <v>33.370000000000005</v>
      </c>
      <c r="J52" s="226">
        <f>'Screener Input'!I65-'Screener Input'!I60</f>
        <v>34.220000000000013</v>
      </c>
      <c r="K52" s="226">
        <f>'Screener Input'!J65-'Screener Input'!J60</f>
        <v>41.279999999999987</v>
      </c>
      <c r="L52" s="226">
        <f>'Screener Input'!K65-'Screener Input'!K60</f>
        <v>102.00999999999999</v>
      </c>
      <c r="M52" s="226"/>
      <c r="N52" s="226"/>
    </row>
    <row r="53" spans="1:14">
      <c r="A53" s="142" t="s">
        <v>235</v>
      </c>
      <c r="B53" s="142"/>
      <c r="C53" s="226">
        <f>'Screener Input'!B67</f>
        <v>18.95</v>
      </c>
      <c r="D53" s="226">
        <f>'Screener Input'!C67</f>
        <v>18.95</v>
      </c>
      <c r="E53" s="226">
        <f>'Screener Input'!D67</f>
        <v>18.95</v>
      </c>
      <c r="F53" s="226">
        <f>'Screener Input'!E67</f>
        <v>18.95</v>
      </c>
      <c r="G53" s="226">
        <f>'Screener Input'!F67</f>
        <v>18.95</v>
      </c>
      <c r="H53" s="226">
        <f>'Screener Input'!G67</f>
        <v>12.17</v>
      </c>
      <c r="I53" s="226">
        <f>'Screener Input'!H67</f>
        <v>13.76</v>
      </c>
      <c r="J53" s="226">
        <f>'Screener Input'!I67</f>
        <v>23.87</v>
      </c>
      <c r="K53" s="226">
        <f>'Screener Input'!J67</f>
        <v>10.32</v>
      </c>
      <c r="L53" s="226">
        <f>'Screener Input'!K67</f>
        <v>53.26</v>
      </c>
      <c r="M53" s="226"/>
      <c r="N53" s="226"/>
    </row>
    <row r="54" spans="1:14">
      <c r="A54" s="142" t="s">
        <v>234</v>
      </c>
      <c r="B54" s="142"/>
      <c r="C54" s="226">
        <f>'Screener Input'!B68</f>
        <v>1.42</v>
      </c>
      <c r="D54" s="226">
        <f>'Screener Input'!C68</f>
        <v>1.42</v>
      </c>
      <c r="E54" s="226">
        <f>'Screener Input'!D68</f>
        <v>1.42</v>
      </c>
      <c r="F54" s="226">
        <f>'Screener Input'!E68</f>
        <v>1.42</v>
      </c>
      <c r="G54" s="226">
        <f>'Screener Input'!F68</f>
        <v>1.42</v>
      </c>
      <c r="H54" s="226">
        <f>'Screener Input'!G68</f>
        <v>1.84</v>
      </c>
      <c r="I54" s="226">
        <f>'Screener Input'!H68</f>
        <v>1.57</v>
      </c>
      <c r="J54" s="226">
        <f>'Screener Input'!I68</f>
        <v>4.21</v>
      </c>
      <c r="K54" s="226">
        <f>'Screener Input'!J68</f>
        <v>4.04</v>
      </c>
      <c r="L54" s="226">
        <f>'Screener Input'!K68</f>
        <v>3.04</v>
      </c>
      <c r="M54" s="226"/>
      <c r="N54" s="226"/>
    </row>
    <row r="55" spans="1:14">
      <c r="A55" s="142" t="s">
        <v>258</v>
      </c>
      <c r="B55" s="142"/>
      <c r="C55" s="226">
        <f>'Screener Input'!B69</f>
        <v>35.94</v>
      </c>
      <c r="D55" s="226">
        <f>'Screener Input'!C69</f>
        <v>35.94</v>
      </c>
      <c r="E55" s="226">
        <f>'Screener Input'!D69</f>
        <v>35.94</v>
      </c>
      <c r="F55" s="226">
        <f>'Screener Input'!E69</f>
        <v>35.94</v>
      </c>
      <c r="G55" s="226">
        <f>'Screener Input'!F69</f>
        <v>35.94</v>
      </c>
      <c r="H55" s="226">
        <f>'Screener Input'!G69</f>
        <v>44.61</v>
      </c>
      <c r="I55" s="226">
        <f>'Screener Input'!H69</f>
        <v>68.44</v>
      </c>
      <c r="J55" s="226">
        <f>'Screener Input'!I69</f>
        <v>84.82</v>
      </c>
      <c r="K55" s="226">
        <f>'Screener Input'!J69</f>
        <v>106.38</v>
      </c>
      <c r="L55" s="226">
        <f>'Screener Input'!K69</f>
        <v>125</v>
      </c>
      <c r="M55" s="226"/>
      <c r="N55" s="226"/>
    </row>
    <row r="56" spans="1:14">
      <c r="A56" s="140" t="s">
        <v>259</v>
      </c>
      <c r="B56" s="145"/>
      <c r="C56" s="224"/>
      <c r="D56" s="224"/>
      <c r="E56" s="224"/>
      <c r="F56" s="224"/>
      <c r="G56" s="224"/>
      <c r="H56" s="224"/>
      <c r="I56" s="224"/>
      <c r="J56" s="224"/>
      <c r="K56" s="224"/>
      <c r="L56" s="227"/>
      <c r="M56" s="227"/>
      <c r="N56" s="227"/>
    </row>
    <row r="57" spans="1:14">
      <c r="A57" s="144" t="s">
        <v>260</v>
      </c>
      <c r="B57" s="140"/>
      <c r="C57" s="224">
        <f t="shared" ref="C57:L57" si="13">C42+C45</f>
        <v>41.150000000000006</v>
      </c>
      <c r="D57" s="224">
        <f t="shared" si="13"/>
        <v>41.150000000000006</v>
      </c>
      <c r="E57" s="224">
        <f t="shared" si="13"/>
        <v>41.150000000000006</v>
      </c>
      <c r="F57" s="224">
        <f t="shared" si="13"/>
        <v>41.150000000000006</v>
      </c>
      <c r="G57" s="224">
        <f t="shared" si="13"/>
        <v>41.150000000000006</v>
      </c>
      <c r="H57" s="224">
        <f t="shared" si="13"/>
        <v>41.59</v>
      </c>
      <c r="I57" s="224">
        <f t="shared" si="13"/>
        <v>60.8</v>
      </c>
      <c r="J57" s="224">
        <f t="shared" si="13"/>
        <v>80.329999999999984</v>
      </c>
      <c r="K57" s="224">
        <f t="shared" si="13"/>
        <v>111.56</v>
      </c>
      <c r="L57" s="224">
        <f t="shared" si="13"/>
        <v>175.35999999999999</v>
      </c>
      <c r="M57" s="224"/>
      <c r="N57" s="224"/>
    </row>
    <row r="58" spans="1:14">
      <c r="A58" s="144" t="s">
        <v>261</v>
      </c>
      <c r="B58" s="140"/>
      <c r="C58" s="224">
        <f t="shared" ref="C58:L58" si="14">C49-C48</f>
        <v>41.15</v>
      </c>
      <c r="D58" s="224">
        <f t="shared" si="14"/>
        <v>41.15</v>
      </c>
      <c r="E58" s="224">
        <f t="shared" si="14"/>
        <v>41.15</v>
      </c>
      <c r="F58" s="224">
        <f t="shared" si="14"/>
        <v>41.15</v>
      </c>
      <c r="G58" s="224">
        <f t="shared" si="14"/>
        <v>41.15</v>
      </c>
      <c r="H58" s="224">
        <f t="shared" si="14"/>
        <v>41.589999999999996</v>
      </c>
      <c r="I58" s="224">
        <f t="shared" si="14"/>
        <v>60.800000000000011</v>
      </c>
      <c r="J58" s="224">
        <f t="shared" si="14"/>
        <v>80.33</v>
      </c>
      <c r="K58" s="224">
        <f t="shared" si="14"/>
        <v>111.55999999999999</v>
      </c>
      <c r="L58" s="224">
        <f t="shared" si="14"/>
        <v>175.36</v>
      </c>
      <c r="M58" s="224"/>
      <c r="N58" s="224"/>
    </row>
    <row r="59" spans="1:14">
      <c r="A59" s="144" t="s">
        <v>262</v>
      </c>
      <c r="B59" s="140"/>
      <c r="C59" s="224">
        <f>'Screener Input'!B59+'Screener Input'!B60</f>
        <v>76.69</v>
      </c>
      <c r="D59" s="224">
        <f>'Screener Input'!C59+'Screener Input'!C60</f>
        <v>76.69</v>
      </c>
      <c r="E59" s="224">
        <f>'Screener Input'!D59+'Screener Input'!D60</f>
        <v>76.69</v>
      </c>
      <c r="F59" s="224">
        <f>'Screener Input'!E59+'Screener Input'!E60</f>
        <v>76.69</v>
      </c>
      <c r="G59" s="224">
        <f>'Screener Input'!F59+'Screener Input'!F60</f>
        <v>76.69</v>
      </c>
      <c r="H59" s="224">
        <f>'Screener Input'!G59+'Screener Input'!G60</f>
        <v>74.36</v>
      </c>
      <c r="I59" s="224">
        <f>'Screener Input'!H59+'Screener Input'!H60</f>
        <v>101.48</v>
      </c>
      <c r="J59" s="224">
        <f>'Screener Input'!I59+'Screener Input'!I60</f>
        <v>139.45999999999998</v>
      </c>
      <c r="K59" s="224">
        <f>'Screener Input'!J59+'Screener Input'!J60</f>
        <v>162.44999999999999</v>
      </c>
      <c r="L59" s="224">
        <f>'Screener Input'!K59+'Screener Input'!K60</f>
        <v>207.62</v>
      </c>
      <c r="M59" s="224"/>
      <c r="N59" s="224"/>
    </row>
    <row r="60" spans="1:14">
      <c r="A60" s="145" t="s">
        <v>12</v>
      </c>
      <c r="B60" s="146"/>
      <c r="C60" s="228">
        <f>'Screener Input'!B66</f>
        <v>91.97</v>
      </c>
      <c r="D60" s="228">
        <f>'Screener Input'!C66</f>
        <v>91.97</v>
      </c>
      <c r="E60" s="228">
        <f>'Screener Input'!D66</f>
        <v>91.97</v>
      </c>
      <c r="F60" s="228">
        <f>'Screener Input'!E66</f>
        <v>91.97</v>
      </c>
      <c r="G60" s="228">
        <f>'Screener Input'!F66</f>
        <v>91.97</v>
      </c>
      <c r="H60" s="228">
        <f>'Screener Input'!G66</f>
        <v>100.96</v>
      </c>
      <c r="I60" s="228">
        <f>'Screener Input'!H66</f>
        <v>136.27000000000001</v>
      </c>
      <c r="J60" s="228">
        <f>'Screener Input'!I66</f>
        <v>186.38</v>
      </c>
      <c r="K60" s="228">
        <f>'Screener Input'!J66</f>
        <v>228.76</v>
      </c>
      <c r="L60" s="228">
        <f>'Screener Input'!K66</f>
        <v>315.24</v>
      </c>
      <c r="M60" s="228"/>
      <c r="N60" s="228"/>
    </row>
    <row r="61" spans="1:14">
      <c r="A61" s="409"/>
      <c r="B61" s="409"/>
      <c r="C61" s="409"/>
      <c r="D61" s="409"/>
      <c r="E61" s="409"/>
      <c r="F61" s="409"/>
      <c r="G61" s="409"/>
      <c r="H61" s="409"/>
      <c r="I61" s="409"/>
      <c r="J61" s="409"/>
      <c r="K61" s="409"/>
      <c r="L61" s="126"/>
      <c r="M61" s="126"/>
      <c r="N61" s="126"/>
    </row>
    <row r="62" spans="1:14">
      <c r="A62" s="142" t="s">
        <v>54</v>
      </c>
      <c r="B62" s="140"/>
      <c r="C62" s="224">
        <f>'Screener Input'!B82</f>
        <v>15.81</v>
      </c>
      <c r="D62" s="224">
        <f>'Screener Input'!C82</f>
        <v>15.81</v>
      </c>
      <c r="E62" s="224">
        <f>'Screener Input'!D82</f>
        <v>15.81</v>
      </c>
      <c r="F62" s="224">
        <f>'Screener Input'!E82</f>
        <v>15.81</v>
      </c>
      <c r="G62" s="224">
        <f>'Screener Input'!F82</f>
        <v>15.81</v>
      </c>
      <c r="H62" s="224">
        <f>'Screener Input'!G82</f>
        <v>26.36</v>
      </c>
      <c r="I62" s="224">
        <f>'Screener Input'!H82</f>
        <v>19.5</v>
      </c>
      <c r="J62" s="224">
        <f>'Screener Input'!I82</f>
        <v>29.97</v>
      </c>
      <c r="K62" s="224">
        <f>'Screener Input'!J82</f>
        <v>41.06</v>
      </c>
      <c r="L62" s="224">
        <f>'Screener Input'!K82</f>
        <v>1.07</v>
      </c>
      <c r="M62" s="140"/>
      <c r="N62" s="140"/>
    </row>
    <row r="63" spans="1:14">
      <c r="A63" s="142" t="s">
        <v>22</v>
      </c>
      <c r="B63" s="143"/>
      <c r="C63" s="224"/>
      <c r="D63" s="224">
        <f t="shared" ref="D63:L63" si="15">D62-D23</f>
        <v>12.97</v>
      </c>
      <c r="E63" s="224">
        <f t="shared" si="15"/>
        <v>12.97</v>
      </c>
      <c r="F63" s="224">
        <f t="shared" si="15"/>
        <v>12.97</v>
      </c>
      <c r="G63" s="224">
        <f t="shared" si="15"/>
        <v>12.97</v>
      </c>
      <c r="H63" s="224">
        <f t="shared" si="15"/>
        <v>22.189999999999998</v>
      </c>
      <c r="I63" s="224">
        <f t="shared" si="15"/>
        <v>15.79</v>
      </c>
      <c r="J63" s="224">
        <f t="shared" si="15"/>
        <v>9.8500000000000014</v>
      </c>
      <c r="K63" s="224">
        <f t="shared" si="15"/>
        <v>15.240000000000002</v>
      </c>
      <c r="L63" s="224">
        <f t="shared" si="15"/>
        <v>-6.0500000000000043</v>
      </c>
      <c r="M63" s="143"/>
      <c r="N63" s="143"/>
    </row>
    <row r="64" spans="1:14">
      <c r="A64" s="142" t="s">
        <v>263</v>
      </c>
      <c r="B64" s="147"/>
      <c r="C64" s="224">
        <f>'Screener Input'!B83</f>
        <v>-21.81</v>
      </c>
      <c r="D64" s="224">
        <f>'Screener Input'!C83</f>
        <v>-21.81</v>
      </c>
      <c r="E64" s="224">
        <f>'Screener Input'!D83</f>
        <v>-21.81</v>
      </c>
      <c r="F64" s="224">
        <f>'Screener Input'!E83</f>
        <v>-21.81</v>
      </c>
      <c r="G64" s="224">
        <f>'Screener Input'!F83</f>
        <v>-21.81</v>
      </c>
      <c r="H64" s="224">
        <f>'Screener Input'!G83</f>
        <v>1.88</v>
      </c>
      <c r="I64" s="224">
        <f>'Screener Input'!H83</f>
        <v>-40.57</v>
      </c>
      <c r="J64" s="224">
        <f>'Screener Input'!I83</f>
        <v>-25.55</v>
      </c>
      <c r="K64" s="224">
        <f>'Screener Input'!J83</f>
        <v>-43.29</v>
      </c>
      <c r="L64" s="224">
        <f>'Screener Input'!K83</f>
        <v>-6.95</v>
      </c>
      <c r="M64" s="147"/>
      <c r="N64" s="147"/>
    </row>
    <row r="65" spans="1:14">
      <c r="A65" s="142" t="s">
        <v>264</v>
      </c>
      <c r="B65" s="147"/>
      <c r="C65" s="224">
        <f>'Screener Input'!B84</f>
        <v>8.81</v>
      </c>
      <c r="D65" s="224">
        <f>'Screener Input'!C84</f>
        <v>8.81</v>
      </c>
      <c r="E65" s="224">
        <f>'Screener Input'!D84</f>
        <v>8.81</v>
      </c>
      <c r="F65" s="224">
        <f>'Screener Input'!E84</f>
        <v>8.81</v>
      </c>
      <c r="G65" s="224">
        <f>'Screener Input'!F84</f>
        <v>8.81</v>
      </c>
      <c r="H65" s="224">
        <f>'Screener Input'!G84</f>
        <v>-13.58</v>
      </c>
      <c r="I65" s="224">
        <f>'Screener Input'!H84</f>
        <v>9.4499999999999993</v>
      </c>
      <c r="J65" s="224">
        <f>'Screener Input'!I84</f>
        <v>4.07</v>
      </c>
      <c r="K65" s="224">
        <f>'Screener Input'!J84</f>
        <v>2.5499999999999998</v>
      </c>
      <c r="L65" s="224">
        <f>'Screener Input'!K84</f>
        <v>15.97</v>
      </c>
      <c r="M65" s="147"/>
      <c r="N65" s="147"/>
    </row>
    <row r="66" spans="1:14">
      <c r="A66" s="142" t="s">
        <v>265</v>
      </c>
      <c r="B66" s="148"/>
      <c r="C66" s="327">
        <f t="shared" ref="C66:L66" si="16">C34/C33</f>
        <v>0.32715551974214374</v>
      </c>
      <c r="D66" s="327">
        <f t="shared" si="16"/>
        <v>0.32715551974214374</v>
      </c>
      <c r="E66" s="327">
        <f t="shared" si="16"/>
        <v>0.32715551974214374</v>
      </c>
      <c r="F66" s="327">
        <f t="shared" si="16"/>
        <v>0.32715551974214374</v>
      </c>
      <c r="G66" s="327">
        <f t="shared" si="16"/>
        <v>0.32715551974214374</v>
      </c>
      <c r="H66" s="327">
        <f t="shared" si="16"/>
        <v>0.32673267326732669</v>
      </c>
      <c r="I66" s="327">
        <f t="shared" si="16"/>
        <v>0.34652822842310155</v>
      </c>
      <c r="J66" s="327">
        <f t="shared" si="16"/>
        <v>0.33866415804327438</v>
      </c>
      <c r="K66" s="327">
        <f t="shared" si="16"/>
        <v>0.36218274111675103</v>
      </c>
      <c r="L66" s="327">
        <f t="shared" si="16"/>
        <v>0.35387021110242334</v>
      </c>
      <c r="M66" s="148"/>
      <c r="N66" s="148"/>
    </row>
    <row r="67" spans="1:14">
      <c r="A67" s="142" t="s">
        <v>266</v>
      </c>
      <c r="B67" s="143"/>
      <c r="C67" s="224">
        <f t="shared" ref="C67:L67" si="17">C31*(1-C66)</f>
        <v>9.8840854149878989</v>
      </c>
      <c r="D67" s="224">
        <f t="shared" si="17"/>
        <v>9.8840854149878989</v>
      </c>
      <c r="E67" s="224">
        <f t="shared" si="17"/>
        <v>9.8840854149878989</v>
      </c>
      <c r="F67" s="224">
        <f t="shared" si="17"/>
        <v>9.8840854149878989</v>
      </c>
      <c r="G67" s="224">
        <f t="shared" si="17"/>
        <v>9.8840854149878989</v>
      </c>
      <c r="H67" s="224">
        <f t="shared" si="17"/>
        <v>14.784950495049509</v>
      </c>
      <c r="I67" s="224">
        <f t="shared" si="17"/>
        <v>11.409617131732658</v>
      </c>
      <c r="J67" s="224">
        <f t="shared" si="17"/>
        <v>15.706726246472211</v>
      </c>
      <c r="K67" s="224">
        <f t="shared" si="17"/>
        <v>27.088098984771598</v>
      </c>
      <c r="L67" s="224">
        <f t="shared" si="17"/>
        <v>46.185357310398828</v>
      </c>
      <c r="M67" s="143"/>
      <c r="N67" s="143"/>
    </row>
    <row r="68" spans="1:14">
      <c r="A68" s="403"/>
      <c r="B68" s="403"/>
      <c r="C68" s="403"/>
      <c r="D68" s="403"/>
      <c r="E68" s="403"/>
      <c r="F68" s="403"/>
      <c r="G68" s="403"/>
      <c r="H68" s="403"/>
      <c r="I68" s="403"/>
      <c r="J68" s="403"/>
      <c r="K68" s="403"/>
      <c r="L68" s="126"/>
      <c r="M68" s="126"/>
      <c r="N68" s="126"/>
    </row>
    <row r="69" spans="1:14">
      <c r="A69" s="149" t="s">
        <v>267</v>
      </c>
      <c r="C69" s="150"/>
      <c r="D69" s="328">
        <f t="shared" ref="D69:L69" si="18">D37+C36</f>
        <v>0</v>
      </c>
      <c r="E69" s="328">
        <f t="shared" si="18"/>
        <v>0</v>
      </c>
      <c r="F69" s="328">
        <f t="shared" si="18"/>
        <v>0</v>
      </c>
      <c r="G69" s="328">
        <f t="shared" si="18"/>
        <v>0</v>
      </c>
      <c r="H69" s="328">
        <f t="shared" si="18"/>
        <v>0</v>
      </c>
      <c r="I69" s="328">
        <f t="shared" si="18"/>
        <v>0.8</v>
      </c>
      <c r="J69" s="328">
        <f t="shared" si="18"/>
        <v>1.6</v>
      </c>
      <c r="K69" s="328">
        <f t="shared" si="18"/>
        <v>1.6</v>
      </c>
      <c r="L69" s="328">
        <f t="shared" si="18"/>
        <v>551.99999999999989</v>
      </c>
      <c r="M69" s="150"/>
      <c r="N69" s="150"/>
    </row>
    <row r="70" spans="1:14">
      <c r="A70" s="134" t="s">
        <v>268</v>
      </c>
      <c r="B70" s="150"/>
      <c r="C70" s="329">
        <f t="shared" ref="C70:L70" si="19">C35-C36</f>
        <v>8.3499999999999872</v>
      </c>
      <c r="D70" s="329">
        <f t="shared" si="19"/>
        <v>8.3499999999999872</v>
      </c>
      <c r="E70" s="329">
        <f t="shared" si="19"/>
        <v>8.3499999999999872</v>
      </c>
      <c r="F70" s="329">
        <f t="shared" si="19"/>
        <v>8.3499999999999872</v>
      </c>
      <c r="G70" s="329">
        <f t="shared" si="19"/>
        <v>8.3499999999999872</v>
      </c>
      <c r="H70" s="329">
        <f t="shared" si="19"/>
        <v>11.440000000000001</v>
      </c>
      <c r="I70" s="329">
        <f t="shared" si="19"/>
        <v>8.4700000000000149</v>
      </c>
      <c r="J70" s="329">
        <f t="shared" si="19"/>
        <v>12.459999999999964</v>
      </c>
      <c r="K70" s="329">
        <f t="shared" si="19"/>
        <v>20.330000000000027</v>
      </c>
      <c r="L70" s="329">
        <f t="shared" si="19"/>
        <v>41.320000000000078</v>
      </c>
      <c r="M70" s="150"/>
      <c r="N70" s="150"/>
    </row>
    <row r="71" spans="1:14">
      <c r="A71" s="213"/>
      <c r="B71" s="213"/>
      <c r="C71" s="213"/>
      <c r="D71" s="213"/>
      <c r="E71" s="213"/>
      <c r="F71" s="213"/>
      <c r="G71" s="213"/>
      <c r="H71" s="213"/>
      <c r="I71" s="213"/>
      <c r="J71" s="213"/>
      <c r="K71" s="213"/>
      <c r="L71" s="126"/>
      <c r="M71" s="126"/>
      <c r="N71" s="126"/>
    </row>
    <row r="72" spans="1:14">
      <c r="A72" s="151" t="s">
        <v>297</v>
      </c>
      <c r="B72" s="167"/>
      <c r="C72" s="167">
        <f>'Screener Input'!B90</f>
        <v>0</v>
      </c>
      <c r="D72" s="167">
        <f>'Screener Input'!C90</f>
        <v>0</v>
      </c>
      <c r="E72" s="167">
        <f>'Screener Input'!D90</f>
        <v>0</v>
      </c>
      <c r="F72" s="167">
        <f>'Screener Input'!E90</f>
        <v>0</v>
      </c>
      <c r="G72" s="167">
        <f>'Screener Input'!F90</f>
        <v>0</v>
      </c>
      <c r="H72" s="167">
        <f>'Screener Input'!G90</f>
        <v>0</v>
      </c>
      <c r="I72" s="167">
        <f>'Screener Input'!H90</f>
        <v>0</v>
      </c>
      <c r="J72" s="167">
        <f>'Screener Input'!I90</f>
        <v>0</v>
      </c>
      <c r="K72" s="167">
        <f>'Screener Input'!J90</f>
        <v>0</v>
      </c>
      <c r="L72" s="167">
        <f>'Screener Input'!K90</f>
        <v>190</v>
      </c>
      <c r="M72" s="167"/>
      <c r="N72" s="167"/>
    </row>
    <row r="73" spans="1:14">
      <c r="A73" s="151" t="s">
        <v>30</v>
      </c>
      <c r="B73" s="167"/>
      <c r="C73" s="167">
        <f>SUM('Screener Input'!B57:B58)/'Screener Input'!B93</f>
        <v>191</v>
      </c>
      <c r="D73" s="167">
        <f>SUM('Screener Input'!C57:C58)/'Screener Input'!C93</f>
        <v>191</v>
      </c>
      <c r="E73" s="167">
        <f>SUM('Screener Input'!D57:D58)/'Screener Input'!D93</f>
        <v>191</v>
      </c>
      <c r="F73" s="167">
        <f>SUM('Screener Input'!E57:E58)/'Screener Input'!E93</f>
        <v>191</v>
      </c>
      <c r="G73" s="167">
        <f>SUM('Screener Input'!F57:F58)/'Screener Input'!F93</f>
        <v>191</v>
      </c>
      <c r="H73" s="167">
        <f>SUM('Screener Input'!G57:G58)/'Screener Input'!G93</f>
        <v>332.5</v>
      </c>
      <c r="I73" s="167">
        <f>SUM('Screener Input'!H57:H58)/'Screener Input'!H93</f>
        <v>434.875</v>
      </c>
      <c r="J73" s="167">
        <f>SUM('Screener Input'!I57:I58)/'Screener Input'!I93</f>
        <v>586.49999999999989</v>
      </c>
      <c r="K73" s="167">
        <f>SUM('Screener Input'!J57:J58)/'Screener Input'!J93</f>
        <v>207.21875</v>
      </c>
      <c r="L73" s="167">
        <f>SUM('Screener Input'!K57:K58)/'Screener Input'!K93</f>
        <v>37.368055555555557</v>
      </c>
      <c r="M73" s="167"/>
      <c r="N73" s="167"/>
    </row>
    <row r="74" spans="1:14">
      <c r="A74" s="151" t="s">
        <v>28</v>
      </c>
      <c r="B74" s="152"/>
      <c r="C74" s="152">
        <f>('Screener Input'!B30/'Screener Input'!B93)</f>
        <v>104.375</v>
      </c>
      <c r="D74" s="152">
        <f>('Screener Input'!C30/'Screener Input'!C93)</f>
        <v>104.375</v>
      </c>
      <c r="E74" s="152">
        <f>('Screener Input'!D30/'Screener Input'!D93)</f>
        <v>104.375</v>
      </c>
      <c r="F74" s="152">
        <f>('Screener Input'!E30/'Screener Input'!E93)</f>
        <v>104.375</v>
      </c>
      <c r="G74" s="152">
        <f>('Screener Input'!F30/'Screener Input'!F93)</f>
        <v>104.375</v>
      </c>
      <c r="H74" s="152">
        <f>('Screener Input'!G30/'Screener Input'!G93)</f>
        <v>153.125</v>
      </c>
      <c r="I74" s="152">
        <f>('Screener Input'!H30/'Screener Input'!H93)</f>
        <v>125.875</v>
      </c>
      <c r="J74" s="152">
        <f>('Screener Input'!I30/'Screener Input'!I93)</f>
        <v>175.625</v>
      </c>
      <c r="K74" s="152">
        <f>('Screener Input'!J30/'Screener Input'!J93)</f>
        <v>78.53125</v>
      </c>
      <c r="L74" s="152">
        <f>('Screener Input'!K30/'Screener Input'!K93)</f>
        <v>14.343750000000002</v>
      </c>
      <c r="M74" s="191">
        <f>SUM('Screener Input'!H49:K49)/'Screener Input'!K93</f>
        <v>22.347222222222221</v>
      </c>
      <c r="N74" s="152">
        <f>SUM('Screener Input'!D49:G49)/'Screener Input'!K93</f>
        <v>14.451388888888891</v>
      </c>
    </row>
    <row r="75" spans="1:14">
      <c r="A75" s="151" t="s">
        <v>26</v>
      </c>
      <c r="B75" s="152"/>
      <c r="C75" s="152">
        <f>'Screener Input'!B31/'Screener Input'!B93</f>
        <v>0</v>
      </c>
      <c r="D75" s="152">
        <f>'Screener Input'!C31/'Screener Input'!C93</f>
        <v>0</v>
      </c>
      <c r="E75" s="152">
        <f>'Screener Input'!D31/'Screener Input'!D93</f>
        <v>0</v>
      </c>
      <c r="F75" s="152">
        <f>'Screener Input'!E31/'Screener Input'!E93</f>
        <v>0</v>
      </c>
      <c r="G75" s="152">
        <f>'Screener Input'!F31/'Screener Input'!F93</f>
        <v>0</v>
      </c>
      <c r="H75" s="152">
        <f>'Screener Input'!G31/'Screener Input'!G93</f>
        <v>10</v>
      </c>
      <c r="I75" s="152">
        <f>'Screener Input'!H31/'Screener Input'!H93</f>
        <v>20</v>
      </c>
      <c r="J75" s="152">
        <f>'Screener Input'!I31/'Screener Input'!I93</f>
        <v>20</v>
      </c>
      <c r="K75" s="152">
        <f>'Screener Input'!J31/'Screener Input'!J93</f>
        <v>15</v>
      </c>
      <c r="L75" s="152">
        <f>'Screener Input'!K31/'Screener Input'!K93</f>
        <v>0</v>
      </c>
      <c r="M75" s="152"/>
      <c r="N75" s="152"/>
    </row>
    <row r="76" spans="1:14">
      <c r="A76" s="151" t="s">
        <v>31</v>
      </c>
      <c r="B76" s="152"/>
      <c r="C76" s="152">
        <f>'Screener Input'!B90/('Screener Input'!B30/'Screener Input'!B93)</f>
        <v>0</v>
      </c>
      <c r="D76" s="152">
        <f>'Screener Input'!C90/('Screener Input'!C30/'Screener Input'!C93)</f>
        <v>0</v>
      </c>
      <c r="E76" s="152">
        <f>'Screener Input'!D90/('Screener Input'!D30/'Screener Input'!D93)</f>
        <v>0</v>
      </c>
      <c r="F76" s="152">
        <f>'Screener Input'!E90/('Screener Input'!E30/'Screener Input'!E93)</f>
        <v>0</v>
      </c>
      <c r="G76" s="152">
        <f>'Screener Input'!F90/('Screener Input'!F30/'Screener Input'!F93)</f>
        <v>0</v>
      </c>
      <c r="H76" s="152">
        <f>'Screener Input'!G90/('Screener Input'!G30/'Screener Input'!G93)</f>
        <v>0</v>
      </c>
      <c r="I76" s="152">
        <f>'Screener Input'!H90/('Screener Input'!H30/'Screener Input'!H93)</f>
        <v>0</v>
      </c>
      <c r="J76" s="152">
        <f>'Screener Input'!I90/('Screener Input'!I30/'Screener Input'!I93)</f>
        <v>0</v>
      </c>
      <c r="K76" s="152">
        <f>'Screener Input'!J90/('Screener Input'!J30/'Screener Input'!J93)</f>
        <v>0</v>
      </c>
      <c r="L76" s="152">
        <f>'Screener Input'!K90/('Screener Input'!K30/'Screener Input'!K93)</f>
        <v>13.246187363834421</v>
      </c>
      <c r="M76" s="152"/>
      <c r="N76" s="152"/>
    </row>
    <row r="77" spans="1:14">
      <c r="A77" s="151" t="s">
        <v>269</v>
      </c>
      <c r="B77" s="151"/>
      <c r="C77" s="152"/>
      <c r="D77" s="152" t="e">
        <f>D76/(((('Screener Input'!C30/'Screener Input'!C93) - ('Screener Input'!B30/'Screener Input'!B93))/('Screener Input'!B30/'Screener Input'!B93))*100)</f>
        <v>#DIV/0!</v>
      </c>
      <c r="E77" s="152" t="e">
        <f>E76/(((('Screener Input'!D30/'Screener Input'!D93) - ('Screener Input'!C30/'Screener Input'!C93))/('Screener Input'!C30/'Screener Input'!C93))*100)</f>
        <v>#DIV/0!</v>
      </c>
      <c r="F77" s="152" t="e">
        <f>F76/(((('Screener Input'!E30/'Screener Input'!E93) - ('Screener Input'!D30/'Screener Input'!D93))/('Screener Input'!D30/'Screener Input'!D93))*100)</f>
        <v>#DIV/0!</v>
      </c>
      <c r="G77" s="152" t="e">
        <f>G76/(((('Screener Input'!F30/'Screener Input'!F93) - ('Screener Input'!E30/'Screener Input'!E93))/('Screener Input'!E30/'Screener Input'!E93))*100)</f>
        <v>#DIV/0!</v>
      </c>
      <c r="H77" s="152">
        <f>H76/(((('Screener Input'!G30/'Screener Input'!G93) - ('Screener Input'!F30/'Screener Input'!F93))/('Screener Input'!F30/'Screener Input'!F93))*100)</f>
        <v>0</v>
      </c>
      <c r="I77" s="152">
        <f>I76/(((('Screener Input'!H30/'Screener Input'!H93) - ('Screener Input'!G30/'Screener Input'!G93))/('Screener Input'!G30/'Screener Input'!G93))*100)</f>
        <v>0</v>
      </c>
      <c r="J77" s="152">
        <f>J76/(((('Screener Input'!I30/'Screener Input'!I93) - ('Screener Input'!H30/'Screener Input'!H93))/('Screener Input'!H30/'Screener Input'!H93))*100)</f>
        <v>0</v>
      </c>
      <c r="K77" s="152">
        <f>K76/(((('Screener Input'!J30/'Screener Input'!J93) - ('Screener Input'!I30/'Screener Input'!I93))/('Screener Input'!I30/'Screener Input'!I93))*100)</f>
        <v>0</v>
      </c>
      <c r="L77" s="152">
        <f>L76/(((('Screener Input'!K30/'Screener Input'!K93) - ('Screener Input'!J30/'Screener Input'!J93))/('Screener Input'!J30/'Screener Input'!J93))*100)</f>
        <v>-0.16206265260621178</v>
      </c>
      <c r="M77" s="152"/>
      <c r="N77" s="152"/>
    </row>
    <row r="78" spans="1:14">
      <c r="A78" s="142" t="s">
        <v>270</v>
      </c>
      <c r="C78" s="153">
        <f t="shared" ref="C78:L78" si="20">C37/C42</f>
        <v>0</v>
      </c>
      <c r="D78" s="153">
        <f t="shared" si="20"/>
        <v>0</v>
      </c>
      <c r="E78" s="153">
        <f t="shared" si="20"/>
        <v>0</v>
      </c>
      <c r="F78" s="153">
        <f t="shared" si="20"/>
        <v>0</v>
      </c>
      <c r="G78" s="153">
        <f t="shared" si="20"/>
        <v>0</v>
      </c>
      <c r="H78" s="153">
        <f t="shared" si="20"/>
        <v>0</v>
      </c>
      <c r="I78" s="153">
        <f t="shared" si="20"/>
        <v>0</v>
      </c>
      <c r="J78" s="153">
        <f t="shared" si="20"/>
        <v>0</v>
      </c>
      <c r="K78" s="153">
        <f t="shared" si="20"/>
        <v>0</v>
      </c>
      <c r="L78" s="153">
        <f t="shared" si="20"/>
        <v>5.0845567738338593</v>
      </c>
      <c r="M78" s="153"/>
      <c r="N78" s="153"/>
    </row>
    <row r="79" spans="1:14">
      <c r="A79" s="145" t="s">
        <v>271</v>
      </c>
      <c r="B79" s="143"/>
      <c r="C79" s="143">
        <f t="shared" ref="C79:L79" si="21">C37/C62</f>
        <v>0</v>
      </c>
      <c r="D79" s="143">
        <f t="shared" si="21"/>
        <v>0</v>
      </c>
      <c r="E79" s="143">
        <f t="shared" si="21"/>
        <v>0</v>
      </c>
      <c r="F79" s="143">
        <f t="shared" si="21"/>
        <v>0</v>
      </c>
      <c r="G79" s="143">
        <f t="shared" si="21"/>
        <v>0</v>
      </c>
      <c r="H79" s="143">
        <f t="shared" si="21"/>
        <v>0</v>
      </c>
      <c r="I79" s="143">
        <f t="shared" si="21"/>
        <v>0</v>
      </c>
      <c r="J79" s="143">
        <f t="shared" si="21"/>
        <v>0</v>
      </c>
      <c r="K79" s="143">
        <f t="shared" si="21"/>
        <v>0</v>
      </c>
      <c r="L79" s="143">
        <f t="shared" si="21"/>
        <v>511.40186915887841</v>
      </c>
      <c r="M79" s="143"/>
      <c r="N79" s="143"/>
    </row>
    <row r="80" spans="1:14">
      <c r="A80" s="145" t="s">
        <v>272</v>
      </c>
      <c r="B80" s="143"/>
      <c r="C80" s="143"/>
      <c r="D80" s="143">
        <f t="shared" ref="D80:L80" si="22">D37/D63</f>
        <v>0</v>
      </c>
      <c r="E80" s="143">
        <f t="shared" si="22"/>
        <v>0</v>
      </c>
      <c r="F80" s="143">
        <f t="shared" si="22"/>
        <v>0</v>
      </c>
      <c r="G80" s="143">
        <f t="shared" si="22"/>
        <v>0</v>
      </c>
      <c r="H80" s="143">
        <f t="shared" si="22"/>
        <v>0</v>
      </c>
      <c r="I80" s="143">
        <f t="shared" si="22"/>
        <v>0</v>
      </c>
      <c r="J80" s="143">
        <f t="shared" si="22"/>
        <v>0</v>
      </c>
      <c r="K80" s="143">
        <f t="shared" si="22"/>
        <v>0</v>
      </c>
      <c r="L80" s="143">
        <f t="shared" si="22"/>
        <v>-90.446280991735463</v>
      </c>
      <c r="M80" s="143"/>
      <c r="N80" s="143"/>
    </row>
    <row r="81" spans="1:14">
      <c r="A81" s="145" t="s">
        <v>273</v>
      </c>
      <c r="B81" s="143"/>
      <c r="C81" s="143">
        <f t="shared" ref="C81:L81" si="23">C37/C26</f>
        <v>0</v>
      </c>
      <c r="D81" s="143">
        <f t="shared" si="23"/>
        <v>0</v>
      </c>
      <c r="E81" s="143">
        <f t="shared" si="23"/>
        <v>0</v>
      </c>
      <c r="F81" s="143">
        <f t="shared" si="23"/>
        <v>0</v>
      </c>
      <c r="G81" s="143">
        <f t="shared" si="23"/>
        <v>0</v>
      </c>
      <c r="H81" s="143">
        <f t="shared" si="23"/>
        <v>0</v>
      </c>
      <c r="I81" s="143">
        <f t="shared" si="23"/>
        <v>0</v>
      </c>
      <c r="J81" s="143">
        <f t="shared" si="23"/>
        <v>0</v>
      </c>
      <c r="K81" s="143">
        <f t="shared" si="23"/>
        <v>0</v>
      </c>
      <c r="L81" s="143">
        <f t="shared" si="23"/>
        <v>1.3654057291146819</v>
      </c>
      <c r="M81" s="143"/>
      <c r="N81" s="143"/>
    </row>
    <row r="82" spans="1:14">
      <c r="A82" s="145" t="s">
        <v>274</v>
      </c>
      <c r="B82" s="143"/>
      <c r="C82" s="143">
        <f t="shared" ref="C82:L82" si="24">(C37-C45+C8)/C29</f>
        <v>0.57444381061038241</v>
      </c>
      <c r="D82" s="143">
        <f t="shared" si="24"/>
        <v>0.57444381061038241</v>
      </c>
      <c r="E82" s="143">
        <f t="shared" si="24"/>
        <v>0.57444381061038241</v>
      </c>
      <c r="F82" s="143">
        <f t="shared" si="24"/>
        <v>0.57444381061038241</v>
      </c>
      <c r="G82" s="143">
        <f t="shared" si="24"/>
        <v>0.57444381061038241</v>
      </c>
      <c r="H82" s="143">
        <f t="shared" si="24"/>
        <v>1.1529778123783569</v>
      </c>
      <c r="I82" s="143">
        <f t="shared" si="24"/>
        <v>2.0089962121212102</v>
      </c>
      <c r="J82" s="143">
        <f t="shared" si="24"/>
        <v>1.7776625172890754</v>
      </c>
      <c r="K82" s="143">
        <f t="shared" si="24"/>
        <v>1.2342014940440129</v>
      </c>
      <c r="L82" s="143">
        <f t="shared" si="24"/>
        <v>7.6465528146742496</v>
      </c>
      <c r="M82" s="143"/>
      <c r="N82" s="143"/>
    </row>
    <row r="83" spans="1:14">
      <c r="A83" s="140" t="s">
        <v>275</v>
      </c>
      <c r="B83" s="154"/>
      <c r="C83" s="154" t="e">
        <f t="shared" ref="C83:L83" si="25">C36/C37</f>
        <v>#DIV/0!</v>
      </c>
      <c r="D83" s="154" t="e">
        <f t="shared" si="25"/>
        <v>#DIV/0!</v>
      </c>
      <c r="E83" s="154" t="e">
        <f t="shared" si="25"/>
        <v>#DIV/0!</v>
      </c>
      <c r="F83" s="154" t="e">
        <f t="shared" si="25"/>
        <v>#DIV/0!</v>
      </c>
      <c r="G83" s="154" t="e">
        <f t="shared" si="25"/>
        <v>#DIV/0!</v>
      </c>
      <c r="H83" s="154" t="e">
        <f t="shared" si="25"/>
        <v>#DIV/0!</v>
      </c>
      <c r="I83" s="154" t="e">
        <f t="shared" si="25"/>
        <v>#DIV/0!</v>
      </c>
      <c r="J83" s="154" t="e">
        <f t="shared" si="25"/>
        <v>#DIV/0!</v>
      </c>
      <c r="K83" s="154" t="e">
        <f t="shared" si="25"/>
        <v>#DIV/0!</v>
      </c>
      <c r="L83" s="154">
        <f t="shared" si="25"/>
        <v>0</v>
      </c>
      <c r="M83" s="154"/>
      <c r="N83" s="154"/>
    </row>
    <row r="84" spans="1:14">
      <c r="A84" s="155" t="s">
        <v>276</v>
      </c>
      <c r="B84" s="156"/>
      <c r="C84" s="157">
        <f t="shared" ref="C84:L84" si="26">C37+C8-C45</f>
        <v>10.069999999999997</v>
      </c>
      <c r="D84" s="157">
        <f t="shared" si="26"/>
        <v>10.069999999999997</v>
      </c>
      <c r="E84" s="157">
        <f t="shared" si="26"/>
        <v>10.069999999999997</v>
      </c>
      <c r="F84" s="157">
        <f t="shared" si="26"/>
        <v>10.069999999999997</v>
      </c>
      <c r="G84" s="157">
        <f t="shared" si="26"/>
        <v>10.069999999999997</v>
      </c>
      <c r="H84" s="157">
        <f t="shared" si="26"/>
        <v>29.619999999999997</v>
      </c>
      <c r="I84" s="157">
        <f t="shared" si="26"/>
        <v>42.429999999999993</v>
      </c>
      <c r="J84" s="157">
        <f t="shared" si="26"/>
        <v>51.41</v>
      </c>
      <c r="K84" s="157">
        <f t="shared" si="26"/>
        <v>61.129999999999995</v>
      </c>
      <c r="L84" s="157">
        <f t="shared" si="26"/>
        <v>604.45999999999992</v>
      </c>
      <c r="M84" s="157"/>
      <c r="N84" s="157"/>
    </row>
    <row r="85" spans="1:14">
      <c r="A85" s="403"/>
      <c r="B85" s="403"/>
      <c r="C85" s="403"/>
      <c r="D85" s="403"/>
      <c r="E85" s="403"/>
      <c r="F85" s="403"/>
      <c r="G85" s="403"/>
      <c r="H85" s="403"/>
      <c r="I85" s="403"/>
      <c r="J85" s="403"/>
      <c r="K85" s="403"/>
      <c r="L85" s="126" t="s">
        <v>277</v>
      </c>
      <c r="M85" s="126"/>
      <c r="N85" s="126"/>
    </row>
    <row r="86" spans="1:14">
      <c r="A86" s="140" t="s">
        <v>278</v>
      </c>
      <c r="B86" s="143"/>
      <c r="C86" s="143">
        <f t="shared" ref="C86:K86" si="27">C52/C60</f>
        <v>0.24812438838751769</v>
      </c>
      <c r="D86" s="143">
        <f t="shared" si="27"/>
        <v>0.24812438838751769</v>
      </c>
      <c r="E86" s="143">
        <f t="shared" si="27"/>
        <v>0.24812438838751769</v>
      </c>
      <c r="F86" s="143">
        <f t="shared" si="27"/>
        <v>0.24812438838751769</v>
      </c>
      <c r="G86" s="143">
        <f t="shared" si="27"/>
        <v>0.24812438838751769</v>
      </c>
      <c r="H86" s="143">
        <f t="shared" si="27"/>
        <v>0.19453248811410467</v>
      </c>
      <c r="I86" s="143">
        <f t="shared" si="27"/>
        <v>0.24488148528656345</v>
      </c>
      <c r="J86" s="143">
        <f t="shared" si="27"/>
        <v>0.1836033909217728</v>
      </c>
      <c r="K86" s="143">
        <f t="shared" si="27"/>
        <v>0.18045112781954883</v>
      </c>
      <c r="L86" s="140">
        <v>1.2</v>
      </c>
      <c r="M86" s="140"/>
      <c r="N86" s="140"/>
    </row>
    <row r="87" spans="1:14">
      <c r="A87" s="140" t="s">
        <v>279</v>
      </c>
      <c r="B87" s="143"/>
      <c r="C87" s="143">
        <f t="shared" ref="C87:K87" si="28">C70/C60</f>
        <v>9.0790475154941694E-2</v>
      </c>
      <c r="D87" s="143">
        <f t="shared" si="28"/>
        <v>9.0790475154941694E-2</v>
      </c>
      <c r="E87" s="143">
        <f t="shared" si="28"/>
        <v>9.0790475154941694E-2</v>
      </c>
      <c r="F87" s="143">
        <f t="shared" si="28"/>
        <v>9.0790475154941694E-2</v>
      </c>
      <c r="G87" s="143">
        <f t="shared" si="28"/>
        <v>9.0790475154941694E-2</v>
      </c>
      <c r="H87" s="143">
        <f t="shared" si="28"/>
        <v>0.11331220285261491</v>
      </c>
      <c r="I87" s="143">
        <f t="shared" si="28"/>
        <v>6.2156013796140122E-2</v>
      </c>
      <c r="J87" s="143">
        <f t="shared" si="28"/>
        <v>6.6852666595128035E-2</v>
      </c>
      <c r="K87" s="143">
        <f t="shared" si="28"/>
        <v>8.8870431893687832E-2</v>
      </c>
      <c r="L87" s="140">
        <v>1.4</v>
      </c>
      <c r="M87" s="140"/>
      <c r="N87" s="140"/>
    </row>
    <row r="88" spans="1:14">
      <c r="A88" s="140" t="s">
        <v>280</v>
      </c>
      <c r="B88" s="143"/>
      <c r="C88" s="143">
        <f t="shared" ref="C88:K88" si="29">C31/C60</f>
        <v>0.15972599760791548</v>
      </c>
      <c r="D88" s="143">
        <f t="shared" si="29"/>
        <v>0.15972599760791548</v>
      </c>
      <c r="E88" s="143">
        <f t="shared" si="29"/>
        <v>0.15972599760791548</v>
      </c>
      <c r="F88" s="143">
        <f t="shared" si="29"/>
        <v>0.15972599760791548</v>
      </c>
      <c r="G88" s="143">
        <f t="shared" si="29"/>
        <v>0.15972599760791548</v>
      </c>
      <c r="H88" s="143">
        <f t="shared" si="29"/>
        <v>0.21751188589540418</v>
      </c>
      <c r="I88" s="143">
        <f t="shared" si="29"/>
        <v>0.12812798121376689</v>
      </c>
      <c r="J88" s="143">
        <f t="shared" si="29"/>
        <v>0.12742783560467844</v>
      </c>
      <c r="K88" s="143">
        <f t="shared" si="29"/>
        <v>0.18565308620388193</v>
      </c>
      <c r="L88" s="140">
        <v>3.3</v>
      </c>
      <c r="M88" s="140"/>
      <c r="N88" s="140"/>
    </row>
    <row r="89" spans="1:14">
      <c r="A89" s="140" t="s">
        <v>281</v>
      </c>
      <c r="B89" s="143"/>
      <c r="C89" s="143">
        <f t="shared" ref="C89:L89" si="30">C37/C59</f>
        <v>0</v>
      </c>
      <c r="D89" s="143">
        <f t="shared" si="30"/>
        <v>0</v>
      </c>
      <c r="E89" s="143">
        <f t="shared" si="30"/>
        <v>0</v>
      </c>
      <c r="F89" s="143">
        <f t="shared" si="30"/>
        <v>0</v>
      </c>
      <c r="G89" s="143">
        <f t="shared" si="30"/>
        <v>0</v>
      </c>
      <c r="H89" s="143">
        <f t="shared" si="30"/>
        <v>0</v>
      </c>
      <c r="I89" s="143">
        <f t="shared" si="30"/>
        <v>0</v>
      </c>
      <c r="J89" s="143">
        <f t="shared" si="30"/>
        <v>0</v>
      </c>
      <c r="K89" s="143">
        <f t="shared" si="30"/>
        <v>0</v>
      </c>
      <c r="L89" s="143">
        <f t="shared" si="30"/>
        <v>2.6355842404392638</v>
      </c>
      <c r="M89" s="143"/>
      <c r="N89" s="143"/>
    </row>
    <row r="90" spans="1:14">
      <c r="A90" s="140" t="s">
        <v>282</v>
      </c>
      <c r="B90" s="143"/>
      <c r="C90" s="143">
        <f t="shared" ref="C90:K90" si="31">C26/C60</f>
        <v>1.9424812438838752</v>
      </c>
      <c r="D90" s="143">
        <f t="shared" si="31"/>
        <v>1.9424812438838752</v>
      </c>
      <c r="E90" s="143">
        <f t="shared" si="31"/>
        <v>1.9424812438838752</v>
      </c>
      <c r="F90" s="143">
        <f t="shared" si="31"/>
        <v>1.9424812438838752</v>
      </c>
      <c r="G90" s="143">
        <f t="shared" si="31"/>
        <v>1.9424812438838752</v>
      </c>
      <c r="H90" s="143">
        <f t="shared" si="31"/>
        <v>2.5481378763866878</v>
      </c>
      <c r="I90" s="143">
        <f t="shared" si="31"/>
        <v>1.5442136934028032</v>
      </c>
      <c r="J90" s="143">
        <f t="shared" si="31"/>
        <v>1.5050434595986695</v>
      </c>
      <c r="K90" s="143">
        <f t="shared" si="31"/>
        <v>2.002010841056129</v>
      </c>
      <c r="L90" s="140">
        <v>1</v>
      </c>
      <c r="M90" s="140"/>
      <c r="N90" s="140"/>
    </row>
    <row r="91" spans="1:14">
      <c r="A91" s="142"/>
      <c r="B91" s="143"/>
      <c r="C91" s="143"/>
      <c r="D91" s="143"/>
      <c r="E91" s="143"/>
      <c r="F91" s="143"/>
      <c r="G91" s="143"/>
      <c r="H91" s="143"/>
      <c r="I91" s="143"/>
      <c r="J91" s="143"/>
      <c r="K91" s="143"/>
      <c r="L91" s="143"/>
      <c r="M91" s="143"/>
      <c r="N91" s="143"/>
    </row>
    <row r="92" spans="1:14">
      <c r="A92" s="126" t="s">
        <v>359</v>
      </c>
      <c r="B92" s="126"/>
      <c r="C92" s="225">
        <f>SUM('Screener Output.v0'!C35:C35)/SUM('Screener Output.v0'!C40:C41)</f>
        <v>0.54646596858638652</v>
      </c>
      <c r="D92" s="225">
        <f>SUM('Screener Output.v0'!D35:D35)/SUM('Screener Output.v0'!D40:D41)</f>
        <v>0.54646596858638652</v>
      </c>
      <c r="E92" s="225">
        <f>SUM('Screener Output.v0'!E35:E35)/SUM('Screener Output.v0'!E40:E41)</f>
        <v>0.54646596858638652</v>
      </c>
      <c r="F92" s="225">
        <f>SUM('Screener Output.v0'!F35:F35)/SUM('Screener Output.v0'!F40:F41)</f>
        <v>0.54646596858638652</v>
      </c>
      <c r="G92" s="225">
        <f>SUM('Screener Output.v0'!G35:G35)/SUM('Screener Output.v0'!G40:G41)</f>
        <v>0.54646596858638652</v>
      </c>
      <c r="H92" s="225">
        <f>SUM('Screener Output.v0'!H35:H35)/SUM('Screener Output.v0'!H40:H41)</f>
        <v>0.4601503759398497</v>
      </c>
      <c r="I92" s="225">
        <f>SUM('Screener Output.v0'!I35:I35)/SUM('Screener Output.v0'!I40:I41)</f>
        <v>0.28945099166427174</v>
      </c>
      <c r="J92" s="225">
        <f>SUM('Screener Output.v0'!J35:J35)/SUM('Screener Output.v0'!J40:J41)</f>
        <v>0.29965899403239482</v>
      </c>
      <c r="K92" s="225">
        <f>SUM('Screener Output.v0'!K35:K35)/SUM('Screener Output.v0'!K40:K41)</f>
        <v>0.37897752978434668</v>
      </c>
      <c r="L92" s="225">
        <f>SUM('Screener Output.v0'!L35:L35)/SUM('Screener Output.v0'!L40:L41)</f>
        <v>0.38394350492473595</v>
      </c>
      <c r="M92" s="225"/>
      <c r="N92" s="225"/>
    </row>
    <row r="93" spans="1:14">
      <c r="A93" s="126"/>
      <c r="B93" s="126"/>
      <c r="C93" s="225"/>
      <c r="D93" s="225"/>
      <c r="E93" s="225"/>
      <c r="F93" s="225"/>
      <c r="G93" s="225"/>
      <c r="H93" s="225"/>
      <c r="I93" s="225"/>
      <c r="J93" s="225"/>
      <c r="K93" s="225"/>
      <c r="L93" s="225"/>
      <c r="M93" s="225"/>
      <c r="N93" s="225"/>
    </row>
    <row r="94" spans="1:14">
      <c r="A94" s="229" t="s">
        <v>475</v>
      </c>
      <c r="B94" s="126"/>
      <c r="C94" s="248">
        <f>C4</f>
        <v>39508</v>
      </c>
      <c r="D94" s="248">
        <f t="shared" ref="D94:L94" si="32">D4</f>
        <v>39873</v>
      </c>
      <c r="E94" s="248">
        <f t="shared" si="32"/>
        <v>40238</v>
      </c>
      <c r="F94" s="248">
        <f t="shared" si="32"/>
        <v>40603</v>
      </c>
      <c r="G94" s="248">
        <f t="shared" si="32"/>
        <v>40969</v>
      </c>
      <c r="H94" s="248">
        <f t="shared" si="32"/>
        <v>41334</v>
      </c>
      <c r="I94" s="248">
        <f t="shared" si="32"/>
        <v>41699</v>
      </c>
      <c r="J94" s="248">
        <f t="shared" si="32"/>
        <v>42064</v>
      </c>
      <c r="K94" s="248">
        <f t="shared" si="32"/>
        <v>42430</v>
      </c>
      <c r="L94" s="248">
        <f t="shared" si="32"/>
        <v>42795</v>
      </c>
      <c r="M94" s="225"/>
      <c r="N94" s="225"/>
    </row>
    <row r="95" spans="1:14">
      <c r="A95" s="126" t="s">
        <v>473</v>
      </c>
      <c r="B95" s="126"/>
      <c r="C95" s="225">
        <f>(C26-C7)/C26</f>
        <v>0.89392667226420386</v>
      </c>
      <c r="D95" s="225">
        <f t="shared" ref="D95:L95" si="33">(D26-D7)/D26</f>
        <v>0.89392667226420386</v>
      </c>
      <c r="E95" s="225">
        <f t="shared" si="33"/>
        <v>0.89392667226420386</v>
      </c>
      <c r="F95" s="225">
        <f t="shared" si="33"/>
        <v>0.89392667226420386</v>
      </c>
      <c r="G95" s="225">
        <f t="shared" si="33"/>
        <v>0.89392667226420386</v>
      </c>
      <c r="H95" s="225">
        <f t="shared" si="33"/>
        <v>0.95269377283681878</v>
      </c>
      <c r="I95" s="225">
        <f t="shared" si="33"/>
        <v>0.93461008411348201</v>
      </c>
      <c r="J95" s="225">
        <f t="shared" si="33"/>
        <v>0.91490499447435025</v>
      </c>
      <c r="K95" s="225">
        <f t="shared" si="33"/>
        <v>0.97746626490239752</v>
      </c>
      <c r="L95" s="225">
        <f t="shared" si="33"/>
        <v>0.86710250524004395</v>
      </c>
      <c r="M95" s="225"/>
      <c r="N95" s="225"/>
    </row>
    <row r="96" spans="1:14">
      <c r="A96" s="126" t="s">
        <v>474</v>
      </c>
      <c r="B96" s="126"/>
      <c r="C96" s="225">
        <f>1-C95</f>
        <v>0.10607332773579614</v>
      </c>
      <c r="D96" s="225">
        <f t="shared" ref="D96:L96" si="34">1-D95</f>
        <v>0.10607332773579614</v>
      </c>
      <c r="E96" s="225">
        <f t="shared" si="34"/>
        <v>0.10607332773579614</v>
      </c>
      <c r="F96" s="225">
        <f t="shared" si="34"/>
        <v>0.10607332773579614</v>
      </c>
      <c r="G96" s="225">
        <f t="shared" si="34"/>
        <v>0.10607332773579614</v>
      </c>
      <c r="H96" s="225">
        <f t="shared" si="34"/>
        <v>4.7306227163181225E-2</v>
      </c>
      <c r="I96" s="225">
        <f t="shared" si="34"/>
        <v>6.5389915886517991E-2</v>
      </c>
      <c r="J96" s="225">
        <f t="shared" si="34"/>
        <v>8.5095005525649747E-2</v>
      </c>
      <c r="K96" s="225">
        <f t="shared" si="34"/>
        <v>2.2533735097602481E-2</v>
      </c>
      <c r="L96" s="225">
        <f t="shared" si="34"/>
        <v>0.13289749475995605</v>
      </c>
      <c r="M96" s="225"/>
      <c r="N96" s="225"/>
    </row>
    <row r="97" spans="1:14">
      <c r="A97" s="126"/>
      <c r="B97" s="126"/>
      <c r="C97" s="225"/>
      <c r="D97" s="225"/>
      <c r="E97" s="225"/>
      <c r="F97" s="225"/>
      <c r="G97" s="225"/>
      <c r="H97" s="225"/>
      <c r="I97" s="225"/>
      <c r="J97" s="225"/>
      <c r="K97" s="225"/>
      <c r="L97" s="225"/>
      <c r="M97" s="225"/>
      <c r="N97" s="225"/>
    </row>
    <row r="98" spans="1:14">
      <c r="A98" s="126"/>
      <c r="B98" s="126"/>
      <c r="C98" s="225"/>
      <c r="D98" s="225"/>
      <c r="E98" s="225"/>
      <c r="F98" s="225"/>
      <c r="G98" s="225"/>
      <c r="H98" s="225"/>
      <c r="I98" s="225"/>
      <c r="J98" s="225"/>
      <c r="K98" s="225"/>
      <c r="L98" s="225"/>
      <c r="M98" s="225"/>
      <c r="N98" s="225"/>
    </row>
    <row r="99" spans="1:14">
      <c r="A99" s="229" t="s">
        <v>469</v>
      </c>
      <c r="B99" s="126"/>
      <c r="C99" s="248">
        <f t="shared" ref="C99:L99" si="35">C4</f>
        <v>39508</v>
      </c>
      <c r="D99" s="248">
        <f t="shared" si="35"/>
        <v>39873</v>
      </c>
      <c r="E99" s="248">
        <f t="shared" si="35"/>
        <v>40238</v>
      </c>
      <c r="F99" s="248">
        <f t="shared" si="35"/>
        <v>40603</v>
      </c>
      <c r="G99" s="248">
        <f t="shared" si="35"/>
        <v>40969</v>
      </c>
      <c r="H99" s="248">
        <f t="shared" si="35"/>
        <v>41334</v>
      </c>
      <c r="I99" s="248">
        <f t="shared" si="35"/>
        <v>41699</v>
      </c>
      <c r="J99" s="248">
        <f t="shared" si="35"/>
        <v>42064</v>
      </c>
      <c r="K99" s="248">
        <f t="shared" si="35"/>
        <v>42430</v>
      </c>
      <c r="L99" s="248">
        <f t="shared" si="35"/>
        <v>42795</v>
      </c>
      <c r="M99" s="225"/>
      <c r="N99" s="225"/>
    </row>
    <row r="100" spans="1:14">
      <c r="A100" s="126" t="s">
        <v>252</v>
      </c>
      <c r="B100" s="126"/>
      <c r="C100" s="225">
        <f t="shared" ref="C100:L100" si="36">C42/(C10+C42+C45)</f>
        <v>0.16614113297814506</v>
      </c>
      <c r="D100" s="225">
        <f t="shared" si="36"/>
        <v>0.16614113297814506</v>
      </c>
      <c r="E100" s="225">
        <f t="shared" si="36"/>
        <v>0.16614113297814506</v>
      </c>
      <c r="F100" s="225">
        <f t="shared" si="36"/>
        <v>0.16614113297814506</v>
      </c>
      <c r="G100" s="225">
        <f t="shared" si="36"/>
        <v>0.16614113297814506</v>
      </c>
      <c r="H100" s="225">
        <f t="shared" si="36"/>
        <v>0.26347068145800318</v>
      </c>
      <c r="I100" s="225">
        <f t="shared" si="36"/>
        <v>0.25530197402216193</v>
      </c>
      <c r="J100" s="225">
        <f t="shared" si="36"/>
        <v>0.25174374932932714</v>
      </c>
      <c r="K100" s="225">
        <f t="shared" si="36"/>
        <v>0.28986710963455153</v>
      </c>
      <c r="L100" s="225">
        <f t="shared" si="36"/>
        <v>0.34139068646110898</v>
      </c>
      <c r="M100" s="225"/>
      <c r="N100" s="225"/>
    </row>
    <row r="101" spans="1:14">
      <c r="A101" s="126" t="s">
        <v>465</v>
      </c>
      <c r="B101" s="126"/>
      <c r="C101" s="225">
        <f t="shared" ref="C101:L101" si="37">C10/(C10+C42+C45)</f>
        <v>0.55257149070349032</v>
      </c>
      <c r="D101" s="225">
        <f t="shared" si="37"/>
        <v>0.55257149070349032</v>
      </c>
      <c r="E101" s="225">
        <f t="shared" si="37"/>
        <v>0.55257149070349032</v>
      </c>
      <c r="F101" s="225">
        <f t="shared" si="37"/>
        <v>0.55257149070349032</v>
      </c>
      <c r="G101" s="225">
        <f t="shared" si="37"/>
        <v>0.55257149070349032</v>
      </c>
      <c r="H101" s="225">
        <f t="shared" si="37"/>
        <v>0.588054675118859</v>
      </c>
      <c r="I101" s="225">
        <f t="shared" si="37"/>
        <v>0.55382696118001029</v>
      </c>
      <c r="J101" s="225">
        <f t="shared" si="37"/>
        <v>0.56899881961583865</v>
      </c>
      <c r="K101" s="225">
        <f t="shared" si="37"/>
        <v>0.51232732995278896</v>
      </c>
      <c r="L101" s="225">
        <f t="shared" si="37"/>
        <v>0.44372541555640144</v>
      </c>
      <c r="M101" s="225"/>
      <c r="N101" s="225"/>
    </row>
    <row r="102" spans="1:14">
      <c r="A102" s="126" t="s">
        <v>466</v>
      </c>
      <c r="B102" s="126"/>
      <c r="C102" s="225">
        <f t="shared" ref="C102:L102" si="38">C45/(C10+C42+C45)</f>
        <v>0.2812873763183647</v>
      </c>
      <c r="D102" s="225">
        <f t="shared" si="38"/>
        <v>0.2812873763183647</v>
      </c>
      <c r="E102" s="225">
        <f t="shared" si="38"/>
        <v>0.2812873763183647</v>
      </c>
      <c r="F102" s="225">
        <f t="shared" si="38"/>
        <v>0.2812873763183647</v>
      </c>
      <c r="G102" s="225">
        <f t="shared" si="38"/>
        <v>0.2812873763183647</v>
      </c>
      <c r="H102" s="225">
        <f t="shared" si="38"/>
        <v>0.14847464342313788</v>
      </c>
      <c r="I102" s="225">
        <f t="shared" si="38"/>
        <v>0.19087106479782787</v>
      </c>
      <c r="J102" s="225">
        <f t="shared" si="38"/>
        <v>0.17925743105483419</v>
      </c>
      <c r="K102" s="225">
        <f t="shared" si="38"/>
        <v>0.19780556041265956</v>
      </c>
      <c r="L102" s="225">
        <f t="shared" si="38"/>
        <v>0.2148838979824895</v>
      </c>
      <c r="M102" s="225"/>
      <c r="N102" s="225"/>
    </row>
    <row r="103" spans="1:14">
      <c r="A103" s="126"/>
      <c r="B103" s="126"/>
      <c r="C103" s="225"/>
      <c r="D103" s="225"/>
      <c r="E103" s="225"/>
      <c r="F103" s="225"/>
      <c r="G103" s="225"/>
      <c r="H103" s="225"/>
      <c r="I103" s="225"/>
      <c r="J103" s="225"/>
      <c r="K103" s="225"/>
      <c r="L103" s="225"/>
      <c r="M103" s="225"/>
      <c r="N103" s="225"/>
    </row>
    <row r="104" spans="1:14">
      <c r="A104" s="126"/>
      <c r="B104" s="126"/>
      <c r="C104" s="225"/>
      <c r="D104" s="225"/>
      <c r="E104" s="225"/>
      <c r="F104" s="225"/>
      <c r="G104" s="225"/>
      <c r="H104" s="225"/>
      <c r="I104" s="225"/>
      <c r="J104" s="225"/>
      <c r="K104" s="225"/>
      <c r="L104" s="225"/>
      <c r="M104" s="225"/>
      <c r="N104" s="225"/>
    </row>
    <row r="105" spans="1:14">
      <c r="A105" s="126"/>
      <c r="B105" s="126"/>
      <c r="C105" s="248"/>
      <c r="D105" s="248">
        <f t="shared" ref="D105:L105" si="39">D4</f>
        <v>39873</v>
      </c>
      <c r="E105" s="248">
        <f t="shared" si="39"/>
        <v>40238</v>
      </c>
      <c r="F105" s="248">
        <f t="shared" si="39"/>
        <v>40603</v>
      </c>
      <c r="G105" s="248">
        <f t="shared" si="39"/>
        <v>40969</v>
      </c>
      <c r="H105" s="248">
        <f t="shared" si="39"/>
        <v>41334</v>
      </c>
      <c r="I105" s="248">
        <f t="shared" si="39"/>
        <v>41699</v>
      </c>
      <c r="J105" s="248">
        <f t="shared" si="39"/>
        <v>42064</v>
      </c>
      <c r="K105" s="248">
        <f t="shared" si="39"/>
        <v>42430</v>
      </c>
      <c r="L105" s="248">
        <f t="shared" si="39"/>
        <v>42795</v>
      </c>
      <c r="M105" s="225"/>
      <c r="N105" s="225"/>
    </row>
    <row r="106" spans="1:14">
      <c r="A106" s="276" t="s">
        <v>444</v>
      </c>
      <c r="B106" s="126"/>
      <c r="C106" s="225"/>
      <c r="D106" s="251">
        <f t="shared" ref="D106:L106" si="40">D11-C11</f>
        <v>0</v>
      </c>
      <c r="E106" s="251">
        <f t="shared" si="40"/>
        <v>0</v>
      </c>
      <c r="F106" s="251">
        <f t="shared" si="40"/>
        <v>0</v>
      </c>
      <c r="G106" s="251">
        <f t="shared" si="40"/>
        <v>0</v>
      </c>
      <c r="H106" s="251">
        <f t="shared" si="40"/>
        <v>-3.1799999999999926</v>
      </c>
      <c r="I106" s="251">
        <f t="shared" si="40"/>
        <v>13.729999999999997</v>
      </c>
      <c r="J106" s="251">
        <f t="shared" si="40"/>
        <v>0.85000000000000853</v>
      </c>
      <c r="K106" s="251">
        <f t="shared" si="40"/>
        <v>7.0599999999999739</v>
      </c>
      <c r="L106" s="251">
        <f t="shared" si="40"/>
        <v>60.730000000000004</v>
      </c>
      <c r="M106" s="225"/>
      <c r="N106" s="225"/>
    </row>
    <row r="107" spans="1:14">
      <c r="A107" s="276" t="s">
        <v>360</v>
      </c>
      <c r="B107" s="126"/>
      <c r="C107" s="225"/>
      <c r="D107" s="251">
        <f t="shared" ref="D107:L107" si="41">C35</f>
        <v>8.3499999999999872</v>
      </c>
      <c r="E107" s="251">
        <f t="shared" si="41"/>
        <v>8.3499999999999872</v>
      </c>
      <c r="F107" s="251">
        <f t="shared" si="41"/>
        <v>8.3499999999999872</v>
      </c>
      <c r="G107" s="251">
        <f t="shared" si="41"/>
        <v>8.3499999999999872</v>
      </c>
      <c r="H107" s="251">
        <f t="shared" si="41"/>
        <v>8.3499999999999872</v>
      </c>
      <c r="I107" s="251">
        <f t="shared" si="41"/>
        <v>12.240000000000002</v>
      </c>
      <c r="J107" s="251">
        <f t="shared" si="41"/>
        <v>10.070000000000014</v>
      </c>
      <c r="K107" s="251">
        <f t="shared" si="41"/>
        <v>14.059999999999963</v>
      </c>
      <c r="L107" s="251">
        <f t="shared" si="41"/>
        <v>25.130000000000027</v>
      </c>
      <c r="M107" s="225"/>
      <c r="N107" s="225"/>
    </row>
    <row r="108" spans="1:14">
      <c r="B108" s="126"/>
      <c r="C108" s="225"/>
      <c r="E108" s="251"/>
      <c r="F108" s="251"/>
      <c r="G108" s="251"/>
      <c r="H108" s="251"/>
      <c r="I108" s="251"/>
      <c r="J108" s="251"/>
      <c r="K108" s="251"/>
      <c r="L108" s="251"/>
      <c r="M108" s="225"/>
      <c r="N108" s="225"/>
    </row>
    <row r="109" spans="1:14">
      <c r="A109" s="276"/>
      <c r="B109" s="126"/>
      <c r="C109" s="225"/>
      <c r="D109" s="251"/>
      <c r="E109" s="251"/>
      <c r="F109" s="251"/>
      <c r="G109" s="251"/>
      <c r="H109" s="251"/>
      <c r="I109" s="251"/>
      <c r="J109" s="251"/>
      <c r="K109" s="251"/>
      <c r="L109" s="251"/>
      <c r="M109" s="225"/>
      <c r="N109" s="225"/>
    </row>
    <row r="110" spans="1:14">
      <c r="A110" s="126"/>
      <c r="B110" s="126"/>
      <c r="C110" s="225"/>
      <c r="D110" s="225"/>
      <c r="E110" s="225"/>
      <c r="F110" s="225"/>
      <c r="G110" s="225"/>
      <c r="H110" s="225"/>
      <c r="I110" s="225"/>
      <c r="J110" s="225"/>
      <c r="K110" s="225"/>
      <c r="L110" s="225"/>
      <c r="M110" s="225"/>
      <c r="N110" s="225"/>
    </row>
    <row r="111" spans="1:14">
      <c r="A111" s="126"/>
      <c r="B111" s="126"/>
      <c r="C111" s="248">
        <f t="shared" ref="C111:L111" si="42">C4</f>
        <v>39508</v>
      </c>
      <c r="D111" s="248">
        <f t="shared" si="42"/>
        <v>39873</v>
      </c>
      <c r="E111" s="248">
        <f t="shared" si="42"/>
        <v>40238</v>
      </c>
      <c r="F111" s="248">
        <f t="shared" si="42"/>
        <v>40603</v>
      </c>
      <c r="G111" s="248">
        <f t="shared" si="42"/>
        <v>40969</v>
      </c>
      <c r="H111" s="248">
        <f t="shared" si="42"/>
        <v>41334</v>
      </c>
      <c r="I111" s="248">
        <f t="shared" si="42"/>
        <v>41699</v>
      </c>
      <c r="J111" s="248">
        <f t="shared" si="42"/>
        <v>42064</v>
      </c>
      <c r="K111" s="248">
        <f t="shared" si="42"/>
        <v>42430</v>
      </c>
      <c r="L111" s="248">
        <f t="shared" si="42"/>
        <v>42795</v>
      </c>
      <c r="M111" s="225"/>
      <c r="N111" s="225"/>
    </row>
    <row r="112" spans="1:14">
      <c r="A112" s="126" t="s">
        <v>438</v>
      </c>
      <c r="B112" s="126"/>
      <c r="C112" s="251">
        <f t="shared" ref="C112:L112" si="43">(C7/C26)*365</f>
        <v>38.716764623565624</v>
      </c>
      <c r="D112" s="251">
        <f t="shared" si="43"/>
        <v>38.716764623565624</v>
      </c>
      <c r="E112" s="251">
        <f t="shared" si="43"/>
        <v>38.716764623565624</v>
      </c>
      <c r="F112" s="251">
        <f t="shared" si="43"/>
        <v>38.716764623565624</v>
      </c>
      <c r="G112" s="251">
        <f t="shared" si="43"/>
        <v>38.716764623565624</v>
      </c>
      <c r="H112" s="251">
        <f t="shared" si="43"/>
        <v>17.266772914561145</v>
      </c>
      <c r="I112" s="251">
        <f t="shared" si="43"/>
        <v>23.867319298579098</v>
      </c>
      <c r="J112" s="251">
        <f t="shared" si="43"/>
        <v>31.059677016862146</v>
      </c>
      <c r="K112" s="251">
        <f t="shared" si="43"/>
        <v>8.2248133106249188</v>
      </c>
      <c r="L112" s="251">
        <f t="shared" si="43"/>
        <v>48.507585587383964</v>
      </c>
      <c r="M112" s="225"/>
      <c r="N112" s="225"/>
    </row>
    <row r="113" spans="1:14">
      <c r="A113" s="126" t="s">
        <v>439</v>
      </c>
      <c r="B113" s="126"/>
      <c r="C113" s="266">
        <f>C27/C54</f>
        <v>45.063380281690144</v>
      </c>
      <c r="D113" s="266">
        <f t="shared" ref="D113:L113" si="44">D27/AVERAGE(C54:D54)</f>
        <v>45.063380281690144</v>
      </c>
      <c r="E113" s="266">
        <f t="shared" si="44"/>
        <v>45.063380281690144</v>
      </c>
      <c r="F113" s="266">
        <f t="shared" si="44"/>
        <v>45.063380281690144</v>
      </c>
      <c r="G113" s="266">
        <f t="shared" si="44"/>
        <v>45.063380281690144</v>
      </c>
      <c r="H113" s="266">
        <f t="shared" si="44"/>
        <v>60.588957055214728</v>
      </c>
      <c r="I113" s="266">
        <f t="shared" si="44"/>
        <v>46.492668621700872</v>
      </c>
      <c r="J113" s="266">
        <f t="shared" si="44"/>
        <v>46.134948096885815</v>
      </c>
      <c r="K113" s="266">
        <f t="shared" si="44"/>
        <v>46.06545454545455</v>
      </c>
      <c r="L113" s="266">
        <f t="shared" si="44"/>
        <v>36.206214689265536</v>
      </c>
      <c r="M113" s="225"/>
      <c r="N113" s="225"/>
    </row>
    <row r="114" spans="1:14">
      <c r="A114" s="276" t="s">
        <v>220</v>
      </c>
      <c r="B114" s="126"/>
      <c r="C114" s="225">
        <f>C6/C26</f>
        <v>7.9485026588301134E-3</v>
      </c>
      <c r="D114" s="225">
        <f t="shared" ref="D114:L114" si="45">D6/D26</f>
        <v>7.9485026588301134E-3</v>
      </c>
      <c r="E114" s="225">
        <f t="shared" si="45"/>
        <v>7.9485026588301134E-3</v>
      </c>
      <c r="F114" s="225">
        <f t="shared" si="45"/>
        <v>7.9485026588301134E-3</v>
      </c>
      <c r="G114" s="225">
        <f t="shared" si="45"/>
        <v>7.9485026588301134E-3</v>
      </c>
      <c r="H114" s="225">
        <f t="shared" si="45"/>
        <v>7.1522972867915733E-3</v>
      </c>
      <c r="I114" s="225">
        <f t="shared" si="45"/>
        <v>7.460913367865799E-3</v>
      </c>
      <c r="J114" s="225">
        <f t="shared" si="45"/>
        <v>1.5008377597946598E-2</v>
      </c>
      <c r="K114" s="225">
        <f t="shared" si="45"/>
        <v>8.8213459103017589E-3</v>
      </c>
      <c r="L114" s="225">
        <f t="shared" si="45"/>
        <v>7.5855873839704565E-3</v>
      </c>
      <c r="M114" s="225"/>
      <c r="N114" s="225"/>
    </row>
    <row r="115" spans="1:14">
      <c r="A115" s="126"/>
      <c r="B115" s="126"/>
      <c r="C115" s="225"/>
      <c r="D115" s="225"/>
      <c r="E115" s="225"/>
      <c r="F115" s="225"/>
      <c r="G115" s="225"/>
      <c r="H115" s="225"/>
      <c r="I115" s="225"/>
      <c r="J115" s="225"/>
      <c r="K115" s="225"/>
      <c r="L115" s="225"/>
      <c r="M115" s="225"/>
      <c r="N115" s="225"/>
    </row>
    <row r="116" spans="1:14">
      <c r="A116" s="126"/>
      <c r="B116" s="126"/>
      <c r="C116" s="248">
        <f t="shared" ref="C116:L116" si="46">C4</f>
        <v>39508</v>
      </c>
      <c r="D116" s="248">
        <f t="shared" si="46"/>
        <v>39873</v>
      </c>
      <c r="E116" s="248">
        <f t="shared" si="46"/>
        <v>40238</v>
      </c>
      <c r="F116" s="248">
        <f t="shared" si="46"/>
        <v>40603</v>
      </c>
      <c r="G116" s="248">
        <f t="shared" si="46"/>
        <v>40969</v>
      </c>
      <c r="H116" s="248">
        <f t="shared" si="46"/>
        <v>41334</v>
      </c>
      <c r="I116" s="248">
        <f t="shared" si="46"/>
        <v>41699</v>
      </c>
      <c r="J116" s="248">
        <f t="shared" si="46"/>
        <v>42064</v>
      </c>
      <c r="K116" s="248">
        <f t="shared" si="46"/>
        <v>42430</v>
      </c>
      <c r="L116" s="248">
        <f t="shared" si="46"/>
        <v>42795</v>
      </c>
      <c r="M116" s="225"/>
      <c r="N116" s="225"/>
    </row>
    <row r="117" spans="1:14">
      <c r="A117" s="126" t="s">
        <v>328</v>
      </c>
      <c r="B117" s="126"/>
      <c r="C117" s="266">
        <f t="shared" ref="C117:L117" si="47">C45/C35</f>
        <v>3.0982035928143761</v>
      </c>
      <c r="D117" s="266">
        <f t="shared" si="47"/>
        <v>3.0982035928143761</v>
      </c>
      <c r="E117" s="266">
        <f t="shared" si="47"/>
        <v>3.0982035928143761</v>
      </c>
      <c r="F117" s="266">
        <f t="shared" si="47"/>
        <v>3.0982035928143761</v>
      </c>
      <c r="G117" s="266">
        <f t="shared" si="47"/>
        <v>3.0982035928143761</v>
      </c>
      <c r="H117" s="266">
        <f t="shared" si="47"/>
        <v>1.224673202614379</v>
      </c>
      <c r="I117" s="266">
        <f t="shared" si="47"/>
        <v>2.5829195630585864</v>
      </c>
      <c r="J117" s="266">
        <f t="shared" si="47"/>
        <v>2.3762446657183558</v>
      </c>
      <c r="K117" s="266">
        <f t="shared" si="47"/>
        <v>1.8006366892160743</v>
      </c>
      <c r="L117" s="266">
        <f t="shared" si="47"/>
        <v>1.6393998063891546</v>
      </c>
      <c r="M117" s="225"/>
      <c r="N117" s="225"/>
    </row>
    <row r="118" spans="1:14">
      <c r="A118" s="126" t="s">
        <v>209</v>
      </c>
      <c r="B118" s="126"/>
      <c r="C118" s="266">
        <f t="shared" ref="C118:L118" si="48">C62/C35</f>
        <v>1.8934131736526976</v>
      </c>
      <c r="D118" s="266">
        <f t="shared" si="48"/>
        <v>1.8934131736526976</v>
      </c>
      <c r="E118" s="266">
        <f t="shared" si="48"/>
        <v>1.8934131736526976</v>
      </c>
      <c r="F118" s="266">
        <f t="shared" si="48"/>
        <v>1.8934131736526976</v>
      </c>
      <c r="G118" s="266">
        <f t="shared" si="48"/>
        <v>1.8934131736526976</v>
      </c>
      <c r="H118" s="266">
        <f t="shared" si="48"/>
        <v>2.1535947712418295</v>
      </c>
      <c r="I118" s="266">
        <f t="shared" si="48"/>
        <v>1.9364448857994014</v>
      </c>
      <c r="J118" s="266">
        <f t="shared" si="48"/>
        <v>2.1315789473684266</v>
      </c>
      <c r="K118" s="266">
        <f t="shared" si="48"/>
        <v>1.6339037007560668</v>
      </c>
      <c r="L118" s="266">
        <f t="shared" si="48"/>
        <v>2.5895450145208086E-2</v>
      </c>
      <c r="M118" s="225"/>
      <c r="N118" s="225"/>
    </row>
    <row r="119" spans="1:14">
      <c r="A119" s="126" t="s">
        <v>428</v>
      </c>
      <c r="B119" s="126"/>
      <c r="C119" s="225">
        <f t="shared" ref="C119:L119" si="49">C35/C11</f>
        <v>0.36590709903593283</v>
      </c>
      <c r="D119" s="225">
        <f t="shared" si="49"/>
        <v>0.36590709903593283</v>
      </c>
      <c r="E119" s="225">
        <f t="shared" si="49"/>
        <v>0.36590709903593283</v>
      </c>
      <c r="F119" s="225">
        <f t="shared" si="49"/>
        <v>0.36590709903593283</v>
      </c>
      <c r="G119" s="225">
        <f t="shared" si="49"/>
        <v>0.36590709903593283</v>
      </c>
      <c r="H119" s="225">
        <f t="shared" si="49"/>
        <v>0.62321792260692455</v>
      </c>
      <c r="I119" s="225">
        <f t="shared" si="49"/>
        <v>0.30176805513934712</v>
      </c>
      <c r="J119" s="225">
        <f t="shared" si="49"/>
        <v>0.41087083576855515</v>
      </c>
      <c r="K119" s="225">
        <f t="shared" si="49"/>
        <v>0.60876937984496204</v>
      </c>
      <c r="L119" s="225">
        <f t="shared" si="49"/>
        <v>0.40505832761494054</v>
      </c>
      <c r="M119" s="225"/>
      <c r="N119" s="225"/>
    </row>
    <row r="120" spans="1:14">
      <c r="A120" s="126" t="s">
        <v>429</v>
      </c>
      <c r="B120" s="126"/>
      <c r="C120" s="261">
        <f>C26/C50</f>
        <v>9.9139844617092123</v>
      </c>
      <c r="D120" s="261">
        <f t="shared" ref="D120:L120" si="50">D26/AVERAGE(C50:D50)</f>
        <v>9.9139844617092123</v>
      </c>
      <c r="E120" s="261">
        <f t="shared" si="50"/>
        <v>9.9139844617092123</v>
      </c>
      <c r="F120" s="261">
        <f t="shared" si="50"/>
        <v>9.9139844617092123</v>
      </c>
      <c r="G120" s="261">
        <f t="shared" si="50"/>
        <v>9.9139844617092123</v>
      </c>
      <c r="H120" s="261">
        <f t="shared" si="50"/>
        <v>14.104166666666664</v>
      </c>
      <c r="I120" s="261">
        <f t="shared" si="50"/>
        <v>11.383824722748175</v>
      </c>
      <c r="J120" s="261">
        <f t="shared" si="50"/>
        <v>10.845157548811134</v>
      </c>
      <c r="K120" s="261">
        <f t="shared" si="50"/>
        <v>10.720505617977528</v>
      </c>
      <c r="L120" s="261">
        <f t="shared" si="50"/>
        <v>7.7076641984806225</v>
      </c>
      <c r="M120" s="225"/>
      <c r="N120" s="225"/>
    </row>
    <row r="121" spans="1:14">
      <c r="A121" s="126" t="s">
        <v>445</v>
      </c>
      <c r="B121" s="126"/>
      <c r="C121" s="261">
        <f t="shared" ref="C121:L121" si="51">C10/C9</f>
        <v>0.6901140684410646</v>
      </c>
      <c r="D121" s="261">
        <f t="shared" si="51"/>
        <v>0.6901140684410646</v>
      </c>
      <c r="E121" s="261">
        <f t="shared" si="51"/>
        <v>0.6901140684410646</v>
      </c>
      <c r="F121" s="261">
        <f t="shared" si="51"/>
        <v>0.6901140684410646</v>
      </c>
      <c r="G121" s="261">
        <f t="shared" si="51"/>
        <v>0.6901140684410646</v>
      </c>
      <c r="H121" s="261">
        <f t="shared" si="51"/>
        <v>0.75142387039615233</v>
      </c>
      <c r="I121" s="261">
        <f t="shared" si="51"/>
        <v>0.69340316060271956</v>
      </c>
      <c r="J121" s="261">
        <f t="shared" si="51"/>
        <v>0.75604191915591357</v>
      </c>
      <c r="K121" s="261">
        <f t="shared" si="51"/>
        <v>0.73952549217566887</v>
      </c>
      <c r="L121" s="261">
        <f t="shared" si="51"/>
        <v>0.57827938319070649</v>
      </c>
      <c r="M121" s="225"/>
      <c r="N121" s="225"/>
    </row>
    <row r="122" spans="1:14">
      <c r="A122" s="126"/>
      <c r="B122" s="126"/>
      <c r="C122" s="225"/>
      <c r="D122" s="225"/>
      <c r="E122" s="225"/>
      <c r="F122" s="225"/>
      <c r="G122" s="225"/>
      <c r="H122" s="225"/>
      <c r="I122" s="225"/>
      <c r="J122" s="225"/>
      <c r="K122" s="225"/>
      <c r="L122" s="225"/>
      <c r="M122" s="225"/>
      <c r="N122" s="225"/>
    </row>
    <row r="123" spans="1:14">
      <c r="A123" s="126"/>
      <c r="B123" s="126"/>
      <c r="C123" s="225"/>
      <c r="D123" s="225"/>
      <c r="E123" s="225"/>
      <c r="F123" s="225"/>
      <c r="G123" s="225"/>
      <c r="H123" s="225"/>
      <c r="I123" s="225"/>
      <c r="J123" s="225"/>
      <c r="K123" s="225"/>
      <c r="L123" s="225"/>
      <c r="M123" s="225"/>
      <c r="N123" s="225"/>
    </row>
    <row r="124" spans="1:14">
      <c r="A124" s="126"/>
      <c r="B124" s="126"/>
      <c r="C124" s="225"/>
      <c r="D124" s="225"/>
      <c r="E124" s="225"/>
      <c r="F124" s="225"/>
      <c r="G124" s="225"/>
      <c r="H124" s="225"/>
      <c r="I124" s="225"/>
      <c r="J124" s="225"/>
      <c r="K124" s="225"/>
      <c r="L124" s="225"/>
      <c r="M124" s="225"/>
      <c r="N124" s="225"/>
    </row>
    <row r="125" spans="1:14">
      <c r="A125" s="229" t="s">
        <v>425</v>
      </c>
      <c r="B125" s="126"/>
      <c r="C125" s="242">
        <f t="shared" ref="C125:L125" si="52">C4</f>
        <v>39508</v>
      </c>
      <c r="D125" s="242">
        <f t="shared" si="52"/>
        <v>39873</v>
      </c>
      <c r="E125" s="242">
        <f t="shared" si="52"/>
        <v>40238</v>
      </c>
      <c r="F125" s="242">
        <f t="shared" si="52"/>
        <v>40603</v>
      </c>
      <c r="G125" s="242">
        <f t="shared" si="52"/>
        <v>40969</v>
      </c>
      <c r="H125" s="242">
        <f t="shared" si="52"/>
        <v>41334</v>
      </c>
      <c r="I125" s="242">
        <f t="shared" si="52"/>
        <v>41699</v>
      </c>
      <c r="J125" s="242">
        <f t="shared" si="52"/>
        <v>42064</v>
      </c>
      <c r="K125" s="242">
        <f t="shared" si="52"/>
        <v>42430</v>
      </c>
      <c r="L125" s="242">
        <f t="shared" si="52"/>
        <v>42795</v>
      </c>
      <c r="M125" s="126" t="s">
        <v>472</v>
      </c>
      <c r="N125" s="126"/>
    </row>
    <row r="126" spans="1:14">
      <c r="A126" s="126" t="s">
        <v>462</v>
      </c>
      <c r="B126" s="126"/>
      <c r="C126" s="225">
        <f t="shared" ref="C126:M126" si="53">C29/C26</f>
        <v>9.8124825076966057E-2</v>
      </c>
      <c r="D126" s="225">
        <f t="shared" si="53"/>
        <v>9.8124825076966057E-2</v>
      </c>
      <c r="E126" s="225">
        <f t="shared" si="53"/>
        <v>9.8124825076966057E-2</v>
      </c>
      <c r="F126" s="225">
        <f t="shared" si="53"/>
        <v>9.8124825076966057E-2</v>
      </c>
      <c r="G126" s="225">
        <f t="shared" si="53"/>
        <v>9.8124825076966057E-2</v>
      </c>
      <c r="H126" s="225">
        <f t="shared" si="53"/>
        <v>9.986006374873671E-2</v>
      </c>
      <c r="I126" s="225">
        <f t="shared" si="53"/>
        <v>0.10036591740721387</v>
      </c>
      <c r="J126" s="225">
        <f t="shared" si="53"/>
        <v>0.10309792877259265</v>
      </c>
      <c r="K126" s="225">
        <f t="shared" si="53"/>
        <v>0.10814882745971446</v>
      </c>
      <c r="L126" s="225">
        <f t="shared" si="53"/>
        <v>0.19725022457331087</v>
      </c>
      <c r="M126" s="225">
        <f t="shared" si="53"/>
        <v>0.16410670978173</v>
      </c>
      <c r="N126" s="126"/>
    </row>
    <row r="127" spans="1:14">
      <c r="A127" s="126" t="s">
        <v>422</v>
      </c>
      <c r="B127" s="126"/>
      <c r="C127" s="255">
        <f t="shared" ref="C127:M127" si="54">C35/C25</f>
        <v>4.6193848196503573E-2</v>
      </c>
      <c r="D127" s="255">
        <f t="shared" si="54"/>
        <v>4.6193848196503573E-2</v>
      </c>
      <c r="E127" s="255">
        <f t="shared" si="54"/>
        <v>4.6193848196503573E-2</v>
      </c>
      <c r="F127" s="255">
        <f t="shared" si="54"/>
        <v>4.6193848196503573E-2</v>
      </c>
      <c r="G127" s="255">
        <f t="shared" si="54"/>
        <v>4.6193848196503573E-2</v>
      </c>
      <c r="H127" s="255">
        <f t="shared" si="54"/>
        <v>4.6900145605027206E-2</v>
      </c>
      <c r="I127" s="255">
        <f t="shared" si="54"/>
        <v>4.6878636934965849E-2</v>
      </c>
      <c r="J127" s="255">
        <f t="shared" si="54"/>
        <v>4.8986133370496704E-2</v>
      </c>
      <c r="K127" s="255">
        <f t="shared" si="54"/>
        <v>5.3667912439935989E-2</v>
      </c>
      <c r="L127" s="255">
        <f t="shared" si="54"/>
        <v>9.9816407382355976E-2</v>
      </c>
      <c r="M127" s="255">
        <f t="shared" si="54"/>
        <v>8.6019780807270782E-2</v>
      </c>
      <c r="N127" s="126"/>
    </row>
    <row r="128" spans="1:14">
      <c r="A128" s="126"/>
      <c r="B128" s="126"/>
      <c r="C128" s="255"/>
      <c r="D128" s="255"/>
      <c r="E128" s="255"/>
      <c r="F128" s="255"/>
      <c r="G128" s="255"/>
      <c r="H128" s="255"/>
      <c r="I128" s="255"/>
      <c r="J128" s="255"/>
      <c r="K128" s="255"/>
      <c r="L128" s="255"/>
      <c r="M128" s="126"/>
      <c r="N128" s="126"/>
    </row>
    <row r="129" spans="1:14">
      <c r="A129" s="229" t="s">
        <v>246</v>
      </c>
      <c r="B129" s="126"/>
      <c r="C129" s="248">
        <f>C125</f>
        <v>39508</v>
      </c>
      <c r="D129" s="248">
        <f t="shared" ref="D129:L129" si="55">D125</f>
        <v>39873</v>
      </c>
      <c r="E129" s="248">
        <f t="shared" si="55"/>
        <v>40238</v>
      </c>
      <c r="F129" s="248">
        <f t="shared" si="55"/>
        <v>40603</v>
      </c>
      <c r="G129" s="248">
        <f t="shared" si="55"/>
        <v>40969</v>
      </c>
      <c r="H129" s="248">
        <f t="shared" si="55"/>
        <v>41334</v>
      </c>
      <c r="I129" s="248">
        <f t="shared" si="55"/>
        <v>41699</v>
      </c>
      <c r="J129" s="248">
        <f t="shared" si="55"/>
        <v>42064</v>
      </c>
      <c r="K129" s="248">
        <f t="shared" si="55"/>
        <v>42430</v>
      </c>
      <c r="L129" s="248">
        <f t="shared" si="55"/>
        <v>42795</v>
      </c>
      <c r="M129" s="126" t="s">
        <v>472</v>
      </c>
      <c r="N129" s="126"/>
    </row>
    <row r="130" spans="1:14">
      <c r="A130" s="126" t="s">
        <v>18</v>
      </c>
      <c r="B130" s="126"/>
      <c r="C130" s="225">
        <f>C30/C29</f>
        <v>0.16200798630918437</v>
      </c>
      <c r="D130" s="225">
        <f t="shared" ref="D130:L130" si="56">D30/D29</f>
        <v>0.16200798630918437</v>
      </c>
      <c r="E130" s="225">
        <f t="shared" si="56"/>
        <v>0.16200798630918437</v>
      </c>
      <c r="F130" s="225">
        <f t="shared" si="56"/>
        <v>0.16200798630918437</v>
      </c>
      <c r="G130" s="225">
        <f t="shared" si="56"/>
        <v>0.16200798630918437</v>
      </c>
      <c r="H130" s="225">
        <f t="shared" si="56"/>
        <v>0.1451926819774231</v>
      </c>
      <c r="I130" s="225">
        <f t="shared" si="56"/>
        <v>0.17329545454545442</v>
      </c>
      <c r="J130" s="225">
        <f t="shared" si="56"/>
        <v>0.17876901798063646</v>
      </c>
      <c r="K130" s="225">
        <f t="shared" si="56"/>
        <v>0.1425398748233393</v>
      </c>
      <c r="L130" s="225">
        <f t="shared" si="56"/>
        <v>9.5762175838077085E-2</v>
      </c>
      <c r="M130" s="225">
        <f>M30/M29</f>
        <v>9.3345579026467382E-2</v>
      </c>
      <c r="N130" s="126"/>
    </row>
    <row r="131" spans="1:14">
      <c r="A131" s="126" t="s">
        <v>17</v>
      </c>
      <c r="B131" s="126"/>
      <c r="C131" s="225">
        <f>C32/C29</f>
        <v>0.1300627495721621</v>
      </c>
      <c r="D131" s="225">
        <f t="shared" ref="D131:L131" si="57">D32/D29</f>
        <v>0.1300627495721621</v>
      </c>
      <c r="E131" s="225">
        <f t="shared" si="57"/>
        <v>0.1300627495721621</v>
      </c>
      <c r="F131" s="225">
        <f t="shared" si="57"/>
        <v>0.1300627495721621</v>
      </c>
      <c r="G131" s="225">
        <f t="shared" si="57"/>
        <v>0.1300627495721621</v>
      </c>
      <c r="H131" s="225">
        <f t="shared" si="57"/>
        <v>0.14713896457765663</v>
      </c>
      <c r="I131" s="225">
        <f t="shared" si="57"/>
        <v>9.7064393939393867E-2</v>
      </c>
      <c r="J131" s="225">
        <f t="shared" si="57"/>
        <v>8.6099585062240788E-2</v>
      </c>
      <c r="K131" s="225">
        <f t="shared" si="57"/>
        <v>6.1982636785786353E-2</v>
      </c>
      <c r="L131" s="225">
        <f t="shared" si="57"/>
        <v>9.5256166982922122E-2</v>
      </c>
      <c r="M131" s="225">
        <f>M32/M29</f>
        <v>7.2639225181598058E-2</v>
      </c>
      <c r="N131" s="126"/>
    </row>
    <row r="132" spans="1:14">
      <c r="A132" s="126" t="s">
        <v>423</v>
      </c>
      <c r="B132" s="126"/>
      <c r="C132" s="225">
        <f>C34/C29</f>
        <v>0.23160296634341143</v>
      </c>
      <c r="D132" s="225">
        <f t="shared" ref="D132:L132" si="58">D34/D29</f>
        <v>0.23160296634341143</v>
      </c>
      <c r="E132" s="225">
        <f t="shared" si="58"/>
        <v>0.23160296634341143</v>
      </c>
      <c r="F132" s="225">
        <f t="shared" si="58"/>
        <v>0.23160296634341143</v>
      </c>
      <c r="G132" s="225">
        <f t="shared" si="58"/>
        <v>0.23160296634341143</v>
      </c>
      <c r="H132" s="225">
        <f t="shared" si="58"/>
        <v>0.23121837290774619</v>
      </c>
      <c r="I132" s="225">
        <f t="shared" si="58"/>
        <v>0.25284090909090889</v>
      </c>
      <c r="J132" s="225">
        <f t="shared" si="58"/>
        <v>0.24896265560166009</v>
      </c>
      <c r="K132" s="225">
        <f t="shared" si="58"/>
        <v>0.2881082172420753</v>
      </c>
      <c r="L132" s="225">
        <f t="shared" si="58"/>
        <v>0.28627450980392133</v>
      </c>
      <c r="M132" s="225">
        <f>M34/M29</f>
        <v>0.29640143608583114</v>
      </c>
      <c r="N132" s="126"/>
    </row>
    <row r="133" spans="1:14">
      <c r="A133" s="126" t="s">
        <v>424</v>
      </c>
      <c r="B133" s="126"/>
      <c r="C133" s="225">
        <f>C35/C29</f>
        <v>0.47632629777524205</v>
      </c>
      <c r="D133" s="225">
        <f t="shared" ref="D133:L133" si="59">D35/D29</f>
        <v>0.47632629777524205</v>
      </c>
      <c r="E133" s="225">
        <f t="shared" si="59"/>
        <v>0.47632629777524205</v>
      </c>
      <c r="F133" s="225">
        <f t="shared" si="59"/>
        <v>0.47632629777524205</v>
      </c>
      <c r="G133" s="225">
        <f t="shared" si="59"/>
        <v>0.47632629777524205</v>
      </c>
      <c r="H133" s="225">
        <f t="shared" si="59"/>
        <v>0.47644998053717397</v>
      </c>
      <c r="I133" s="225">
        <f t="shared" si="59"/>
        <v>0.47679924242424276</v>
      </c>
      <c r="J133" s="225">
        <f t="shared" si="59"/>
        <v>0.48616874135546273</v>
      </c>
      <c r="K133" s="225">
        <f t="shared" si="59"/>
        <v>0.50736927114879893</v>
      </c>
      <c r="L133" s="225">
        <f t="shared" si="59"/>
        <v>0.52270714737507962</v>
      </c>
      <c r="M133" s="225">
        <f>M35/M29</f>
        <v>0.53736327961927022</v>
      </c>
      <c r="N133" s="126"/>
    </row>
    <row r="134" spans="1:14">
      <c r="A134" s="126" t="s">
        <v>57</v>
      </c>
      <c r="B134" s="126"/>
      <c r="C134" s="225">
        <f>SUM(C130:C133)</f>
        <v>1</v>
      </c>
      <c r="D134" s="225">
        <f t="shared" ref="D134:M134" si="60">SUM(D130:D133)</f>
        <v>1</v>
      </c>
      <c r="E134" s="225">
        <f t="shared" si="60"/>
        <v>1</v>
      </c>
      <c r="F134" s="225">
        <f t="shared" si="60"/>
        <v>1</v>
      </c>
      <c r="G134" s="225">
        <f t="shared" si="60"/>
        <v>1</v>
      </c>
      <c r="H134" s="225">
        <f t="shared" si="60"/>
        <v>0.99999999999999978</v>
      </c>
      <c r="I134" s="225">
        <f t="shared" si="60"/>
        <v>0.99999999999999989</v>
      </c>
      <c r="J134" s="225">
        <f t="shared" si="60"/>
        <v>1</v>
      </c>
      <c r="K134" s="225">
        <f t="shared" si="60"/>
        <v>0.99999999999999989</v>
      </c>
      <c r="L134" s="225">
        <f t="shared" si="60"/>
        <v>1.0000000000000002</v>
      </c>
      <c r="M134" s="225">
        <f t="shared" si="60"/>
        <v>0.99974951991316674</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9" t="s">
        <v>416</v>
      </c>
      <c r="B137" s="126"/>
      <c r="C137" s="242">
        <f t="shared" ref="C137:L137" si="61">C4</f>
        <v>39508</v>
      </c>
      <c r="D137" s="242">
        <f t="shared" si="61"/>
        <v>39873</v>
      </c>
      <c r="E137" s="242">
        <f t="shared" si="61"/>
        <v>40238</v>
      </c>
      <c r="F137" s="242">
        <f t="shared" si="61"/>
        <v>40603</v>
      </c>
      <c r="G137" s="242">
        <f t="shared" si="61"/>
        <v>40969</v>
      </c>
      <c r="H137" s="242">
        <f t="shared" si="61"/>
        <v>41334</v>
      </c>
      <c r="I137" s="242">
        <f t="shared" si="61"/>
        <v>41699</v>
      </c>
      <c r="J137" s="242">
        <f t="shared" si="61"/>
        <v>42064</v>
      </c>
      <c r="K137" s="242">
        <f t="shared" si="61"/>
        <v>42430</v>
      </c>
      <c r="L137" s="242">
        <f t="shared" si="61"/>
        <v>42795</v>
      </c>
      <c r="M137" s="126"/>
      <c r="N137" s="126"/>
    </row>
    <row r="138" spans="1:14" ht="39">
      <c r="A138" s="260" t="s">
        <v>417</v>
      </c>
      <c r="B138" s="126"/>
      <c r="C138" s="261">
        <f>C26/C50</f>
        <v>9.9139844617092123</v>
      </c>
      <c r="D138" s="261">
        <f t="shared" ref="D138:L138" si="62">D26/AVERAGE(C50:D50)</f>
        <v>9.9139844617092123</v>
      </c>
      <c r="E138" s="261">
        <f t="shared" si="62"/>
        <v>9.9139844617092123</v>
      </c>
      <c r="F138" s="261">
        <f t="shared" si="62"/>
        <v>9.9139844617092123</v>
      </c>
      <c r="G138" s="261">
        <f t="shared" si="62"/>
        <v>9.9139844617092123</v>
      </c>
      <c r="H138" s="261">
        <f t="shared" si="62"/>
        <v>14.104166666666664</v>
      </c>
      <c r="I138" s="261">
        <f t="shared" si="62"/>
        <v>11.383824722748175</v>
      </c>
      <c r="J138" s="261">
        <f t="shared" si="62"/>
        <v>10.845157548811134</v>
      </c>
      <c r="K138" s="261">
        <f t="shared" si="62"/>
        <v>10.720505617977528</v>
      </c>
      <c r="L138" s="261">
        <f t="shared" si="62"/>
        <v>7.7076641984806225</v>
      </c>
      <c r="M138" s="126"/>
      <c r="N138" s="126"/>
    </row>
    <row r="139" spans="1:14">
      <c r="A139" s="262" t="s">
        <v>418</v>
      </c>
      <c r="B139" s="126"/>
      <c r="C139" s="225">
        <f t="shared" ref="C139:L139" si="63">C35/C26</f>
        <v>4.6739434648754477E-2</v>
      </c>
      <c r="D139" s="225">
        <f t="shared" si="63"/>
        <v>4.6739434648754477E-2</v>
      </c>
      <c r="E139" s="225">
        <f t="shared" si="63"/>
        <v>4.6739434648754477E-2</v>
      </c>
      <c r="F139" s="225">
        <f t="shared" si="63"/>
        <v>4.6739434648754477E-2</v>
      </c>
      <c r="G139" s="225">
        <f t="shared" si="63"/>
        <v>4.6739434648754477E-2</v>
      </c>
      <c r="H139" s="225">
        <f t="shared" si="63"/>
        <v>4.7578325429526558E-2</v>
      </c>
      <c r="I139" s="225">
        <f t="shared" si="63"/>
        <v>4.7854393384973694E-2</v>
      </c>
      <c r="J139" s="225">
        <f t="shared" si="63"/>
        <v>5.0122990267726514E-2</v>
      </c>
      <c r="K139" s="225">
        <f t="shared" si="63"/>
        <v>5.4871391763832537E-2</v>
      </c>
      <c r="L139" s="225">
        <f t="shared" si="63"/>
        <v>0.10310410220580916</v>
      </c>
      <c r="M139" s="225"/>
      <c r="N139" s="126"/>
    </row>
    <row r="140" spans="1:14" ht="26.25">
      <c r="A140" s="260" t="s">
        <v>419</v>
      </c>
      <c r="B140" s="126"/>
      <c r="C140" s="225">
        <f t="shared" ref="C140:L140" si="64">C36/C35</f>
        <v>0</v>
      </c>
      <c r="D140" s="225">
        <f t="shared" si="64"/>
        <v>0</v>
      </c>
      <c r="E140" s="225">
        <f t="shared" si="64"/>
        <v>0</v>
      </c>
      <c r="F140" s="225">
        <f t="shared" si="64"/>
        <v>0</v>
      </c>
      <c r="G140" s="225">
        <f t="shared" si="64"/>
        <v>0</v>
      </c>
      <c r="H140" s="225">
        <f t="shared" si="64"/>
        <v>6.5359477124182996E-2</v>
      </c>
      <c r="I140" s="225">
        <f t="shared" si="64"/>
        <v>0.15888778550148935</v>
      </c>
      <c r="J140" s="225">
        <f t="shared" si="64"/>
        <v>0.11379800853485095</v>
      </c>
      <c r="K140" s="225">
        <f t="shared" si="64"/>
        <v>0.19100676482292059</v>
      </c>
      <c r="L140" s="225">
        <f t="shared" si="64"/>
        <v>0</v>
      </c>
      <c r="M140" s="126"/>
      <c r="N140" s="126"/>
    </row>
    <row r="141" spans="1:14" ht="26.25">
      <c r="A141" s="260" t="s">
        <v>420</v>
      </c>
      <c r="B141" s="126"/>
      <c r="C141" s="225">
        <f t="shared" ref="C141:L141" si="65">C30/C50</f>
        <v>0.15760266370699222</v>
      </c>
      <c r="D141" s="225">
        <f t="shared" si="65"/>
        <v>0.15760266370699222</v>
      </c>
      <c r="E141" s="225">
        <f t="shared" si="65"/>
        <v>0.15760266370699222</v>
      </c>
      <c r="F141" s="225">
        <f t="shared" si="65"/>
        <v>0.15760266370699222</v>
      </c>
      <c r="G141" s="225">
        <f t="shared" si="65"/>
        <v>0.15760266370699222</v>
      </c>
      <c r="H141" s="225">
        <f t="shared" si="65"/>
        <v>0.20205850487540628</v>
      </c>
      <c r="I141" s="225">
        <f t="shared" si="65"/>
        <v>0.19773095623987033</v>
      </c>
      <c r="J141" s="225">
        <f t="shared" si="65"/>
        <v>0.15562913907284767</v>
      </c>
      <c r="K141" s="225">
        <f t="shared" si="65"/>
        <v>0.13519724243584832</v>
      </c>
      <c r="L141" s="225">
        <f t="shared" si="65"/>
        <v>0.14622368166892022</v>
      </c>
      <c r="M141" s="126"/>
      <c r="N141" s="126"/>
    </row>
    <row r="142" spans="1:14">
      <c r="A142" s="260" t="s">
        <v>416</v>
      </c>
      <c r="B142" s="126"/>
      <c r="C142" s="225"/>
      <c r="D142" s="225"/>
      <c r="E142" s="263">
        <f t="shared" ref="E142" si="66">AVERAGE(C138:E138)*AVERAGE(C139:E139)*(1-AVERAGE(C140:E140))-AVERAGE(C141:E141)</f>
        <v>0.30577136514983289</v>
      </c>
      <c r="F142" s="263">
        <f t="shared" ref="F142" si="67">AVERAGE(D138:F138)*AVERAGE(D139:F139)*(1-AVERAGE(D140:F140))-AVERAGE(D141:F141)</f>
        <v>0.30577136514983289</v>
      </c>
      <c r="G142" s="263">
        <f t="shared" ref="G142:K142" si="68">AVERAGE(E138:G138)*AVERAGE(E139:G139)*(1-AVERAGE(E140:G140))-AVERAGE(E141:G141)</f>
        <v>0.30577136514983289</v>
      </c>
      <c r="H142" s="263">
        <f t="shared" si="68"/>
        <v>0.34781134517689083</v>
      </c>
      <c r="I142" s="263">
        <f t="shared" si="68"/>
        <v>0.33164150219093147</v>
      </c>
      <c r="J142" s="263">
        <f t="shared" si="68"/>
        <v>0.33625825480553695</v>
      </c>
      <c r="K142" s="263">
        <f t="shared" si="68"/>
        <v>0.31024299660874688</v>
      </c>
      <c r="L142" s="263">
        <f>AVERAGE(J138:L138)*AVERAGE(J139:L139)*(1-AVERAGE(J140:L140))-AVERAGE(J141:L141)</f>
        <v>0.46240609885245021</v>
      </c>
      <c r="M142" s="126"/>
      <c r="N142" s="126"/>
    </row>
    <row r="143" spans="1:14">
      <c r="A143" s="260"/>
      <c r="B143" s="126"/>
      <c r="C143" s="225"/>
      <c r="D143" s="225"/>
      <c r="E143" s="225"/>
      <c r="F143" s="225"/>
      <c r="G143" s="225"/>
      <c r="H143" s="225"/>
      <c r="I143" s="225"/>
      <c r="J143" s="225"/>
      <c r="K143" s="225"/>
      <c r="L143" s="225"/>
      <c r="M143" s="126"/>
      <c r="N143" s="126"/>
    </row>
    <row r="144" spans="1:14">
      <c r="A144" s="260"/>
      <c r="B144" s="126"/>
      <c r="C144" s="225"/>
      <c r="D144" s="225"/>
      <c r="E144" s="225"/>
      <c r="F144" s="225"/>
      <c r="G144" s="225"/>
      <c r="H144" s="225"/>
      <c r="I144" s="225"/>
      <c r="J144" s="225"/>
      <c r="K144" s="225"/>
      <c r="L144" s="225"/>
      <c r="M144" s="126"/>
      <c r="N144" s="126"/>
    </row>
    <row r="145" spans="1:14">
      <c r="A145" s="260"/>
      <c r="B145" s="126"/>
      <c r="C145" s="225"/>
      <c r="D145" s="225"/>
      <c r="E145" s="225"/>
      <c r="F145" s="225"/>
      <c r="G145" s="225"/>
      <c r="H145" s="225"/>
      <c r="I145" s="225"/>
      <c r="J145" s="225"/>
      <c r="K145" s="225"/>
      <c r="L145" s="225"/>
      <c r="M145" s="126"/>
      <c r="N145" s="126"/>
    </row>
    <row r="146" spans="1:14">
      <c r="A146" s="260"/>
      <c r="B146" s="126"/>
      <c r="C146" s="225"/>
      <c r="D146" s="225"/>
      <c r="E146" s="225"/>
      <c r="F146" s="225"/>
      <c r="G146" s="225"/>
      <c r="H146" s="225"/>
      <c r="I146" s="225"/>
      <c r="J146" s="225"/>
      <c r="K146" s="225"/>
      <c r="L146" s="225"/>
      <c r="M146" s="126"/>
      <c r="N146" s="126"/>
    </row>
    <row r="147" spans="1:14">
      <c r="A147" s="260"/>
      <c r="B147" s="126"/>
      <c r="C147" s="225"/>
      <c r="D147" s="225"/>
      <c r="E147" s="225"/>
      <c r="F147" s="225"/>
      <c r="G147" s="225"/>
      <c r="H147" s="225"/>
      <c r="I147" s="225"/>
      <c r="J147" s="225"/>
      <c r="K147" s="225"/>
      <c r="L147" s="225"/>
      <c r="M147" s="126"/>
      <c r="N147" s="126"/>
    </row>
    <row r="148" spans="1:14">
      <c r="A148" s="260"/>
      <c r="B148" s="126"/>
      <c r="C148" s="225"/>
      <c r="D148" s="225"/>
      <c r="E148" s="225"/>
      <c r="F148" s="225"/>
      <c r="G148" s="225"/>
      <c r="H148" s="225"/>
      <c r="I148" s="225"/>
      <c r="J148" s="225"/>
      <c r="K148" s="225"/>
      <c r="L148" s="225"/>
      <c r="M148" s="126"/>
      <c r="N148" s="126"/>
    </row>
    <row r="149" spans="1:14">
      <c r="A149" s="260"/>
      <c r="B149" s="126"/>
      <c r="C149" s="225"/>
      <c r="D149" s="225"/>
      <c r="E149" s="225"/>
      <c r="F149" s="225"/>
      <c r="G149" s="225"/>
      <c r="H149" s="225"/>
      <c r="I149" s="225"/>
      <c r="J149" s="225"/>
      <c r="K149" s="225"/>
      <c r="L149" s="225"/>
      <c r="M149" s="126"/>
      <c r="N149" s="126"/>
    </row>
    <row r="150" spans="1:14">
      <c r="A150" s="260"/>
      <c r="B150" s="126"/>
      <c r="C150" s="225"/>
      <c r="D150" s="225"/>
      <c r="E150" s="225"/>
      <c r="F150" s="225"/>
      <c r="G150" s="225"/>
      <c r="H150" s="225"/>
      <c r="I150" s="225"/>
      <c r="J150" s="225"/>
      <c r="K150" s="225"/>
      <c r="L150" s="225"/>
      <c r="M150" s="126"/>
      <c r="N150" s="126"/>
    </row>
    <row r="151" spans="1:14">
      <c r="A151" s="260"/>
      <c r="B151" s="126"/>
      <c r="C151" s="225"/>
      <c r="D151" s="225"/>
      <c r="E151" s="225"/>
      <c r="F151" s="225"/>
      <c r="G151" s="225"/>
      <c r="H151" s="225"/>
      <c r="I151" s="225"/>
      <c r="J151" s="225"/>
      <c r="K151" s="225"/>
      <c r="L151" s="225"/>
      <c r="M151" s="126"/>
      <c r="N151" s="126"/>
    </row>
    <row r="152" spans="1:14">
      <c r="A152" s="260"/>
      <c r="B152" s="126"/>
      <c r="C152" s="225"/>
      <c r="D152" s="225"/>
      <c r="E152" s="225"/>
      <c r="F152" s="225"/>
      <c r="G152" s="225"/>
      <c r="H152" s="225"/>
      <c r="I152" s="225"/>
      <c r="J152" s="225"/>
      <c r="K152" s="225"/>
      <c r="L152" s="225"/>
      <c r="M152" s="126"/>
      <c r="N152" s="126"/>
    </row>
    <row r="153" spans="1:14">
      <c r="A153" s="126"/>
      <c r="B153" s="126"/>
      <c r="C153" s="126"/>
      <c r="D153" s="126"/>
      <c r="E153" s="126"/>
      <c r="F153" s="126"/>
      <c r="G153" s="126"/>
      <c r="H153" s="126"/>
      <c r="I153" s="126"/>
      <c r="J153" s="126"/>
      <c r="K153" s="126"/>
      <c r="L153" s="126"/>
      <c r="M153" s="126"/>
      <c r="N153" s="126"/>
    </row>
    <row r="155" spans="1:14">
      <c r="A155" s="229" t="s">
        <v>330</v>
      </c>
      <c r="C155" s="241">
        <f t="shared" ref="C155:L155" si="69">C4</f>
        <v>39508</v>
      </c>
      <c r="D155" s="241">
        <f t="shared" si="69"/>
        <v>39873</v>
      </c>
      <c r="E155" s="241">
        <f t="shared" si="69"/>
        <v>40238</v>
      </c>
      <c r="F155" s="241">
        <f t="shared" si="69"/>
        <v>40603</v>
      </c>
      <c r="G155" s="241">
        <f t="shared" si="69"/>
        <v>40969</v>
      </c>
      <c r="H155" s="241">
        <f t="shared" si="69"/>
        <v>41334</v>
      </c>
      <c r="I155" s="241">
        <f t="shared" si="69"/>
        <v>41699</v>
      </c>
      <c r="J155" s="241">
        <f t="shared" si="69"/>
        <v>42064</v>
      </c>
      <c r="K155" s="241">
        <f t="shared" si="69"/>
        <v>42430</v>
      </c>
      <c r="L155" s="241">
        <f t="shared" si="69"/>
        <v>42795</v>
      </c>
      <c r="M155" s="241"/>
      <c r="N155" s="241"/>
    </row>
    <row r="156" spans="1:14">
      <c r="A156" s="126" t="s">
        <v>361</v>
      </c>
      <c r="C156" s="230">
        <f>'Screener Input'!B62</f>
        <v>18.02</v>
      </c>
      <c r="D156" s="230">
        <f>'Screener Input'!C62</f>
        <v>18.02</v>
      </c>
      <c r="E156" s="230">
        <f>'Screener Input'!D62</f>
        <v>18.02</v>
      </c>
      <c r="F156" s="230">
        <f>'Screener Input'!E62</f>
        <v>18.02</v>
      </c>
      <c r="G156" s="230">
        <f>'Screener Input'!F62</f>
        <v>18.02</v>
      </c>
      <c r="H156" s="230">
        <f>'Screener Input'!G62</f>
        <v>18.46</v>
      </c>
      <c r="I156" s="230">
        <f>'Screener Input'!H62</f>
        <v>18.510000000000002</v>
      </c>
      <c r="J156" s="230">
        <f>'Screener Input'!I62</f>
        <v>33.22</v>
      </c>
      <c r="K156" s="230">
        <f>'Screener Input'!J62</f>
        <v>52.22</v>
      </c>
      <c r="L156" s="230">
        <f>'Screener Input'!K62</f>
        <v>51.77</v>
      </c>
      <c r="M156" s="230"/>
      <c r="N156" s="230"/>
    </row>
    <row r="157" spans="1:14">
      <c r="A157" s="126" t="s">
        <v>361</v>
      </c>
      <c r="B157" s="126"/>
      <c r="C157" s="225">
        <f>'Screener Input'!B62/'Screener Input'!B66</f>
        <v>0.19593345656192238</v>
      </c>
      <c r="D157" s="225">
        <f>'Screener Input'!C62/'Screener Input'!C66</f>
        <v>0.19593345656192238</v>
      </c>
      <c r="E157" s="225">
        <f>'Screener Input'!D62/'Screener Input'!D66</f>
        <v>0.19593345656192238</v>
      </c>
      <c r="F157" s="225">
        <f>'Screener Input'!E62/'Screener Input'!E66</f>
        <v>0.19593345656192238</v>
      </c>
      <c r="G157" s="225">
        <f>'Screener Input'!F62/'Screener Input'!F66</f>
        <v>0.19593345656192238</v>
      </c>
      <c r="H157" s="225">
        <f>'Screener Input'!G62/'Screener Input'!G66</f>
        <v>0.18284469096671951</v>
      </c>
      <c r="I157" s="225">
        <f>'Screener Input'!H62/'Screener Input'!H66</f>
        <v>0.13583327218023042</v>
      </c>
      <c r="J157" s="225">
        <f>'Screener Input'!I62/'Screener Input'!I66</f>
        <v>0.17823800836999679</v>
      </c>
      <c r="K157" s="225">
        <f>'Screener Input'!J62/'Screener Input'!J66</f>
        <v>0.22827417380660955</v>
      </c>
      <c r="L157" s="225">
        <f>'Screener Input'!K62/'Screener Input'!K66</f>
        <v>0.16422408323816776</v>
      </c>
      <c r="M157" s="225"/>
      <c r="N157" s="225"/>
    </row>
    <row r="158" spans="1:14">
      <c r="A158" s="126" t="s">
        <v>362</v>
      </c>
      <c r="B158" s="126"/>
      <c r="C158" s="225">
        <f>'Screener Input'!B64/'Screener Input'!B66</f>
        <v>3.3706643470696965E-3</v>
      </c>
      <c r="D158" s="225">
        <f>'Screener Input'!C64/'Screener Input'!C66</f>
        <v>3.3706643470696965E-3</v>
      </c>
      <c r="E158" s="225">
        <f>'Screener Input'!D64/'Screener Input'!D66</f>
        <v>3.3706643470696965E-3</v>
      </c>
      <c r="F158" s="225">
        <f>'Screener Input'!E64/'Screener Input'!E66</f>
        <v>3.3706643470696965E-3</v>
      </c>
      <c r="G158" s="225">
        <f>'Screener Input'!F64/'Screener Input'!F66</f>
        <v>3.3706643470696965E-3</v>
      </c>
      <c r="H158" s="225">
        <f>'Screener Input'!G64/'Screener Input'!G66</f>
        <v>3.456814580031696E-2</v>
      </c>
      <c r="I158" s="225">
        <f>'Screener Input'!H64/'Screener Input'!H66</f>
        <v>6.5458281353195855E-2</v>
      </c>
      <c r="J158" s="225">
        <f>'Screener Input'!I64/'Screener Input'!I66</f>
        <v>6.7872089279965658E-2</v>
      </c>
      <c r="K158" s="225">
        <f>'Screener Input'!J64/'Screener Input'!J66</f>
        <v>7.8947368421052627E-2</v>
      </c>
      <c r="L158" s="225">
        <f>'Screener Input'!K64/'Screener Input'!K66</f>
        <v>6.8455779723385346E-2</v>
      </c>
      <c r="M158" s="225"/>
      <c r="N158" s="225"/>
    </row>
    <row r="159" spans="1:14">
      <c r="A159" s="126" t="s">
        <v>365</v>
      </c>
      <c r="B159" s="126"/>
      <c r="C159" s="225">
        <f>'Screener Input'!B68/'Screener Input'!B66</f>
        <v>1.543981733173861E-2</v>
      </c>
      <c r="D159" s="225">
        <f>'Screener Input'!C68/'Screener Input'!C66</f>
        <v>1.543981733173861E-2</v>
      </c>
      <c r="E159" s="225">
        <f>'Screener Input'!D68/'Screener Input'!D66</f>
        <v>1.543981733173861E-2</v>
      </c>
      <c r="F159" s="225">
        <f>'Screener Input'!E68/'Screener Input'!E66</f>
        <v>1.543981733173861E-2</v>
      </c>
      <c r="G159" s="225">
        <f>'Screener Input'!F68/'Screener Input'!F66</f>
        <v>1.543981733173861E-2</v>
      </c>
      <c r="H159" s="225">
        <f>'Screener Input'!G68/'Screener Input'!G66</f>
        <v>1.8225039619651349E-2</v>
      </c>
      <c r="I159" s="225">
        <f>'Screener Input'!H68/'Screener Input'!H66</f>
        <v>1.1521244587950391E-2</v>
      </c>
      <c r="J159" s="225">
        <f>'Screener Input'!I68/'Screener Input'!I66</f>
        <v>2.2588260542976715E-2</v>
      </c>
      <c r="K159" s="225">
        <f>'Screener Input'!J68/'Screener Input'!J66</f>
        <v>1.7660430145130267E-2</v>
      </c>
      <c r="L159" s="225">
        <f>'Screener Input'!K68/'Screener Input'!K66</f>
        <v>9.6434462631645734E-3</v>
      </c>
      <c r="M159" s="225"/>
      <c r="N159" s="225"/>
    </row>
    <row r="160" spans="1:14">
      <c r="A160" s="126" t="s">
        <v>366</v>
      </c>
      <c r="B160" s="126"/>
      <c r="C160" s="225">
        <f>'Screener Input'!B67/'Screener Input'!B66</f>
        <v>0.20604544960313145</v>
      </c>
      <c r="D160" s="225">
        <f>'Screener Input'!C67/'Screener Input'!C66</f>
        <v>0.20604544960313145</v>
      </c>
      <c r="E160" s="225">
        <f>'Screener Input'!D67/'Screener Input'!D66</f>
        <v>0.20604544960313145</v>
      </c>
      <c r="F160" s="225">
        <f>'Screener Input'!E67/'Screener Input'!E66</f>
        <v>0.20604544960313145</v>
      </c>
      <c r="G160" s="225">
        <f>'Screener Input'!F67/'Screener Input'!F66</f>
        <v>0.20604544960313145</v>
      </c>
      <c r="H160" s="225">
        <f>'Screener Input'!G67/'Screener Input'!G66</f>
        <v>0.12054278922345484</v>
      </c>
      <c r="I160" s="225">
        <f>'Screener Input'!H67/'Screener Input'!H66</f>
        <v>0.10097600352241871</v>
      </c>
      <c r="J160" s="225">
        <f>'Screener Input'!I67/'Screener Input'!I66</f>
        <v>0.12807168151089174</v>
      </c>
      <c r="K160" s="225">
        <f>'Screener Input'!J67/'Screener Input'!J66</f>
        <v>4.5112781954887222E-2</v>
      </c>
      <c r="L160" s="225">
        <f>'Screener Input'!K67/'Screener Input'!K66</f>
        <v>0.16895064078162669</v>
      </c>
      <c r="M160" s="225"/>
      <c r="N160" s="225"/>
    </row>
    <row r="161" spans="1:14">
      <c r="A161" s="126" t="s">
        <v>367</v>
      </c>
      <c r="B161" s="126"/>
      <c r="C161" s="225">
        <f>'Screener Input'!B69/'Screener Input'!B66</f>
        <v>0.3907796020441448</v>
      </c>
      <c r="D161" s="225">
        <f>'Screener Input'!C69/'Screener Input'!C66</f>
        <v>0.3907796020441448</v>
      </c>
      <c r="E161" s="225">
        <f>'Screener Input'!D69/'Screener Input'!D66</f>
        <v>0.3907796020441448</v>
      </c>
      <c r="F161" s="225">
        <f>'Screener Input'!E69/'Screener Input'!E66</f>
        <v>0.3907796020441448</v>
      </c>
      <c r="G161" s="225">
        <f>'Screener Input'!F69/'Screener Input'!F66</f>
        <v>0.3907796020441448</v>
      </c>
      <c r="H161" s="225">
        <f>'Screener Input'!G69/'Screener Input'!G66</f>
        <v>0.44185816164817754</v>
      </c>
      <c r="I161" s="225">
        <f>'Screener Input'!H69/'Screener Input'!H66</f>
        <v>0.50223820356644888</v>
      </c>
      <c r="J161" s="225">
        <f>'Screener Input'!I69/'Screener Input'!I66</f>
        <v>0.45509174804163532</v>
      </c>
      <c r="K161" s="225">
        <f>'Screener Input'!J69/'Screener Input'!J66</f>
        <v>0.46502885119776183</v>
      </c>
      <c r="L161" s="225">
        <f>'Screener Input'!K69/'Screener Input'!K66</f>
        <v>0.39652328384722751</v>
      </c>
      <c r="M161" s="225"/>
      <c r="N161" s="225"/>
    </row>
    <row r="162" spans="1:14">
      <c r="A162" s="126" t="s">
        <v>363</v>
      </c>
      <c r="B162" s="126"/>
      <c r="C162" s="225">
        <f>('Screener Input'!B66-'Screener Input'!B62-'Screener Input'!B64-'Screener Input'!B68-'Screener Input'!B67-'Screener Input'!B69)/'Screener Input'!B66</f>
        <v>0.18843101011199304</v>
      </c>
      <c r="D162" s="225">
        <f>('Screener Input'!C66-'Screener Input'!C62-'Screener Input'!C64-'Screener Input'!C68-'Screener Input'!C67-'Screener Input'!C69)/'Screener Input'!C66</f>
        <v>0.18843101011199304</v>
      </c>
      <c r="E162" s="225">
        <f>('Screener Input'!D66-'Screener Input'!D62-'Screener Input'!D64-'Screener Input'!D68-'Screener Input'!D67-'Screener Input'!D69)/'Screener Input'!D66</f>
        <v>0.18843101011199304</v>
      </c>
      <c r="F162" s="225">
        <f>('Screener Input'!E66-'Screener Input'!E62-'Screener Input'!E64-'Screener Input'!E68-'Screener Input'!E67-'Screener Input'!E69)/'Screener Input'!E66</f>
        <v>0.18843101011199304</v>
      </c>
      <c r="G162" s="225">
        <f>('Screener Input'!F66-'Screener Input'!F62-'Screener Input'!F64-'Screener Input'!F68-'Screener Input'!F67-'Screener Input'!F69)/'Screener Input'!F66</f>
        <v>0.18843101011199304</v>
      </c>
      <c r="H162" s="225">
        <f>('Screener Input'!G66-'Screener Input'!G62-'Screener Input'!G64-'Screener Input'!G68-'Screener Input'!G67-'Screener Input'!G69)/'Screener Input'!G66</f>
        <v>0.20196117274167988</v>
      </c>
      <c r="I162" s="225">
        <f>('Screener Input'!H66-'Screener Input'!H62-'Screener Input'!H64-'Screener Input'!H68-'Screener Input'!H67-'Screener Input'!H69)/'Screener Input'!H66</f>
        <v>0.18397299478975568</v>
      </c>
      <c r="J162" s="225">
        <f>('Screener Input'!I66-'Screener Input'!I62-'Screener Input'!I64-'Screener Input'!I68-'Screener Input'!I67-'Screener Input'!I69)/'Screener Input'!I66</f>
        <v>0.14813821225453366</v>
      </c>
      <c r="K162" s="225">
        <f>('Screener Input'!J66-'Screener Input'!J62-'Screener Input'!J64-'Screener Input'!J68-'Screener Input'!J67-'Screener Input'!J69)/'Screener Input'!J66</f>
        <v>0.16497639447455853</v>
      </c>
      <c r="L162" s="225">
        <f>('Screener Input'!K66-'Screener Input'!K62-'Screener Input'!K64-'Screener Input'!K68-'Screener Input'!K67-'Screener Input'!K69)/'Screener Input'!K66</f>
        <v>0.19220276614642831</v>
      </c>
      <c r="M162" s="225"/>
      <c r="N162" s="225"/>
    </row>
    <row r="164" spans="1:14">
      <c r="A164" s="231" t="s">
        <v>368</v>
      </c>
      <c r="C164" s="241">
        <f t="shared" ref="C164:L164" si="70">C4</f>
        <v>39508</v>
      </c>
      <c r="D164" s="241">
        <f t="shared" si="70"/>
        <v>39873</v>
      </c>
      <c r="E164" s="241">
        <f t="shared" si="70"/>
        <v>40238</v>
      </c>
      <c r="F164" s="241">
        <f t="shared" si="70"/>
        <v>40603</v>
      </c>
      <c r="G164" s="241">
        <f t="shared" si="70"/>
        <v>40969</v>
      </c>
      <c r="H164" s="241">
        <f t="shared" si="70"/>
        <v>41334</v>
      </c>
      <c r="I164" s="241">
        <f t="shared" si="70"/>
        <v>41699</v>
      </c>
      <c r="J164" s="241">
        <f t="shared" si="70"/>
        <v>42064</v>
      </c>
      <c r="K164" s="241">
        <f t="shared" si="70"/>
        <v>42430</v>
      </c>
      <c r="L164" s="241">
        <f t="shared" si="70"/>
        <v>42795</v>
      </c>
      <c r="M164" s="241"/>
      <c r="N164" s="241"/>
    </row>
    <row r="165" spans="1:14">
      <c r="A165" s="126" t="s">
        <v>369</v>
      </c>
      <c r="C165" s="232">
        <f>SUM('Screener Input'!B57:B58)/'Screener Input'!B61</f>
        <v>0.16614113297814506</v>
      </c>
      <c r="D165" s="232">
        <f>SUM('Screener Input'!C57:C58)/'Screener Input'!C61</f>
        <v>0.16614113297814506</v>
      </c>
      <c r="E165" s="232">
        <f>SUM('Screener Input'!D57:D58)/'Screener Input'!D61</f>
        <v>0.16614113297814506</v>
      </c>
      <c r="F165" s="232">
        <f>SUM('Screener Input'!E57:E58)/'Screener Input'!E61</f>
        <v>0.16614113297814506</v>
      </c>
      <c r="G165" s="232">
        <f>SUM('Screener Input'!F57:F58)/'Screener Input'!F61</f>
        <v>0.16614113297814506</v>
      </c>
      <c r="H165" s="232">
        <f>SUM('Screener Input'!G57:G58)/'Screener Input'!G61</f>
        <v>0.26347068145800318</v>
      </c>
      <c r="I165" s="232">
        <f>SUM('Screener Input'!H57:H58)/'Screener Input'!H61</f>
        <v>0.25530197402216187</v>
      </c>
      <c r="J165" s="232">
        <f>SUM('Screener Input'!I57:I58)/'Screener Input'!I61</f>
        <v>0.25174374932932714</v>
      </c>
      <c r="K165" s="232">
        <f>SUM('Screener Input'!J57:J58)/'Screener Input'!J61</f>
        <v>0.28986710963455153</v>
      </c>
      <c r="L165" s="232">
        <f>SUM('Screener Input'!K57:K58)/'Screener Input'!K61</f>
        <v>0.34139068646110898</v>
      </c>
      <c r="M165" s="232"/>
      <c r="N165" s="232"/>
    </row>
    <row r="166" spans="1:14">
      <c r="A166" s="126" t="s">
        <v>363</v>
      </c>
      <c r="C166" s="233">
        <f>1-C165</f>
        <v>0.83385886702185497</v>
      </c>
      <c r="D166" s="233">
        <f t="shared" ref="D166:L166" si="71">1-D165</f>
        <v>0.83385886702185497</v>
      </c>
      <c r="E166" s="233">
        <f t="shared" si="71"/>
        <v>0.83385886702185497</v>
      </c>
      <c r="F166" s="233">
        <f t="shared" si="71"/>
        <v>0.83385886702185497</v>
      </c>
      <c r="G166" s="233">
        <f t="shared" si="71"/>
        <v>0.83385886702185497</v>
      </c>
      <c r="H166" s="233">
        <f t="shared" si="71"/>
        <v>0.73652931854199677</v>
      </c>
      <c r="I166" s="233">
        <f t="shared" si="71"/>
        <v>0.74469802597783818</v>
      </c>
      <c r="J166" s="233">
        <f t="shared" si="71"/>
        <v>0.74825625067067292</v>
      </c>
      <c r="K166" s="233">
        <f t="shared" si="71"/>
        <v>0.71013289036544847</v>
      </c>
      <c r="L166" s="233">
        <f t="shared" si="71"/>
        <v>0.65860931353889107</v>
      </c>
      <c r="M166" s="233"/>
      <c r="N166" s="233"/>
    </row>
    <row r="170" spans="1:14">
      <c r="A170" s="231" t="s">
        <v>374</v>
      </c>
      <c r="C170" s="241">
        <f t="shared" ref="C170:L170" si="72">C4</f>
        <v>39508</v>
      </c>
      <c r="D170" s="241">
        <f t="shared" si="72"/>
        <v>39873</v>
      </c>
      <c r="E170" s="241">
        <f t="shared" si="72"/>
        <v>40238</v>
      </c>
      <c r="F170" s="241">
        <f t="shared" si="72"/>
        <v>40603</v>
      </c>
      <c r="G170" s="241">
        <f t="shared" si="72"/>
        <v>40969</v>
      </c>
      <c r="H170" s="241">
        <f t="shared" si="72"/>
        <v>41334</v>
      </c>
      <c r="I170" s="241">
        <f t="shared" si="72"/>
        <v>41699</v>
      </c>
      <c r="J170" s="241">
        <f t="shared" si="72"/>
        <v>42064</v>
      </c>
      <c r="K170" s="241">
        <f t="shared" si="72"/>
        <v>42430</v>
      </c>
      <c r="L170" s="241">
        <f t="shared" si="72"/>
        <v>42795</v>
      </c>
      <c r="M170" s="241"/>
      <c r="N170" s="241"/>
    </row>
    <row r="171" spans="1:14">
      <c r="A171" s="126" t="s">
        <v>364</v>
      </c>
      <c r="B171" s="126"/>
      <c r="C171" s="225">
        <f>IF(('Screener Input'!B18-'Screener Input'!B19)/('Screener Input'!B$17+'Screener Input'!B$25)&lt;0, 0, ('Screener Input'!B18-'Screener Input'!B19)/('Screener Input'!B$17+'Screener Input'!B$25))</f>
        <v>0.36224828501880946</v>
      </c>
      <c r="D171" s="225">
        <f>IF(('Screener Input'!C18-'Screener Input'!C19)/('Screener Input'!C$17+'Screener Input'!C$25)&lt;0, 0, ('Screener Input'!C18-'Screener Input'!C19)/('Screener Input'!C$17+'Screener Input'!C$25))</f>
        <v>0.36224828501880946</v>
      </c>
      <c r="E171" s="225">
        <f>IF(('Screener Input'!D18-'Screener Input'!D19)/('Screener Input'!D$17+'Screener Input'!D$25)&lt;0, 0, ('Screener Input'!D18-'Screener Input'!D19)/('Screener Input'!D$17+'Screener Input'!D$25))</f>
        <v>0.36224828501880946</v>
      </c>
      <c r="F171" s="225">
        <f>IF(('Screener Input'!E18-'Screener Input'!E19)/('Screener Input'!E$17+'Screener Input'!E$25)&lt;0, 0, ('Screener Input'!E18-'Screener Input'!E19)/('Screener Input'!E$17+'Screener Input'!E$25))</f>
        <v>0.36224828501880946</v>
      </c>
      <c r="G171" s="225">
        <f>IF(('Screener Input'!F18-'Screener Input'!F19)/('Screener Input'!F$17+'Screener Input'!F$25)&lt;0, 0, ('Screener Input'!F18-'Screener Input'!F19)/('Screener Input'!F$17+'Screener Input'!F$25))</f>
        <v>0.36224828501880946</v>
      </c>
      <c r="H171" s="225">
        <f>IF(('Screener Input'!G18-'Screener Input'!G19)/('Screener Input'!G$17+'Screener Input'!G$25)&lt;0, 0, ('Screener Input'!G18-'Screener Input'!G19)/('Screener Input'!G$17+'Screener Input'!G$25))</f>
        <v>0.37539275040232967</v>
      </c>
      <c r="I171" s="225">
        <f>IF(('Screener Input'!H18-'Screener Input'!H19)/('Screener Input'!H$17+'Screener Input'!H$25)&lt;0, 0, ('Screener Input'!H18-'Screener Input'!H19)/('Screener Input'!H$17+'Screener Input'!H$25))</f>
        <v>0.37116521577207762</v>
      </c>
      <c r="J171" s="225">
        <f>IF(('Screener Input'!I18-'Screener Input'!I19)/('Screener Input'!I$17+'Screener Input'!I$25)&lt;0, 0, ('Screener Input'!I18-'Screener Input'!I19)/('Screener Input'!I$17+'Screener Input'!I$25))</f>
        <v>0.45864399693401164</v>
      </c>
      <c r="K171" s="225">
        <f>IF(('Screener Input'!J18-'Screener Input'!J19)/('Screener Input'!J$17+'Screener Input'!J$25)&lt;0, 0, ('Screener Input'!J18-'Screener Input'!J19)/('Screener Input'!J$17+'Screener Input'!J$25))</f>
        <v>0.40617191671115854</v>
      </c>
      <c r="L171" s="225">
        <f>IF(('Screener Input'!K18-'Screener Input'!K19)/('Screener Input'!K$17+'Screener Input'!K$25)&lt;0, 0, ('Screener Input'!K18-'Screener Input'!K19)/('Screener Input'!K$17+'Screener Input'!K$25))</f>
        <v>0.31435404386897287</v>
      </c>
      <c r="M171" s="225"/>
      <c r="N171" s="225"/>
    </row>
    <row r="172" spans="1:14">
      <c r="A172" s="159" t="s">
        <v>284</v>
      </c>
      <c r="B172" s="126"/>
      <c r="C172" s="225">
        <f>IF(('Screener Input'!B20)/('Screener Input'!B$17+'Screener Input'!B$25)&lt;0, 0, ('Screener Input'!B20)/('Screener Input'!B$17+'Screener Input'!B$25))</f>
        <v>5.2555875193626899E-3</v>
      </c>
      <c r="D172" s="225">
        <f>IF(('Screener Input'!C20)/('Screener Input'!C$17+'Screener Input'!C$25)&lt;0, 0, ('Screener Input'!C20)/('Screener Input'!C$17+'Screener Input'!C$25))</f>
        <v>5.2555875193626899E-3</v>
      </c>
      <c r="E172" s="225">
        <f>IF(('Screener Input'!D20)/('Screener Input'!D$17+'Screener Input'!D$25)&lt;0, 0, ('Screener Input'!D20)/('Screener Input'!D$17+'Screener Input'!D$25))</f>
        <v>5.2555875193626899E-3</v>
      </c>
      <c r="F172" s="225">
        <f>IF(('Screener Input'!E20)/('Screener Input'!E$17+'Screener Input'!E$25)&lt;0, 0, ('Screener Input'!E20)/('Screener Input'!E$17+'Screener Input'!E$25))</f>
        <v>5.2555875193626899E-3</v>
      </c>
      <c r="G172" s="225">
        <f>IF(('Screener Input'!F20)/('Screener Input'!F$17+'Screener Input'!F$25)&lt;0, 0, ('Screener Input'!F20)/('Screener Input'!F$17+'Screener Input'!F$25))</f>
        <v>5.2555875193626899E-3</v>
      </c>
      <c r="H172" s="225">
        <f>IF(('Screener Input'!G20)/('Screener Input'!G$17+'Screener Input'!G$25)&lt;0, 0, ('Screener Input'!G20)/('Screener Input'!G$17+'Screener Input'!G$25))</f>
        <v>3.8700283546631922E-3</v>
      </c>
      <c r="I172" s="225">
        <f>IF(('Screener Input'!H20)/('Screener Input'!H$17+'Screener Input'!H$25)&lt;0, 0, ('Screener Input'!H20)/('Screener Input'!H$17+'Screener Input'!H$25))</f>
        <v>7.2622317396769239E-3</v>
      </c>
      <c r="J172" s="225">
        <f>IF(('Screener Input'!I20)/('Screener Input'!I$17+'Screener Input'!I$25)&lt;0, 0, ('Screener Input'!I20)/('Screener Input'!I$17+'Screener Input'!I$25))</f>
        <v>8.0133788586161242E-3</v>
      </c>
      <c r="K172" s="225">
        <f>IF(('Screener Input'!J20)/('Screener Input'!J$17+'Screener Input'!J$25)&lt;0, 0, ('Screener Input'!J20)/('Screener Input'!J$17+'Screener Input'!J$25))</f>
        <v>2.3705285638013882E-3</v>
      </c>
      <c r="L172" s="225">
        <f>IF(('Screener Input'!K20)/('Screener Input'!K$17+'Screener Input'!K$25)&lt;0, 0, ('Screener Input'!K20)/('Screener Input'!K$17+'Screener Input'!K$25))</f>
        <v>5.1695816020871591E-3</v>
      </c>
      <c r="M172" s="225"/>
      <c r="N172" s="225"/>
    </row>
    <row r="173" spans="1:14">
      <c r="A173" s="159" t="s">
        <v>285</v>
      </c>
      <c r="B173" s="126"/>
      <c r="C173" s="225">
        <f>IF(('Screener Input'!B21)/('Screener Input'!B$17+'Screener Input'!B$25)&lt;0, 0, ('Screener Input'!B21)/('Screener Input'!B$17+'Screener Input'!B$25))</f>
        <v>0.46846647488382387</v>
      </c>
      <c r="D173" s="225">
        <f>IF(('Screener Input'!C21)/('Screener Input'!C$17+'Screener Input'!C$25)&lt;0, 0, ('Screener Input'!C21)/('Screener Input'!C$17+'Screener Input'!C$25))</f>
        <v>0.46846647488382387</v>
      </c>
      <c r="E173" s="225">
        <f>IF(('Screener Input'!D21)/('Screener Input'!D$17+'Screener Input'!D$25)&lt;0, 0, ('Screener Input'!D21)/('Screener Input'!D$17+'Screener Input'!D$25))</f>
        <v>0.46846647488382387</v>
      </c>
      <c r="F173" s="225">
        <f>IF(('Screener Input'!E21)/('Screener Input'!E$17+'Screener Input'!E$25)&lt;0, 0, ('Screener Input'!E21)/('Screener Input'!E$17+'Screener Input'!E$25))</f>
        <v>0.46846647488382387</v>
      </c>
      <c r="G173" s="225">
        <f>IF(('Screener Input'!F21)/('Screener Input'!F$17+'Screener Input'!F$25)&lt;0, 0, ('Screener Input'!F21)/('Screener Input'!F$17+'Screener Input'!F$25))</f>
        <v>0.46846647488382387</v>
      </c>
      <c r="H173" s="225">
        <f>IF(('Screener Input'!G21)/('Screener Input'!G$17+'Screener Input'!G$25)&lt;0, 0, ('Screener Input'!G21)/('Screener Input'!G$17+'Screener Input'!G$25))</f>
        <v>0.46003525174342857</v>
      </c>
      <c r="I173" s="225">
        <f>IF(('Screener Input'!H21)/('Screener Input'!H$17+'Screener Input'!H$25)&lt;0, 0, ('Screener Input'!H21)/('Screener Input'!H$17+'Screener Input'!H$25))</f>
        <v>0.44644104091988268</v>
      </c>
      <c r="J173" s="225">
        <f>IF(('Screener Input'!I21)/('Screener Input'!I$17+'Screener Input'!I$25)&lt;0, 0, ('Screener Input'!I21)/('Screener Input'!I$17+'Screener Input'!I$25))</f>
        <v>0.33112675074907677</v>
      </c>
      <c r="K173" s="225">
        <f>IF(('Screener Input'!J21)/('Screener Input'!J$17+'Screener Input'!J$25)&lt;0, 0, ('Screener Input'!J21)/('Screener Input'!J$17+'Screener Input'!J$25))</f>
        <v>1.3411639081687134E-2</v>
      </c>
      <c r="L173" s="225">
        <f>IF(('Screener Input'!K21)/('Screener Input'!K$17+'Screener Input'!K$25)&lt;0, 0, ('Screener Input'!K21)/('Screener Input'!K$17+'Screener Input'!K$25))</f>
        <v>1.7586240216446034E-2</v>
      </c>
      <c r="M173" s="225"/>
      <c r="N173" s="225"/>
    </row>
    <row r="174" spans="1:14">
      <c r="A174" s="159" t="s">
        <v>16</v>
      </c>
      <c r="B174" s="126"/>
      <c r="C174" s="225">
        <f>IF(('Screener Input'!B22)/('Screener Input'!B$17+'Screener Input'!B$25)&lt;0, 0, ('Screener Input'!B22)/('Screener Input'!B$17+'Screener Input'!B$25))</f>
        <v>2.8048240761230359E-2</v>
      </c>
      <c r="D174" s="225">
        <f>IF(('Screener Input'!C22)/('Screener Input'!C$17+'Screener Input'!C$25)&lt;0, 0, ('Screener Input'!C22)/('Screener Input'!C$17+'Screener Input'!C$25))</f>
        <v>2.8048240761230359E-2</v>
      </c>
      <c r="E174" s="225">
        <f>IF(('Screener Input'!D22)/('Screener Input'!D$17+'Screener Input'!D$25)&lt;0, 0, ('Screener Input'!D22)/('Screener Input'!D$17+'Screener Input'!D$25))</f>
        <v>2.8048240761230359E-2</v>
      </c>
      <c r="F174" s="225">
        <f>IF(('Screener Input'!E22)/('Screener Input'!E$17+'Screener Input'!E$25)&lt;0, 0, ('Screener Input'!E22)/('Screener Input'!E$17+'Screener Input'!E$25))</f>
        <v>2.8048240761230359E-2</v>
      </c>
      <c r="G174" s="225">
        <f>IF(('Screener Input'!F22)/('Screener Input'!F$17+'Screener Input'!F$25)&lt;0, 0, ('Screener Input'!F22)/('Screener Input'!F$17+'Screener Input'!F$25))</f>
        <v>2.8048240761230359E-2</v>
      </c>
      <c r="H174" s="225">
        <f>IF(('Screener Input'!G22)/('Screener Input'!G$17+'Screener Input'!G$25)&lt;0, 0, ('Screener Input'!G22)/('Screener Input'!G$17+'Screener Input'!G$25))</f>
        <v>2.3526707027358415E-2</v>
      </c>
      <c r="I174" s="225">
        <f>IF(('Screener Input'!H22)/('Screener Input'!H$17+'Screener Input'!H$25)&lt;0, 0, ('Screener Input'!H22)/('Screener Input'!H$17+'Screener Input'!H$25))</f>
        <v>3.2354173455611937E-2</v>
      </c>
      <c r="J174" s="225">
        <f>IF(('Screener Input'!I22)/('Screener Input'!I$17+'Screener Input'!I$25)&lt;0, 0, ('Screener Input'!I22)/('Screener Input'!I$17+'Screener Input'!I$25))</f>
        <v>2.8151348338094909E-2</v>
      </c>
      <c r="K174" s="225">
        <f>IF(('Screener Input'!J22)/('Screener Input'!J$17+'Screener Input'!J$25)&lt;0, 0, ('Screener Input'!J22)/('Screener Input'!J$17+'Screener Input'!J$25))</f>
        <v>0.28241324079017621</v>
      </c>
      <c r="L174" s="225">
        <f>IF(('Screener Input'!K22)/('Screener Input'!K$17+'Screener Input'!K$25)&lt;0, 0, ('Screener Input'!K22)/('Screener Input'!K$17+'Screener Input'!K$25))</f>
        <v>0.27355300028988311</v>
      </c>
      <c r="M174" s="225"/>
      <c r="N174" s="225"/>
    </row>
    <row r="175" spans="1:14">
      <c r="A175" s="159" t="s">
        <v>286</v>
      </c>
      <c r="B175" s="126"/>
      <c r="C175" s="225">
        <f>IF(('Screener Input'!B23)/('Screener Input'!B$17+'Screener Input'!B$25)&lt;0, 0, ('Screener Input'!B23)/('Screener Input'!B$17+'Screener Input'!B$25))</f>
        <v>3.5572029210002208E-2</v>
      </c>
      <c r="D175" s="225">
        <f>IF(('Screener Input'!C23)/('Screener Input'!C$17+'Screener Input'!C$25)&lt;0, 0, ('Screener Input'!C23)/('Screener Input'!C$17+'Screener Input'!C$25))</f>
        <v>3.5572029210002208E-2</v>
      </c>
      <c r="E175" s="225">
        <f>IF(('Screener Input'!D23)/('Screener Input'!D$17+'Screener Input'!D$25)&lt;0, 0, ('Screener Input'!D23)/('Screener Input'!D$17+'Screener Input'!D$25))</f>
        <v>3.5572029210002208E-2</v>
      </c>
      <c r="F175" s="225">
        <f>IF(('Screener Input'!E23)/('Screener Input'!E$17+'Screener Input'!E$25)&lt;0, 0, ('Screener Input'!E23)/('Screener Input'!E$17+'Screener Input'!E$25))</f>
        <v>3.5572029210002208E-2</v>
      </c>
      <c r="G175" s="225">
        <f>IF(('Screener Input'!F23)/('Screener Input'!F$17+'Screener Input'!F$25)&lt;0, 0, ('Screener Input'!F23)/('Screener Input'!F$17+'Screener Input'!F$25))</f>
        <v>3.5572029210002208E-2</v>
      </c>
      <c r="H175" s="225">
        <f>IF(('Screener Input'!G23)/('Screener Input'!G$17+'Screener Input'!G$25)&lt;0, 0, ('Screener Input'!G23)/('Screener Input'!G$17+'Screener Input'!G$25))</f>
        <v>3.7014330600045976E-2</v>
      </c>
      <c r="I175" s="225">
        <f>IF(('Screener Input'!H23)/('Screener Input'!H$17+'Screener Input'!H$25)&lt;0, 0, ('Screener Input'!H23)/('Screener Input'!H$17+'Screener Input'!H$25))</f>
        <v>3.9662957962850888E-2</v>
      </c>
      <c r="J175" s="225">
        <f>IF(('Screener Input'!I23)/('Screener Input'!I$17+'Screener Input'!I$25)&lt;0, 0, ('Screener Input'!I23)/('Screener Input'!I$17+'Screener Input'!I$25))</f>
        <v>7.2329454393422074E-2</v>
      </c>
      <c r="K175" s="225">
        <f>IF(('Screener Input'!J23)/('Screener Input'!J$17+'Screener Input'!J$25)&lt;0, 0, ('Screener Input'!J23)/('Screener Input'!J$17+'Screener Input'!J$25))</f>
        <v>4.2733582487987191E-2</v>
      </c>
      <c r="L175" s="225">
        <f>IF(('Screener Input'!K23)/('Screener Input'!K$17+'Screener Input'!K$25)&lt;0, 0, ('Screener Input'!K23)/('Screener Input'!K$17+'Screener Input'!K$25))</f>
        <v>5.887042226302059E-2</v>
      </c>
      <c r="M175" s="225"/>
      <c r="N175" s="225"/>
    </row>
    <row r="176" spans="1:14">
      <c r="A176" s="159" t="s">
        <v>287</v>
      </c>
      <c r="B176" s="126"/>
      <c r="C176" s="225">
        <f>IF(('Screener Input'!B24)/('Screener Input'!B$17+'Screener Input'!B$25)&lt;0, 0, ('Screener Input'!B24)/('Screener Input'!B$17+'Screener Input'!B$25))</f>
        <v>3.4299623810577556E-3</v>
      </c>
      <c r="D176" s="225">
        <f>IF(('Screener Input'!C24)/('Screener Input'!C$17+'Screener Input'!C$25)&lt;0, 0, ('Screener Input'!C24)/('Screener Input'!C$17+'Screener Input'!C$25))</f>
        <v>3.4299623810577556E-3</v>
      </c>
      <c r="E176" s="225">
        <f>IF(('Screener Input'!D24)/('Screener Input'!D$17+'Screener Input'!D$25)&lt;0, 0, ('Screener Input'!D24)/('Screener Input'!D$17+'Screener Input'!D$25))</f>
        <v>3.4299623810577556E-3</v>
      </c>
      <c r="F176" s="225">
        <f>IF(('Screener Input'!E24)/('Screener Input'!E$17+'Screener Input'!E$25)&lt;0, 0, ('Screener Input'!E24)/('Screener Input'!E$17+'Screener Input'!E$25))</f>
        <v>3.4299623810577556E-3</v>
      </c>
      <c r="G176" s="225">
        <f>IF(('Screener Input'!F24)/('Screener Input'!F$17+'Screener Input'!F$25)&lt;0, 0, ('Screener Input'!F24)/('Screener Input'!F$17+'Screener Input'!F$25))</f>
        <v>3.4299623810577556E-3</v>
      </c>
      <c r="H176" s="225">
        <f>IF(('Screener Input'!G24)/('Screener Input'!G$17+'Screener Input'!G$25)&lt;0, 0, ('Screener Input'!G24)/('Screener Input'!G$17+'Screener Input'!G$25))</f>
        <v>1.7242700590083531E-3</v>
      </c>
      <c r="I176" s="225">
        <f>IF(('Screener Input'!H24)/('Screener Input'!H$17+'Screener Input'!H$25)&lt;0, 0, ('Screener Input'!H24)/('Screener Input'!H$17+'Screener Input'!H$25))</f>
        <v>4.7949350588892513E-3</v>
      </c>
      <c r="J176" s="225">
        <f>IF(('Screener Input'!I24)/('Screener Input'!I$17+'Screener Input'!I$25)&lt;0, 0, ('Screener Input'!I24)/('Screener Input'!I$17+'Screener Input'!I$25))</f>
        <v>9.7554177409239795E-4</v>
      </c>
      <c r="K176" s="225">
        <f>IF(('Screener Input'!J24)/('Screener Input'!J$17+'Screener Input'!J$25)&lt;0, 0, ('Screener Input'!J24)/('Screener Input'!J$17+'Screener Input'!J$25))</f>
        <v>0.14712226374799786</v>
      </c>
      <c r="L176" s="225">
        <f>IF(('Screener Input'!K24)/('Screener Input'!K$17+'Screener Input'!K$25)&lt;0, 0, ('Screener Input'!K24)/('Screener Input'!K$17+'Screener Input'!K$25))</f>
        <v>0.13950623248623056</v>
      </c>
      <c r="M176" s="225"/>
      <c r="N176" s="225"/>
    </row>
    <row r="177" spans="1:14">
      <c r="A177" s="163" t="s">
        <v>18</v>
      </c>
      <c r="B177" s="126"/>
      <c r="C177" s="225">
        <f>IF(('Screener Input'!B26)/('Screener Input'!B$17+'Screener Input'!B$25)&lt;0, 0, ('Screener Input'!B26)/('Screener Input'!B$17+'Screener Input'!B$25))</f>
        <v>1.5711440584200043E-2</v>
      </c>
      <c r="D177" s="225">
        <f>IF(('Screener Input'!C26)/('Screener Input'!C$17+'Screener Input'!C$25)&lt;0, 0, ('Screener Input'!C26)/('Screener Input'!C$17+'Screener Input'!C$25))</f>
        <v>1.5711440584200043E-2</v>
      </c>
      <c r="E177" s="225">
        <f>IF(('Screener Input'!D26)/('Screener Input'!D$17+'Screener Input'!D$25)&lt;0, 0, ('Screener Input'!D26)/('Screener Input'!D$17+'Screener Input'!D$25))</f>
        <v>1.5711440584200043E-2</v>
      </c>
      <c r="F177" s="225">
        <f>IF(('Screener Input'!E26)/('Screener Input'!E$17+'Screener Input'!E$25)&lt;0, 0, ('Screener Input'!E26)/('Screener Input'!E$17+'Screener Input'!E$25))</f>
        <v>1.5711440584200043E-2</v>
      </c>
      <c r="G177" s="225">
        <f>IF(('Screener Input'!F26)/('Screener Input'!F$17+'Screener Input'!F$25)&lt;0, 0, ('Screener Input'!F26)/('Screener Input'!F$17+'Screener Input'!F$25))</f>
        <v>1.5711440584200043E-2</v>
      </c>
      <c r="H177" s="225">
        <f>IF(('Screener Input'!G26)/('Screener Input'!G$17+'Screener Input'!G$25)&lt;0, 0, ('Screener Input'!G26)/('Screener Input'!G$17+'Screener Input'!G$25))</f>
        <v>1.4292282933558127E-2</v>
      </c>
      <c r="I177" s="225">
        <f>IF(('Screener Input'!H26)/('Screener Input'!H$17+'Screener Input'!H$25)&lt;0, 0, ('Screener Input'!H26)/('Screener Input'!H$17+'Screener Input'!H$25))</f>
        <v>1.7038312927703553E-2</v>
      </c>
      <c r="J177" s="225">
        <f>IF(('Screener Input'!I26)/('Screener Input'!I$17+'Screener Input'!I$25)&lt;0, 0, ('Screener Input'!I26)/('Screener Input'!I$17+'Screener Input'!I$25))</f>
        <v>1.8012682043063201E-2</v>
      </c>
      <c r="K177" s="225">
        <f>IF(('Screener Input'!J26)/('Screener Input'!J$17+'Screener Input'!J$25)&lt;0, 0, ('Screener Input'!J26)/('Screener Input'!J$17+'Screener Input'!J$25))</f>
        <v>1.5077415910304324E-2</v>
      </c>
      <c r="L177" s="225">
        <f>IF(('Screener Input'!K26)/('Screener Input'!K$17+'Screener Input'!K$25)&lt;0, 0, ('Screener Input'!K26)/('Screener Input'!K$17+'Screener Input'!K$25))</f>
        <v>1.8286790994298967E-2</v>
      </c>
      <c r="M177" s="225"/>
      <c r="N177" s="225"/>
    </row>
    <row r="178" spans="1:14">
      <c r="A178" s="163" t="s">
        <v>17</v>
      </c>
      <c r="B178" s="126"/>
      <c r="C178" s="225">
        <f>IF(('Screener Input'!B27)/('Screener Input'!B$17+'Screener Input'!B$25)&lt;0, 0, ('Screener Input'!B27)/('Screener Input'!B$17+'Screener Input'!B$25))</f>
        <v>1.2613410046470456E-2</v>
      </c>
      <c r="D178" s="225">
        <f>IF(('Screener Input'!C27)/('Screener Input'!C$17+'Screener Input'!C$25)&lt;0, 0, ('Screener Input'!C27)/('Screener Input'!C$17+'Screener Input'!C$25))</f>
        <v>1.2613410046470456E-2</v>
      </c>
      <c r="E178" s="225">
        <f>IF(('Screener Input'!D27)/('Screener Input'!D$17+'Screener Input'!D$25)&lt;0, 0, ('Screener Input'!D27)/('Screener Input'!D$17+'Screener Input'!D$25))</f>
        <v>1.2613410046470456E-2</v>
      </c>
      <c r="F178" s="225">
        <f>IF(('Screener Input'!E27)/('Screener Input'!E$17+'Screener Input'!E$25)&lt;0, 0, ('Screener Input'!E27)/('Screener Input'!E$17+'Screener Input'!E$25))</f>
        <v>1.2613410046470456E-2</v>
      </c>
      <c r="G178" s="225">
        <f>IF(('Screener Input'!F27)/('Screener Input'!F$17+'Screener Input'!F$25)&lt;0, 0, ('Screener Input'!F27)/('Screener Input'!F$17+'Screener Input'!F$25))</f>
        <v>1.2613410046470456E-2</v>
      </c>
      <c r="H178" s="225">
        <f>IF(('Screener Input'!G27)/('Screener Input'!G$17+'Screener Input'!G$25)&lt;0, 0, ('Screener Input'!G27)/('Screener Input'!G$17+'Screener Input'!G$25))</f>
        <v>1.4483868495670165E-2</v>
      </c>
      <c r="I178" s="225">
        <f>IF(('Screener Input'!H27)/('Screener Input'!H$17+'Screener Input'!H$25)&lt;0, 0, ('Screener Input'!H27)/('Screener Input'!H$17+'Screener Input'!H$25))</f>
        <v>9.5433173502164695E-3</v>
      </c>
      <c r="J178" s="225">
        <f>IF(('Screener Input'!I27)/('Screener Input'!I$17+'Screener Input'!I$25)&lt;0, 0, ('Screener Input'!I27)/('Screener Input'!I$17+'Screener Input'!I$25))</f>
        <v>8.6753536338931101E-3</v>
      </c>
      <c r="K178" s="225">
        <f>IF(('Screener Input'!J27)/('Screener Input'!J$17+'Screener Input'!J$25)&lt;0, 0, ('Screener Input'!J27)/('Screener Input'!J$17+'Screener Input'!J$25))</f>
        <v>6.5563267485317673E-3</v>
      </c>
      <c r="L178" s="225">
        <f>IF(('Screener Input'!K27)/('Screener Input'!K$17+'Screener Input'!K$25)&lt;0, 0, ('Screener Input'!K27)/('Screener Input'!K$17+'Screener Input'!K$25))</f>
        <v>1.8190163300802011E-2</v>
      </c>
      <c r="M178" s="225"/>
      <c r="N178" s="225"/>
    </row>
    <row r="179" spans="1:14">
      <c r="A179" s="163" t="s">
        <v>19</v>
      </c>
      <c r="B179" s="126"/>
      <c r="C179" s="225">
        <f>IF(('Screener Input'!B29)/('Screener Input'!B$17+'Screener Input'!B$25)&lt;0, 0, ('Screener Input'!B29)/('Screener Input'!B$17+'Screener Input'!B$25))</f>
        <v>2.2460721398539496E-2</v>
      </c>
      <c r="D179" s="225">
        <f>IF(('Screener Input'!C29)/('Screener Input'!C$17+'Screener Input'!C$25)&lt;0, 0, ('Screener Input'!C29)/('Screener Input'!C$17+'Screener Input'!C$25))</f>
        <v>2.2460721398539496E-2</v>
      </c>
      <c r="E179" s="225">
        <f>IF(('Screener Input'!D29)/('Screener Input'!D$17+'Screener Input'!D$25)&lt;0, 0, ('Screener Input'!D29)/('Screener Input'!D$17+'Screener Input'!D$25))</f>
        <v>2.2460721398539496E-2</v>
      </c>
      <c r="F179" s="225">
        <f>IF(('Screener Input'!E29)/('Screener Input'!E$17+'Screener Input'!E$25)&lt;0, 0, ('Screener Input'!E29)/('Screener Input'!E$17+'Screener Input'!E$25))</f>
        <v>2.2460721398539496E-2</v>
      </c>
      <c r="G179" s="225">
        <f>IF(('Screener Input'!F29)/('Screener Input'!F$17+'Screener Input'!F$25)&lt;0, 0, ('Screener Input'!F29)/('Screener Input'!F$17+'Screener Input'!F$25))</f>
        <v>2.2460721398539496E-2</v>
      </c>
      <c r="H179" s="225">
        <f>IF(('Screener Input'!G29)/('Screener Input'!G$17+'Screener Input'!G$25)&lt;0, 0, ('Screener Input'!G29)/('Screener Input'!G$17+'Screener Input'!G$25))</f>
        <v>2.2760364778910261E-2</v>
      </c>
      <c r="I179" s="225">
        <f>IF(('Screener Input'!H29)/('Screener Input'!H$17+'Screener Input'!H$25)&lt;0, 0, ('Screener Input'!H29)/('Screener Input'!H$17+'Screener Input'!H$25))</f>
        <v>2.4859177878124854E-2</v>
      </c>
      <c r="J179" s="225">
        <f>IF(('Screener Input'!I29)/('Screener Input'!I$17+'Screener Input'!I$25)&lt;0, 0, ('Screener Input'!I29)/('Screener Input'!I$17+'Screener Input'!I$25))</f>
        <v>2.5085359905233088E-2</v>
      </c>
      <c r="K179" s="225">
        <f>IF(('Screener Input'!J29)/('Screener Input'!J$17+'Screener Input'!J$25)&lt;0, 0, ('Screener Input'!J29)/('Screener Input'!J$17+'Screener Input'!J$25))</f>
        <v>3.0475173518419645E-2</v>
      </c>
      <c r="L179" s="225">
        <f>IF(('Screener Input'!K29)/('Screener Input'!K$17+'Screener Input'!K$25)&lt;0, 0, ('Screener Input'!K29)/('Screener Input'!K$17+'Screener Input'!K$25))</f>
        <v>5.4667117595902988E-2</v>
      </c>
      <c r="M179" s="225"/>
      <c r="N179" s="225"/>
    </row>
    <row r="180" spans="1:14">
      <c r="A180" s="163" t="s">
        <v>288</v>
      </c>
      <c r="B180" s="126"/>
      <c r="C180" s="255">
        <f>1-SUM(C171:C179)</f>
        <v>4.619384819650374E-2</v>
      </c>
      <c r="D180" s="255">
        <f t="shared" ref="D180:L180" si="73">1-SUM(D171:D179)</f>
        <v>4.619384819650374E-2</v>
      </c>
      <c r="E180" s="255">
        <f t="shared" si="73"/>
        <v>4.619384819650374E-2</v>
      </c>
      <c r="F180" s="255">
        <f t="shared" si="73"/>
        <v>4.619384819650374E-2</v>
      </c>
      <c r="G180" s="255">
        <f t="shared" si="73"/>
        <v>4.619384819650374E-2</v>
      </c>
      <c r="H180" s="255">
        <f t="shared" si="73"/>
        <v>4.690014560502731E-2</v>
      </c>
      <c r="I180" s="255">
        <f t="shared" si="73"/>
        <v>4.6878636934965634E-2</v>
      </c>
      <c r="J180" s="255">
        <f t="shared" si="73"/>
        <v>4.8986133370496621E-2</v>
      </c>
      <c r="K180" s="255">
        <f t="shared" si="73"/>
        <v>5.3667912439935961E-2</v>
      </c>
      <c r="L180" s="255">
        <f t="shared" si="73"/>
        <v>9.9816407382355643E-2</v>
      </c>
      <c r="M180" s="255"/>
      <c r="N180" s="255"/>
    </row>
    <row r="181" spans="1:14">
      <c r="A181" s="159"/>
      <c r="B181" s="126"/>
      <c r="C181" s="225">
        <f>SUM(C171:C180)</f>
        <v>1</v>
      </c>
      <c r="D181" s="225">
        <f t="shared" ref="D181:L181" si="74">SUM(D171:D180)</f>
        <v>1</v>
      </c>
      <c r="E181" s="225">
        <f t="shared" si="74"/>
        <v>1</v>
      </c>
      <c r="F181" s="225">
        <f t="shared" si="74"/>
        <v>1</v>
      </c>
      <c r="G181" s="225">
        <f t="shared" si="74"/>
        <v>1</v>
      </c>
      <c r="H181" s="225">
        <f t="shared" si="74"/>
        <v>1</v>
      </c>
      <c r="I181" s="225">
        <f t="shared" si="74"/>
        <v>1</v>
      </c>
      <c r="J181" s="225">
        <f t="shared" si="74"/>
        <v>1</v>
      </c>
      <c r="K181" s="225">
        <f t="shared" si="74"/>
        <v>1</v>
      </c>
      <c r="L181" s="225">
        <f t="shared" si="74"/>
        <v>1</v>
      </c>
      <c r="M181" s="225"/>
      <c r="N181" s="225"/>
    </row>
    <row r="182" spans="1:14">
      <c r="A182" s="159"/>
      <c r="B182" s="126"/>
      <c r="C182" s="225"/>
      <c r="D182" s="225"/>
      <c r="E182" s="225"/>
      <c r="F182" s="225"/>
      <c r="G182" s="225"/>
      <c r="H182" s="225"/>
      <c r="I182" s="225"/>
      <c r="J182" s="225"/>
      <c r="K182" s="225"/>
      <c r="L182" s="225"/>
      <c r="M182" s="225"/>
      <c r="N182" s="225"/>
    </row>
    <row r="183" spans="1:14">
      <c r="A183" s="231" t="s">
        <v>380</v>
      </c>
      <c r="B183" s="126"/>
      <c r="C183" s="248">
        <f t="shared" ref="C183:L183" si="75">C4</f>
        <v>39508</v>
      </c>
      <c r="D183" s="248">
        <f t="shared" si="75"/>
        <v>39873</v>
      </c>
      <c r="E183" s="248">
        <f t="shared" si="75"/>
        <v>40238</v>
      </c>
      <c r="F183" s="248">
        <f t="shared" si="75"/>
        <v>40603</v>
      </c>
      <c r="G183" s="248">
        <f t="shared" si="75"/>
        <v>40969</v>
      </c>
      <c r="H183" s="248">
        <f t="shared" si="75"/>
        <v>41334</v>
      </c>
      <c r="I183" s="248">
        <f t="shared" si="75"/>
        <v>41699</v>
      </c>
      <c r="J183" s="248">
        <f t="shared" si="75"/>
        <v>42064</v>
      </c>
      <c r="K183" s="248">
        <f t="shared" si="75"/>
        <v>42430</v>
      </c>
      <c r="L183" s="248">
        <f t="shared" si="75"/>
        <v>42795</v>
      </c>
      <c r="M183" s="248"/>
      <c r="N183" s="248"/>
    </row>
    <row r="184" spans="1:14">
      <c r="A184" s="244" t="s">
        <v>226</v>
      </c>
      <c r="B184" s="126"/>
      <c r="C184" s="248"/>
      <c r="D184" s="253">
        <f>('Screener Input'!C17+'Screener Input'!C25)</f>
        <v>180.76000000000002</v>
      </c>
      <c r="E184" s="253">
        <f>('Screener Input'!D17+'Screener Input'!D25)</f>
        <v>180.76000000000002</v>
      </c>
      <c r="F184" s="253">
        <f>('Screener Input'!E17+'Screener Input'!E25)</f>
        <v>180.76000000000002</v>
      </c>
      <c r="G184" s="253">
        <f>('Screener Input'!F17+'Screener Input'!F25)</f>
        <v>180.76000000000002</v>
      </c>
      <c r="H184" s="253">
        <f>('Screener Input'!G17+'Screener Input'!G25)</f>
        <v>260.98</v>
      </c>
      <c r="I184" s="253">
        <f>('Screener Input'!H17+'Screener Input'!H25)</f>
        <v>214.81</v>
      </c>
      <c r="J184" s="253">
        <f>('Screener Input'!I17+'Screener Input'!I25)</f>
        <v>287.02</v>
      </c>
      <c r="K184" s="253">
        <f>('Screener Input'!J17+'Screener Input'!J25)</f>
        <v>468.25</v>
      </c>
      <c r="L184" s="253">
        <f>('Screener Input'!K17+'Screener Input'!K25)</f>
        <v>413.96</v>
      </c>
      <c r="M184" s="253"/>
      <c r="N184" s="253"/>
    </row>
    <row r="185" spans="1:14" s="246" customFormat="1">
      <c r="A185" s="244" t="s">
        <v>401</v>
      </c>
      <c r="B185" s="244"/>
      <c r="C185" s="245"/>
      <c r="D185" s="245">
        <f>('Screener Input'!C17+'Screener Input'!C25)/('Screener Input'!B17+'Screener Input'!B25)-1</f>
        <v>0</v>
      </c>
      <c r="E185" s="245">
        <f>('Screener Input'!D17+'Screener Input'!D25)/('Screener Input'!C17+'Screener Input'!C25)-1</f>
        <v>0</v>
      </c>
      <c r="F185" s="245">
        <f>('Screener Input'!E17+'Screener Input'!E25)/('Screener Input'!D17+'Screener Input'!D25)-1</f>
        <v>0</v>
      </c>
      <c r="G185" s="245">
        <f>('Screener Input'!F17+'Screener Input'!F25)/('Screener Input'!E17+'Screener Input'!E25)-1</f>
        <v>0</v>
      </c>
      <c r="H185" s="245">
        <f>('Screener Input'!G17+'Screener Input'!G25)/('Screener Input'!F17+'Screener Input'!F25)-1</f>
        <v>0.44379287452976324</v>
      </c>
      <c r="I185" s="245">
        <f>('Screener Input'!H17+'Screener Input'!H25)/('Screener Input'!G17+'Screener Input'!G25)-1</f>
        <v>-0.17691010805425711</v>
      </c>
      <c r="J185" s="245">
        <f>('Screener Input'!I17+'Screener Input'!I25)/('Screener Input'!H17+'Screener Input'!H25)-1</f>
        <v>0.33615753456542974</v>
      </c>
      <c r="K185" s="245">
        <f>('Screener Input'!J17+'Screener Input'!J25)/('Screener Input'!I17+'Screener Input'!I25)-1</f>
        <v>0.63141941328130446</v>
      </c>
      <c r="L185" s="245">
        <f>('Screener Input'!K17+'Screener Input'!K25)/('Screener Input'!J17+'Screener Input'!J25)-1</f>
        <v>-0.11594233849439406</v>
      </c>
      <c r="M185" s="245"/>
      <c r="N185" s="245"/>
    </row>
    <row r="186" spans="1:14" s="246" customFormat="1">
      <c r="A186" s="244" t="s">
        <v>28</v>
      </c>
      <c r="B186" s="244"/>
      <c r="C186" s="245"/>
      <c r="D186" s="252">
        <f>'Screener Input'!C30/'Screener Input'!C93</f>
        <v>104.375</v>
      </c>
      <c r="E186" s="252">
        <f>'Screener Input'!D30/'Screener Input'!D93</f>
        <v>104.375</v>
      </c>
      <c r="F186" s="252">
        <f>'Screener Input'!E30/'Screener Input'!E93</f>
        <v>104.375</v>
      </c>
      <c r="G186" s="252">
        <f>'Screener Input'!F30/'Screener Input'!F93</f>
        <v>104.375</v>
      </c>
      <c r="H186" s="252">
        <f>'Screener Input'!G30/'Screener Input'!G93</f>
        <v>153.125</v>
      </c>
      <c r="I186" s="252">
        <f>'Screener Input'!H30/'Screener Input'!H93</f>
        <v>125.875</v>
      </c>
      <c r="J186" s="252">
        <f>'Screener Input'!I30/'Screener Input'!I93</f>
        <v>175.625</v>
      </c>
      <c r="K186" s="252">
        <f>'Screener Input'!J30/'Screener Input'!J93</f>
        <v>78.53125</v>
      </c>
      <c r="L186" s="252">
        <f>'Screener Input'!K30/'Screener Input'!K93</f>
        <v>14.343750000000002</v>
      </c>
      <c r="M186" s="252"/>
      <c r="N186" s="252"/>
    </row>
    <row r="187" spans="1:14" s="246" customFormat="1">
      <c r="A187" s="244" t="s">
        <v>402</v>
      </c>
      <c r="B187" s="244"/>
      <c r="C187" s="245"/>
      <c r="D187" s="245">
        <f>(('Screener Input'!C30/'Screener Input'!C93)/('Screener Input'!B30/'Screener Input'!B93))-1</f>
        <v>0</v>
      </c>
      <c r="E187" s="245">
        <f>(('Screener Input'!D30/'Screener Input'!D93)/('Screener Input'!C30/'Screener Input'!C93))-1</f>
        <v>0</v>
      </c>
      <c r="F187" s="245">
        <f>(('Screener Input'!E30/'Screener Input'!E93)/('Screener Input'!D30/'Screener Input'!D93))-1</f>
        <v>0</v>
      </c>
      <c r="G187" s="245">
        <f>(('Screener Input'!F30/'Screener Input'!F93)/('Screener Input'!E30/'Screener Input'!E93))-1</f>
        <v>0</v>
      </c>
      <c r="H187" s="245">
        <f>(('Screener Input'!G30/'Screener Input'!G93)/('Screener Input'!F30/'Screener Input'!F93))-1</f>
        <v>0.46706586826347296</v>
      </c>
      <c r="I187" s="245">
        <f>(('Screener Input'!H30/'Screener Input'!H93)/('Screener Input'!G30/'Screener Input'!G93))-1</f>
        <v>-0.17795918367346941</v>
      </c>
      <c r="J187" s="245">
        <f>(('Screener Input'!I30/'Screener Input'!I93)/('Screener Input'!H30/'Screener Input'!H93))-1</f>
        <v>0.39523336643495521</v>
      </c>
      <c r="K187" s="245">
        <f>(('Screener Input'!J30/'Screener Input'!J93)/('Screener Input'!I30/'Screener Input'!I93))-1</f>
        <v>-0.55284697508896796</v>
      </c>
      <c r="L187" s="245">
        <f>(('Screener Input'!K30/'Screener Input'!K93)/('Screener Input'!J30/'Screener Input'!J93))-1</f>
        <v>-0.81734978113808199</v>
      </c>
      <c r="M187" s="245"/>
      <c r="N187" s="245"/>
    </row>
    <row r="188" spans="1:14" s="246" customFormat="1">
      <c r="A188" s="247"/>
      <c r="B188" s="244"/>
      <c r="C188" s="245"/>
      <c r="D188" s="245"/>
      <c r="E188" s="245"/>
      <c r="F188" s="245"/>
      <c r="G188" s="245"/>
      <c r="H188" s="245"/>
      <c r="I188" s="245"/>
      <c r="J188" s="245"/>
      <c r="K188" s="245"/>
      <c r="L188" s="245"/>
      <c r="M188" s="245"/>
      <c r="N188" s="245"/>
    </row>
    <row r="189" spans="1:14" s="246" customFormat="1">
      <c r="A189" s="231" t="s">
        <v>397</v>
      </c>
      <c r="B189" s="126"/>
      <c r="C189" s="248">
        <f>'Screener Input'!B41</f>
        <v>42369</v>
      </c>
      <c r="D189" s="248">
        <f>'Screener Input'!C41</f>
        <v>42460</v>
      </c>
      <c r="E189" s="248">
        <f>'Screener Input'!D41</f>
        <v>42551</v>
      </c>
      <c r="F189" s="248">
        <f>'Screener Input'!E41</f>
        <v>42643</v>
      </c>
      <c r="G189" s="248">
        <f>'Screener Input'!F41</f>
        <v>42735</v>
      </c>
      <c r="H189" s="248">
        <f>'Screener Input'!G41</f>
        <v>42825</v>
      </c>
      <c r="I189" s="248">
        <f>'Screener Input'!H41</f>
        <v>42916</v>
      </c>
      <c r="J189" s="248">
        <f>'Screener Input'!I41</f>
        <v>43008</v>
      </c>
      <c r="K189" s="248">
        <f>'Screener Input'!J41</f>
        <v>43100</v>
      </c>
      <c r="L189" s="248">
        <f>'Screener Input'!K41</f>
        <v>43190</v>
      </c>
      <c r="M189" s="248"/>
      <c r="N189" s="248"/>
    </row>
    <row r="190" spans="1:14" s="246" customFormat="1">
      <c r="A190" s="244" t="s">
        <v>398</v>
      </c>
      <c r="B190" s="126"/>
      <c r="C190" s="251">
        <f>('Screener Input'!B42+'Screener Input'!B44)</f>
        <v>110.5</v>
      </c>
      <c r="D190" s="251">
        <f>('Screener Input'!C42+'Screener Input'!C44)</f>
        <v>110.5</v>
      </c>
      <c r="E190" s="251">
        <f>('Screener Input'!D42+'Screener Input'!D44)</f>
        <v>88.73</v>
      </c>
      <c r="F190" s="251">
        <f>('Screener Input'!E42+'Screener Input'!E44)</f>
        <v>79.930000000000007</v>
      </c>
      <c r="G190" s="251">
        <f>('Screener Input'!F42+'Screener Input'!F44)</f>
        <v>80.39</v>
      </c>
      <c r="H190" s="251">
        <f>('Screener Input'!G42+'Screener Input'!G44)</f>
        <v>165.1</v>
      </c>
      <c r="I190" s="251">
        <f>('Screener Input'!H42+'Screener Input'!H44)</f>
        <v>159.91000000000003</v>
      </c>
      <c r="J190" s="251">
        <f>('Screener Input'!I42+'Screener Input'!I44)</f>
        <v>144.74</v>
      </c>
      <c r="K190" s="251">
        <f>('Screener Input'!J42+'Screener Input'!J44)</f>
        <v>174.02</v>
      </c>
      <c r="L190" s="251">
        <f>('Screener Input'!K42+'Screener Input'!K44)</f>
        <v>269.53000000000003</v>
      </c>
      <c r="M190" s="251"/>
      <c r="N190" s="251"/>
    </row>
    <row r="191" spans="1:14" s="246" customFormat="1">
      <c r="A191" s="244" t="s">
        <v>399</v>
      </c>
      <c r="B191" s="244"/>
      <c r="C191" s="245"/>
      <c r="D191" s="245"/>
      <c r="E191" s="245"/>
      <c r="F191" s="245"/>
      <c r="G191" s="245">
        <f t="shared" ref="G191:K191" si="76">G190/C190-1</f>
        <v>-0.27248868778280544</v>
      </c>
      <c r="H191" s="245">
        <f t="shared" si="76"/>
        <v>0.49411764705882355</v>
      </c>
      <c r="I191" s="245">
        <f t="shared" si="76"/>
        <v>0.80220894849543578</v>
      </c>
      <c r="J191" s="245">
        <f t="shared" si="76"/>
        <v>0.81083448017014881</v>
      </c>
      <c r="K191" s="245">
        <f t="shared" si="76"/>
        <v>1.1646971016295562</v>
      </c>
      <c r="L191" s="245">
        <f>L190/H190-1</f>
        <v>0.63252574197456113</v>
      </c>
      <c r="M191" s="245"/>
      <c r="N191" s="245"/>
    </row>
    <row r="192" spans="1:14" s="246" customFormat="1">
      <c r="A192" s="244" t="s">
        <v>360</v>
      </c>
      <c r="B192" s="244"/>
      <c r="C192" s="251">
        <f>'Screener Input'!B49</f>
        <v>5.95</v>
      </c>
      <c r="D192" s="251">
        <f>'Screener Input'!C49</f>
        <v>5.95</v>
      </c>
      <c r="E192" s="251">
        <f>'Screener Input'!D49</f>
        <v>7.5</v>
      </c>
      <c r="F192" s="251">
        <f>'Screener Input'!E49</f>
        <v>6.28</v>
      </c>
      <c r="G192" s="251">
        <f>'Screener Input'!F49</f>
        <v>7.32</v>
      </c>
      <c r="H192" s="251">
        <f>'Screener Input'!G49</f>
        <v>20.52</v>
      </c>
      <c r="I192" s="251">
        <f>'Screener Input'!H49</f>
        <v>13.56</v>
      </c>
      <c r="J192" s="251">
        <f>'Screener Input'!I49</f>
        <v>12.66</v>
      </c>
      <c r="K192" s="251">
        <f>'Screener Input'!J49</f>
        <v>15.18</v>
      </c>
      <c r="L192" s="251">
        <f>'Screener Input'!K49</f>
        <v>22.96</v>
      </c>
      <c r="M192" s="251"/>
      <c r="N192" s="251"/>
    </row>
    <row r="193" spans="1:14" s="246" customFormat="1">
      <c r="A193" s="244" t="s">
        <v>400</v>
      </c>
      <c r="B193" s="244"/>
      <c r="C193" s="245"/>
      <c r="D193" s="245"/>
      <c r="E193" s="245"/>
      <c r="F193" s="245"/>
      <c r="G193" s="245">
        <f t="shared" ref="G193:K193" si="77">G192/C192-1</f>
        <v>0.2302521008403362</v>
      </c>
      <c r="H193" s="245">
        <f t="shared" si="77"/>
        <v>2.4487394957983191</v>
      </c>
      <c r="I193" s="245">
        <f t="shared" si="77"/>
        <v>0.80800000000000005</v>
      </c>
      <c r="J193" s="245">
        <f t="shared" si="77"/>
        <v>1.015923566878981</v>
      </c>
      <c r="K193" s="245">
        <f t="shared" si="77"/>
        <v>1.0737704918032787</v>
      </c>
      <c r="L193" s="245">
        <f>L192/H192-1</f>
        <v>0.11890838206627685</v>
      </c>
      <c r="M193" s="245"/>
      <c r="N193" s="245"/>
    </row>
    <row r="194" spans="1:14" s="246" customFormat="1">
      <c r="A194" s="244"/>
      <c r="B194" s="244"/>
      <c r="C194" s="244"/>
      <c r="D194" s="244"/>
      <c r="E194" s="244"/>
      <c r="F194" s="244"/>
      <c r="G194" s="244"/>
      <c r="H194" s="244"/>
      <c r="I194" s="244"/>
      <c r="J194" s="244"/>
      <c r="K194" s="244"/>
      <c r="L194" s="244"/>
      <c r="M194" s="244"/>
      <c r="N194" s="244"/>
    </row>
    <row r="195" spans="1:14">
      <c r="A195" s="231" t="s">
        <v>375</v>
      </c>
      <c r="B195" s="126"/>
      <c r="C195" s="242">
        <f>'Screener Input'!B41</f>
        <v>42369</v>
      </c>
      <c r="D195" s="242">
        <f>'Screener Input'!C41</f>
        <v>42460</v>
      </c>
      <c r="E195" s="242">
        <f>'Screener Input'!D41</f>
        <v>42551</v>
      </c>
      <c r="F195" s="242">
        <f>'Screener Input'!E41</f>
        <v>42643</v>
      </c>
      <c r="G195" s="242">
        <f>'Screener Input'!F41</f>
        <v>42735</v>
      </c>
      <c r="H195" s="242">
        <f>'Screener Input'!G41</f>
        <v>42825</v>
      </c>
      <c r="I195" s="242">
        <f>'Screener Input'!H41</f>
        <v>42916</v>
      </c>
      <c r="J195" s="242">
        <f>'Screener Input'!I41</f>
        <v>43008</v>
      </c>
      <c r="K195" s="242">
        <f>'Screener Input'!J41</f>
        <v>43100</v>
      </c>
      <c r="L195" s="242">
        <f>'Screener Input'!K41</f>
        <v>43190</v>
      </c>
      <c r="M195" s="242"/>
      <c r="N195" s="242"/>
    </row>
    <row r="196" spans="1:14">
      <c r="A196" s="163" t="s">
        <v>289</v>
      </c>
      <c r="B196" s="126"/>
      <c r="C196" s="225">
        <f>IF('Screener Input'!B43/('Screener Input'!B42+'Screener Input'!B44)&lt;0, 0, 'Screener Input'!B43/('Screener Input'!B42+'Screener Input'!B44))</f>
        <v>0.89420814479638011</v>
      </c>
      <c r="D196" s="225">
        <f>IF('Screener Input'!C43/('Screener Input'!C42+'Screener Input'!C44)&lt;0, 0, 'Screener Input'!C43/('Screener Input'!C42+'Screener Input'!C44))</f>
        <v>0.89420814479638011</v>
      </c>
      <c r="E196" s="225">
        <f>IF('Screener Input'!D43/('Screener Input'!D42+'Screener Input'!D44)&lt;0, 0, 'Screener Input'!D43/('Screener Input'!D42+'Screener Input'!D44))</f>
        <v>0.83647019046545701</v>
      </c>
      <c r="F196" s="225">
        <f>IF('Screener Input'!E43/('Screener Input'!E42+'Screener Input'!E44)&lt;0, 0, 'Screener Input'!E43/('Screener Input'!E42+'Screener Input'!E44))</f>
        <v>0.83060177655448508</v>
      </c>
      <c r="G196" s="225">
        <f>IF('Screener Input'!F43/('Screener Input'!F42+'Screener Input'!F44)&lt;0, 0, 'Screener Input'!F43/('Screener Input'!F42+'Screener Input'!F44))</f>
        <v>0.82062445577808185</v>
      </c>
      <c r="H196" s="225">
        <f>IF('Screener Input'!G43/('Screener Input'!G42+'Screener Input'!G44)&lt;0, 0, 'Screener Input'!G43/('Screener Input'!G42+'Screener Input'!G44))</f>
        <v>0.77674136886735323</v>
      </c>
      <c r="I196" s="225">
        <f>IF('Screener Input'!H43/('Screener Input'!H42+'Screener Input'!H44)&lt;0, 0, 'Screener Input'!H43/('Screener Input'!H42+'Screener Input'!H44))</f>
        <v>0.84979050716027749</v>
      </c>
      <c r="J196" s="225">
        <f>IF('Screener Input'!I43/('Screener Input'!I42+'Screener Input'!I44)&lt;0, 0, 'Screener Input'!I43/('Screener Input'!I42+'Screener Input'!I44))</f>
        <v>0.83535995578278288</v>
      </c>
      <c r="K196" s="225">
        <f>IF('Screener Input'!J43/('Screener Input'!J42+'Screener Input'!J44)&lt;0, 0, 'Screener Input'!J43/('Screener Input'!J42+'Screener Input'!J44))</f>
        <v>0.82887024479944837</v>
      </c>
      <c r="L196" s="255">
        <f>IF('Screener Input'!K43/('Screener Input'!K42+'Screener Input'!K44)&lt;0, 0, 'Screener Input'!K43/('Screener Input'!K42+'Screener Input'!K44))</f>
        <v>0.84365376766964706</v>
      </c>
      <c r="M196" s="225"/>
      <c r="N196" s="225"/>
    </row>
    <row r="197" spans="1:14">
      <c r="A197" s="163" t="s">
        <v>18</v>
      </c>
      <c r="B197" s="126"/>
      <c r="C197" s="225">
        <f>IF('Screener Input'!B45/('Screener Input'!B42+'Screener Input'!B44)&lt;0,0, 'Screener Input'!B45/('Screener Input'!B42+'Screener Input'!B44))</f>
        <v>1.51131221719457E-2</v>
      </c>
      <c r="D197" s="225">
        <f>IF('Screener Input'!C45/('Screener Input'!C42+'Screener Input'!C44)&lt;0,0, 'Screener Input'!C45/('Screener Input'!C42+'Screener Input'!C44))</f>
        <v>1.51131221719457E-2</v>
      </c>
      <c r="E197" s="225">
        <f>IF('Screener Input'!D45/('Screener Input'!D42+'Screener Input'!D44)&lt;0,0, 'Screener Input'!D45/('Screener Input'!D42+'Screener Input'!D44))</f>
        <v>1.9046545700439534E-2</v>
      </c>
      <c r="F197" s="225">
        <f>IF('Screener Input'!E45/('Screener Input'!E42+'Screener Input'!E44)&lt;0,0, 'Screener Input'!E45/('Screener Input'!E42+'Screener Input'!E44))</f>
        <v>2.3020142624796697E-2</v>
      </c>
      <c r="G197" s="225">
        <f>IF('Screener Input'!F45/('Screener Input'!F42+'Screener Input'!F44)&lt;0,0, 'Screener Input'!F45/('Screener Input'!F42+'Screener Input'!F44))</f>
        <v>2.4132354770493841E-2</v>
      </c>
      <c r="H197" s="225">
        <f>IF('Screener Input'!G45/('Screener Input'!G42+'Screener Input'!G44)&lt;0,0, 'Screener Input'!G45/('Screener Input'!G42+'Screener Input'!G44))</f>
        <v>1.2658994548758329E-2</v>
      </c>
      <c r="I197" s="225">
        <f>IF('Screener Input'!H45/('Screener Input'!H42+'Screener Input'!H44)&lt;0,0, 'Screener Input'!H45/('Screener Input'!H42+'Screener Input'!H44))</f>
        <v>1.1506472390719778E-2</v>
      </c>
      <c r="J197" s="225">
        <f>IF('Screener Input'!I45/('Screener Input'!I42+'Screener Input'!I44)&lt;0,0, 'Screener Input'!I45/('Screener Input'!I42+'Screener Input'!I44))</f>
        <v>1.5752383584358157E-2</v>
      </c>
      <c r="K197" s="225">
        <f>IF('Screener Input'!J45/('Screener Input'!J42+'Screener Input'!J44)&lt;0,0, 'Screener Input'!J45/('Screener Input'!J42+'Screener Input'!J44))</f>
        <v>1.5917710607976095E-2</v>
      </c>
      <c r="L197" s="255">
        <f>IF('Screener Input'!K45/('Screener Input'!K42+'Screener Input'!K44)&lt;0,0, 'Screener Input'!K45/('Screener Input'!K42+'Screener Input'!K44))</f>
        <v>1.5916595555225763E-2</v>
      </c>
      <c r="M197" s="225"/>
      <c r="N197" s="225"/>
    </row>
    <row r="198" spans="1:14">
      <c r="A198" s="163" t="s">
        <v>17</v>
      </c>
      <c r="B198" s="126"/>
      <c r="C198" s="225">
        <f>IF('Screener Input'!B46/('Screener Input'!B42+'Screener Input'!B44)&lt;0, 0, 'Screener Input'!B46/('Screener Input'!B42+'Screener Input'!B44))</f>
        <v>6.5158371040723983E-3</v>
      </c>
      <c r="D198" s="225">
        <f>IF('Screener Input'!C46/('Screener Input'!C42+'Screener Input'!C44)&lt;0, 0, 'Screener Input'!C46/('Screener Input'!C42+'Screener Input'!C44))</f>
        <v>6.5158371040723983E-3</v>
      </c>
      <c r="E198" s="225">
        <f>IF('Screener Input'!D46/('Screener Input'!D42+'Screener Input'!D44)&lt;0, 0, 'Screener Input'!D46/('Screener Input'!D42+'Screener Input'!D44))</f>
        <v>1.7243322438859461E-2</v>
      </c>
      <c r="F198" s="225">
        <f>IF('Screener Input'!E46/('Screener Input'!E42+'Screener Input'!E44)&lt;0, 0, 'Screener Input'!E46/('Screener Input'!E42+'Screener Input'!E44))</f>
        <v>2.2019266858501186E-2</v>
      </c>
      <c r="G198" s="225">
        <f>IF('Screener Input'!F46/('Screener Input'!F42+'Screener Input'!F44)&lt;0, 0, 'Screener Input'!F46/('Screener Input'!F42+'Screener Input'!F44))</f>
        <v>2.77397686279388E-2</v>
      </c>
      <c r="H198" s="225">
        <f>IF('Screener Input'!G46/('Screener Input'!G42+'Screener Input'!G44)&lt;0, 0, 'Screener Input'!G46/('Screener Input'!G42+'Screener Input'!G44))</f>
        <v>1.217443973349485E-2</v>
      </c>
      <c r="I198" s="225">
        <f>IF('Screener Input'!H46/('Screener Input'!H42+'Screener Input'!H44)&lt;0, 0, 'Screener Input'!H46/('Screener Input'!H42+'Screener Input'!H44))</f>
        <v>8.5047839409667925E-3</v>
      </c>
      <c r="J198" s="225">
        <f>IF('Screener Input'!I46/('Screener Input'!I42+'Screener Input'!I44)&lt;0, 0, 'Screener Input'!I46/('Screener Input'!I42+'Screener Input'!I44))</f>
        <v>1.3886969738842059E-2</v>
      </c>
      <c r="K198" s="225">
        <f>IF('Screener Input'!J46/('Screener Input'!J42+'Screener Input'!J44)&lt;0, 0, 'Screener Input'!J46/('Screener Input'!J42+'Screener Input'!J44))</f>
        <v>1.3446730260889552E-2</v>
      </c>
      <c r="L198" s="255">
        <f>IF('Screener Input'!K46/('Screener Input'!K42+'Screener Input'!K44)&lt;0, 0, 'Screener Input'!K46/('Screener Input'!K42+'Screener Input'!K44))</f>
        <v>1.1093384780914926E-2</v>
      </c>
      <c r="M198" s="225"/>
      <c r="N198" s="225"/>
    </row>
    <row r="199" spans="1:14">
      <c r="A199" s="163" t="s">
        <v>19</v>
      </c>
      <c r="B199" s="126"/>
      <c r="C199" s="225">
        <f>IF('Screener Input'!B48/('Screener Input'!B42+'Screener Input'!B44)&lt;0, 0, 'Screener Input'!B48/('Screener Input'!B42+'Screener Input'!B44))</f>
        <v>3.0316742081447964E-2</v>
      </c>
      <c r="D199" s="225">
        <f>IF('Screener Input'!C48/('Screener Input'!C42+'Screener Input'!C44)&lt;0, 0, 'Screener Input'!C48/('Screener Input'!C42+'Screener Input'!C44))</f>
        <v>3.0316742081447964E-2</v>
      </c>
      <c r="E199" s="225">
        <f>IF('Screener Input'!D48/('Screener Input'!D42+'Screener Input'!D44)&lt;0, 0, 'Screener Input'!D48/('Screener Input'!D42+'Screener Input'!D44))</f>
        <v>4.260114955482925E-2</v>
      </c>
      <c r="F199" s="225">
        <f>IF('Screener Input'!E48/('Screener Input'!E42+'Screener Input'!E44)&lt;0, 0, 'Screener Input'!E48/('Screener Input'!E42+'Screener Input'!E44))</f>
        <v>4.5790066308019517E-2</v>
      </c>
      <c r="G199" s="225">
        <f>IF('Screener Input'!F48/('Screener Input'!F42+'Screener Input'!F44)&lt;0, 0, 'Screener Input'!F48/('Screener Input'!F42+'Screener Input'!F44))</f>
        <v>3.6447319318323179E-2</v>
      </c>
      <c r="H199" s="225">
        <f>IF('Screener Input'!G48/('Screener Input'!G42+'Screener Input'!G44)&lt;0, 0, 'Screener Input'!G48/('Screener Input'!G42+'Screener Input'!G44))</f>
        <v>7.4197456087219865E-2</v>
      </c>
      <c r="I199" s="225">
        <f>IF('Screener Input'!H48/('Screener Input'!H42+'Screener Input'!H44)&lt;0, 0, 'Screener Input'!H48/('Screener Input'!H42+'Screener Input'!H44))</f>
        <v>4.5338002626477386E-2</v>
      </c>
      <c r="J199" s="225">
        <f>IF('Screener Input'!I48/('Screener Input'!I42+'Screener Input'!I44)&lt;0, 0, 'Screener Input'!I48/('Screener Input'!I42+'Screener Input'!I44))</f>
        <v>4.7395329556446042E-2</v>
      </c>
      <c r="K199" s="225">
        <f>IF('Screener Input'!J48/('Screener Input'!J42+'Screener Input'!J44)&lt;0, 0, 'Screener Input'!J48/('Screener Input'!J42+'Screener Input'!J44))</f>
        <v>5.4533961613607629E-2</v>
      </c>
      <c r="L199" s="255">
        <f>IF('Screener Input'!K48/('Screener Input'!K42+'Screener Input'!K44)&lt;0, 0, 'Screener Input'!K48/('Screener Input'!K42+'Screener Input'!K44))</f>
        <v>4.4150929395614588E-2</v>
      </c>
      <c r="M199" s="225"/>
      <c r="N199" s="225"/>
    </row>
    <row r="200" spans="1:14">
      <c r="A200" s="163" t="s">
        <v>288</v>
      </c>
      <c r="B200" s="126"/>
      <c r="C200" s="225">
        <f>1-SUM(C196:C199)</f>
        <v>5.3846153846153766E-2</v>
      </c>
      <c r="D200" s="225">
        <f t="shared" ref="D200:L200" si="78">1-SUM(D196:D199)</f>
        <v>5.3846153846153766E-2</v>
      </c>
      <c r="E200" s="225">
        <f t="shared" si="78"/>
        <v>8.4638791840414673E-2</v>
      </c>
      <c r="F200" s="225">
        <f t="shared" si="78"/>
        <v>7.8568747654197524E-2</v>
      </c>
      <c r="G200" s="225">
        <f t="shared" si="78"/>
        <v>9.1056101505162301E-2</v>
      </c>
      <c r="H200" s="225">
        <f t="shared" si="78"/>
        <v>0.12422774076317378</v>
      </c>
      <c r="I200" s="225">
        <f t="shared" si="78"/>
        <v>8.4860233881558611E-2</v>
      </c>
      <c r="J200" s="225">
        <f t="shared" si="78"/>
        <v>8.7605361337570908E-2</v>
      </c>
      <c r="K200" s="225">
        <f t="shared" si="78"/>
        <v>8.7231352718078359E-2</v>
      </c>
      <c r="L200" s="255">
        <f t="shared" si="78"/>
        <v>8.5185322598597679E-2</v>
      </c>
      <c r="M200" s="225"/>
      <c r="N200" s="225"/>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tabSelected="1" zoomScaleNormal="100" workbookViewId="0">
      <selection activeCell="B9" sqref="B9"/>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483</v>
      </c>
      <c r="B1" s="158" t="s">
        <v>484</v>
      </c>
      <c r="E1" s="410" t="str">
        <f>IF(B2&lt;&gt;B3, "A NEW VERSION OF THE WORKSHEET IS AVAILABLE", "")</f>
        <v/>
      </c>
      <c r="F1" s="410"/>
      <c r="G1" s="410"/>
      <c r="H1" s="410"/>
      <c r="I1" s="410"/>
      <c r="J1" s="410"/>
      <c r="K1" s="410"/>
    </row>
    <row r="2" spans="1:11">
      <c r="A2" s="158" t="s">
        <v>485</v>
      </c>
      <c r="B2" s="159">
        <v>2.1</v>
      </c>
      <c r="E2" s="411" t="s">
        <v>486</v>
      </c>
      <c r="F2" s="411"/>
      <c r="G2" s="411"/>
      <c r="H2" s="411"/>
      <c r="I2" s="411"/>
      <c r="J2" s="411"/>
      <c r="K2" s="411"/>
    </row>
    <row r="3" spans="1:11">
      <c r="A3" s="158" t="s">
        <v>487</v>
      </c>
      <c r="B3" s="159">
        <v>2.1</v>
      </c>
    </row>
    <row r="4" spans="1:11">
      <c r="A4" s="158"/>
    </row>
    <row r="5" spans="1:11">
      <c r="A5" s="158" t="s">
        <v>488</v>
      </c>
    </row>
    <row r="6" spans="1:11">
      <c r="A6" s="159" t="s">
        <v>489</v>
      </c>
      <c r="B6" s="159">
        <f>IF(B9&gt;0, B9/B8, 0)</f>
        <v>3.6</v>
      </c>
    </row>
    <row r="7" spans="1:11">
      <c r="A7" s="159" t="s">
        <v>490</v>
      </c>
      <c r="B7">
        <v>10</v>
      </c>
    </row>
    <row r="8" spans="1:11">
      <c r="A8" s="159" t="s">
        <v>283</v>
      </c>
      <c r="B8">
        <v>540.29999999999995</v>
      </c>
    </row>
    <row r="9" spans="1:11">
      <c r="A9" s="159" t="s">
        <v>491</v>
      </c>
      <c r="B9">
        <v>1945.08</v>
      </c>
    </row>
    <row r="15" spans="1:11">
      <c r="A15" s="158" t="s">
        <v>492</v>
      </c>
    </row>
    <row r="16" spans="1:11" s="162" customFormat="1">
      <c r="A16" s="160" t="s">
        <v>493</v>
      </c>
      <c r="B16" s="161">
        <v>39538</v>
      </c>
      <c r="C16" s="161">
        <v>39903</v>
      </c>
      <c r="D16" s="161">
        <v>40268</v>
      </c>
      <c r="E16" s="161">
        <v>40633</v>
      </c>
      <c r="F16" s="161">
        <v>40999</v>
      </c>
      <c r="G16" s="161">
        <v>41364</v>
      </c>
      <c r="H16" s="161">
        <v>41729</v>
      </c>
      <c r="I16" s="161">
        <v>42094</v>
      </c>
      <c r="J16" s="161">
        <v>42460</v>
      </c>
      <c r="K16" s="161">
        <v>42825</v>
      </c>
    </row>
    <row r="17" spans="1:11" s="163" customFormat="1">
      <c r="A17" s="163" t="s">
        <v>226</v>
      </c>
      <c r="B17" s="229">
        <v>178.65</v>
      </c>
      <c r="C17" s="229">
        <v>178.65</v>
      </c>
      <c r="D17" s="229">
        <v>178.65</v>
      </c>
      <c r="E17" s="229">
        <v>178.65</v>
      </c>
      <c r="F17">
        <v>178.65</v>
      </c>
      <c r="G17">
        <v>257.26</v>
      </c>
      <c r="H17">
        <v>210.43</v>
      </c>
      <c r="I17">
        <v>280.51</v>
      </c>
      <c r="J17">
        <v>457.98</v>
      </c>
      <c r="K17">
        <v>400.76</v>
      </c>
    </row>
    <row r="18" spans="1:11" s="163" customFormat="1">
      <c r="A18" s="159" t="s">
        <v>494</v>
      </c>
      <c r="B18" s="229">
        <v>63.99</v>
      </c>
      <c r="C18" s="229">
        <v>63.99</v>
      </c>
      <c r="D18" s="229">
        <v>63.99</v>
      </c>
      <c r="E18" s="229">
        <v>63.99</v>
      </c>
      <c r="F18">
        <v>63.99</v>
      </c>
      <c r="G18">
        <v>98.76</v>
      </c>
      <c r="H18">
        <v>79.27</v>
      </c>
      <c r="I18">
        <v>133.33000000000001</v>
      </c>
      <c r="J18">
        <v>190.02</v>
      </c>
      <c r="K18">
        <v>128.16999999999999</v>
      </c>
    </row>
    <row r="19" spans="1:11" s="163" customFormat="1">
      <c r="A19" s="159" t="s">
        <v>495</v>
      </c>
      <c r="B19" s="229">
        <v>-1.49</v>
      </c>
      <c r="C19" s="229">
        <v>-1.49</v>
      </c>
      <c r="D19" s="229">
        <v>-1.49</v>
      </c>
      <c r="E19" s="229">
        <v>-1.49</v>
      </c>
      <c r="F19">
        <v>-1.49</v>
      </c>
      <c r="G19">
        <v>0.79</v>
      </c>
      <c r="H19">
        <v>-0.46</v>
      </c>
      <c r="I19">
        <v>1.69</v>
      </c>
      <c r="J19">
        <v>-0.17</v>
      </c>
      <c r="K19">
        <v>-1.96</v>
      </c>
    </row>
    <row r="20" spans="1:11" s="163" customFormat="1">
      <c r="A20" s="159" t="s">
        <v>284</v>
      </c>
      <c r="B20" s="229">
        <v>0.95</v>
      </c>
      <c r="C20" s="229">
        <v>0.95</v>
      </c>
      <c r="D20" s="229">
        <v>0.95</v>
      </c>
      <c r="E20" s="229">
        <v>0.95</v>
      </c>
      <c r="F20">
        <v>0.95</v>
      </c>
      <c r="G20">
        <v>1.01</v>
      </c>
      <c r="H20">
        <v>1.56</v>
      </c>
      <c r="I20">
        <v>2.2999999999999998</v>
      </c>
      <c r="J20">
        <v>1.1100000000000001</v>
      </c>
      <c r="K20">
        <v>2.14</v>
      </c>
    </row>
    <row r="21" spans="1:11" s="163" customFormat="1">
      <c r="A21" s="159" t="s">
        <v>285</v>
      </c>
      <c r="B21" s="229">
        <v>84.68</v>
      </c>
      <c r="C21" s="229">
        <v>84.68</v>
      </c>
      <c r="D21" s="229">
        <v>84.68</v>
      </c>
      <c r="E21" s="229">
        <v>84.68</v>
      </c>
      <c r="F21">
        <v>84.68</v>
      </c>
      <c r="G21">
        <v>120.06</v>
      </c>
      <c r="H21">
        <v>95.9</v>
      </c>
      <c r="I21">
        <v>95.04</v>
      </c>
      <c r="J21">
        <v>6.28</v>
      </c>
      <c r="K21">
        <v>7.28</v>
      </c>
    </row>
    <row r="22" spans="1:11" s="163" customFormat="1">
      <c r="A22" s="159" t="s">
        <v>16</v>
      </c>
      <c r="B22" s="229">
        <v>5.07</v>
      </c>
      <c r="C22" s="229">
        <v>5.07</v>
      </c>
      <c r="D22" s="229">
        <v>5.07</v>
      </c>
      <c r="E22" s="229">
        <v>5.07</v>
      </c>
      <c r="F22">
        <v>5.07</v>
      </c>
      <c r="G22">
        <v>6.14</v>
      </c>
      <c r="H22">
        <v>6.95</v>
      </c>
      <c r="I22">
        <v>8.08</v>
      </c>
      <c r="J22">
        <v>132.24</v>
      </c>
      <c r="K22">
        <v>113.24</v>
      </c>
    </row>
    <row r="23" spans="1:11" s="163" customFormat="1">
      <c r="A23" s="159" t="s">
        <v>286</v>
      </c>
      <c r="B23" s="229">
        <v>6.43</v>
      </c>
      <c r="C23" s="229">
        <v>6.43</v>
      </c>
      <c r="D23" s="229">
        <v>6.43</v>
      </c>
      <c r="E23" s="229">
        <v>6.43</v>
      </c>
      <c r="F23">
        <v>6.43</v>
      </c>
      <c r="G23">
        <v>9.66</v>
      </c>
      <c r="H23">
        <v>8.52</v>
      </c>
      <c r="I23">
        <v>20.76</v>
      </c>
      <c r="J23">
        <v>20.010000000000002</v>
      </c>
      <c r="K23">
        <v>24.37</v>
      </c>
    </row>
    <row r="24" spans="1:11" s="163" customFormat="1">
      <c r="A24" s="159" t="s">
        <v>287</v>
      </c>
      <c r="B24" s="229">
        <v>0.62</v>
      </c>
      <c r="C24" s="229">
        <v>0.62</v>
      </c>
      <c r="D24" s="229">
        <v>0.62</v>
      </c>
      <c r="E24" s="229">
        <v>0.62</v>
      </c>
      <c r="F24">
        <v>0.62</v>
      </c>
      <c r="G24">
        <v>0.45</v>
      </c>
      <c r="H24">
        <v>1.03</v>
      </c>
      <c r="I24">
        <v>0.28000000000000003</v>
      </c>
      <c r="J24">
        <v>68.89</v>
      </c>
      <c r="K24">
        <v>57.75</v>
      </c>
    </row>
    <row r="25" spans="1:11" s="163" customFormat="1">
      <c r="A25" s="163" t="s">
        <v>496</v>
      </c>
      <c r="B25" s="229">
        <v>2.11</v>
      </c>
      <c r="C25" s="229">
        <v>2.11</v>
      </c>
      <c r="D25" s="229">
        <v>2.11</v>
      </c>
      <c r="E25" s="229">
        <v>2.11</v>
      </c>
      <c r="F25">
        <v>2.11</v>
      </c>
      <c r="G25">
        <v>3.72</v>
      </c>
      <c r="H25">
        <v>4.38</v>
      </c>
      <c r="I25">
        <v>6.51</v>
      </c>
      <c r="J25">
        <v>10.27</v>
      </c>
      <c r="K25">
        <v>13.2</v>
      </c>
    </row>
    <row r="26" spans="1:11" s="163" customFormat="1">
      <c r="A26" s="163" t="s">
        <v>18</v>
      </c>
      <c r="B26" s="229">
        <v>2.84</v>
      </c>
      <c r="C26" s="229">
        <v>2.84</v>
      </c>
      <c r="D26" s="229">
        <v>2.84</v>
      </c>
      <c r="E26" s="229">
        <v>2.84</v>
      </c>
      <c r="F26">
        <v>2.84</v>
      </c>
      <c r="G26">
        <v>3.73</v>
      </c>
      <c r="H26">
        <v>3.66</v>
      </c>
      <c r="I26">
        <v>5.17</v>
      </c>
      <c r="J26">
        <v>7.06</v>
      </c>
      <c r="K26">
        <v>7.57</v>
      </c>
    </row>
    <row r="27" spans="1:11" s="163" customFormat="1">
      <c r="A27" s="163" t="s">
        <v>17</v>
      </c>
      <c r="B27" s="229">
        <v>2.2799999999999998</v>
      </c>
      <c r="C27" s="229">
        <v>2.2799999999999998</v>
      </c>
      <c r="D27" s="229">
        <v>2.2799999999999998</v>
      </c>
      <c r="E27" s="229">
        <v>2.2799999999999998</v>
      </c>
      <c r="F27">
        <v>2.2799999999999998</v>
      </c>
      <c r="G27">
        <v>3.78</v>
      </c>
      <c r="H27">
        <v>2.0499999999999998</v>
      </c>
      <c r="I27">
        <v>2.4900000000000002</v>
      </c>
      <c r="J27">
        <v>3.07</v>
      </c>
      <c r="K27">
        <v>7.53</v>
      </c>
    </row>
    <row r="28" spans="1:11" s="163" customFormat="1">
      <c r="A28" s="163" t="s">
        <v>497</v>
      </c>
      <c r="B28" s="229">
        <v>12.41</v>
      </c>
      <c r="C28" s="229">
        <v>12.41</v>
      </c>
      <c r="D28" s="229">
        <v>12.41</v>
      </c>
      <c r="E28" s="229">
        <v>12.41</v>
      </c>
      <c r="F28">
        <v>12.41</v>
      </c>
      <c r="G28">
        <v>18.190000000000001</v>
      </c>
      <c r="H28">
        <v>15.41</v>
      </c>
      <c r="I28">
        <v>21.25</v>
      </c>
      <c r="J28">
        <v>39.4</v>
      </c>
      <c r="K28">
        <v>63.94</v>
      </c>
    </row>
    <row r="29" spans="1:11" s="163" customFormat="1">
      <c r="A29" s="163" t="s">
        <v>19</v>
      </c>
      <c r="B29" s="229">
        <v>4.0599999999999996</v>
      </c>
      <c r="C29" s="229">
        <v>4.0599999999999996</v>
      </c>
      <c r="D29" s="229">
        <v>4.0599999999999996</v>
      </c>
      <c r="E29" s="229">
        <v>4.0599999999999996</v>
      </c>
      <c r="F29">
        <v>4.0599999999999996</v>
      </c>
      <c r="G29">
        <v>5.94</v>
      </c>
      <c r="H29">
        <v>5.34</v>
      </c>
      <c r="I29">
        <v>7.2</v>
      </c>
      <c r="J29">
        <v>14.27</v>
      </c>
      <c r="K29">
        <v>22.63</v>
      </c>
    </row>
    <row r="30" spans="1:11" s="163" customFormat="1">
      <c r="A30" s="163" t="s">
        <v>288</v>
      </c>
      <c r="B30" s="229">
        <v>8.35</v>
      </c>
      <c r="C30" s="229">
        <v>8.35</v>
      </c>
      <c r="D30" s="229">
        <v>8.35</v>
      </c>
      <c r="E30" s="229">
        <v>8.35</v>
      </c>
      <c r="F30">
        <v>8.35</v>
      </c>
      <c r="G30">
        <v>12.25</v>
      </c>
      <c r="H30">
        <v>10.07</v>
      </c>
      <c r="I30">
        <v>14.05</v>
      </c>
      <c r="J30">
        <v>25.13</v>
      </c>
      <c r="K30">
        <v>41.31</v>
      </c>
    </row>
    <row r="31" spans="1:11" s="163" customFormat="1">
      <c r="A31" s="163" t="s">
        <v>498</v>
      </c>
      <c r="B31" s="340"/>
      <c r="C31" s="340"/>
      <c r="D31" s="340"/>
      <c r="E31" s="340"/>
      <c r="G31">
        <v>0.8</v>
      </c>
      <c r="H31">
        <v>1.6</v>
      </c>
      <c r="I31">
        <v>1.6</v>
      </c>
      <c r="J31">
        <v>4.8</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499</v>
      </c>
    </row>
    <row r="41" spans="1:11" s="162" customFormat="1">
      <c r="A41" s="160" t="s">
        <v>493</v>
      </c>
      <c r="B41" s="161">
        <v>42369</v>
      </c>
      <c r="C41" s="161">
        <v>42460</v>
      </c>
      <c r="D41" s="161">
        <v>42551</v>
      </c>
      <c r="E41" s="161">
        <v>42643</v>
      </c>
      <c r="F41" s="161">
        <v>42735</v>
      </c>
      <c r="G41" s="161">
        <v>42825</v>
      </c>
      <c r="H41" s="161">
        <v>42916</v>
      </c>
      <c r="I41" s="161">
        <v>43008</v>
      </c>
      <c r="J41" s="161">
        <v>43100</v>
      </c>
      <c r="K41" s="161">
        <v>43190</v>
      </c>
    </row>
    <row r="42" spans="1:11" s="163" customFormat="1">
      <c r="A42" s="163" t="s">
        <v>226</v>
      </c>
      <c r="B42" s="229">
        <v>108.08</v>
      </c>
      <c r="C42">
        <v>108.08</v>
      </c>
      <c r="D42">
        <v>86.06</v>
      </c>
      <c r="E42">
        <v>77.64</v>
      </c>
      <c r="F42">
        <v>75.41</v>
      </c>
      <c r="G42">
        <v>161.65</v>
      </c>
      <c r="H42">
        <v>155.80000000000001</v>
      </c>
      <c r="I42">
        <v>139.55000000000001</v>
      </c>
      <c r="J42">
        <v>170.8</v>
      </c>
      <c r="K42">
        <v>263.68</v>
      </c>
    </row>
    <row r="43" spans="1:11" s="163" customFormat="1">
      <c r="A43" s="163" t="s">
        <v>289</v>
      </c>
      <c r="B43" s="229">
        <v>98.81</v>
      </c>
      <c r="C43">
        <v>98.81</v>
      </c>
      <c r="D43">
        <v>74.22</v>
      </c>
      <c r="E43">
        <v>66.39</v>
      </c>
      <c r="F43">
        <v>65.97</v>
      </c>
      <c r="G43">
        <v>128.24</v>
      </c>
      <c r="H43">
        <v>135.88999999999999</v>
      </c>
      <c r="I43">
        <v>120.91</v>
      </c>
      <c r="J43">
        <v>144.24</v>
      </c>
      <c r="K43">
        <v>227.39</v>
      </c>
    </row>
    <row r="44" spans="1:11" s="163" customFormat="1">
      <c r="A44" s="163" t="s">
        <v>496</v>
      </c>
      <c r="B44" s="229">
        <v>2.42</v>
      </c>
      <c r="C44">
        <v>2.42</v>
      </c>
      <c r="D44">
        <v>2.67</v>
      </c>
      <c r="E44">
        <v>2.29</v>
      </c>
      <c r="F44">
        <v>4.9800000000000004</v>
      </c>
      <c r="G44">
        <v>3.45</v>
      </c>
      <c r="H44">
        <v>4.1100000000000003</v>
      </c>
      <c r="I44">
        <v>5.19</v>
      </c>
      <c r="J44">
        <v>3.22</v>
      </c>
      <c r="K44">
        <v>5.85</v>
      </c>
    </row>
    <row r="45" spans="1:11" s="163" customFormat="1">
      <c r="A45" s="163" t="s">
        <v>18</v>
      </c>
      <c r="B45" s="229">
        <v>1.67</v>
      </c>
      <c r="C45">
        <v>1.67</v>
      </c>
      <c r="D45">
        <v>1.69</v>
      </c>
      <c r="E45">
        <v>1.84</v>
      </c>
      <c r="F45">
        <v>1.94</v>
      </c>
      <c r="G45">
        <v>2.09</v>
      </c>
      <c r="H45">
        <v>1.84</v>
      </c>
      <c r="I45">
        <v>2.2799999999999998</v>
      </c>
      <c r="J45">
        <v>2.77</v>
      </c>
      <c r="K45">
        <v>4.29</v>
      </c>
    </row>
    <row r="46" spans="1:11" s="163" customFormat="1">
      <c r="A46" s="163" t="s">
        <v>17</v>
      </c>
      <c r="B46" s="229">
        <v>0.72</v>
      </c>
      <c r="C46">
        <v>0.72</v>
      </c>
      <c r="D46">
        <v>1.53</v>
      </c>
      <c r="E46">
        <v>1.76</v>
      </c>
      <c r="F46">
        <v>2.23</v>
      </c>
      <c r="G46">
        <v>2.0099999999999998</v>
      </c>
      <c r="H46">
        <v>1.36</v>
      </c>
      <c r="I46">
        <v>2.0099999999999998</v>
      </c>
      <c r="J46">
        <v>2.34</v>
      </c>
      <c r="K46">
        <v>2.99</v>
      </c>
    </row>
    <row r="47" spans="1:11" s="163" customFormat="1">
      <c r="A47" s="163" t="s">
        <v>497</v>
      </c>
      <c r="B47" s="229">
        <v>9.3000000000000007</v>
      </c>
      <c r="C47">
        <v>9.3000000000000007</v>
      </c>
      <c r="D47">
        <v>11.29</v>
      </c>
      <c r="E47">
        <v>9.94</v>
      </c>
      <c r="F47">
        <v>10.25</v>
      </c>
      <c r="G47">
        <v>32.770000000000003</v>
      </c>
      <c r="H47">
        <v>20.81</v>
      </c>
      <c r="I47">
        <v>19.54</v>
      </c>
      <c r="J47">
        <v>24.67</v>
      </c>
      <c r="K47">
        <v>34.86</v>
      </c>
    </row>
    <row r="48" spans="1:11" s="163" customFormat="1">
      <c r="A48" s="163" t="s">
        <v>19</v>
      </c>
      <c r="B48" s="229">
        <v>3.35</v>
      </c>
      <c r="C48">
        <v>3.35</v>
      </c>
      <c r="D48">
        <v>3.78</v>
      </c>
      <c r="E48">
        <v>3.66</v>
      </c>
      <c r="F48">
        <v>2.93</v>
      </c>
      <c r="G48">
        <v>12.25</v>
      </c>
      <c r="H48">
        <v>7.25</v>
      </c>
      <c r="I48">
        <v>6.86</v>
      </c>
      <c r="J48">
        <v>9.49</v>
      </c>
      <c r="K48">
        <v>11.9</v>
      </c>
    </row>
    <row r="49" spans="1:11" s="163" customFormat="1">
      <c r="A49" s="163" t="s">
        <v>288</v>
      </c>
      <c r="B49" s="229">
        <v>5.95</v>
      </c>
      <c r="C49">
        <v>5.95</v>
      </c>
      <c r="D49">
        <v>7.5</v>
      </c>
      <c r="E49">
        <v>6.28</v>
      </c>
      <c r="F49">
        <v>7.32</v>
      </c>
      <c r="G49">
        <v>20.52</v>
      </c>
      <c r="H49">
        <v>13.56</v>
      </c>
      <c r="I49">
        <v>12.66</v>
      </c>
      <c r="J49">
        <v>15.18</v>
      </c>
      <c r="K49">
        <v>22.96</v>
      </c>
    </row>
    <row r="50" spans="1:11">
      <c r="A50" s="163" t="s">
        <v>500</v>
      </c>
      <c r="B50" s="229">
        <v>9.27</v>
      </c>
      <c r="C50">
        <v>9.27</v>
      </c>
      <c r="D50">
        <v>11.84</v>
      </c>
      <c r="E50">
        <v>11.25</v>
      </c>
      <c r="F50">
        <v>9.44</v>
      </c>
      <c r="G50">
        <v>33.409999999999997</v>
      </c>
      <c r="H50">
        <v>19.91</v>
      </c>
      <c r="I50">
        <v>18.64</v>
      </c>
      <c r="J50">
        <v>26.56</v>
      </c>
      <c r="K50">
        <v>36.29</v>
      </c>
    </row>
    <row r="51" spans="1:11">
      <c r="A51" s="163"/>
    </row>
    <row r="52" spans="1:11">
      <c r="A52" s="163"/>
    </row>
    <row r="53" spans="1:11">
      <c r="A53" s="163"/>
    </row>
    <row r="54" spans="1:11">
      <c r="A54" s="163"/>
    </row>
    <row r="55" spans="1:11">
      <c r="A55" s="158" t="s">
        <v>501</v>
      </c>
    </row>
    <row r="56" spans="1:11" s="162" customFormat="1">
      <c r="A56" s="160" t="s">
        <v>493</v>
      </c>
      <c r="B56" s="161">
        <v>39538</v>
      </c>
      <c r="C56" s="161">
        <v>39903</v>
      </c>
      <c r="D56" s="161">
        <v>40268</v>
      </c>
      <c r="E56" s="161">
        <v>40633</v>
      </c>
      <c r="F56" s="161">
        <v>40999</v>
      </c>
      <c r="G56" s="161">
        <v>41364</v>
      </c>
      <c r="H56" s="161">
        <v>41729</v>
      </c>
      <c r="I56" s="161">
        <v>42094</v>
      </c>
      <c r="J56" s="161">
        <v>42460</v>
      </c>
      <c r="K56" s="161">
        <v>42825</v>
      </c>
    </row>
    <row r="57" spans="1:11">
      <c r="A57" s="163" t="s">
        <v>502</v>
      </c>
      <c r="B57" s="229">
        <v>0.8</v>
      </c>
      <c r="C57" s="229">
        <v>0.8</v>
      </c>
      <c r="D57" s="229">
        <v>0.8</v>
      </c>
      <c r="E57" s="229">
        <v>0.8</v>
      </c>
      <c r="F57">
        <v>0.8</v>
      </c>
      <c r="G57">
        <v>0.8</v>
      </c>
      <c r="H57">
        <v>0.8</v>
      </c>
      <c r="I57">
        <v>0.8</v>
      </c>
      <c r="J57">
        <v>3.2</v>
      </c>
      <c r="K57">
        <v>28.8</v>
      </c>
    </row>
    <row r="58" spans="1:11">
      <c r="A58" s="163" t="s">
        <v>503</v>
      </c>
      <c r="B58" s="229">
        <v>14.48</v>
      </c>
      <c r="C58" s="229">
        <v>14.48</v>
      </c>
      <c r="D58" s="229">
        <v>14.48</v>
      </c>
      <c r="E58" s="229">
        <v>14.48</v>
      </c>
      <c r="F58">
        <v>14.48</v>
      </c>
      <c r="G58">
        <v>25.8</v>
      </c>
      <c r="H58">
        <v>33.99</v>
      </c>
      <c r="I58">
        <v>46.12</v>
      </c>
      <c r="J58">
        <v>63.11</v>
      </c>
      <c r="K58">
        <v>78.819999999999993</v>
      </c>
    </row>
    <row r="59" spans="1:11">
      <c r="A59" s="163" t="s">
        <v>254</v>
      </c>
      <c r="B59" s="229">
        <v>25.87</v>
      </c>
      <c r="C59" s="229">
        <v>25.87</v>
      </c>
      <c r="D59" s="229">
        <v>25.87</v>
      </c>
      <c r="E59" s="229">
        <v>25.87</v>
      </c>
      <c r="F59">
        <v>25.87</v>
      </c>
      <c r="G59">
        <v>14.99</v>
      </c>
      <c r="H59">
        <v>26.01</v>
      </c>
      <c r="I59">
        <v>33.409999999999997</v>
      </c>
      <c r="J59">
        <v>45.25</v>
      </c>
      <c r="K59">
        <v>67.739999999999995</v>
      </c>
    </row>
    <row r="60" spans="1:11">
      <c r="A60" s="163" t="s">
        <v>255</v>
      </c>
      <c r="B60" s="229">
        <v>50.82</v>
      </c>
      <c r="C60" s="229">
        <v>50.82</v>
      </c>
      <c r="D60" s="229">
        <v>50.82</v>
      </c>
      <c r="E60" s="229">
        <v>50.82</v>
      </c>
      <c r="F60">
        <v>50.82</v>
      </c>
      <c r="G60">
        <v>59.37</v>
      </c>
      <c r="H60">
        <v>75.47</v>
      </c>
      <c r="I60">
        <v>106.05</v>
      </c>
      <c r="J60">
        <v>117.2</v>
      </c>
      <c r="K60">
        <v>139.88</v>
      </c>
    </row>
    <row r="61" spans="1:11" s="158" customFormat="1">
      <c r="A61" s="158" t="s">
        <v>504</v>
      </c>
      <c r="B61" s="229">
        <v>91.97</v>
      </c>
      <c r="C61" s="229">
        <v>91.97</v>
      </c>
      <c r="D61" s="229">
        <v>91.97</v>
      </c>
      <c r="E61" s="229">
        <v>91.97</v>
      </c>
      <c r="F61">
        <v>91.97</v>
      </c>
      <c r="G61">
        <v>100.96</v>
      </c>
      <c r="H61">
        <v>136.27000000000001</v>
      </c>
      <c r="I61">
        <v>186.38</v>
      </c>
      <c r="J61">
        <v>228.76</v>
      </c>
      <c r="K61">
        <v>315.24</v>
      </c>
    </row>
    <row r="62" spans="1:11">
      <c r="A62" s="163" t="s">
        <v>505</v>
      </c>
      <c r="B62" s="229">
        <v>18.02</v>
      </c>
      <c r="C62" s="229">
        <v>18.02</v>
      </c>
      <c r="D62" s="229">
        <v>18.02</v>
      </c>
      <c r="E62" s="229">
        <v>18.02</v>
      </c>
      <c r="F62">
        <v>18.02</v>
      </c>
      <c r="G62">
        <v>18.46</v>
      </c>
      <c r="H62">
        <v>18.510000000000002</v>
      </c>
      <c r="I62">
        <v>33.22</v>
      </c>
      <c r="J62">
        <v>52.22</v>
      </c>
      <c r="K62">
        <v>51.77</v>
      </c>
    </row>
    <row r="63" spans="1:11">
      <c r="A63" s="163" t="s">
        <v>10</v>
      </c>
      <c r="B63" s="341"/>
      <c r="C63" s="341"/>
      <c r="D63" s="341"/>
      <c r="E63" s="341"/>
      <c r="I63">
        <v>0.24</v>
      </c>
    </row>
    <row r="64" spans="1:11">
      <c r="A64" s="163" t="s">
        <v>506</v>
      </c>
      <c r="B64" s="229">
        <v>0.31</v>
      </c>
      <c r="C64" s="229">
        <v>0.31</v>
      </c>
      <c r="D64" s="229">
        <v>0.31</v>
      </c>
      <c r="E64" s="229">
        <v>0.31</v>
      </c>
      <c r="F64">
        <v>0.31</v>
      </c>
      <c r="G64">
        <v>3.49</v>
      </c>
      <c r="H64">
        <v>8.92</v>
      </c>
      <c r="I64">
        <v>12.65</v>
      </c>
      <c r="J64">
        <v>18.059999999999999</v>
      </c>
      <c r="K64">
        <v>21.58</v>
      </c>
    </row>
    <row r="65" spans="1:11">
      <c r="A65" s="163" t="s">
        <v>507</v>
      </c>
      <c r="B65" s="229">
        <v>73.64</v>
      </c>
      <c r="C65" s="229">
        <v>73.64</v>
      </c>
      <c r="D65" s="229">
        <v>73.64</v>
      </c>
      <c r="E65" s="229">
        <v>73.64</v>
      </c>
      <c r="F65">
        <v>73.64</v>
      </c>
      <c r="G65">
        <v>79.010000000000005</v>
      </c>
      <c r="H65">
        <v>108.84</v>
      </c>
      <c r="I65">
        <v>140.27000000000001</v>
      </c>
      <c r="J65">
        <v>158.47999999999999</v>
      </c>
      <c r="K65">
        <v>241.89</v>
      </c>
    </row>
    <row r="66" spans="1:11" s="158" customFormat="1">
      <c r="A66" s="158" t="s">
        <v>504</v>
      </c>
      <c r="B66" s="229">
        <v>91.97</v>
      </c>
      <c r="C66" s="229">
        <v>91.97</v>
      </c>
      <c r="D66" s="229">
        <v>91.97</v>
      </c>
      <c r="E66" s="229">
        <v>91.97</v>
      </c>
      <c r="F66">
        <v>91.97</v>
      </c>
      <c r="G66">
        <v>100.96</v>
      </c>
      <c r="H66">
        <v>136.27000000000001</v>
      </c>
      <c r="I66">
        <v>186.38</v>
      </c>
      <c r="J66">
        <v>228.76</v>
      </c>
      <c r="K66">
        <v>315.24</v>
      </c>
    </row>
    <row r="67" spans="1:11" s="163" customFormat="1">
      <c r="A67" s="163" t="s">
        <v>508</v>
      </c>
      <c r="B67" s="229">
        <v>18.95</v>
      </c>
      <c r="C67" s="229">
        <v>18.95</v>
      </c>
      <c r="D67" s="229">
        <v>18.95</v>
      </c>
      <c r="E67" s="229">
        <v>18.95</v>
      </c>
      <c r="F67">
        <v>18.95</v>
      </c>
      <c r="G67">
        <v>12.17</v>
      </c>
      <c r="H67">
        <v>13.76</v>
      </c>
      <c r="I67">
        <v>23.87</v>
      </c>
      <c r="J67">
        <v>10.32</v>
      </c>
      <c r="K67">
        <v>53.26</v>
      </c>
    </row>
    <row r="68" spans="1:11">
      <c r="A68" s="163" t="s">
        <v>234</v>
      </c>
      <c r="B68" s="229">
        <v>1.42</v>
      </c>
      <c r="C68" s="229">
        <v>1.42</v>
      </c>
      <c r="D68" s="229">
        <v>1.42</v>
      </c>
      <c r="E68" s="229">
        <v>1.42</v>
      </c>
      <c r="F68">
        <v>1.42</v>
      </c>
      <c r="G68">
        <v>1.84</v>
      </c>
      <c r="H68">
        <v>1.57</v>
      </c>
      <c r="I68">
        <v>4.21</v>
      </c>
      <c r="J68">
        <v>4.04</v>
      </c>
      <c r="K68">
        <v>3.04</v>
      </c>
    </row>
    <row r="69" spans="1:11">
      <c r="A69" s="159" t="s">
        <v>509</v>
      </c>
      <c r="B69" s="229">
        <v>35.94</v>
      </c>
      <c r="C69" s="229">
        <v>35.94</v>
      </c>
      <c r="D69" s="229">
        <v>35.94</v>
      </c>
      <c r="E69" s="229">
        <v>35.94</v>
      </c>
      <c r="F69">
        <v>35.94</v>
      </c>
      <c r="G69">
        <v>44.61</v>
      </c>
      <c r="H69">
        <v>68.44</v>
      </c>
      <c r="I69">
        <v>84.82</v>
      </c>
      <c r="J69">
        <v>106.38</v>
      </c>
      <c r="K69">
        <v>125</v>
      </c>
    </row>
    <row r="70" spans="1:11">
      <c r="A70" s="159" t="s">
        <v>510</v>
      </c>
      <c r="B70" s="229">
        <v>800000</v>
      </c>
      <c r="C70" s="229">
        <v>800000</v>
      </c>
      <c r="D70" s="229">
        <v>800000</v>
      </c>
      <c r="E70" s="229">
        <v>800000</v>
      </c>
      <c r="F70">
        <v>800000</v>
      </c>
      <c r="G70">
        <v>800000</v>
      </c>
      <c r="H70">
        <v>800000</v>
      </c>
      <c r="I70">
        <v>800000</v>
      </c>
      <c r="J70">
        <v>3200000</v>
      </c>
      <c r="K70">
        <v>28800000</v>
      </c>
    </row>
    <row r="71" spans="1:11">
      <c r="A71" s="159" t="s">
        <v>511</v>
      </c>
      <c r="B71" s="341"/>
      <c r="C71" s="341"/>
      <c r="D71" s="341"/>
      <c r="E71" s="341"/>
    </row>
    <row r="72" spans="1:11">
      <c r="A72" s="159" t="s">
        <v>512</v>
      </c>
      <c r="B72" s="229">
        <v>10</v>
      </c>
      <c r="C72" s="229">
        <v>10</v>
      </c>
      <c r="D72" s="229">
        <v>10</v>
      </c>
      <c r="E72" s="229">
        <v>10</v>
      </c>
      <c r="F72">
        <v>10</v>
      </c>
      <c r="G72">
        <v>10</v>
      </c>
      <c r="H72">
        <v>10</v>
      </c>
      <c r="I72">
        <v>10</v>
      </c>
      <c r="J72">
        <v>10</v>
      </c>
      <c r="K72">
        <v>10</v>
      </c>
    </row>
    <row r="74" spans="1:11">
      <c r="A74" s="163"/>
    </row>
    <row r="75" spans="1:11">
      <c r="A75" s="163"/>
    </row>
    <row r="76" spans="1:11">
      <c r="A76" s="163"/>
    </row>
    <row r="77" spans="1:11">
      <c r="A77" s="163"/>
    </row>
    <row r="78" spans="1:11">
      <c r="A78" s="163"/>
    </row>
    <row r="79" spans="1:11">
      <c r="A79" s="163"/>
    </row>
    <row r="80" spans="1:11">
      <c r="A80" s="158" t="s">
        <v>513</v>
      </c>
    </row>
    <row r="81" spans="1:11" s="162" customFormat="1">
      <c r="A81" s="160" t="s">
        <v>493</v>
      </c>
      <c r="B81" s="161">
        <v>39538</v>
      </c>
      <c r="C81" s="161">
        <v>39903</v>
      </c>
      <c r="D81" s="161">
        <v>40268</v>
      </c>
      <c r="E81" s="161">
        <v>40633</v>
      </c>
      <c r="F81" s="161">
        <v>40999</v>
      </c>
      <c r="G81" s="161">
        <v>41364</v>
      </c>
      <c r="H81" s="161">
        <v>41729</v>
      </c>
      <c r="I81" s="161">
        <v>42094</v>
      </c>
      <c r="J81" s="161">
        <v>42460</v>
      </c>
      <c r="K81" s="161">
        <v>42825</v>
      </c>
    </row>
    <row r="82" spans="1:11" s="158" customFormat="1">
      <c r="A82" s="163" t="s">
        <v>514</v>
      </c>
      <c r="B82" s="229">
        <v>15.81</v>
      </c>
      <c r="C82" s="229">
        <v>15.81</v>
      </c>
      <c r="D82" s="229">
        <v>15.81</v>
      </c>
      <c r="E82" s="229">
        <v>15.81</v>
      </c>
      <c r="F82">
        <v>15.81</v>
      </c>
      <c r="G82">
        <v>26.36</v>
      </c>
      <c r="H82">
        <v>19.5</v>
      </c>
      <c r="I82">
        <v>29.97</v>
      </c>
      <c r="J82">
        <v>41.06</v>
      </c>
      <c r="K82">
        <v>1.07</v>
      </c>
    </row>
    <row r="83" spans="1:11" s="163" customFormat="1">
      <c r="A83" s="163" t="s">
        <v>263</v>
      </c>
      <c r="B83" s="229">
        <v>-21.81</v>
      </c>
      <c r="C83" s="229">
        <v>-21.81</v>
      </c>
      <c r="D83" s="229">
        <v>-21.81</v>
      </c>
      <c r="E83" s="229">
        <v>-21.81</v>
      </c>
      <c r="F83">
        <v>-21.81</v>
      </c>
      <c r="G83">
        <v>1.88</v>
      </c>
      <c r="H83">
        <v>-40.57</v>
      </c>
      <c r="I83">
        <v>-25.55</v>
      </c>
      <c r="J83">
        <v>-43.29</v>
      </c>
      <c r="K83">
        <v>-6.95</v>
      </c>
    </row>
    <row r="84" spans="1:11" s="163" customFormat="1">
      <c r="A84" s="163" t="s">
        <v>264</v>
      </c>
      <c r="B84" s="229">
        <v>8.81</v>
      </c>
      <c r="C84" s="229">
        <v>8.81</v>
      </c>
      <c r="D84" s="229">
        <v>8.81</v>
      </c>
      <c r="E84" s="229">
        <v>8.81</v>
      </c>
      <c r="F84">
        <v>8.81</v>
      </c>
      <c r="G84">
        <v>-13.58</v>
      </c>
      <c r="H84">
        <v>9.4499999999999993</v>
      </c>
      <c r="I84">
        <v>4.07</v>
      </c>
      <c r="J84">
        <v>2.5499999999999998</v>
      </c>
      <c r="K84">
        <v>15.97</v>
      </c>
    </row>
    <row r="85" spans="1:11" s="158" customFormat="1">
      <c r="A85" s="163" t="s">
        <v>515</v>
      </c>
      <c r="B85" s="229">
        <v>2.81</v>
      </c>
      <c r="C85" s="229">
        <v>2.81</v>
      </c>
      <c r="D85" s="229">
        <v>2.81</v>
      </c>
      <c r="E85" s="229">
        <v>2.81</v>
      </c>
      <c r="F85">
        <v>2.81</v>
      </c>
      <c r="G85">
        <v>14.67</v>
      </c>
      <c r="H85">
        <v>-11.62</v>
      </c>
      <c r="I85">
        <v>8.48</v>
      </c>
      <c r="J85">
        <v>0.31</v>
      </c>
      <c r="K85">
        <v>10.09</v>
      </c>
    </row>
    <row r="86" spans="1:11">
      <c r="A86" s="163"/>
    </row>
    <row r="87" spans="1:11">
      <c r="A87" s="163"/>
    </row>
    <row r="88" spans="1:11">
      <c r="A88" s="163"/>
    </row>
    <row r="89" spans="1:11">
      <c r="A89" s="163"/>
    </row>
    <row r="90" spans="1:11" s="158" customFormat="1">
      <c r="A90" s="158" t="s">
        <v>516</v>
      </c>
      <c r="K90" s="158">
        <v>190</v>
      </c>
    </row>
    <row r="92" spans="1:11" s="158" customFormat="1">
      <c r="A92" s="158" t="s">
        <v>517</v>
      </c>
    </row>
    <row r="93" spans="1:11">
      <c r="A93" s="159" t="s">
        <v>518</v>
      </c>
      <c r="B93" s="164">
        <f>IF($B7&gt;0,(B70*B72/$B7)+SUM(C71:$K71),0)/10000000</f>
        <v>0.08</v>
      </c>
      <c r="C93" s="164">
        <f>IF($B7&gt;0,(C70*C72/$B7)+SUM(D71:$K71),0)/10000000</f>
        <v>0.08</v>
      </c>
      <c r="D93" s="164">
        <f>IF($B7&gt;0,(D70*D72/$B7)+SUM(E71:$K71),0)/10000000</f>
        <v>0.08</v>
      </c>
      <c r="E93" s="164">
        <f>IF($B7&gt;0,(E70*E72/$B7)+SUM(F71:$K71),0)/10000000</f>
        <v>0.08</v>
      </c>
      <c r="F93" s="164">
        <f>IF($B7&gt;0,(F70*F72/$B7)+SUM(G71:$K71),0)/10000000</f>
        <v>0.08</v>
      </c>
      <c r="G93" s="164">
        <f>IF($B7&gt;0,(G70*G72/$B7)+SUM(H71:$K71),0)/10000000</f>
        <v>0.08</v>
      </c>
      <c r="H93" s="164">
        <f>IF($B7&gt;0,(H70*H72/$B7)+SUM(I71:$K71),0)/10000000</f>
        <v>0.08</v>
      </c>
      <c r="I93" s="164">
        <f>IF($B7&gt;0,(I70*I72/$B7)+SUM(J71:$K71),0)/10000000</f>
        <v>0.08</v>
      </c>
      <c r="J93" s="164">
        <f>IF($B7&gt;0,(J70*J72/$B7)+SUM(K71:$K71),0)/10000000</f>
        <v>0.32</v>
      </c>
      <c r="K93" s="164">
        <f>IF($B7&gt;0,(K70*K72/$B7),0)/10000000</f>
        <v>2.88</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workbookViewId="0">
      <selection activeCell="B5" sqref="B5:H26"/>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3" t="s">
        <v>379</v>
      </c>
    </row>
    <row r="5" spans="2:8">
      <c r="B5" s="324" t="s">
        <v>457</v>
      </c>
      <c r="C5" s="323">
        <v>43160</v>
      </c>
      <c r="D5" s="323">
        <f>EDATE(C5,-12)</f>
        <v>42795</v>
      </c>
      <c r="E5" s="323">
        <f>EDATE(D5,-12)</f>
        <v>42430</v>
      </c>
      <c r="F5" s="323">
        <f>EDATE(E5,-12)</f>
        <v>42064</v>
      </c>
      <c r="G5" s="323">
        <f>EDATE(F5,-12)</f>
        <v>41699</v>
      </c>
      <c r="H5" s="323">
        <f>EDATE(G5,-12)</f>
        <v>41334</v>
      </c>
    </row>
    <row r="6" spans="2:8">
      <c r="B6" s="319" t="s">
        <v>519</v>
      </c>
      <c r="C6" s="318">
        <v>0.72130000000000005</v>
      </c>
      <c r="D6" s="318">
        <v>0.71989999999999998</v>
      </c>
      <c r="E6" s="318"/>
      <c r="F6" s="318"/>
      <c r="G6" s="318"/>
      <c r="H6" s="318"/>
    </row>
    <row r="7" spans="2:8">
      <c r="B7" s="319" t="s">
        <v>520</v>
      </c>
      <c r="C7" s="318"/>
      <c r="D7" s="318"/>
      <c r="E7" s="318"/>
      <c r="F7" s="318"/>
      <c r="G7" s="318"/>
      <c r="H7" s="318"/>
    </row>
    <row r="8" spans="2:8">
      <c r="B8" s="319" t="s">
        <v>521</v>
      </c>
      <c r="C8" s="318">
        <v>1.1599999999999999E-2</v>
      </c>
      <c r="D8" s="318">
        <v>2.5100000000000001E-2</v>
      </c>
      <c r="E8" s="318"/>
      <c r="F8" s="318"/>
      <c r="G8" s="318"/>
      <c r="H8" s="318"/>
    </row>
    <row r="9" spans="2:8">
      <c r="B9" s="319" t="s">
        <v>522</v>
      </c>
      <c r="C9" s="318">
        <v>8.0199999999999994E-2</v>
      </c>
      <c r="D9" s="318">
        <v>0.13830000000000001</v>
      </c>
      <c r="E9" s="318"/>
      <c r="F9" s="318"/>
      <c r="G9" s="318"/>
      <c r="H9" s="318"/>
    </row>
    <row r="10" spans="2:8">
      <c r="B10" s="319" t="s">
        <v>523</v>
      </c>
      <c r="C10" s="318">
        <v>7.9899999999999999E-2</v>
      </c>
      <c r="D10" s="318">
        <v>4.7800000000000002E-2</v>
      </c>
      <c r="E10" s="318"/>
      <c r="F10" s="318"/>
      <c r="G10" s="318"/>
      <c r="H10" s="318"/>
    </row>
    <row r="11" spans="2:8">
      <c r="B11" s="319" t="s">
        <v>524</v>
      </c>
      <c r="C11" s="318">
        <v>6.7500000000000004E-2</v>
      </c>
      <c r="D11" s="318">
        <v>3.1E-2</v>
      </c>
      <c r="E11" s="318"/>
      <c r="F11" s="318"/>
      <c r="G11" s="318"/>
      <c r="H11" s="318"/>
    </row>
    <row r="12" spans="2:8">
      <c r="B12" s="319" t="s">
        <v>525</v>
      </c>
      <c r="C12" s="318">
        <v>2.8799999999999999E-2</v>
      </c>
      <c r="D12" s="318">
        <v>3.0300000000000001E-2</v>
      </c>
      <c r="E12" s="318"/>
      <c r="F12" s="318"/>
      <c r="G12" s="318"/>
      <c r="H12" s="318"/>
    </row>
    <row r="13" spans="2:8">
      <c r="B13" s="319" t="s">
        <v>526</v>
      </c>
      <c r="C13" s="318">
        <f t="shared" ref="C13:H13" si="0">1-SUM(C6:C12)</f>
        <v>1.0699999999999821E-2</v>
      </c>
      <c r="D13" s="318">
        <f t="shared" si="0"/>
        <v>7.6000000000000512E-3</v>
      </c>
      <c r="E13" s="321">
        <f t="shared" si="0"/>
        <v>1</v>
      </c>
      <c r="F13" s="321">
        <f t="shared" si="0"/>
        <v>1</v>
      </c>
      <c r="G13" s="321">
        <f t="shared" si="0"/>
        <v>1</v>
      </c>
      <c r="H13" s="321">
        <f t="shared" si="0"/>
        <v>1</v>
      </c>
    </row>
    <row r="14" spans="2:8">
      <c r="B14" s="319"/>
      <c r="C14" s="318"/>
      <c r="D14" s="318"/>
      <c r="E14" s="320"/>
      <c r="F14" s="320"/>
      <c r="G14" s="320"/>
      <c r="H14" s="320"/>
    </row>
    <row r="15" spans="2:8">
      <c r="B15" s="319"/>
      <c r="C15" s="318"/>
      <c r="D15" s="318"/>
      <c r="E15" s="320"/>
      <c r="F15" s="320"/>
      <c r="G15" s="320"/>
      <c r="H15" s="320"/>
    </row>
    <row r="16" spans="2:8">
      <c r="B16" s="319"/>
      <c r="C16" s="318"/>
      <c r="D16" s="318"/>
      <c r="E16" s="320"/>
      <c r="F16" s="320"/>
      <c r="G16" s="320"/>
      <c r="H16" s="320"/>
    </row>
    <row r="17" spans="2:8">
      <c r="B17" s="322" t="s">
        <v>504</v>
      </c>
      <c r="C17" s="321">
        <f t="shared" ref="C17:H17" si="1">SUM(C6:C16)</f>
        <v>1</v>
      </c>
      <c r="D17" s="321">
        <f t="shared" si="1"/>
        <v>1</v>
      </c>
      <c r="E17" s="320">
        <f t="shared" si="1"/>
        <v>1</v>
      </c>
      <c r="F17" s="320">
        <f t="shared" si="1"/>
        <v>1</v>
      </c>
      <c r="G17" s="320">
        <f t="shared" si="1"/>
        <v>1</v>
      </c>
      <c r="H17" s="320">
        <f t="shared" si="1"/>
        <v>1</v>
      </c>
    </row>
    <row r="20" spans="2:8">
      <c r="B20" s="319" t="s">
        <v>527</v>
      </c>
      <c r="C20" s="318"/>
      <c r="D20" s="318"/>
      <c r="E20" s="318"/>
      <c r="F20" s="318"/>
      <c r="G20" s="318"/>
      <c r="H20" s="318"/>
    </row>
    <row r="21" spans="2:8">
      <c r="B21" s="319" t="s">
        <v>528</v>
      </c>
      <c r="C21" s="318">
        <v>0.39739999999999998</v>
      </c>
      <c r="D21" s="318"/>
      <c r="E21" s="318"/>
      <c r="F21" s="318"/>
      <c r="G21" s="318"/>
      <c r="H21" s="318"/>
    </row>
    <row r="22" spans="2:8">
      <c r="B22" s="319" t="s">
        <v>529</v>
      </c>
      <c r="C22" s="318">
        <v>0.14399999999999999</v>
      </c>
      <c r="D22" s="318"/>
      <c r="E22" s="318"/>
      <c r="F22" s="318"/>
      <c r="G22" s="318"/>
      <c r="H22" s="318"/>
    </row>
    <row r="23" spans="2:8">
      <c r="B23" s="319" t="s">
        <v>530</v>
      </c>
      <c r="C23" s="318">
        <v>7.1900000000000006E-2</v>
      </c>
      <c r="D23" s="318"/>
      <c r="E23" s="318"/>
      <c r="F23" s="318"/>
      <c r="G23" s="318"/>
      <c r="H23" s="318"/>
    </row>
    <row r="24" spans="2:8">
      <c r="B24" s="319" t="s">
        <v>531</v>
      </c>
      <c r="C24" s="318">
        <v>0.108</v>
      </c>
      <c r="D24" s="318"/>
      <c r="E24" s="318"/>
      <c r="F24" s="318"/>
      <c r="G24" s="318"/>
      <c r="H24" s="318"/>
    </row>
    <row r="25" spans="2:8">
      <c r="B25" s="319"/>
      <c r="C25" s="318"/>
      <c r="D25" s="318"/>
      <c r="E25" s="318"/>
      <c r="F25" s="318"/>
      <c r="G25" s="318"/>
      <c r="H25" s="318"/>
    </row>
    <row r="26" spans="2:8">
      <c r="B26" s="319" t="s">
        <v>363</v>
      </c>
      <c r="C26" s="318">
        <f>SUM(C6:C7)-SUM(C21:C25)</f>
        <v>0</v>
      </c>
      <c r="D26" s="318">
        <f t="shared" ref="D26:H26" si="2">SUM(D6:D7)-SUM(D21:D25)</f>
        <v>0.71989999999999998</v>
      </c>
      <c r="E26" s="318">
        <f t="shared" si="2"/>
        <v>0</v>
      </c>
      <c r="F26" s="318">
        <f t="shared" si="2"/>
        <v>0</v>
      </c>
      <c r="G26" s="318">
        <f t="shared" si="2"/>
        <v>0</v>
      </c>
      <c r="H26" s="318">
        <f t="shared" si="2"/>
        <v>0</v>
      </c>
    </row>
  </sheetData>
  <hyperlinks>
    <hyperlink ref="B3"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4" sqref="D4"/>
    </sheetView>
  </sheetViews>
  <sheetFormatPr defaultColWidth="9" defaultRowHeight="15"/>
  <cols>
    <col min="1" max="1" width="4.140625" style="179" customWidth="1"/>
    <col min="2" max="2" width="46.42578125" style="178" bestFit="1" customWidth="1"/>
    <col min="3" max="3" width="9" style="178"/>
    <col min="4" max="4" width="56.140625" style="178" customWidth="1"/>
    <col min="5" max="5" width="94.140625" style="179" customWidth="1"/>
    <col min="6" max="16384" width="9" style="179"/>
  </cols>
  <sheetData>
    <row r="2" spans="2:5">
      <c r="B2" s="184" t="s">
        <v>0</v>
      </c>
      <c r="C2" s="184"/>
      <c r="D2" s="184" t="str">
        <f>[1]Quantitative!B1</f>
        <v>PSP PROJECTS LTD</v>
      </c>
    </row>
    <row r="3" spans="2:5">
      <c r="B3" s="181" t="s">
        <v>1</v>
      </c>
      <c r="C3" s="181"/>
      <c r="D3" s="181"/>
    </row>
    <row r="4" spans="2:5" ht="24.95" customHeight="1">
      <c r="B4" s="181" t="s">
        <v>5</v>
      </c>
      <c r="C4" s="181"/>
      <c r="D4" s="217" t="s">
        <v>532</v>
      </c>
    </row>
    <row r="5" spans="2:5">
      <c r="B5" s="181" t="s">
        <v>283</v>
      </c>
      <c r="C5" s="181"/>
      <c r="D5" s="181">
        <f>[1]Quantitative!B8</f>
        <v>540.29999999999995</v>
      </c>
    </row>
    <row r="8" spans="2:5">
      <c r="B8" s="184" t="s">
        <v>322</v>
      </c>
      <c r="C8" s="181" t="s">
        <v>74</v>
      </c>
      <c r="D8" s="181" t="s">
        <v>216</v>
      </c>
    </row>
    <row r="9" spans="2:5">
      <c r="B9" s="181" t="s">
        <v>320</v>
      </c>
      <c r="C9" s="181"/>
      <c r="D9" s="182">
        <v>0.2</v>
      </c>
      <c r="E9" s="183"/>
    </row>
    <row r="10" spans="2:5">
      <c r="B10" s="181" t="s">
        <v>128</v>
      </c>
      <c r="C10" s="181"/>
      <c r="D10" s="182">
        <v>0.08</v>
      </c>
      <c r="E10" s="183"/>
    </row>
    <row r="11" spans="2:5">
      <c r="B11" s="181"/>
      <c r="C11" s="181"/>
      <c r="D11" s="181"/>
      <c r="E11" s="183"/>
    </row>
    <row r="12" spans="2:5">
      <c r="B12" s="181"/>
      <c r="C12" s="181"/>
      <c r="D12" s="181"/>
      <c r="E12" s="183"/>
    </row>
    <row r="13" spans="2:5">
      <c r="B13" s="184" t="s">
        <v>478</v>
      </c>
      <c r="C13" s="185"/>
      <c r="D13" s="181"/>
      <c r="E13" s="183"/>
    </row>
    <row r="14" spans="2:5" ht="24.95" customHeight="1">
      <c r="B14" s="181" t="s">
        <v>166</v>
      </c>
      <c r="C14" s="185">
        <v>0.05</v>
      </c>
      <c r="D14" s="181">
        <v>4</v>
      </c>
      <c r="E14" s="186" t="s">
        <v>168</v>
      </c>
    </row>
    <row r="15" spans="2:5" ht="24.95" customHeight="1">
      <c r="B15" s="181" t="s">
        <v>169</v>
      </c>
      <c r="C15" s="185">
        <v>0.02</v>
      </c>
      <c r="D15" s="181">
        <v>2</v>
      </c>
      <c r="E15" s="186" t="s">
        <v>171</v>
      </c>
    </row>
    <row r="16" spans="2:5" ht="24.95" customHeight="1">
      <c r="B16" s="181" t="s">
        <v>172</v>
      </c>
      <c r="C16" s="185">
        <v>0.02</v>
      </c>
      <c r="D16" s="181">
        <v>2</v>
      </c>
      <c r="E16" s="186" t="s">
        <v>174</v>
      </c>
    </row>
    <row r="17" spans="2:5" ht="24.95" customHeight="1">
      <c r="B17" s="181" t="s">
        <v>175</v>
      </c>
      <c r="C17" s="185">
        <v>0.04</v>
      </c>
      <c r="D17" s="181">
        <v>4</v>
      </c>
      <c r="E17" s="186" t="s">
        <v>177</v>
      </c>
    </row>
    <row r="18" spans="2:5" ht="24.95" customHeight="1">
      <c r="B18" s="181"/>
      <c r="C18" s="185"/>
      <c r="D18" s="181"/>
      <c r="E18" s="186"/>
    </row>
    <row r="19" spans="2:5" ht="24.95" customHeight="1">
      <c r="B19" s="181" t="s">
        <v>179</v>
      </c>
      <c r="C19" s="185">
        <v>0.08</v>
      </c>
      <c r="D19" s="181">
        <v>4</v>
      </c>
      <c r="E19" s="186" t="s">
        <v>181</v>
      </c>
    </row>
    <row r="20" spans="2:5" ht="24.95" customHeight="1">
      <c r="B20" s="181" t="s">
        <v>182</v>
      </c>
      <c r="C20" s="185">
        <v>0.02</v>
      </c>
      <c r="D20" s="181">
        <v>2</v>
      </c>
      <c r="E20" s="186" t="s">
        <v>184</v>
      </c>
    </row>
    <row r="21" spans="2:5" ht="24.95" customHeight="1">
      <c r="B21" s="181" t="s">
        <v>185</v>
      </c>
      <c r="C21" s="185">
        <v>0.04</v>
      </c>
      <c r="D21" s="181">
        <v>4</v>
      </c>
      <c r="E21" s="186" t="s">
        <v>187</v>
      </c>
    </row>
    <row r="22" spans="2:5" ht="24.95" customHeight="1">
      <c r="B22" s="181" t="s">
        <v>188</v>
      </c>
      <c r="C22" s="185">
        <v>0.02</v>
      </c>
      <c r="D22" s="181">
        <v>1</v>
      </c>
      <c r="E22" s="186" t="s">
        <v>190</v>
      </c>
    </row>
    <row r="23" spans="2:5" ht="24.95" customHeight="1">
      <c r="B23" s="181" t="s">
        <v>194</v>
      </c>
      <c r="C23" s="185">
        <v>0.03</v>
      </c>
      <c r="D23" s="181"/>
      <c r="E23" s="186" t="s">
        <v>193</v>
      </c>
    </row>
    <row r="24" spans="2:5" ht="24.95" customHeight="1">
      <c r="B24" s="181"/>
      <c r="C24" s="181"/>
      <c r="D24" s="181"/>
      <c r="E24" s="186"/>
    </row>
    <row r="25" spans="2:5" ht="24.95" customHeight="1">
      <c r="B25" s="181"/>
      <c r="C25" s="185"/>
      <c r="D25" s="181"/>
      <c r="E25" s="186"/>
    </row>
    <row r="26" spans="2:5" ht="24.95" customHeight="1">
      <c r="B26" s="181" t="s">
        <v>197</v>
      </c>
      <c r="C26" s="185">
        <v>0.03</v>
      </c>
      <c r="D26" s="181">
        <v>3</v>
      </c>
      <c r="E26" s="186" t="s">
        <v>199</v>
      </c>
    </row>
    <row r="27" spans="2:5" ht="24.95" customHeight="1">
      <c r="B27" s="181" t="s">
        <v>200</v>
      </c>
      <c r="C27" s="185">
        <v>0.02</v>
      </c>
      <c r="D27" s="181">
        <v>1</v>
      </c>
      <c r="E27" s="186" t="s">
        <v>202</v>
      </c>
    </row>
    <row r="28" spans="2:5" ht="24.95" customHeight="1">
      <c r="B28" s="181" t="s">
        <v>203</v>
      </c>
      <c r="C28" s="185">
        <v>0.02</v>
      </c>
      <c r="D28" s="181">
        <v>2</v>
      </c>
      <c r="E28" s="186"/>
    </row>
    <row r="29" spans="2:5" ht="24.95" customHeight="1">
      <c r="B29" s="181" t="s">
        <v>311</v>
      </c>
      <c r="C29" s="185">
        <v>0.03</v>
      </c>
      <c r="D29" s="181">
        <v>2</v>
      </c>
      <c r="E29" s="186" t="s">
        <v>312</v>
      </c>
    </row>
    <row r="30" spans="2:5" ht="24.95" customHeight="1">
      <c r="B30" s="181"/>
      <c r="C30" s="185"/>
      <c r="D30" s="181"/>
      <c r="E30" s="186"/>
    </row>
    <row r="31" spans="2:5" ht="24.95" customHeight="1">
      <c r="B31" s="181" t="s">
        <v>204</v>
      </c>
      <c r="C31" s="185">
        <v>0.04</v>
      </c>
      <c r="D31" s="181">
        <v>2</v>
      </c>
      <c r="E31" s="186" t="s">
        <v>313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2"/>
  </cols>
  <sheetData>
    <row r="4" spans="2:24" ht="15">
      <c r="B4" s="223" t="s">
        <v>332</v>
      </c>
      <c r="X4" s="222" t="s">
        <v>381</v>
      </c>
    </row>
    <row r="6" spans="2:24">
      <c r="B6" s="222" t="s">
        <v>333</v>
      </c>
      <c r="X6" s="222" t="s">
        <v>382</v>
      </c>
    </row>
    <row r="7" spans="2:24">
      <c r="B7" s="222" t="s">
        <v>334</v>
      </c>
    </row>
    <row r="8" spans="2:24">
      <c r="B8" s="222" t="s">
        <v>335</v>
      </c>
      <c r="X8" s="222" t="s">
        <v>383</v>
      </c>
    </row>
    <row r="9" spans="2:24">
      <c r="B9" s="222" t="s">
        <v>336</v>
      </c>
    </row>
    <row r="10" spans="2:24">
      <c r="B10" s="222" t="s">
        <v>337</v>
      </c>
      <c r="X10" s="222" t="s">
        <v>384</v>
      </c>
    </row>
    <row r="12" spans="2:24">
      <c r="B12" s="222" t="s">
        <v>338</v>
      </c>
      <c r="X12" s="222" t="s">
        <v>385</v>
      </c>
    </row>
    <row r="13" spans="2:24">
      <c r="B13" s="222" t="s">
        <v>339</v>
      </c>
    </row>
    <row r="14" spans="2:24">
      <c r="B14" s="222" t="s">
        <v>376</v>
      </c>
      <c r="X14" s="222" t="s">
        <v>386</v>
      </c>
    </row>
    <row r="15" spans="2:24">
      <c r="B15" s="222" t="s">
        <v>340</v>
      </c>
    </row>
    <row r="16" spans="2:24">
      <c r="B16" s="222" t="s">
        <v>341</v>
      </c>
      <c r="X16" s="222" t="s">
        <v>387</v>
      </c>
    </row>
    <row r="18" spans="2:24">
      <c r="B18" s="222" t="s">
        <v>342</v>
      </c>
      <c r="X18" s="222" t="s">
        <v>388</v>
      </c>
    </row>
    <row r="19" spans="2:24">
      <c r="B19" s="222" t="s">
        <v>343</v>
      </c>
    </row>
    <row r="20" spans="2:24">
      <c r="B20" s="222" t="s">
        <v>344</v>
      </c>
      <c r="X20" s="222" t="s">
        <v>389</v>
      </c>
    </row>
    <row r="21" spans="2:24">
      <c r="B21" s="222" t="s">
        <v>377</v>
      </c>
    </row>
    <row r="22" spans="2:24">
      <c r="B22" s="222" t="s">
        <v>345</v>
      </c>
      <c r="X22" s="222" t="s">
        <v>390</v>
      </c>
    </row>
    <row r="24" spans="2:24">
      <c r="B24" s="222" t="s">
        <v>346</v>
      </c>
      <c r="X24" s="222" t="s">
        <v>391</v>
      </c>
    </row>
    <row r="25" spans="2:24">
      <c r="B25" s="222" t="s">
        <v>347</v>
      </c>
    </row>
    <row r="26" spans="2:24">
      <c r="B26" s="222" t="s">
        <v>348</v>
      </c>
      <c r="X26" s="222" t="s">
        <v>392</v>
      </c>
    </row>
    <row r="27" spans="2:24">
      <c r="B27" s="222" t="s">
        <v>349</v>
      </c>
    </row>
    <row r="28" spans="2:24">
      <c r="B28" s="222" t="s">
        <v>350</v>
      </c>
      <c r="X28" s="222" t="s">
        <v>393</v>
      </c>
    </row>
    <row r="30" spans="2:24">
      <c r="B30" s="222" t="s">
        <v>351</v>
      </c>
      <c r="X30" s="222" t="s">
        <v>394</v>
      </c>
    </row>
    <row r="31" spans="2:24">
      <c r="B31" s="222" t="s">
        <v>352</v>
      </c>
    </row>
    <row r="32" spans="2:24">
      <c r="B32" s="222" t="s">
        <v>378</v>
      </c>
      <c r="X32" s="222" t="s">
        <v>395</v>
      </c>
    </row>
    <row r="33" spans="2:24">
      <c r="B33" s="222" t="s">
        <v>353</v>
      </c>
    </row>
    <row r="34" spans="2:24">
      <c r="X34" s="222" t="s">
        <v>396</v>
      </c>
    </row>
    <row r="35" spans="2:24">
      <c r="B35" s="222" t="s">
        <v>354</v>
      </c>
    </row>
    <row r="36" spans="2:24">
      <c r="B36" s="222" t="s">
        <v>355</v>
      </c>
    </row>
    <row r="37" spans="2:24">
      <c r="B37" s="222" t="s">
        <v>356</v>
      </c>
    </row>
    <row r="38" spans="2:24">
      <c r="B38" s="222" t="s">
        <v>357</v>
      </c>
    </row>
    <row r="40" spans="2:24">
      <c r="B40" s="222"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34"/>
  <sheetViews>
    <sheetView showGridLines="0" workbookViewId="0">
      <selection activeCell="B23" sqref="B23"/>
    </sheetView>
  </sheetViews>
  <sheetFormatPr defaultColWidth="9.140625" defaultRowHeight="12.75"/>
  <cols>
    <col min="1" max="1" width="28.5703125" style="8" bestFit="1" customWidth="1"/>
    <col min="2" max="2" width="10" style="8" customWidth="1"/>
    <col min="3" max="3" width="3.42578125" style="204" customWidth="1"/>
    <col min="4" max="4" width="23.140625" style="8" bestFit="1" customWidth="1"/>
    <col min="5" max="9" width="11.5703125" style="8" bestFit="1" customWidth="1"/>
    <col min="10" max="10" width="11.5703125" style="8" customWidth="1"/>
    <col min="11" max="11" width="9.28515625" style="8" bestFit="1" customWidth="1"/>
    <col min="12" max="16384" width="9.140625" style="8"/>
  </cols>
  <sheetData>
    <row r="1" spans="1:14" customFormat="1" ht="15">
      <c r="C1" s="202"/>
    </row>
    <row r="5" spans="1:14">
      <c r="A5" s="354"/>
      <c r="B5" s="354"/>
      <c r="C5" s="354"/>
      <c r="D5" s="354"/>
      <c r="E5" s="354"/>
      <c r="F5" s="354"/>
      <c r="G5" s="354"/>
      <c r="H5" s="354"/>
      <c r="I5" s="354"/>
      <c r="J5" s="354"/>
      <c r="K5" s="354"/>
    </row>
    <row r="6" spans="1:14">
      <c r="A6" s="353"/>
      <c r="B6" s="353"/>
      <c r="C6" s="353"/>
      <c r="D6" s="353"/>
      <c r="E6" s="353"/>
      <c r="F6" s="353"/>
      <c r="G6" s="353"/>
      <c r="H6" s="353"/>
      <c r="I6" s="353"/>
      <c r="J6" s="353"/>
      <c r="K6" s="353"/>
    </row>
    <row r="7" spans="1:14">
      <c r="A7" s="349" t="s">
        <v>37</v>
      </c>
      <c r="B7" s="350"/>
      <c r="C7" s="203"/>
      <c r="D7" s="198" t="s">
        <v>48</v>
      </c>
      <c r="E7" s="21" t="s">
        <v>90</v>
      </c>
      <c r="F7" s="21" t="s">
        <v>91</v>
      </c>
      <c r="G7" s="21" t="s">
        <v>92</v>
      </c>
      <c r="H7" s="21" t="s">
        <v>93</v>
      </c>
      <c r="I7" s="21" t="s">
        <v>94</v>
      </c>
      <c r="J7" s="21" t="s">
        <v>298</v>
      </c>
      <c r="K7" s="20" t="s">
        <v>24</v>
      </c>
    </row>
    <row r="8" spans="1:14">
      <c r="A8" s="9" t="s">
        <v>29</v>
      </c>
      <c r="B8" s="172">
        <f>'Annual Report input'!D5</f>
        <v>540.29999999999995</v>
      </c>
      <c r="D8" s="8" t="s">
        <v>323</v>
      </c>
      <c r="E8" s="10">
        <f>'Screener Output.v0'!L76</f>
        <v>13.246187363834421</v>
      </c>
      <c r="F8" s="10">
        <f>'Screener Output.v0'!K76</f>
        <v>0</v>
      </c>
      <c r="G8" s="10">
        <f>'Screener Output.v0'!J76</f>
        <v>0</v>
      </c>
      <c r="H8" s="325">
        <f>'Screener Output.v0'!I76</f>
        <v>0</v>
      </c>
      <c r="I8" s="325">
        <f>'Screener Output.v0'!H76</f>
        <v>0</v>
      </c>
      <c r="J8" s="10"/>
    </row>
    <row r="9" spans="1:14" ht="15.75">
      <c r="A9" s="9" t="s">
        <v>370</v>
      </c>
      <c r="B9" s="16">
        <f>'Screener Output.v0'!M74</f>
        <v>22.347222222222221</v>
      </c>
      <c r="C9" s="205"/>
      <c r="D9" s="177" t="s">
        <v>28</v>
      </c>
      <c r="E9" s="10">
        <f>'Screener Output.v0'!L74</f>
        <v>14.343750000000002</v>
      </c>
      <c r="F9" s="10">
        <f>'Screener Output.v0'!K74</f>
        <v>78.53125</v>
      </c>
      <c r="G9" s="10">
        <f>'Screener Output.v0'!J74</f>
        <v>175.625</v>
      </c>
      <c r="H9" s="10">
        <f>'Screener Output.v0'!I74</f>
        <v>125.875</v>
      </c>
      <c r="I9" s="10">
        <f>'Screener Output.v0'!H74</f>
        <v>153.125</v>
      </c>
      <c r="J9" s="10">
        <f>'Screener Output.v0'!G74</f>
        <v>104.375</v>
      </c>
      <c r="K9" s="171">
        <f>(E9/J9)^(1/5)-1</f>
        <v>-0.32762238902383223</v>
      </c>
    </row>
    <row r="10" spans="1:14" ht="15.75">
      <c r="A10" s="9" t="s">
        <v>371</v>
      </c>
      <c r="B10" s="16">
        <f>SUM('Screener Input'!D49:G49)/'Screener Input'!K93</f>
        <v>14.451388888888891</v>
      </c>
      <c r="C10" s="205"/>
      <c r="D10" s="177" t="s">
        <v>26</v>
      </c>
      <c r="E10" s="10">
        <f>'Screener Output.v0'!L75</f>
        <v>0</v>
      </c>
      <c r="F10" s="10">
        <f>'Screener Output.v0'!K75</f>
        <v>15</v>
      </c>
      <c r="G10" s="10">
        <f>'Screener Output.v0'!J75</f>
        <v>20</v>
      </c>
      <c r="H10" s="10">
        <f>'Screener Output.v0'!I75</f>
        <v>20</v>
      </c>
      <c r="I10" s="10">
        <f>'Screener Output.v0'!H75</f>
        <v>10</v>
      </c>
      <c r="J10" s="10">
        <f>'Screener Output.v0'!G75</f>
        <v>0</v>
      </c>
      <c r="K10" s="171" t="e">
        <f>(E10/J10)^(1/5)-1</f>
        <v>#DIV/0!</v>
      </c>
      <c r="N10" s="236"/>
    </row>
    <row r="11" spans="1:14">
      <c r="A11" s="9" t="s">
        <v>30</v>
      </c>
      <c r="B11" s="16">
        <f>'Screener Output.v0'!L73</f>
        <v>37.368055555555557</v>
      </c>
      <c r="C11" s="205"/>
      <c r="D11" s="8" t="s">
        <v>324</v>
      </c>
      <c r="E11" s="10">
        <f>'Screener Output.v0'!L78</f>
        <v>5.0845567738338593</v>
      </c>
      <c r="F11" s="10">
        <f>'Screener Output.v0'!K78</f>
        <v>0</v>
      </c>
      <c r="G11" s="10">
        <f>'Screener Output.v0'!J78</f>
        <v>0</v>
      </c>
      <c r="H11" s="325">
        <f>'Screener Output.v0'!I78</f>
        <v>0</v>
      </c>
      <c r="I11" s="325">
        <f>'Screener Output.v0'!H78</f>
        <v>0</v>
      </c>
    </row>
    <row r="12" spans="1:14">
      <c r="A12" s="177" t="s">
        <v>35</v>
      </c>
      <c r="B12" s="176">
        <f>Analysis!M4</f>
        <v>0.59803010592826622</v>
      </c>
      <c r="C12" s="206"/>
      <c r="D12" s="177" t="s">
        <v>30</v>
      </c>
      <c r="E12" s="168">
        <f>'Screener Output.v0'!L73</f>
        <v>37.368055555555557</v>
      </c>
      <c r="F12" s="168">
        <f>'Screener Output.v0'!K73</f>
        <v>207.21875</v>
      </c>
      <c r="G12" s="168">
        <f>'Screener Output.v0'!J73</f>
        <v>586.49999999999989</v>
      </c>
      <c r="H12" s="168">
        <f>'Screener Output.v0'!I73</f>
        <v>434.875</v>
      </c>
      <c r="I12" s="168">
        <f>'Screener Output.v0'!H73</f>
        <v>332.5</v>
      </c>
      <c r="J12" s="168">
        <f>'Screener Output.v0'!G73</f>
        <v>191</v>
      </c>
      <c r="K12" s="171">
        <f>(E12/J12)^(1/5)-1</f>
        <v>-0.27840514743797107</v>
      </c>
    </row>
    <row r="13" spans="1:14">
      <c r="A13" s="9" t="s">
        <v>307</v>
      </c>
      <c r="B13" s="16">
        <f>B8/B9</f>
        <v>24.177501553760099</v>
      </c>
      <c r="C13" s="205"/>
      <c r="D13" s="177"/>
      <c r="E13" s="11"/>
      <c r="F13" s="11"/>
      <c r="G13" s="11"/>
      <c r="H13" s="11"/>
      <c r="I13" s="11"/>
      <c r="J13" s="11"/>
      <c r="K13" s="171"/>
    </row>
    <row r="14" spans="1:14">
      <c r="A14" s="9" t="s">
        <v>32</v>
      </c>
      <c r="B14" s="194">
        <f>B9/B8</f>
        <v>4.1360766652271376E-2</v>
      </c>
      <c r="C14" s="207"/>
      <c r="D14" s="177" t="s">
        <v>36</v>
      </c>
      <c r="E14" s="11">
        <f>E10/E9</f>
        <v>0</v>
      </c>
      <c r="F14" s="11">
        <f>F10/F9</f>
        <v>0.19100676482292081</v>
      </c>
      <c r="G14" s="11">
        <f>G10/G9</f>
        <v>0.11387900355871886</v>
      </c>
      <c r="H14" s="11">
        <f>H10/H9</f>
        <v>0.15888778550148958</v>
      </c>
      <c r="I14" s="11">
        <f>I10/I9</f>
        <v>6.5306122448979598E-2</v>
      </c>
      <c r="J14" s="11"/>
      <c r="K14" s="11"/>
    </row>
    <row r="15" spans="1:14">
      <c r="A15" s="9" t="s">
        <v>33</v>
      </c>
      <c r="B15" s="194">
        <f>'Screener Output.v0'!L75/B8</f>
        <v>0</v>
      </c>
      <c r="C15" s="207"/>
      <c r="D15" s="199"/>
      <c r="E15" s="187"/>
      <c r="F15" s="13"/>
      <c r="G15" s="13"/>
      <c r="H15" s="13"/>
      <c r="I15" s="13"/>
      <c r="J15" s="13"/>
      <c r="K15" s="13"/>
      <c r="M15" s="236"/>
    </row>
    <row r="16" spans="1:14">
      <c r="A16" s="9" t="s">
        <v>308</v>
      </c>
      <c r="B16" s="16">
        <f>B8/B11</f>
        <v>14.45887381527597</v>
      </c>
      <c r="C16" s="205"/>
      <c r="D16" s="200" t="s">
        <v>40</v>
      </c>
      <c r="E16" s="15">
        <v>0</v>
      </c>
      <c r="F16" s="9">
        <v>1</v>
      </c>
      <c r="G16" s="9">
        <v>2</v>
      </c>
      <c r="H16" s="9">
        <v>3</v>
      </c>
      <c r="I16" s="9">
        <v>4</v>
      </c>
      <c r="J16" s="9">
        <v>5</v>
      </c>
      <c r="M16" s="235"/>
    </row>
    <row r="17" spans="1:13">
      <c r="A17" s="9" t="s">
        <v>269</v>
      </c>
      <c r="B17" s="16">
        <f>B13/100/K9</f>
        <v>-0.73796853828574438</v>
      </c>
      <c r="C17" s="207"/>
      <c r="D17" s="177" t="s">
        <v>303</v>
      </c>
      <c r="E17" s="168">
        <f>IF($A$29=1, IF($A$28=2,$B$9*(1+$K$9)^E16, $E$12*(1+$K$12)^E16), IF($A$28=2,$B$9*(1+'Annual Report input'!$D$9)^E16, $E$12*(1+'Annual Report input'!$D$9)^E16))</f>
        <v>22.347222222222221</v>
      </c>
      <c r="F17" s="168">
        <f>IF($A$29=1, IF($A$28=2,$B$9*(1+$K$9)^F16, $E$12*(1+$K$12)^F16), IF($A$28=2,$B$9*(1+'Annual Report input'!$D$9)^F16, $E$12*(1+'Annual Report input'!$D$9)^F16))</f>
        <v>15.025771889731304</v>
      </c>
      <c r="G17" s="168">
        <f>IF($A$29=1, IF($A$28=2,$B$9*(1+$K$9)^G16, $E$12*(1+$K$12)^G16), IF($A$28=2,$B$9*(1+'Annual Report input'!$D$9)^G16, $E$12*(1+'Annual Report input'!$D$9)^G16))</f>
        <v>10.102992606290393</v>
      </c>
      <c r="H17" s="168">
        <f>IF($A$29=1, IF($A$28=2,$B$9*(1+$K$9)^H16, $E$12*(1+$K$12)^H16), IF($A$28=2,$B$9*(1+'Annual Report input'!$D$9)^H16, $E$12*(1+'Annual Report input'!$D$9)^H16))</f>
        <v>6.793026032327421</v>
      </c>
      <c r="I17" s="168">
        <f>IF($A$29=1, IF($A$28=2,$B$9*(1+$K$9)^I16, $E$12*(1+$K$12)^I16), IF($A$28=2,$B$9*(1+'Annual Report input'!$D$9)^I16, $E$12*(1+'Annual Report input'!$D$9)^I16))</f>
        <v>4.5674786149152276</v>
      </c>
      <c r="J17" s="168">
        <f>IF($A$29=1, IF($A$28=2,$B$9*(1+$K$9)^J16, $E$12*(1+$K$12)^J16), IF($A$28=2,$B$9*(1+'Annual Report input'!$D$9)^J16, $E$12*(1+'Annual Report input'!$D$9)^J16))</f>
        <v>3.0710703592814363</v>
      </c>
      <c r="M17" s="238"/>
    </row>
    <row r="18" spans="1:13">
      <c r="A18" s="351" t="s">
        <v>38</v>
      </c>
      <c r="B18" s="352"/>
      <c r="C18" s="208"/>
      <c r="D18" s="177" t="s">
        <v>26</v>
      </c>
      <c r="E18" s="10">
        <f>E10</f>
        <v>0</v>
      </c>
      <c r="F18" s="10">
        <f>F17*B20</f>
        <v>1.5899661056118277</v>
      </c>
      <c r="G18" s="10">
        <f>G17*B20</f>
        <v>1.069057611624362</v>
      </c>
      <c r="H18" s="10">
        <f>H17*B20</f>
        <v>0.7188104028998763</v>
      </c>
      <c r="I18" s="10">
        <f>I17*B20</f>
        <v>0.48331202144663549</v>
      </c>
      <c r="J18" s="10">
        <f>J17*B20</f>
        <v>0.32496818233635111</v>
      </c>
      <c r="M18" s="237"/>
    </row>
    <row r="19" spans="1:13">
      <c r="A19" s="9" t="s">
        <v>321</v>
      </c>
      <c r="B19" s="195">
        <f>Analysis!M3</f>
        <v>0.36429988662131546</v>
      </c>
      <c r="C19" s="209"/>
      <c r="D19" s="177"/>
      <c r="E19" s="12"/>
      <c r="F19" s="13"/>
      <c r="G19" s="13"/>
      <c r="H19" s="13"/>
      <c r="I19" s="13"/>
      <c r="J19" s="13"/>
      <c r="K19" s="13"/>
    </row>
    <row r="20" spans="1:13">
      <c r="A20" s="9" t="s">
        <v>39</v>
      </c>
      <c r="B20" s="194">
        <f>AVERAGE(E14:I14)</f>
        <v>0.10581593526642177</v>
      </c>
      <c r="C20" s="207"/>
      <c r="D20" s="177" t="s">
        <v>302</v>
      </c>
      <c r="E20" s="172">
        <f>J17</f>
        <v>3.0710703592814363</v>
      </c>
      <c r="F20" s="13"/>
      <c r="G20" s="13"/>
      <c r="H20" s="13"/>
      <c r="I20" s="13"/>
      <c r="J20" s="13"/>
      <c r="K20" s="13"/>
    </row>
    <row r="21" spans="1:13">
      <c r="A21" s="9" t="s">
        <v>300</v>
      </c>
      <c r="B21" s="16">
        <f>AVERAGE(E8,B13)</f>
        <v>18.711844458797259</v>
      </c>
      <c r="C21" s="205"/>
      <c r="D21" s="8" t="s">
        <v>325</v>
      </c>
      <c r="E21" s="189">
        <f>B8*B24</f>
        <v>43.223999999999997</v>
      </c>
    </row>
    <row r="22" spans="1:13">
      <c r="A22" s="9" t="s">
        <v>301</v>
      </c>
      <c r="B22" s="16">
        <f>AVERAGE(E11,B16)</f>
        <v>9.7717152945549142</v>
      </c>
      <c r="C22" s="205"/>
      <c r="D22" s="177" t="s">
        <v>42</v>
      </c>
      <c r="E22" s="172">
        <f>SUM(E18:J18)</f>
        <v>4.1861143239190532</v>
      </c>
      <c r="F22" s="13"/>
      <c r="G22" s="174"/>
      <c r="H22" s="13"/>
      <c r="I22" s="13"/>
      <c r="J22" s="13"/>
      <c r="K22" s="13"/>
    </row>
    <row r="23" spans="1:13">
      <c r="A23" s="78" t="s">
        <v>68</v>
      </c>
      <c r="B23" s="196"/>
      <c r="C23" s="210"/>
      <c r="D23" s="177" t="s">
        <v>43</v>
      </c>
      <c r="E23" s="172">
        <f>IF(A28=2, E20*B21, E20*B22)</f>
        <v>57.465390884896856</v>
      </c>
      <c r="F23" s="13"/>
      <c r="G23" s="13"/>
      <c r="H23" s="13"/>
      <c r="I23" s="13"/>
      <c r="J23" s="13"/>
      <c r="K23" s="13"/>
    </row>
    <row r="24" spans="1:13">
      <c r="A24" s="8" t="s">
        <v>128</v>
      </c>
      <c r="B24" s="197">
        <f>'Annual Report input'!D10</f>
        <v>0.08</v>
      </c>
      <c r="C24" s="211"/>
      <c r="D24" s="177" t="s">
        <v>319</v>
      </c>
      <c r="E24" s="172">
        <f>E23+E22</f>
        <v>61.651505208815905</v>
      </c>
      <c r="F24" s="214"/>
      <c r="G24" s="13"/>
      <c r="H24" s="13"/>
      <c r="I24" s="13"/>
      <c r="J24" s="13"/>
      <c r="K24" s="13"/>
    </row>
    <row r="25" spans="1:13">
      <c r="A25" s="9" t="s">
        <v>299</v>
      </c>
      <c r="B25" s="172">
        <f>IF(A28=2, B21*B9, B22*B11)</f>
        <v>418.15774630839985</v>
      </c>
      <c r="C25" s="212"/>
      <c r="D25" s="201"/>
      <c r="E25" s="14"/>
      <c r="F25" s="13"/>
      <c r="G25" s="13"/>
      <c r="H25" s="13"/>
      <c r="I25" s="13"/>
      <c r="J25" s="13"/>
      <c r="K25" s="13"/>
    </row>
    <row r="26" spans="1:13">
      <c r="A26" s="9" t="s">
        <v>46</v>
      </c>
      <c r="B26" s="172">
        <f>E24/((1+B24)^5)</f>
        <v>41.958978516959007</v>
      </c>
      <c r="C26" s="212"/>
      <c r="D26" s="200" t="s">
        <v>45</v>
      </c>
      <c r="E26" s="15" t="s">
        <v>69</v>
      </c>
      <c r="F26" s="9">
        <v>1</v>
      </c>
      <c r="G26" s="9">
        <v>2</v>
      </c>
      <c r="H26" s="9">
        <v>3</v>
      </c>
      <c r="I26" s="9">
        <v>4</v>
      </c>
      <c r="J26" s="9">
        <v>5</v>
      </c>
    </row>
    <row r="27" spans="1:13">
      <c r="A27" s="9" t="s">
        <v>47</v>
      </c>
      <c r="B27" s="172">
        <f>E32/(1+B24)^5</f>
        <v>2423.3054084448599</v>
      </c>
      <c r="C27" s="212"/>
      <c r="D27" s="177" t="s">
        <v>30</v>
      </c>
      <c r="E27" s="168">
        <f>E12</f>
        <v>37.368055555555557</v>
      </c>
      <c r="F27" s="168">
        <f>E27+E28-E29</f>
        <v>57.350585557726774</v>
      </c>
      <c r="G27" s="168">
        <f>F27+F28-F29</f>
        <v>88.018753315226903</v>
      </c>
      <c r="H27" s="168">
        <f>G27+G28-G29</f>
        <v>135.08669283539658</v>
      </c>
      <c r="I27" s="168">
        <f>H27+H28-H29</f>
        <v>207.32416552016625</v>
      </c>
      <c r="J27" s="168">
        <f>I27+I28-I29</f>
        <v>318.1905538320384</v>
      </c>
    </row>
    <row r="28" spans="1:13">
      <c r="A28" s="173">
        <v>2</v>
      </c>
      <c r="D28" s="177" t="s">
        <v>28</v>
      </c>
      <c r="E28" s="168">
        <f t="shared" ref="E28:J28" si="0">IF($A$30=1, E27*$B$12, E27*$B$19)</f>
        <v>22.347222222222229</v>
      </c>
      <c r="F28" s="168">
        <f t="shared" si="0"/>
        <v>34.297376756135435</v>
      </c>
      <c r="G28" s="168">
        <f t="shared" si="0"/>
        <v>52.637864368779077</v>
      </c>
      <c r="H28" s="168">
        <f t="shared" si="0"/>
        <v>80.78590922585137</v>
      </c>
      <c r="I28" s="168">
        <f t="shared" si="0"/>
        <v>123.98609266751441</v>
      </c>
      <c r="J28" s="168">
        <f t="shared" si="0"/>
        <v>190.28753061354763</v>
      </c>
    </row>
    <row r="29" spans="1:13">
      <c r="A29" s="173">
        <v>1</v>
      </c>
      <c r="D29" s="177" t="s">
        <v>26</v>
      </c>
      <c r="E29" s="10">
        <f>E28*B20</f>
        <v>2.3646922200510097</v>
      </c>
      <c r="F29" s="10">
        <f>F28*B20</f>
        <v>3.6292089986353058</v>
      </c>
      <c r="G29" s="10">
        <f>G28*B20</f>
        <v>5.5699248486094159</v>
      </c>
      <c r="H29" s="10">
        <f>H28*B20</f>
        <v>8.5484365410817134</v>
      </c>
      <c r="I29" s="10">
        <f>I28*B20</f>
        <v>13.119704355642277</v>
      </c>
      <c r="J29" s="10">
        <f>J28*B20</f>
        <v>20.135453021410406</v>
      </c>
    </row>
    <row r="30" spans="1:13">
      <c r="A30" s="173">
        <v>1</v>
      </c>
      <c r="D30" s="177" t="s">
        <v>41</v>
      </c>
      <c r="E30" s="16">
        <f>J28</f>
        <v>190.28753061354763</v>
      </c>
      <c r="F30" s="13"/>
      <c r="G30" s="13"/>
      <c r="H30" s="13"/>
      <c r="I30" s="13"/>
      <c r="J30" s="13"/>
      <c r="K30" s="13"/>
    </row>
    <row r="31" spans="1:13">
      <c r="D31" s="177" t="s">
        <v>42</v>
      </c>
      <c r="E31" s="16">
        <f>SUM(E29:J29)</f>
        <v>53.367419985430125</v>
      </c>
      <c r="F31" s="13"/>
      <c r="G31" s="13"/>
      <c r="H31" s="13"/>
      <c r="I31" s="13"/>
      <c r="J31" s="13"/>
      <c r="K31" s="13"/>
    </row>
    <row r="32" spans="1:13">
      <c r="D32" s="177" t="s">
        <v>43</v>
      </c>
      <c r="E32" s="16">
        <f>B21*E30</f>
        <v>3560.6306752893252</v>
      </c>
      <c r="F32" s="13"/>
      <c r="G32" s="13"/>
      <c r="H32" s="13"/>
      <c r="I32" s="13"/>
      <c r="J32" s="13"/>
      <c r="K32" s="13"/>
    </row>
    <row r="33" spans="4:11">
      <c r="D33" s="177" t="s">
        <v>44</v>
      </c>
      <c r="E33" s="16">
        <f>E32+E31</f>
        <v>3613.9980952747551</v>
      </c>
      <c r="F33" s="13"/>
      <c r="G33" s="13"/>
      <c r="H33" s="13"/>
      <c r="I33" s="13"/>
      <c r="J33" s="13"/>
      <c r="K33" s="13"/>
    </row>
    <row r="34" spans="4:11">
      <c r="D34" s="201"/>
      <c r="E34" s="14"/>
      <c r="F34" s="13"/>
      <c r="G34" s="13"/>
      <c r="H34" s="13"/>
      <c r="I34" s="13"/>
      <c r="J34" s="13"/>
      <c r="K34" s="13"/>
    </row>
  </sheetData>
  <mergeCells count="4">
    <mergeCell ref="A7:B7"/>
    <mergeCell ref="A18:B18"/>
    <mergeCell ref="A6:K6"/>
    <mergeCell ref="A5:K5"/>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4</xdr:col>
                    <xdr:colOff>771525</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workbookViewId="0">
      <selection activeCell="G10" sqref="G10:L10"/>
    </sheetView>
  </sheetViews>
  <sheetFormatPr defaultColWidth="22.140625" defaultRowHeight="20.100000000000001" customHeight="1"/>
  <cols>
    <col min="1" max="3" width="22.140625" style="79"/>
    <col min="4" max="4" width="8.85546875" style="79" customWidth="1"/>
    <col min="5" max="5" width="4" style="80" customWidth="1"/>
    <col min="6" max="6" width="11.42578125" style="282"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9" t="s">
        <v>129</v>
      </c>
      <c r="B2" s="280"/>
      <c r="C2" s="280"/>
      <c r="E2" s="81" t="s">
        <v>130</v>
      </c>
      <c r="F2" s="283"/>
      <c r="G2" s="82" t="s">
        <v>131</v>
      </c>
      <c r="H2" s="83" t="s">
        <v>132</v>
      </c>
      <c r="I2" s="83" t="s">
        <v>133</v>
      </c>
      <c r="J2" s="83" t="s">
        <v>134</v>
      </c>
      <c r="K2" s="83" t="s">
        <v>135</v>
      </c>
      <c r="L2" s="83" t="s">
        <v>59</v>
      </c>
      <c r="M2" s="83"/>
    </row>
    <row r="3" spans="1:13" ht="20.100000000000001" customHeight="1">
      <c r="A3" s="84" t="s">
        <v>136</v>
      </c>
      <c r="B3" s="84" t="s">
        <v>137</v>
      </c>
      <c r="C3" s="84" t="s">
        <v>138</v>
      </c>
      <c r="E3" s="85"/>
      <c r="F3" s="284"/>
      <c r="G3" s="277" t="s">
        <v>139</v>
      </c>
      <c r="H3" s="278"/>
      <c r="I3" s="278"/>
      <c r="J3" s="278"/>
      <c r="K3" s="295">
        <f>SUM(K4:K14)</f>
        <v>50</v>
      </c>
      <c r="L3" s="85">
        <f>SUM(L4:L14)</f>
        <v>31.5</v>
      </c>
      <c r="M3" s="86"/>
    </row>
    <row r="4" spans="1:13" ht="30" customHeight="1">
      <c r="A4" s="87" t="s">
        <v>140</v>
      </c>
      <c r="B4" s="294">
        <f>SUM(B5:B9)</f>
        <v>100</v>
      </c>
      <c r="C4" s="292">
        <f>SUM(C5:C9)</f>
        <v>70.5</v>
      </c>
      <c r="E4" s="97">
        <v>1</v>
      </c>
      <c r="F4" s="285" t="s">
        <v>413</v>
      </c>
      <c r="G4" s="265" t="s">
        <v>448</v>
      </c>
      <c r="H4" s="88" t="s">
        <v>145</v>
      </c>
      <c r="I4" s="90">
        <f>Revenue!C5</f>
        <v>0.17097103448022533</v>
      </c>
      <c r="J4" s="287" t="s">
        <v>151</v>
      </c>
      <c r="K4" s="291">
        <v>4</v>
      </c>
      <c r="L4" s="95">
        <f>Revenue!L5</f>
        <v>3</v>
      </c>
      <c r="M4" s="88"/>
    </row>
    <row r="5" spans="1:13" ht="30" customHeight="1">
      <c r="A5" s="87" t="s">
        <v>141</v>
      </c>
      <c r="B5" s="297">
        <f>Scorecard!K3</f>
        <v>50</v>
      </c>
      <c r="C5" s="292">
        <f>Scorecard!L3</f>
        <v>31.5</v>
      </c>
      <c r="E5" s="97">
        <v>2</v>
      </c>
      <c r="F5" s="355" t="s">
        <v>449</v>
      </c>
      <c r="G5" s="265" t="s">
        <v>149</v>
      </c>
      <c r="H5" s="88" t="s">
        <v>145</v>
      </c>
      <c r="I5" s="90">
        <f>Profit!F5</f>
        <v>-0.15739267779849919</v>
      </c>
      <c r="J5" s="287" t="s">
        <v>314</v>
      </c>
      <c r="K5" s="291">
        <v>5</v>
      </c>
      <c r="L5" s="95">
        <f>Profit!L5</f>
        <v>0</v>
      </c>
      <c r="M5" s="88"/>
    </row>
    <row r="6" spans="1:13" ht="30" customHeight="1">
      <c r="A6" s="87" t="s">
        <v>143</v>
      </c>
      <c r="B6" s="293">
        <v>13</v>
      </c>
      <c r="C6" s="296">
        <f>Scorecard!L15</f>
        <v>12</v>
      </c>
      <c r="E6" s="97">
        <v>3</v>
      </c>
      <c r="F6" s="356"/>
      <c r="G6" s="265" t="s">
        <v>144</v>
      </c>
      <c r="H6" s="88" t="s">
        <v>145</v>
      </c>
      <c r="I6" s="90">
        <f>Profit!G5</f>
        <v>-0.26527399460039247</v>
      </c>
      <c r="J6" s="287" t="s">
        <v>317</v>
      </c>
      <c r="K6" s="291">
        <v>9</v>
      </c>
      <c r="L6" s="95">
        <f>Profit!M5</f>
        <v>0</v>
      </c>
      <c r="M6" s="88"/>
    </row>
    <row r="7" spans="1:13" ht="30" customHeight="1">
      <c r="A7" s="87" t="s">
        <v>146</v>
      </c>
      <c r="B7" s="293">
        <v>23</v>
      </c>
      <c r="C7" s="296">
        <f>Scorecard!L20</f>
        <v>17</v>
      </c>
      <c r="E7" s="97">
        <v>4</v>
      </c>
      <c r="F7" s="357"/>
      <c r="G7" s="265" t="s">
        <v>152</v>
      </c>
      <c r="H7" s="88" t="s">
        <v>153</v>
      </c>
      <c r="I7" s="90">
        <f>Profit!C5</f>
        <v>7.1543198517611942E-2</v>
      </c>
      <c r="J7" s="287" t="s">
        <v>154</v>
      </c>
      <c r="K7" s="291">
        <v>4</v>
      </c>
      <c r="L7" s="95">
        <f>Profit!P5</f>
        <v>2</v>
      </c>
      <c r="M7" s="88"/>
    </row>
    <row r="8" spans="1:13" ht="30" customHeight="1">
      <c r="A8" s="87" t="s">
        <v>148</v>
      </c>
      <c r="B8" s="293">
        <v>10</v>
      </c>
      <c r="C8" s="296">
        <f>Scorecard!L27</f>
        <v>8</v>
      </c>
      <c r="E8" s="97"/>
      <c r="F8" s="290" t="s">
        <v>452</v>
      </c>
      <c r="G8" s="265" t="s">
        <v>142</v>
      </c>
      <c r="H8" s="88" t="s">
        <v>435</v>
      </c>
      <c r="I8" s="90">
        <f>Dupont!D4</f>
        <v>0.59803010592826622</v>
      </c>
      <c r="J8" s="287" t="s">
        <v>318</v>
      </c>
      <c r="K8" s="291">
        <f>10</f>
        <v>10</v>
      </c>
      <c r="L8" s="95">
        <f>Dupont!K4</f>
        <v>10</v>
      </c>
      <c r="M8" s="88"/>
    </row>
    <row r="9" spans="1:13" ht="30" customHeight="1">
      <c r="A9" s="87" t="s">
        <v>150</v>
      </c>
      <c r="B9" s="293">
        <v>4</v>
      </c>
      <c r="C9" s="296">
        <f>Scorecard!L32</f>
        <v>2</v>
      </c>
      <c r="E9" s="97">
        <v>5</v>
      </c>
      <c r="F9" s="355" t="s">
        <v>450</v>
      </c>
      <c r="G9" s="265" t="s">
        <v>159</v>
      </c>
      <c r="H9" s="88" t="s">
        <v>160</v>
      </c>
      <c r="I9" s="93">
        <f>Efficiency!C5</f>
        <v>1.0525170913610937</v>
      </c>
      <c r="J9" s="287" t="s">
        <v>315</v>
      </c>
      <c r="K9" s="291">
        <v>3</v>
      </c>
      <c r="L9" s="95">
        <f>Efficiency!K5</f>
        <v>3</v>
      </c>
      <c r="M9" s="88"/>
    </row>
    <row r="10" spans="1:13" ht="30" customHeight="1">
      <c r="E10" s="97">
        <v>6</v>
      </c>
      <c r="F10" s="356"/>
      <c r="G10" s="265" t="s">
        <v>155</v>
      </c>
      <c r="H10" s="88" t="s">
        <v>156</v>
      </c>
      <c r="I10" s="93">
        <f>Efficiency!E5</f>
        <v>1.1472476171950974</v>
      </c>
      <c r="J10" s="287" t="s">
        <v>157</v>
      </c>
      <c r="K10" s="291">
        <v>4</v>
      </c>
      <c r="L10" s="95">
        <f>Efficiency!M5</f>
        <v>4</v>
      </c>
      <c r="M10" s="88"/>
    </row>
    <row r="11" spans="1:13" ht="30" customHeight="1">
      <c r="E11" s="97">
        <v>7</v>
      </c>
      <c r="F11" s="356"/>
      <c r="G11" s="265" t="s">
        <v>162</v>
      </c>
      <c r="H11" s="88" t="s">
        <v>163</v>
      </c>
      <c r="I11" s="95">
        <f>Efficiency!F5</f>
        <v>1.07</v>
      </c>
      <c r="J11" s="287" t="s">
        <v>164</v>
      </c>
      <c r="K11" s="291">
        <v>1</v>
      </c>
      <c r="L11" s="95">
        <f>Efficiency!N5</f>
        <v>0.5</v>
      </c>
      <c r="M11" s="88"/>
    </row>
    <row r="12" spans="1:13" ht="30" customHeight="1">
      <c r="E12" s="97">
        <v>8</v>
      </c>
      <c r="F12" s="357"/>
      <c r="G12" s="265" t="s">
        <v>447</v>
      </c>
      <c r="H12" s="88" t="s">
        <v>161</v>
      </c>
      <c r="I12" s="94">
        <f>Efficiency!D5</f>
        <v>0.57827938319070649</v>
      </c>
      <c r="J12" s="289" t="s">
        <v>316</v>
      </c>
      <c r="K12" s="291">
        <v>1</v>
      </c>
      <c r="L12" s="95">
        <f>Efficiency!L5</f>
        <v>0</v>
      </c>
      <c r="M12" s="88"/>
    </row>
    <row r="13" spans="1:13" ht="30" customHeight="1">
      <c r="E13" s="97">
        <v>9</v>
      </c>
      <c r="F13" s="355" t="s">
        <v>451</v>
      </c>
      <c r="G13" s="265" t="s">
        <v>147</v>
      </c>
      <c r="H13" s="92">
        <v>0</v>
      </c>
      <c r="I13" s="90">
        <f>Others!E4</f>
        <v>0</v>
      </c>
      <c r="J13" s="288"/>
      <c r="K13" s="291">
        <v>6</v>
      </c>
      <c r="L13" s="95">
        <f>Others!L4</f>
        <v>6</v>
      </c>
      <c r="M13" s="88"/>
    </row>
    <row r="14" spans="1:13" ht="30" customHeight="1">
      <c r="E14" s="97">
        <v>10</v>
      </c>
      <c r="F14" s="357"/>
      <c r="G14" s="265" t="s">
        <v>158</v>
      </c>
      <c r="H14" s="88" t="s">
        <v>327</v>
      </c>
      <c r="I14" s="193">
        <f>Others!F4</f>
        <v>0.72130000000000005</v>
      </c>
      <c r="J14" s="287" t="s">
        <v>309</v>
      </c>
      <c r="K14" s="291">
        <v>3</v>
      </c>
      <c r="L14" s="95">
        <f>Others!M4</f>
        <v>3</v>
      </c>
      <c r="M14" s="88"/>
    </row>
    <row r="15" spans="1:13" ht="20.100000000000001" customHeight="1">
      <c r="E15" s="277" t="s">
        <v>165</v>
      </c>
      <c r="F15" s="286"/>
      <c r="G15" s="278"/>
      <c r="H15" s="278"/>
      <c r="I15" s="278"/>
      <c r="J15" s="278"/>
      <c r="K15" s="96">
        <f>SUM(K16:K19)</f>
        <v>0.13</v>
      </c>
      <c r="L15" s="97">
        <f>SUM(L16:L19)</f>
        <v>12</v>
      </c>
      <c r="M15" s="86"/>
    </row>
    <row r="16" spans="1:13" ht="20.100000000000001" customHeight="1">
      <c r="E16" s="88">
        <v>1</v>
      </c>
      <c r="F16" s="91"/>
      <c r="G16" s="89" t="s">
        <v>166</v>
      </c>
      <c r="H16" s="88" t="s">
        <v>167</v>
      </c>
      <c r="I16" s="88"/>
      <c r="J16" s="89" t="s">
        <v>168</v>
      </c>
      <c r="K16" s="92">
        <v>0.05</v>
      </c>
      <c r="L16" s="88">
        <f>'Annual Report input'!D14</f>
        <v>4</v>
      </c>
      <c r="M16" s="88"/>
    </row>
    <row r="17" spans="5:13" ht="20.100000000000001" customHeight="1">
      <c r="E17" s="88">
        <v>2</v>
      </c>
      <c r="F17" s="91"/>
      <c r="G17" s="89" t="s">
        <v>169</v>
      </c>
      <c r="H17" s="88" t="s">
        <v>170</v>
      </c>
      <c r="I17" s="88"/>
      <c r="J17" s="89" t="s">
        <v>171</v>
      </c>
      <c r="K17" s="92">
        <v>0.02</v>
      </c>
      <c r="L17" s="88">
        <f>'Annual Report input'!D15</f>
        <v>2</v>
      </c>
      <c r="M17" s="88"/>
    </row>
    <row r="18" spans="5:13" ht="20.100000000000001" customHeight="1">
      <c r="E18" s="88">
        <v>3</v>
      </c>
      <c r="F18" s="91"/>
      <c r="G18" s="89" t="s">
        <v>172</v>
      </c>
      <c r="H18" s="88" t="s">
        <v>173</v>
      </c>
      <c r="I18" s="98">
        <f>Analysis!H13/Analysis!E13</f>
        <v>1.5353947916645752</v>
      </c>
      <c r="J18" s="91" t="s">
        <v>174</v>
      </c>
      <c r="K18" s="92">
        <v>0.02</v>
      </c>
      <c r="L18" s="88">
        <f>'Annual Report input'!D16</f>
        <v>2</v>
      </c>
      <c r="M18" s="88"/>
    </row>
    <row r="19" spans="5:13" ht="20.100000000000001" customHeight="1">
      <c r="E19" s="88">
        <v>5</v>
      </c>
      <c r="F19" s="91"/>
      <c r="G19" s="89" t="s">
        <v>175</v>
      </c>
      <c r="H19" s="88" t="s">
        <v>176</v>
      </c>
      <c r="I19" s="88"/>
      <c r="J19" s="89" t="s">
        <v>177</v>
      </c>
      <c r="K19" s="92">
        <v>0.04</v>
      </c>
      <c r="L19" s="88">
        <f>'Annual Report input'!D17</f>
        <v>4</v>
      </c>
      <c r="M19" s="88"/>
    </row>
    <row r="20" spans="5:13" ht="20.100000000000001" customHeight="1">
      <c r="E20" s="277" t="s">
        <v>178</v>
      </c>
      <c r="F20" s="286"/>
      <c r="G20" s="278"/>
      <c r="H20" s="278"/>
      <c r="I20" s="278"/>
      <c r="J20" s="278"/>
      <c r="K20" s="96">
        <f>SUM(K21:K26)</f>
        <v>0.23</v>
      </c>
      <c r="L20" s="97">
        <f>SUM(L21:L26)</f>
        <v>17</v>
      </c>
      <c r="M20" s="99"/>
    </row>
    <row r="21" spans="5:13" ht="20.100000000000001" customHeight="1">
      <c r="E21" s="88">
        <v>1</v>
      </c>
      <c r="F21" s="91"/>
      <c r="G21" s="89" t="s">
        <v>179</v>
      </c>
      <c r="H21" s="88" t="s">
        <v>180</v>
      </c>
      <c r="I21" s="88"/>
      <c r="J21" s="89" t="s">
        <v>181</v>
      </c>
      <c r="K21" s="92">
        <v>0.08</v>
      </c>
      <c r="L21" s="88">
        <f>'Annual Report input'!D19</f>
        <v>4</v>
      </c>
      <c r="M21" s="88"/>
    </row>
    <row r="22" spans="5:13" ht="20.100000000000001" customHeight="1">
      <c r="E22" s="88">
        <v>2</v>
      </c>
      <c r="F22" s="91"/>
      <c r="G22" s="89" t="s">
        <v>182</v>
      </c>
      <c r="H22" s="88" t="s">
        <v>183</v>
      </c>
      <c r="I22" s="88"/>
      <c r="J22" s="89" t="s">
        <v>184</v>
      </c>
      <c r="K22" s="92">
        <v>0.02</v>
      </c>
      <c r="L22" s="88">
        <f>'Annual Report input'!D20</f>
        <v>2</v>
      </c>
      <c r="M22" s="88"/>
    </row>
    <row r="23" spans="5:13" ht="20.100000000000001" customHeight="1">
      <c r="E23" s="88">
        <v>3</v>
      </c>
      <c r="F23" s="91"/>
      <c r="G23" s="89" t="s">
        <v>185</v>
      </c>
      <c r="H23" s="88" t="s">
        <v>186</v>
      </c>
      <c r="I23" s="88"/>
      <c r="J23" s="89" t="s">
        <v>187</v>
      </c>
      <c r="K23" s="92">
        <v>0.04</v>
      </c>
      <c r="L23" s="88">
        <f>'Annual Report input'!D21</f>
        <v>4</v>
      </c>
      <c r="M23" s="88"/>
    </row>
    <row r="24" spans="5:13" ht="20.100000000000001" customHeight="1">
      <c r="E24" s="88">
        <v>4</v>
      </c>
      <c r="F24" s="91"/>
      <c r="G24" s="89" t="s">
        <v>188</v>
      </c>
      <c r="H24" s="88" t="s">
        <v>189</v>
      </c>
      <c r="I24" s="88"/>
      <c r="J24" s="91" t="s">
        <v>190</v>
      </c>
      <c r="K24" s="92">
        <v>0.02</v>
      </c>
      <c r="L24" s="88">
        <f>'Annual Report input'!D22</f>
        <v>1</v>
      </c>
      <c r="M24" s="99"/>
    </row>
    <row r="25" spans="5:13" ht="20.100000000000001" customHeight="1">
      <c r="E25" s="88">
        <v>6</v>
      </c>
      <c r="F25" s="91"/>
      <c r="G25" s="89" t="s">
        <v>191</v>
      </c>
      <c r="H25" s="88" t="s">
        <v>192</v>
      </c>
      <c r="I25" s="90">
        <f>SUM('Shareholding input'!C6:C7)</f>
        <v>0.72130000000000005</v>
      </c>
      <c r="J25" s="91" t="s">
        <v>193</v>
      </c>
      <c r="K25" s="92">
        <v>0.04</v>
      </c>
      <c r="L25" s="88">
        <f>IF(I25&gt;0.7,4,IF(AND(I25&gt;0.4,I25&lt;0.7),3,IF(AND(I25&gt;0.2,I25&lt;0.4),2,IF(AND(I25&gt;0.1,I25&lt;0.2),1,0))))</f>
        <v>4</v>
      </c>
      <c r="M25" s="88"/>
    </row>
    <row r="26" spans="5:13" ht="20.100000000000001" customHeight="1">
      <c r="E26" s="88">
        <v>8</v>
      </c>
      <c r="F26" s="91"/>
      <c r="G26" s="89" t="s">
        <v>194</v>
      </c>
      <c r="H26" s="88" t="s">
        <v>479</v>
      </c>
      <c r="I26" s="90">
        <f>SUM('Shareholding input'!C8:C8)</f>
        <v>1.1599999999999999E-2</v>
      </c>
      <c r="J26" s="91" t="s">
        <v>195</v>
      </c>
      <c r="K26" s="92">
        <v>0.03</v>
      </c>
      <c r="L26" s="88">
        <f>IF(I26&gt;0.05,3,IF(AND(I26&gt;0.02,I26&lt;0.05),2.5,IF(AND(I26&gt;0.01,I26&lt;0.02),2,IF(AND(I26&gt;0,I26&lt;0.01),1,0))))</f>
        <v>2</v>
      </c>
      <c r="M26" s="88"/>
    </row>
    <row r="27" spans="5:13" ht="20.100000000000001" customHeight="1">
      <c r="E27" s="277" t="s">
        <v>196</v>
      </c>
      <c r="F27" s="286"/>
      <c r="G27" s="278"/>
      <c r="H27" s="278"/>
      <c r="I27" s="278"/>
      <c r="J27" s="278"/>
      <c r="K27" s="96">
        <f>SUM(K28:K31)</f>
        <v>0.1</v>
      </c>
      <c r="L27" s="97">
        <f>SUM(L28:L31)</f>
        <v>8</v>
      </c>
      <c r="M27" s="99"/>
    </row>
    <row r="28" spans="5:13" ht="20.100000000000001" customHeight="1">
      <c r="E28" s="88">
        <v>1</v>
      </c>
      <c r="F28" s="91"/>
      <c r="G28" s="89" t="s">
        <v>197</v>
      </c>
      <c r="H28" s="88" t="s">
        <v>198</v>
      </c>
      <c r="I28" s="88"/>
      <c r="J28" s="91" t="s">
        <v>199</v>
      </c>
      <c r="K28" s="92">
        <v>0.03</v>
      </c>
      <c r="L28" s="88">
        <f>'Annual Report input'!D26</f>
        <v>3</v>
      </c>
      <c r="M28" s="88"/>
    </row>
    <row r="29" spans="5:13" ht="20.100000000000001" customHeight="1">
      <c r="E29" s="88">
        <v>2</v>
      </c>
      <c r="F29" s="91"/>
      <c r="G29" s="89" t="s">
        <v>200</v>
      </c>
      <c r="H29" s="88" t="s">
        <v>201</v>
      </c>
      <c r="I29" s="88"/>
      <c r="J29" s="91" t="s">
        <v>202</v>
      </c>
      <c r="K29" s="92">
        <v>0.02</v>
      </c>
      <c r="L29" s="88">
        <f>'Annual Report input'!D27</f>
        <v>1</v>
      </c>
      <c r="M29" s="88"/>
    </row>
    <row r="30" spans="5:13" ht="20.100000000000001" customHeight="1">
      <c r="E30" s="88">
        <v>3</v>
      </c>
      <c r="F30" s="91"/>
      <c r="G30" s="89" t="s">
        <v>203</v>
      </c>
      <c r="H30" s="88"/>
      <c r="I30" s="88"/>
      <c r="J30" s="91"/>
      <c r="K30" s="92">
        <v>0.02</v>
      </c>
      <c r="L30" s="88">
        <f>'Annual Report input'!D28</f>
        <v>2</v>
      </c>
      <c r="M30" s="88"/>
    </row>
    <row r="31" spans="5:13" ht="20.100000000000001" customHeight="1">
      <c r="E31" s="88">
        <v>3</v>
      </c>
      <c r="F31" s="91"/>
      <c r="G31" s="89" t="s">
        <v>311</v>
      </c>
      <c r="H31" s="88"/>
      <c r="I31" s="88"/>
      <c r="J31" s="89" t="s">
        <v>312</v>
      </c>
      <c r="K31" s="92">
        <v>0.03</v>
      </c>
      <c r="L31" s="88">
        <f>'Annual Report input'!D29</f>
        <v>2</v>
      </c>
      <c r="M31" s="88"/>
    </row>
    <row r="32" spans="5:13" ht="20.100000000000001" customHeight="1">
      <c r="E32" s="277" t="s">
        <v>150</v>
      </c>
      <c r="F32" s="286"/>
      <c r="G32" s="278"/>
      <c r="H32" s="278"/>
      <c r="I32" s="278"/>
      <c r="J32" s="278"/>
      <c r="K32" s="96">
        <f>SUM(K33:K33)</f>
        <v>0.04</v>
      </c>
      <c r="L32" s="97">
        <f>SUM(L33:L33)</f>
        <v>2</v>
      </c>
      <c r="M32" s="99"/>
    </row>
    <row r="33" spans="5:13" ht="20.100000000000001" customHeight="1">
      <c r="E33" s="88">
        <v>4</v>
      </c>
      <c r="F33" s="91"/>
      <c r="G33" s="89" t="s">
        <v>204</v>
      </c>
      <c r="H33" s="88" t="s">
        <v>205</v>
      </c>
      <c r="I33" s="175">
        <f>Analysis!M8</f>
        <v>0.48338419803323157</v>
      </c>
      <c r="J33" s="91" t="s">
        <v>313</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1"/>
  <sheetViews>
    <sheetView showGridLines="0"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300" t="s">
        <v>413</v>
      </c>
      <c r="C3" s="101" t="s">
        <v>230</v>
      </c>
      <c r="D3" s="101" t="s">
        <v>231</v>
      </c>
      <c r="E3" s="101" t="s">
        <v>408</v>
      </c>
      <c r="F3" s="101" t="s">
        <v>459</v>
      </c>
      <c r="G3" s="101" t="s">
        <v>416</v>
      </c>
      <c r="K3" s="300" t="s">
        <v>413</v>
      </c>
      <c r="L3" s="101" t="s">
        <v>230</v>
      </c>
      <c r="O3" s="360" t="s">
        <v>440</v>
      </c>
      <c r="P3" s="360"/>
      <c r="Q3" s="360"/>
      <c r="R3" s="360"/>
      <c r="S3" s="360"/>
      <c r="T3" s="360"/>
    </row>
    <row r="4" spans="2:22" ht="15" customHeight="1">
      <c r="B4" s="256" t="s">
        <v>411</v>
      </c>
      <c r="C4" s="301">
        <v>0.2</v>
      </c>
      <c r="D4" s="301"/>
      <c r="E4" s="301"/>
      <c r="F4" s="301"/>
      <c r="G4" s="301"/>
      <c r="K4" s="256" t="s">
        <v>414</v>
      </c>
      <c r="L4" s="299">
        <v>4</v>
      </c>
      <c r="O4" s="360" t="s">
        <v>458</v>
      </c>
      <c r="P4" s="360"/>
      <c r="Q4" s="360"/>
      <c r="R4" s="360"/>
      <c r="S4" s="360"/>
      <c r="T4" s="360"/>
    </row>
    <row r="5" spans="2:22" ht="15" customHeight="1">
      <c r="B5" s="256" t="s">
        <v>412</v>
      </c>
      <c r="C5" s="301">
        <f>POWER('Screener Output.v0'!M25/'Screener Output.v0'!C25,1/9)-1</f>
        <v>0.17097103448022533</v>
      </c>
      <c r="D5" s="301">
        <f>POWER('Screener Output.v0'!M25/'Screener Output.v0'!G25,1/5)-1</f>
        <v>0.32856581718952982</v>
      </c>
      <c r="E5" s="301">
        <f>POWER('Screener Output.v0'!M25/'Screener Output.v0'!N25,1)-1</f>
        <v>0.80659181455994222</v>
      </c>
      <c r="F5" s="301">
        <f>'Screener Output.v0'!L191</f>
        <v>0.63252574197456113</v>
      </c>
      <c r="G5" s="301">
        <f>'Screener Output.v0'!L142</f>
        <v>0.46240609885245021</v>
      </c>
      <c r="K5" s="256" t="s">
        <v>415</v>
      </c>
      <c r="L5" s="298">
        <f>IF(C5&gt;0.2,4,IF(AND(C5&gt;0.1,C5&lt;0.2),3,IF(AND(C5&gt;0.05,C5&lt;0.1),2,IF(AND(C5&gt;0,C5&lt;0.05),1,0))))</f>
        <v>3</v>
      </c>
      <c r="O5" s="360"/>
      <c r="P5" s="360"/>
      <c r="Q5" s="360"/>
      <c r="R5" s="360"/>
      <c r="S5" s="360"/>
      <c r="T5" s="360"/>
    </row>
    <row r="6" spans="2:22" ht="15" customHeight="1">
      <c r="E6" s="257"/>
      <c r="O6" s="360"/>
      <c r="P6" s="360"/>
      <c r="Q6" s="360"/>
      <c r="R6" s="360"/>
      <c r="S6" s="360"/>
      <c r="T6" s="360"/>
    </row>
    <row r="10" spans="2:22" ht="15" customHeight="1">
      <c r="B10" s="359" t="s">
        <v>404</v>
      </c>
      <c r="C10" s="359"/>
      <c r="D10" s="359"/>
      <c r="E10" s="359"/>
      <c r="F10" s="359"/>
      <c r="G10" s="359"/>
      <c r="H10" s="359"/>
      <c r="I10" s="359"/>
      <c r="K10" s="358" t="s">
        <v>405</v>
      </c>
      <c r="L10" s="358"/>
      <c r="M10" s="358"/>
      <c r="N10" s="358"/>
      <c r="O10" s="358"/>
      <c r="P10" s="358"/>
      <c r="Q10" s="358"/>
      <c r="R10" s="358"/>
      <c r="S10" s="358"/>
      <c r="T10" s="358"/>
      <c r="U10" s="254"/>
      <c r="V10" s="303"/>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9"/>
      <c r="C15" s="249"/>
      <c r="K15" s="2"/>
      <c r="L15" s="2"/>
      <c r="M15" s="2"/>
      <c r="N15" s="2"/>
      <c r="O15" s="2"/>
      <c r="P15" s="2"/>
      <c r="Q15" s="2"/>
      <c r="R15" s="2"/>
      <c r="S15" s="2"/>
      <c r="T15" s="2"/>
      <c r="U15" s="2"/>
      <c r="V15" s="2"/>
    </row>
    <row r="16" spans="2:22" ht="15" customHeight="1">
      <c r="B16" s="249"/>
      <c r="C16" s="249"/>
      <c r="K16" s="2"/>
      <c r="L16" s="2"/>
      <c r="M16" s="2"/>
      <c r="N16" s="2"/>
      <c r="O16" s="2"/>
      <c r="P16" s="2"/>
      <c r="Q16" s="2"/>
      <c r="R16" s="2"/>
      <c r="S16" s="2"/>
      <c r="T16" s="2"/>
      <c r="U16" s="2"/>
      <c r="V16" s="2"/>
    </row>
    <row r="17" spans="2:22" ht="15" customHeight="1">
      <c r="B17" s="249"/>
      <c r="C17" s="249"/>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58" t="s">
        <v>407</v>
      </c>
      <c r="C28" s="358"/>
      <c r="D28" s="358"/>
      <c r="E28" s="358"/>
      <c r="F28" s="358"/>
      <c r="G28" s="358"/>
      <c r="H28" s="358"/>
      <c r="I28" s="358"/>
      <c r="K28" s="358" t="s">
        <v>406</v>
      </c>
      <c r="L28" s="358"/>
      <c r="M28" s="358"/>
      <c r="N28" s="358"/>
      <c r="O28" s="358"/>
      <c r="P28" s="358"/>
      <c r="Q28" s="358"/>
      <c r="R28" s="358"/>
      <c r="S28" s="358"/>
      <c r="T28" s="358"/>
      <c r="U28" s="254"/>
      <c r="V28" s="303"/>
    </row>
    <row r="29" spans="2:22" ht="15" customHeight="1">
      <c r="B29" s="250"/>
      <c r="C29" s="250"/>
      <c r="K29" s="2"/>
      <c r="L29" s="2"/>
      <c r="M29" s="2"/>
      <c r="N29" s="2"/>
      <c r="O29" s="2"/>
      <c r="P29" s="2"/>
      <c r="Q29" s="2"/>
      <c r="R29" s="2"/>
      <c r="S29" s="2"/>
      <c r="T29" s="2"/>
      <c r="U29" s="2"/>
      <c r="V29" s="2"/>
    </row>
    <row r="30" spans="2:22" ht="15" customHeight="1">
      <c r="B30" s="250"/>
      <c r="C30" s="250"/>
      <c r="K30" s="2"/>
      <c r="L30" s="2"/>
      <c r="M30" s="2"/>
      <c r="N30" s="2"/>
      <c r="O30" s="2"/>
      <c r="P30" s="2"/>
      <c r="Q30" s="2"/>
      <c r="R30" s="2"/>
      <c r="S30" s="2"/>
      <c r="T30" s="2"/>
      <c r="U30" s="2"/>
      <c r="V30" s="2"/>
    </row>
    <row r="31" spans="2:22" ht="15" customHeight="1">
      <c r="B31" s="250"/>
      <c r="C31" s="250"/>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8"/>
      <c r="C33" s="218"/>
      <c r="K33" s="2"/>
      <c r="L33" s="2"/>
      <c r="M33" s="2"/>
      <c r="N33" s="2"/>
      <c r="O33" s="2"/>
      <c r="P33" s="2"/>
      <c r="Q33" s="2"/>
      <c r="R33" s="2"/>
      <c r="S33" s="2"/>
      <c r="T33" s="2"/>
      <c r="U33" s="2"/>
      <c r="V33" s="2"/>
    </row>
    <row r="34" spans="2:22" ht="15" customHeight="1">
      <c r="B34" s="218"/>
      <c r="C34" s="218"/>
      <c r="K34" s="2"/>
      <c r="L34" s="2"/>
      <c r="M34" s="2"/>
      <c r="N34" s="2"/>
      <c r="O34" s="2"/>
      <c r="P34" s="2"/>
      <c r="Q34" s="2"/>
      <c r="R34" s="2"/>
      <c r="S34" s="2"/>
      <c r="T34" s="2"/>
      <c r="U34" s="2"/>
      <c r="V34" s="2"/>
    </row>
    <row r="35" spans="2:22" ht="15" customHeight="1">
      <c r="B35" s="218"/>
      <c r="C35" s="218"/>
      <c r="K35" s="2"/>
      <c r="L35" s="2"/>
      <c r="M35" s="2"/>
      <c r="N35" s="2"/>
      <c r="O35" s="2"/>
      <c r="P35" s="2"/>
      <c r="Q35" s="2"/>
      <c r="R35" s="2"/>
      <c r="S35" s="2"/>
      <c r="T35" s="2"/>
      <c r="U35" s="2"/>
      <c r="V35" s="2"/>
    </row>
    <row r="36" spans="2:22" ht="15" customHeight="1">
      <c r="B36" s="218"/>
      <c r="C36" s="218"/>
      <c r="K36" s="2"/>
      <c r="L36" s="2"/>
      <c r="M36" s="2"/>
      <c r="N36" s="2"/>
      <c r="O36" s="2"/>
      <c r="P36" s="2"/>
      <c r="Q36" s="2"/>
      <c r="R36" s="2"/>
      <c r="S36" s="2"/>
      <c r="T36" s="2"/>
      <c r="U36" s="2"/>
      <c r="V36" s="2"/>
    </row>
    <row r="37" spans="2:22" ht="15" customHeight="1">
      <c r="B37" s="218"/>
      <c r="C37" s="218"/>
      <c r="K37" s="2"/>
      <c r="L37" s="2"/>
      <c r="M37" s="2"/>
      <c r="N37" s="2"/>
      <c r="O37" s="2"/>
      <c r="P37" s="2"/>
      <c r="Q37" s="2"/>
      <c r="R37" s="2"/>
      <c r="S37" s="2"/>
      <c r="T37" s="2"/>
      <c r="U37" s="2"/>
      <c r="V37" s="2"/>
    </row>
    <row r="38" spans="2:22" ht="15" customHeight="1">
      <c r="B38" s="218"/>
      <c r="C38" s="218"/>
      <c r="K38" s="2"/>
      <c r="L38" s="2"/>
      <c r="M38" s="2"/>
      <c r="N38" s="2"/>
      <c r="O38" s="2"/>
      <c r="P38" s="2"/>
      <c r="Q38" s="2"/>
      <c r="R38" s="2"/>
      <c r="S38" s="2"/>
      <c r="T38" s="2"/>
      <c r="U38" s="2"/>
      <c r="V38" s="2"/>
    </row>
    <row r="39" spans="2:22" ht="15" customHeight="1">
      <c r="B39" s="218"/>
      <c r="C39" s="218"/>
      <c r="K39" s="2"/>
      <c r="L39" s="2"/>
      <c r="M39" s="2"/>
      <c r="N39" s="2"/>
      <c r="O39" s="2"/>
      <c r="P39" s="2"/>
      <c r="Q39" s="2"/>
      <c r="R39" s="2"/>
      <c r="S39" s="2"/>
      <c r="T39" s="2"/>
      <c r="U39" s="2"/>
      <c r="V39" s="2"/>
    </row>
    <row r="40" spans="2:22" ht="15" customHeight="1">
      <c r="B40" s="218"/>
      <c r="C40" s="218"/>
      <c r="K40" s="2"/>
      <c r="L40" s="2"/>
      <c r="M40" s="2"/>
      <c r="N40" s="2"/>
      <c r="O40" s="2"/>
      <c r="P40" s="2"/>
      <c r="Q40" s="2"/>
      <c r="R40" s="2"/>
      <c r="S40" s="2"/>
      <c r="T40" s="2"/>
      <c r="U40" s="2"/>
      <c r="V40" s="2"/>
    </row>
    <row r="41" spans="2:22" ht="15" customHeight="1">
      <c r="B41" s="218"/>
      <c r="C41" s="218"/>
      <c r="K41" s="2"/>
      <c r="L41" s="2"/>
      <c r="M41" s="2"/>
      <c r="N41" s="2"/>
      <c r="O41" s="2"/>
      <c r="P41" s="2"/>
      <c r="Q41" s="2"/>
      <c r="R41" s="2"/>
      <c r="S41" s="2"/>
      <c r="T41" s="2"/>
      <c r="U41" s="2"/>
      <c r="V41" s="2"/>
    </row>
    <row r="42" spans="2:22" ht="15" customHeight="1">
      <c r="B42" s="218"/>
      <c r="C42" s="218"/>
      <c r="K42" s="2"/>
      <c r="L42" s="2"/>
      <c r="M42" s="2"/>
      <c r="N42" s="2"/>
      <c r="O42" s="2"/>
      <c r="P42" s="2"/>
      <c r="Q42" s="2"/>
      <c r="R42" s="2"/>
      <c r="S42" s="2"/>
      <c r="T42" s="2"/>
      <c r="U42" s="2"/>
      <c r="V42" s="2"/>
    </row>
    <row r="43" spans="2:22" ht="15" customHeight="1">
      <c r="B43" s="218"/>
      <c r="C43" s="218"/>
      <c r="K43" s="2"/>
      <c r="L43" s="2"/>
      <c r="M43" s="2"/>
      <c r="N43" s="2"/>
      <c r="O43" s="2"/>
      <c r="P43" s="2"/>
      <c r="Q43" s="2"/>
      <c r="R43" s="2"/>
      <c r="S43" s="2"/>
      <c r="T43" s="2"/>
      <c r="U43" s="2"/>
      <c r="V43" s="2"/>
    </row>
    <row r="47" spans="2:22" ht="15" customHeight="1">
      <c r="B47" s="326" t="s">
        <v>429</v>
      </c>
      <c r="C47" s="326"/>
      <c r="D47" s="326"/>
      <c r="E47" s="326"/>
      <c r="F47" s="326"/>
      <c r="G47" s="326"/>
      <c r="H47" s="326"/>
      <c r="I47" s="326"/>
      <c r="K47" s="358" t="s">
        <v>476</v>
      </c>
      <c r="L47" s="358"/>
      <c r="M47" s="358"/>
      <c r="N47" s="358"/>
      <c r="O47" s="358"/>
      <c r="P47" s="358"/>
      <c r="Q47" s="358"/>
      <c r="R47" s="358"/>
      <c r="S47" s="358"/>
      <c r="T47" s="358"/>
      <c r="U47" s="254"/>
    </row>
    <row r="61" spans="2:9" ht="15" customHeight="1">
      <c r="B61" s="361" t="s">
        <v>441</v>
      </c>
      <c r="C61" s="361"/>
      <c r="D61" s="361"/>
      <c r="E61" s="361"/>
      <c r="F61" s="361"/>
      <c r="G61" s="361"/>
      <c r="H61" s="361"/>
      <c r="I61" s="361"/>
    </row>
  </sheetData>
  <mergeCells count="20">
    <mergeCell ref="B61:I61"/>
    <mergeCell ref="B28:I28"/>
    <mergeCell ref="B10:I10"/>
    <mergeCell ref="O3:T3"/>
    <mergeCell ref="K10:L10"/>
    <mergeCell ref="M10:N10"/>
    <mergeCell ref="O10:P10"/>
    <mergeCell ref="Q10:R10"/>
    <mergeCell ref="S10:T10"/>
    <mergeCell ref="O4:T6"/>
    <mergeCell ref="S28:T28"/>
    <mergeCell ref="K47:L47"/>
    <mergeCell ref="M47:N47"/>
    <mergeCell ref="O47:P47"/>
    <mergeCell ref="Q47:R47"/>
    <mergeCell ref="S47:T47"/>
    <mergeCell ref="K28:L28"/>
    <mergeCell ref="M28:N28"/>
    <mergeCell ref="O28:P28"/>
    <mergeCell ref="Q28:R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7"/>
  <sheetViews>
    <sheetView showGridLines="0" workbookViewId="0">
      <selection activeCell="F5" sqref="F5"/>
    </sheetView>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62" t="s">
        <v>426</v>
      </c>
      <c r="C3" s="363"/>
      <c r="E3" s="300" t="s">
        <v>28</v>
      </c>
      <c r="F3" s="101" t="s">
        <v>230</v>
      </c>
      <c r="G3" s="101" t="s">
        <v>231</v>
      </c>
      <c r="H3" s="101" t="s">
        <v>408</v>
      </c>
      <c r="K3" s="300" t="s">
        <v>28</v>
      </c>
      <c r="L3" s="101" t="s">
        <v>230</v>
      </c>
      <c r="M3" s="101" t="s">
        <v>231</v>
      </c>
      <c r="O3" s="362" t="s">
        <v>426</v>
      </c>
      <c r="P3" s="363"/>
      <c r="S3" s="101" t="s">
        <v>460</v>
      </c>
    </row>
    <row r="4" spans="2:22" ht="18" customHeight="1">
      <c r="B4" s="256" t="s">
        <v>427</v>
      </c>
      <c r="C4" s="301">
        <v>0.1</v>
      </c>
      <c r="E4" s="256" t="s">
        <v>411</v>
      </c>
      <c r="F4" s="301">
        <v>0.2</v>
      </c>
      <c r="G4" s="301">
        <v>0.2</v>
      </c>
      <c r="H4" s="301"/>
      <c r="K4" s="256" t="s">
        <v>414</v>
      </c>
      <c r="L4" s="302">
        <v>5</v>
      </c>
      <c r="M4" s="302">
        <v>9</v>
      </c>
      <c r="O4" s="256" t="s">
        <v>414</v>
      </c>
      <c r="P4" s="302">
        <v>4</v>
      </c>
      <c r="S4" s="301"/>
    </row>
    <row r="5" spans="2:22" ht="18" customHeight="1">
      <c r="B5" s="256" t="s">
        <v>133</v>
      </c>
      <c r="C5" s="301">
        <f>SUM('Screener Output.v0'!H35:M35)/SUM('Screener Output.v0'!H26:M26)</f>
        <v>7.1543198517611942E-2</v>
      </c>
      <c r="E5" s="256" t="s">
        <v>412</v>
      </c>
      <c r="F5" s="301">
        <f>('Screener Output.v0'!M74/'Screener Output.v0'!C74)^(1/9)-1</f>
        <v>-0.15739267779849919</v>
      </c>
      <c r="G5" s="301">
        <f>('Screener Output.v0'!M74/'Screener Output.v0'!G74)^(1/5)-1</f>
        <v>-0.26527399460039247</v>
      </c>
      <c r="H5" s="301">
        <f>('Screener Output.v0'!M74/'Screener Output.v0'!N74)^(1/1)-1</f>
        <v>0.546371936568957</v>
      </c>
      <c r="K5" s="256" t="s">
        <v>415</v>
      </c>
      <c r="L5" s="302">
        <f>IF(F5&gt;0.2,5,IF(AND(F5&gt;0.1,F5&lt;0.2),3,IF(AND(F5&gt;0.05,F5&lt;0.1),1,IF(AND(F5&gt;0,F5&lt;0.05),1,0))))</f>
        <v>0</v>
      </c>
      <c r="M5" s="302">
        <f>IF(G5&gt;0.2,9,IF(AND(G5&gt;0.1,G5&lt;0.2),7,IF(AND(G5&gt;0.05,G5&lt;0.1),3,IF(AND(G5&gt;0,G5&lt;0.05),1,0))))</f>
        <v>0</v>
      </c>
      <c r="O5" s="256" t="s">
        <v>415</v>
      </c>
      <c r="P5" s="302">
        <f>IF(C5&gt;0.1,4,IF(AND(C5&gt;0.08,C5&lt;0.1),3,IF(AND(C5&gt;0.05,C5&lt;0.08),2,IF(AND(C5&gt;0.03,C5&lt;0.05),1,0))))</f>
        <v>2</v>
      </c>
      <c r="S5" s="301">
        <f>'Screener Output.v0'!L193</f>
        <v>0.11890838206627685</v>
      </c>
    </row>
    <row r="6" spans="2:22" ht="18" customHeight="1">
      <c r="E6" s="257"/>
    </row>
    <row r="10" spans="2:22" ht="18" customHeight="1">
      <c r="B10" s="359" t="s">
        <v>403</v>
      </c>
      <c r="C10" s="359"/>
      <c r="D10" s="358"/>
      <c r="E10" s="358"/>
      <c r="F10" s="358"/>
      <c r="G10" s="358"/>
      <c r="H10" s="358"/>
      <c r="I10" s="358"/>
      <c r="J10" s="264"/>
      <c r="K10" s="358" t="s">
        <v>425</v>
      </c>
      <c r="L10" s="358"/>
      <c r="M10" s="358"/>
      <c r="N10" s="358"/>
      <c r="O10" s="358"/>
      <c r="P10" s="358"/>
      <c r="Q10" s="358"/>
      <c r="R10" s="358"/>
      <c r="S10" s="364"/>
      <c r="T10" s="364"/>
      <c r="U10" s="364"/>
      <c r="V10" s="364"/>
    </row>
    <row r="11" spans="2:22" ht="18" customHeight="1">
      <c r="H11" s="2"/>
      <c r="I11" s="2"/>
      <c r="J11" s="2"/>
      <c r="K11" s="2"/>
      <c r="L11" s="2"/>
      <c r="M11" s="2"/>
      <c r="N11" s="2"/>
      <c r="O11" s="2"/>
      <c r="P11" s="2"/>
      <c r="Q11" s="2"/>
      <c r="R11" s="2"/>
      <c r="S11" s="2"/>
      <c r="T11" s="2"/>
      <c r="U11" s="2"/>
      <c r="V11" s="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2:22" ht="18" customHeight="1">
      <c r="H17" s="2"/>
      <c r="I17" s="2"/>
      <c r="J17" s="2"/>
      <c r="K17" s="2"/>
      <c r="L17" s="2"/>
      <c r="M17" s="2"/>
      <c r="N17" s="2"/>
      <c r="O17" s="2"/>
      <c r="P17" s="2"/>
      <c r="Q17" s="2"/>
      <c r="R17" s="2"/>
      <c r="S17" s="2"/>
      <c r="T17" s="2"/>
      <c r="U17" s="2"/>
      <c r="V17" s="2"/>
    </row>
    <row r="18" spans="2:22" ht="18" customHeight="1">
      <c r="H18" s="2"/>
      <c r="I18" s="2"/>
      <c r="J18" s="2"/>
      <c r="K18" s="2"/>
      <c r="L18" s="2"/>
      <c r="M18" s="2"/>
      <c r="N18" s="2"/>
      <c r="O18" s="2"/>
      <c r="P18" s="2"/>
      <c r="Q18" s="2"/>
      <c r="R18" s="2"/>
      <c r="S18" s="2"/>
      <c r="T18" s="2"/>
      <c r="U18" s="2"/>
      <c r="V18" s="2"/>
    </row>
    <row r="19" spans="2:22" ht="18" customHeight="1">
      <c r="H19" s="2"/>
      <c r="I19" s="2"/>
      <c r="J19" s="2"/>
      <c r="K19" s="2"/>
      <c r="L19" s="2"/>
      <c r="M19" s="2"/>
      <c r="N19" s="2"/>
      <c r="O19" s="2"/>
      <c r="P19" s="2"/>
      <c r="Q19" s="2"/>
      <c r="R19" s="2"/>
      <c r="S19" s="2"/>
      <c r="T19" s="2"/>
      <c r="U19" s="2"/>
      <c r="V19" s="2"/>
    </row>
    <row r="20" spans="2:22" ht="18" customHeight="1">
      <c r="H20" s="2"/>
      <c r="I20" s="2"/>
      <c r="J20" s="2"/>
      <c r="K20" s="2"/>
      <c r="L20" s="2"/>
      <c r="M20" s="2"/>
      <c r="N20" s="2"/>
      <c r="O20" s="2"/>
      <c r="P20" s="2"/>
      <c r="Q20" s="2"/>
      <c r="R20" s="2"/>
      <c r="S20" s="2"/>
      <c r="T20" s="2"/>
      <c r="U20" s="2"/>
      <c r="V20" s="2"/>
    </row>
    <row r="21" spans="2:22" ht="18" customHeight="1">
      <c r="I21" s="2"/>
      <c r="J21" s="2"/>
      <c r="K21" s="2"/>
      <c r="L21" s="2"/>
      <c r="M21" s="2"/>
      <c r="N21" s="2"/>
      <c r="O21" s="2"/>
      <c r="P21" s="2"/>
      <c r="Q21" s="2"/>
      <c r="R21" s="2"/>
      <c r="S21" s="2"/>
      <c r="T21" s="2"/>
      <c r="U21" s="2"/>
      <c r="V21" s="2"/>
    </row>
    <row r="22" spans="2:22" ht="18" customHeight="1">
      <c r="I22" s="2"/>
      <c r="J22" s="2"/>
      <c r="K22" s="2"/>
      <c r="L22" s="2"/>
      <c r="M22" s="2"/>
      <c r="N22" s="2"/>
      <c r="O22" s="2"/>
      <c r="P22" s="2"/>
      <c r="Q22" s="2"/>
      <c r="R22" s="2"/>
      <c r="S22" s="2"/>
      <c r="T22" s="2"/>
      <c r="U22" s="2"/>
      <c r="V22" s="2"/>
    </row>
    <row r="23" spans="2:22" ht="18" customHeight="1">
      <c r="I23" s="2"/>
      <c r="J23" s="2"/>
      <c r="K23" s="2"/>
      <c r="L23" s="2"/>
      <c r="M23" s="2"/>
      <c r="N23" s="2"/>
      <c r="O23" s="2"/>
      <c r="P23" s="2"/>
      <c r="Q23" s="2"/>
      <c r="R23" s="2"/>
      <c r="S23" s="2"/>
      <c r="T23" s="2"/>
      <c r="U23" s="2"/>
      <c r="V23" s="2"/>
    </row>
    <row r="24" spans="2:22" ht="18" customHeight="1">
      <c r="I24" s="2"/>
      <c r="J24" s="2"/>
      <c r="K24" s="2"/>
      <c r="L24" s="2"/>
      <c r="M24" s="2"/>
      <c r="N24" s="2"/>
      <c r="O24" s="2"/>
      <c r="P24" s="2"/>
      <c r="Q24" s="2"/>
      <c r="R24" s="2"/>
      <c r="S24" s="2"/>
      <c r="T24" s="2"/>
      <c r="U24" s="2"/>
      <c r="V24" s="2"/>
    </row>
    <row r="25" spans="2:22" ht="18" customHeight="1">
      <c r="I25" s="2"/>
      <c r="J25" s="2"/>
      <c r="K25" s="2"/>
      <c r="L25" s="2"/>
      <c r="M25" s="2"/>
      <c r="N25" s="2"/>
      <c r="O25" s="2"/>
      <c r="P25" s="2"/>
      <c r="Q25" s="2"/>
      <c r="R25" s="2"/>
      <c r="S25" s="2"/>
      <c r="T25" s="2"/>
      <c r="U25" s="2"/>
      <c r="V25" s="2"/>
    </row>
    <row r="27" spans="2:22" ht="18" customHeight="1">
      <c r="K27" s="365" t="s">
        <v>461</v>
      </c>
      <c r="L27" s="365"/>
      <c r="M27" s="365"/>
      <c r="N27" s="365"/>
      <c r="O27" s="365"/>
      <c r="P27" s="365"/>
      <c r="Q27" s="365"/>
      <c r="R27" s="365"/>
    </row>
    <row r="28" spans="2:22" ht="18" customHeight="1">
      <c r="K28" s="365"/>
      <c r="L28" s="365"/>
      <c r="M28" s="365"/>
      <c r="N28" s="365"/>
      <c r="O28" s="365"/>
      <c r="P28" s="365"/>
      <c r="Q28" s="365"/>
      <c r="R28" s="365"/>
    </row>
    <row r="32" spans="2:22" ht="18" customHeight="1">
      <c r="B32" s="359" t="s">
        <v>421</v>
      </c>
      <c r="C32" s="359"/>
      <c r="D32" s="359"/>
      <c r="E32" s="359"/>
      <c r="F32" s="359"/>
      <c r="G32" s="359"/>
      <c r="H32" s="359"/>
      <c r="I32" s="359"/>
      <c r="J32" s="264"/>
      <c r="K32" s="254" t="s">
        <v>480</v>
      </c>
      <c r="L32" s="254"/>
      <c r="M32" s="254"/>
      <c r="N32" s="254"/>
      <c r="O32" s="254"/>
      <c r="P32" s="254"/>
      <c r="Q32" s="254"/>
      <c r="R32" s="254"/>
      <c r="S32" s="364"/>
      <c r="T32" s="364"/>
      <c r="U32" s="364"/>
      <c r="V32" s="364"/>
    </row>
    <row r="33" spans="2:22" ht="18" customHeight="1">
      <c r="I33" s="2"/>
      <c r="J33" s="2"/>
      <c r="K33" s="2"/>
      <c r="L33" s="2"/>
      <c r="M33" s="2"/>
      <c r="N33" s="2"/>
      <c r="O33" s="2"/>
      <c r="P33" s="2"/>
      <c r="Q33" s="2"/>
      <c r="R33" s="2"/>
      <c r="S33" s="2"/>
      <c r="T33" s="2"/>
      <c r="U33" s="2"/>
      <c r="V33" s="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B36" s="2"/>
      <c r="C36" s="2"/>
      <c r="D36" s="2"/>
      <c r="E36" s="2"/>
      <c r="F36" s="2"/>
      <c r="G36" s="2"/>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sheetData>
  <mergeCells count="16">
    <mergeCell ref="B3:C3"/>
    <mergeCell ref="O3:P3"/>
    <mergeCell ref="B32:I32"/>
    <mergeCell ref="U10:V10"/>
    <mergeCell ref="K10:L10"/>
    <mergeCell ref="M10:N10"/>
    <mergeCell ref="O10:P10"/>
    <mergeCell ref="Q10:R10"/>
    <mergeCell ref="S32:T32"/>
    <mergeCell ref="U32:V32"/>
    <mergeCell ref="B10:C10"/>
    <mergeCell ref="D10:E10"/>
    <mergeCell ref="S10:T10"/>
    <mergeCell ref="F10:G10"/>
    <mergeCell ref="H10:I10"/>
    <mergeCell ref="K27:R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workbookViewId="0">
      <selection activeCell="H10" sqref="H10"/>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8"/>
      <c r="D2" s="101" t="s">
        <v>142</v>
      </c>
      <c r="J2" s="298"/>
      <c r="K2" s="101" t="s">
        <v>142</v>
      </c>
    </row>
    <row r="3" spans="2:29">
      <c r="C3" s="305" t="s">
        <v>427</v>
      </c>
      <c r="D3" s="312" t="s">
        <v>435</v>
      </c>
      <c r="J3" s="305" t="s">
        <v>414</v>
      </c>
      <c r="K3" s="298">
        <v>10</v>
      </c>
    </row>
    <row r="4" spans="2:29">
      <c r="C4" s="305" t="s">
        <v>133</v>
      </c>
      <c r="D4" s="306">
        <f>IF(Valuation_Table!A28=2, H10, SUM('Screener Output.v0'!L35:L35)/SUM('Screener Output.v0'!L60:L60))</f>
        <v>0.59803010592826622</v>
      </c>
      <c r="J4" s="305" t="s">
        <v>415</v>
      </c>
      <c r="K4" s="298">
        <f>IF(Valuation_Table!A28=2, (IF(D4&gt;0.2,10,IF(AND(D4&gt;0.1,D4&lt;0.2),7,IF(AND(D4&gt;0.05,D4&lt;0.1),3,IF(AND(D4&gt;0,D4&lt;0.05),1,0))))), (IF(D4&gt;0.02,10,IF(AND(D4&gt;0.01,D4&lt;0.02),7,IF(AND(D4&gt;0.005,D4&lt;0.01),3,IF(AND(D4&gt;0,D4&lt;0.005),1,0))))))</f>
        <v>10</v>
      </c>
    </row>
    <row r="5" spans="2:29" ht="8.25" customHeight="1"/>
    <row r="6" spans="2:29" ht="18" customHeight="1">
      <c r="B6" s="47"/>
      <c r="C6" s="48" t="s">
        <v>94</v>
      </c>
      <c r="D6" s="48" t="s">
        <v>93</v>
      </c>
      <c r="E6" s="48" t="s">
        <v>92</v>
      </c>
      <c r="F6" s="48" t="s">
        <v>91</v>
      </c>
      <c r="G6" s="48" t="s">
        <v>481</v>
      </c>
      <c r="H6" s="48" t="s">
        <v>482</v>
      </c>
      <c r="J6" s="219"/>
      <c r="K6" s="219" t="s">
        <v>231</v>
      </c>
      <c r="M6" s="358" t="s">
        <v>98</v>
      </c>
      <c r="N6" s="358"/>
      <c r="O6" s="358"/>
      <c r="P6" s="358"/>
      <c r="Q6" s="358"/>
      <c r="R6" s="358"/>
      <c r="S6" s="358"/>
      <c r="T6" s="358"/>
      <c r="V6" s="358"/>
      <c r="W6" s="358"/>
      <c r="X6" s="358"/>
      <c r="Y6" s="358"/>
      <c r="Z6" s="358"/>
      <c r="AA6" s="358"/>
      <c r="AB6" s="358"/>
      <c r="AC6" s="358"/>
    </row>
    <row r="7" spans="2:29">
      <c r="B7" s="49" t="s">
        <v>96</v>
      </c>
      <c r="C7" s="50">
        <f>SUM('Screener Output.v0'!H35:H35)/SUM('Screener Output.v0'!H26:H26)</f>
        <v>4.7578325429526558E-2</v>
      </c>
      <c r="D7" s="50">
        <f>SUM('Screener Output.v0'!I35:I35)/SUM('Screener Output.v0'!I26:I26)</f>
        <v>4.7854393384973694E-2</v>
      </c>
      <c r="E7" s="50">
        <f>SUM('Screener Output.v0'!J35:J35)/SUM('Screener Output.v0'!J26:J26)</f>
        <v>5.0122990267726514E-2</v>
      </c>
      <c r="F7" s="50">
        <f>SUM('Screener Output.v0'!K35:K35)/SUM('Screener Output.v0'!K26:K26)</f>
        <v>5.4871391763832537E-2</v>
      </c>
      <c r="G7" s="50">
        <f>SUM('Screener Output.v0'!L35:L35)/SUM('Screener Output.v0'!L26:L26)</f>
        <v>0.10310410220580916</v>
      </c>
      <c r="H7" s="50">
        <f>'Screener Output.v0'!M35/'Screener Output.v0'!M26</f>
        <v>8.81849197758382E-2</v>
      </c>
      <c r="J7" s="220" t="s">
        <v>360</v>
      </c>
      <c r="K7" s="221">
        <f>POWER('Screener Output.v0'!L35/'Screener Output.v0'!G35,1/5)-1</f>
        <v>0.37687580203441651</v>
      </c>
      <c r="M7" s="2"/>
      <c r="N7" s="2"/>
      <c r="V7" s="250"/>
      <c r="W7" s="250"/>
    </row>
    <row r="8" spans="2:29">
      <c r="B8" s="49" t="s">
        <v>55</v>
      </c>
      <c r="C8" s="51">
        <f>'Screener Output.v0'!H25/'Screener Output.v0'!H60</f>
        <v>2.5849841521394614</v>
      </c>
      <c r="D8" s="51">
        <f>'Screener Output.v0'!I25/'Screener Output.v0'!I60</f>
        <v>1.5763557642914801</v>
      </c>
      <c r="E8" s="51">
        <f>'Screener Output.v0'!J25/'Screener Output.v0'!J60</f>
        <v>1.5399721000107307</v>
      </c>
      <c r="F8" s="51">
        <f>'Screener Output.v0'!K25/'Screener Output.v0'!K60</f>
        <v>2.046905053331002</v>
      </c>
      <c r="G8" s="51">
        <f>'Screener Output.v0'!L25/'Screener Output.v0'!L60</f>
        <v>1.3131582286511863</v>
      </c>
      <c r="H8" s="51">
        <f>'Screener Output.v0'!M26/'Screener Output.v0'!L60</f>
        <v>2.3151567060017766</v>
      </c>
      <c r="J8" s="220" t="s">
        <v>226</v>
      </c>
      <c r="K8" s="221">
        <f>POWER('Screener Output.v0'!L26/'Screener Output.v0'!G26,1/5)-1</f>
        <v>0.17537451382882807</v>
      </c>
      <c r="M8" s="2"/>
      <c r="N8" s="2"/>
      <c r="V8" s="250"/>
      <c r="W8" s="250"/>
    </row>
    <row r="9" spans="2:29">
      <c r="B9" s="49" t="s">
        <v>97</v>
      </c>
      <c r="C9" s="51">
        <f>'Screener Output.v0'!H60/SUM('Screener Output.v0'!H40:H41)</f>
        <v>3.795488721804511</v>
      </c>
      <c r="D9" s="51">
        <f>'Screener Output.v0'!I60/SUM('Screener Output.v0'!I40:I41)</f>
        <v>3.9169301523426276</v>
      </c>
      <c r="E9" s="51">
        <f>'Screener Output.v0'!J60/SUM('Screener Output.v0'!J40:J41)</f>
        <v>3.9722932651321403</v>
      </c>
      <c r="F9" s="51">
        <f>'Screener Output.v0'!K60/SUM('Screener Output.v0'!K40:K41)</f>
        <v>3.4498567335243551</v>
      </c>
      <c r="G9" s="51">
        <f>'Screener Output.v0'!L60/SUM('Screener Output.v0'!L40:L41)</f>
        <v>2.9291953168556035</v>
      </c>
      <c r="H9" s="51"/>
      <c r="J9" s="220" t="s">
        <v>330</v>
      </c>
      <c r="K9" s="221">
        <f>POWER('Screener Output.v0'!L60/'Screener Output.v0'!G60,1/5)-1</f>
        <v>0.27937843625330139</v>
      </c>
      <c r="M9" s="2"/>
      <c r="N9" s="2"/>
      <c r="V9" s="250"/>
      <c r="W9" s="250"/>
    </row>
    <row r="10" spans="2:29">
      <c r="B10" s="52" t="s">
        <v>35</v>
      </c>
      <c r="C10" s="339">
        <f t="shared" ref="C10" si="0">C7*C8*C9</f>
        <v>0.46680418686458053</v>
      </c>
      <c r="D10" s="339">
        <f>D7*D8*D9</f>
        <v>0.29547577588462776</v>
      </c>
      <c r="E10" s="339">
        <f>E7*E8*E9</f>
        <v>0.3066133986923032</v>
      </c>
      <c r="F10" s="339">
        <f>F7*F8*F9</f>
        <v>0.38747593414891546</v>
      </c>
      <c r="G10" s="339">
        <f>G7*G8*G9</f>
        <v>0.39658961298194356</v>
      </c>
      <c r="H10" s="53">
        <f>H7*H8*G9</f>
        <v>0.59803010592826622</v>
      </c>
      <c r="J10" s="220" t="s">
        <v>331</v>
      </c>
      <c r="K10" s="221">
        <f>POWER(SUM('Screener Output.v0'!L40:L41)/SUM('Screener Output.v0'!G40:G41),1/5)-1</f>
        <v>0.47758994372752883</v>
      </c>
      <c r="M10" s="2"/>
      <c r="N10" s="2"/>
      <c r="V10" s="250"/>
      <c r="W10" s="250"/>
    </row>
    <row r="11" spans="2:29">
      <c r="M11" s="2"/>
      <c r="N11" s="2"/>
      <c r="V11" s="250"/>
      <c r="W11" s="250"/>
    </row>
    <row r="12" spans="2:29" ht="33.75" customHeight="1">
      <c r="B12" s="366" t="s">
        <v>99</v>
      </c>
      <c r="C12" s="366"/>
      <c r="D12" s="366"/>
      <c r="E12" s="366"/>
      <c r="F12" s="366"/>
      <c r="G12" s="366"/>
      <c r="H12" s="330"/>
      <c r="M12" s="2"/>
      <c r="N12" s="2"/>
      <c r="V12" s="250"/>
      <c r="W12" s="250"/>
    </row>
    <row r="13" spans="2:29">
      <c r="B13" s="46"/>
      <c r="M13" s="2"/>
      <c r="N13" s="2"/>
      <c r="V13" s="250"/>
      <c r="W13" s="250"/>
    </row>
    <row r="14" spans="2:29">
      <c r="B14" s="46" t="s">
        <v>102</v>
      </c>
      <c r="M14" s="2"/>
      <c r="N14" s="2"/>
      <c r="V14" s="250"/>
      <c r="W14" s="250"/>
    </row>
    <row r="15" spans="2:29">
      <c r="B15" s="46" t="s">
        <v>101</v>
      </c>
      <c r="M15" s="2"/>
      <c r="N15" s="2"/>
      <c r="V15" s="250"/>
      <c r="W15" s="250"/>
    </row>
    <row r="16" spans="2:29">
      <c r="B16" s="46" t="s">
        <v>100</v>
      </c>
      <c r="M16" s="2"/>
      <c r="N16" s="2"/>
      <c r="V16" s="250"/>
      <c r="W16" s="250"/>
    </row>
    <row r="17" spans="2:23">
      <c r="M17" s="2"/>
      <c r="N17" s="2"/>
      <c r="V17" s="250"/>
      <c r="W17" s="250"/>
    </row>
    <row r="18" spans="2:23">
      <c r="M18" s="2"/>
      <c r="N18" s="2"/>
      <c r="V18" s="250"/>
      <c r="W18" s="250"/>
    </row>
    <row r="19" spans="2:23">
      <c r="F19" s="373" t="s">
        <v>121</v>
      </c>
      <c r="G19" s="367">
        <f>'Screener Output.v0'!L35-'Screener Output.v0'!H35</f>
        <v>29.080000000000076</v>
      </c>
      <c r="H19" s="331"/>
      <c r="J19" s="371">
        <f>G19/G21</f>
        <v>0.5484722746133549</v>
      </c>
      <c r="M19" s="2"/>
      <c r="N19" s="2"/>
      <c r="V19" s="250"/>
      <c r="W19" s="250"/>
    </row>
    <row r="20" spans="2:23" ht="15.75" thickBot="1">
      <c r="B20" s="76"/>
      <c r="F20" s="374"/>
      <c r="G20" s="367"/>
      <c r="H20" s="331"/>
      <c r="I20" s="370" t="s">
        <v>120</v>
      </c>
      <c r="J20" s="372"/>
      <c r="M20" s="2"/>
      <c r="N20" s="2"/>
      <c r="V20" s="250"/>
      <c r="W20" s="250"/>
    </row>
    <row r="21" spans="2:23" ht="15.75" thickTop="1">
      <c r="F21" s="375" t="s">
        <v>122</v>
      </c>
      <c r="G21" s="368">
        <f>'Screener Output.v0'!L41-'Screener Output.v0'!H41</f>
        <v>53.019999999999996</v>
      </c>
      <c r="H21" s="332"/>
      <c r="I21" s="370"/>
      <c r="M21" s="2"/>
      <c r="N21" s="2"/>
      <c r="V21" s="250"/>
      <c r="W21" s="250"/>
    </row>
    <row r="22" spans="2:23">
      <c r="F22" s="375"/>
      <c r="G22" s="369"/>
      <c r="H22" s="332"/>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workbookViewId="0">
      <selection activeCell="N5" sqref="N5"/>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7" customWidth="1"/>
    <col min="7" max="7" width="15" style="257" bestFit="1" customWidth="1"/>
    <col min="8" max="8" width="13.5703125" style="257" bestFit="1" customWidth="1"/>
    <col min="9" max="9" width="9.140625" style="257"/>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81" customFormat="1" ht="18" customHeight="1">
      <c r="B3" s="300"/>
      <c r="C3" s="304" t="s">
        <v>432</v>
      </c>
      <c r="D3" s="304" t="s">
        <v>447</v>
      </c>
      <c r="E3" s="304" t="s">
        <v>434</v>
      </c>
      <c r="F3" s="304" t="s">
        <v>95</v>
      </c>
      <c r="G3" s="304" t="s">
        <v>463</v>
      </c>
      <c r="J3" s="310"/>
      <c r="K3" s="304" t="s">
        <v>432</v>
      </c>
      <c r="L3" s="304" t="s">
        <v>447</v>
      </c>
      <c r="M3" s="304" t="s">
        <v>434</v>
      </c>
      <c r="N3" s="304" t="s">
        <v>95</v>
      </c>
    </row>
    <row r="4" spans="2:17" s="281" customFormat="1" ht="18" customHeight="1">
      <c r="B4" s="305" t="s">
        <v>430</v>
      </c>
      <c r="C4" s="306" t="s">
        <v>160</v>
      </c>
      <c r="D4" s="306" t="s">
        <v>437</v>
      </c>
      <c r="E4" s="306" t="s">
        <v>433</v>
      </c>
      <c r="F4" s="306" t="s">
        <v>436</v>
      </c>
      <c r="G4" s="306"/>
      <c r="J4" s="305" t="s">
        <v>414</v>
      </c>
      <c r="K4" s="311">
        <v>3</v>
      </c>
      <c r="L4" s="186">
        <v>1</v>
      </c>
      <c r="M4" s="311">
        <v>4</v>
      </c>
      <c r="N4" s="311">
        <v>1</v>
      </c>
    </row>
    <row r="5" spans="2:17" s="281" customFormat="1" ht="18" customHeight="1">
      <c r="B5" s="305" t="s">
        <v>431</v>
      </c>
      <c r="C5" s="308">
        <f>SUM('Screener Output.v0'!L45:L45)/SUM('Screener Output.v0'!M35:M35)</f>
        <v>1.0525170913610937</v>
      </c>
      <c r="D5" s="306">
        <f>SUM('Screener Output.v0'!L10:L10)/SUM('Screener Output.v0'!L9:L9)</f>
        <v>0.57827938319070649</v>
      </c>
      <c r="E5" s="307">
        <f>SUM('Screener Output.v0'!H62:L62)/SUM('Screener Output.v0'!H35:L35)</f>
        <v>1.1472476171950974</v>
      </c>
      <c r="F5" s="309">
        <f>'Screener Output.v0'!L62</f>
        <v>1.07</v>
      </c>
      <c r="G5" s="309">
        <f>SUM('Screener Output.v0'!H63:L63)</f>
        <v>57.019999999999996</v>
      </c>
      <c r="J5" s="305" t="s">
        <v>431</v>
      </c>
      <c r="K5" s="311">
        <f>IF(C5&lt;=3,3,IF((AND((C5&gt;3),(C5&lt;=5))),2,0))</f>
        <v>3</v>
      </c>
      <c r="L5" s="186">
        <f>IF(Efficiency!D5&gt;1.5,1,IF(AND(Efficiency!D5&gt;1.25,Efficiency!D5&lt;1.5),0.75,IF(AND(Efficiency!D5&gt;1,Efficiency!D5&lt;1.25),0.5,IF(AND(Efficiency!D5&gt;0.9,Efficiency!D5&lt;1),1,0))))</f>
        <v>0</v>
      </c>
      <c r="M5" s="311">
        <f>IF(E5&gt;1,4,IF(AND(E5&gt;0.75,E5&lt;1),2,IF(AND(E5&gt;0.5,E5&lt;0.75),1,IF(AND(E5&gt;0,E5&lt;0.5),1,0))))</f>
        <v>4</v>
      </c>
      <c r="N5" s="311">
        <f>IF(F5&gt;1.5,1,IF(AND(F5&gt;1.25,F5&lt;1.5),0.75,IF(AND(F5&gt;1,F5&lt;1.25),0.5,IF(AND(F5&gt;0.9,F5&lt;1),1,0))))</f>
        <v>0.5</v>
      </c>
    </row>
    <row r="6" spans="2:17" ht="18" customHeight="1">
      <c r="F6" s="270"/>
      <c r="G6" s="268"/>
      <c r="H6" s="268"/>
      <c r="I6" s="268"/>
      <c r="J6" s="269"/>
      <c r="K6" s="269"/>
      <c r="L6" s="269"/>
    </row>
    <row r="8" spans="2:17" ht="18" customHeight="1">
      <c r="B8" s="359" t="s">
        <v>432</v>
      </c>
      <c r="C8" s="359"/>
      <c r="D8" s="359"/>
      <c r="E8" s="359"/>
      <c r="F8" s="359"/>
      <c r="G8" s="359"/>
      <c r="H8" s="359"/>
      <c r="I8" s="303"/>
      <c r="J8" s="359" t="s">
        <v>453</v>
      </c>
      <c r="K8" s="359"/>
      <c r="L8" s="359"/>
      <c r="M8" s="359"/>
      <c r="N8" s="359"/>
      <c r="O8" s="359"/>
      <c r="P8" s="359"/>
      <c r="Q8" s="359"/>
    </row>
    <row r="21" spans="2:17" ht="8.25" customHeight="1"/>
    <row r="22" spans="2:17" ht="23.25" customHeight="1">
      <c r="J22" s="377" t="s">
        <v>464</v>
      </c>
      <c r="K22" s="377"/>
      <c r="L22" s="377"/>
      <c r="M22" s="377"/>
      <c r="N22" s="377"/>
      <c r="O22" s="377"/>
      <c r="P22" s="377"/>
      <c r="Q22" s="377"/>
    </row>
    <row r="24" spans="2:17" ht="18" customHeight="1">
      <c r="B24" s="359" t="s">
        <v>428</v>
      </c>
      <c r="C24" s="359"/>
      <c r="D24" s="359"/>
      <c r="E24" s="359"/>
      <c r="F24" s="359"/>
      <c r="G24" s="359"/>
      <c r="H24" s="359"/>
      <c r="J24" s="326" t="s">
        <v>454</v>
      </c>
      <c r="K24" s="326"/>
      <c r="L24" s="326"/>
      <c r="M24" s="326"/>
      <c r="N24" s="326"/>
      <c r="O24" s="326"/>
      <c r="P24" s="326"/>
      <c r="Q24" s="326"/>
    </row>
    <row r="35" spans="2:17" ht="9" customHeight="1"/>
    <row r="36" spans="2:17" ht="18" customHeight="1">
      <c r="J36" s="361" t="s">
        <v>470</v>
      </c>
      <c r="K36" s="361"/>
      <c r="L36" s="361"/>
      <c r="M36" s="361"/>
      <c r="N36" s="361"/>
      <c r="O36" s="361"/>
      <c r="P36" s="361"/>
      <c r="Q36" s="361"/>
    </row>
    <row r="38" spans="2:17" ht="18" customHeight="1">
      <c r="B38" s="359" t="s">
        <v>471</v>
      </c>
      <c r="C38" s="359"/>
      <c r="D38" s="359"/>
      <c r="E38" s="359"/>
      <c r="F38" s="359"/>
      <c r="G38" s="359"/>
      <c r="H38" s="359"/>
      <c r="I38"/>
      <c r="J38" s="359" t="s">
        <v>209</v>
      </c>
      <c r="K38" s="359"/>
      <c r="L38" s="359"/>
      <c r="M38" s="359"/>
      <c r="N38" s="359"/>
      <c r="O38" s="359"/>
      <c r="P38" s="359"/>
      <c r="Q38" s="359"/>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378" t="s">
        <v>446</v>
      </c>
      <c r="K52" s="378"/>
      <c r="L52" s="378"/>
      <c r="M52" s="378"/>
      <c r="N52" s="378"/>
      <c r="O52" s="378"/>
      <c r="P52" s="378"/>
      <c r="Q52" s="378"/>
    </row>
    <row r="53" spans="2:17" ht="18" customHeight="1">
      <c r="I53"/>
    </row>
    <row r="63" spans="2:17" ht="18" customHeight="1">
      <c r="B63" s="376"/>
      <c r="C63" s="376"/>
      <c r="D63" s="376"/>
      <c r="E63" s="376"/>
      <c r="F63" s="376"/>
      <c r="G63" s="376"/>
      <c r="J63" s="376"/>
      <c r="K63" s="376"/>
      <c r="L63" s="376"/>
      <c r="M63" s="376"/>
      <c r="N63" s="376"/>
      <c r="O63" s="376"/>
      <c r="P63" s="376"/>
      <c r="Q63" s="376"/>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3" customFormat="1" ht="18" customHeight="1">
      <c r="D2" s="313"/>
      <c r="E2" s="304" t="s">
        <v>147</v>
      </c>
      <c r="F2" s="304" t="s">
        <v>158</v>
      </c>
      <c r="H2" s="274"/>
      <c r="I2" s="274"/>
      <c r="J2" s="274"/>
      <c r="K2" s="316"/>
      <c r="L2" s="304" t="s">
        <v>147</v>
      </c>
      <c r="M2" s="304" t="s">
        <v>158</v>
      </c>
      <c r="O2" s="274"/>
      <c r="P2" s="274"/>
      <c r="Q2" s="274"/>
      <c r="R2" s="274"/>
    </row>
    <row r="3" spans="2:18" s="273" customFormat="1" ht="18" customHeight="1">
      <c r="D3" s="271" t="s">
        <v>430</v>
      </c>
      <c r="E3" s="314">
        <v>0</v>
      </c>
      <c r="F3" s="313" t="s">
        <v>327</v>
      </c>
      <c r="H3" s="274"/>
      <c r="I3" s="274"/>
      <c r="J3" s="274"/>
      <c r="K3" s="272" t="s">
        <v>414</v>
      </c>
      <c r="L3" s="313">
        <v>6</v>
      </c>
      <c r="M3" s="313">
        <v>3</v>
      </c>
      <c r="O3" s="274"/>
      <c r="P3" s="274"/>
      <c r="Q3" s="274"/>
      <c r="R3" s="274"/>
    </row>
    <row r="4" spans="2:18" s="273" customFormat="1" ht="18" customHeight="1">
      <c r="D4" s="271" t="s">
        <v>431</v>
      </c>
      <c r="E4" s="314">
        <f>'Shareholding input'!C7</f>
        <v>0</v>
      </c>
      <c r="F4" s="315">
        <f>SUM('Shareholding input'!C6:C7)-SUM('Shareholding input'!H6:H7)</f>
        <v>0.72130000000000005</v>
      </c>
      <c r="H4" s="274"/>
      <c r="I4" s="274"/>
      <c r="J4" s="274"/>
      <c r="K4" s="272" t="s">
        <v>431</v>
      </c>
      <c r="L4" s="313">
        <f>IF(E4&gt;0,0,6)</f>
        <v>6</v>
      </c>
      <c r="M4" s="313">
        <f>IF(F4&gt;-0.03,3,IF(F4=0,2,0))</f>
        <v>3</v>
      </c>
      <c r="O4" s="274"/>
      <c r="P4" s="274"/>
      <c r="Q4" s="274"/>
      <c r="R4" s="274"/>
    </row>
    <row r="5" spans="2:18" ht="18" customHeight="1">
      <c r="D5" s="267"/>
      <c r="E5" s="267"/>
      <c r="F5" s="267"/>
      <c r="G5" s="267"/>
      <c r="H5" s="267"/>
      <c r="I5" s="267"/>
      <c r="J5" s="267"/>
      <c r="K5" s="267"/>
      <c r="L5" s="267"/>
      <c r="M5" s="267"/>
      <c r="N5" s="267"/>
      <c r="O5" s="267"/>
      <c r="P5" s="267"/>
      <c r="Q5" s="267"/>
      <c r="R5" s="267"/>
    </row>
    <row r="6" spans="2:18" ht="18" customHeight="1">
      <c r="B6" s="379" t="s">
        <v>456</v>
      </c>
      <c r="C6" s="381"/>
      <c r="D6" s="381"/>
      <c r="E6" s="381"/>
      <c r="F6" s="381"/>
      <c r="G6" s="381"/>
      <c r="I6" s="379" t="s">
        <v>477</v>
      </c>
      <c r="J6" s="379"/>
      <c r="K6" s="379"/>
      <c r="L6" s="379"/>
      <c r="M6" s="379"/>
      <c r="N6" s="379"/>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380" t="s">
        <v>443</v>
      </c>
      <c r="C19" s="380"/>
      <c r="D19" s="380"/>
      <c r="E19" s="380"/>
      <c r="F19" s="380"/>
      <c r="G19" s="380"/>
      <c r="H19" s="2"/>
    </row>
    <row r="20" spans="2:14" ht="18" customHeight="1">
      <c r="B20" s="2"/>
      <c r="C20" s="2"/>
      <c r="D20" s="2"/>
      <c r="E20" s="2"/>
      <c r="F20" s="2"/>
      <c r="G20" s="2"/>
      <c r="H20" s="2"/>
      <c r="I20" s="2"/>
      <c r="J20" s="2"/>
      <c r="K20" s="2"/>
      <c r="L20" s="2"/>
    </row>
    <row r="21" spans="2:14" ht="18" customHeight="1">
      <c r="B21" s="359" t="s">
        <v>468</v>
      </c>
      <c r="C21" s="359"/>
      <c r="D21" s="358"/>
      <c r="E21" s="358"/>
      <c r="F21" s="254"/>
      <c r="G21" s="303"/>
      <c r="I21" s="359" t="s">
        <v>467</v>
      </c>
      <c r="J21" s="359"/>
      <c r="K21" s="358"/>
      <c r="L21" s="358"/>
      <c r="M21" s="358"/>
      <c r="N21" s="358"/>
    </row>
    <row r="34" spans="2:8" ht="5.25" customHeight="1"/>
    <row r="35" spans="2:8" ht="33.75" customHeight="1">
      <c r="H35" s="317"/>
    </row>
    <row r="36" spans="2:8" ht="18" customHeight="1">
      <c r="B36" s="359" t="s">
        <v>457</v>
      </c>
      <c r="C36" s="359"/>
      <c r="D36" s="358"/>
      <c r="E36" s="358"/>
      <c r="F36" s="358"/>
      <c r="G36" s="358"/>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4" t="s">
        <v>455</v>
      </c>
      <c r="C51" s="254"/>
      <c r="D51" s="254"/>
      <c r="E51" s="254"/>
      <c r="F51" s="254"/>
    </row>
    <row r="64" spans="2:7" ht="28.5" customHeight="1">
      <c r="B64" s="380" t="s">
        <v>442</v>
      </c>
      <c r="C64" s="380"/>
      <c r="D64" s="380"/>
      <c r="E64" s="380"/>
      <c r="F64" s="380"/>
      <c r="G64" s="380"/>
    </row>
  </sheetData>
  <mergeCells count="12">
    <mergeCell ref="B64:G64"/>
    <mergeCell ref="B19:G19"/>
    <mergeCell ref="B6:G6"/>
    <mergeCell ref="I21:J21"/>
    <mergeCell ref="K21:L21"/>
    <mergeCell ref="M21:N21"/>
    <mergeCell ref="B21:C21"/>
    <mergeCell ref="D21:E21"/>
    <mergeCell ref="I6:N6"/>
    <mergeCell ref="B36:C36"/>
    <mergeCell ref="D36:E36"/>
    <mergeCell ref="F36:G36"/>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2018-06-03T11:11:29Z</dcterms:modified>
</cp:coreProperties>
</file>